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64/"/>
    </mc:Choice>
  </mc:AlternateContent>
  <xr:revisionPtr revIDLastSave="0" documentId="8_{B2237DAD-7C7C-4390-BBCA-3AA07F200C99}" xr6:coauthVersionLast="45" xr6:coauthVersionMax="45" xr10:uidLastSave="{00000000-0000-0000-0000-000000000000}"/>
  <bookViews>
    <workbookView xWindow="-110" yWindow="-110" windowWidth="19420" windowHeight="10420" xr2:uid="{7CF7677B-B35C-435A-832D-A55CD4B2B100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0" i="1" l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<sst xmlns="http://schemas.openxmlformats.org/spreadsheetml/2006/main" count="965" uniqueCount="155">
  <si>
    <t>Dettaglio Domande Pagabili Decreto 464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</si>
  <si>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</si>
  <si>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</si>
  <si>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</si>
  <si>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</si>
  <si>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</si>
  <si>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</si>
  <si>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</si>
  <si>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</si>
  <si>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</si>
  <si>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</si>
  <si>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</si>
  <si>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</si>
  <si>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</si>
  <si>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</si>
  <si>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</si>
  <si>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</si>
  <si>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</si>
  <si>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</si>
  <si>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</si>
  <si>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</si>
  <si>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</si>
  <si>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</si>
  <si>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</si>
  <si>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</si>
  <si>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</si>
  <si>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</si>
  <si>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</si>
  <si>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</si>
  <si>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CAA-CAF AGRI S.R.L.</t>
  </si>
  <si>
    <t>NO</t>
  </si>
  <si>
    <t>Nuova Programmazione</t>
  </si>
  <si>
    <t>In Liquidazione</t>
  </si>
  <si>
    <t>Saldo</t>
  </si>
  <si>
    <t>Co-Finanziato</t>
  </si>
  <si>
    <t>Ordinario</t>
  </si>
  <si>
    <t>CAA Confagricoltura srl</t>
  </si>
  <si>
    <t>CAA Coldiretti srl</t>
  </si>
  <si>
    <t>Misure Strutturali</t>
  </si>
  <si>
    <t>IN PROPRIO</t>
  </si>
  <si>
    <t>SAL</t>
  </si>
  <si>
    <t>CAA CIA srl</t>
  </si>
  <si>
    <t>SI</t>
  </si>
  <si>
    <t>CAA UNICAA srl</t>
  </si>
  <si>
    <t>CAA LiberiAgricoltori srl già CAA AGCI srl</t>
  </si>
  <si>
    <t>MARCHE</t>
  </si>
  <si>
    <t>SERV. DEC. AGRICOLTURA E ALIM. - MACERATA</t>
  </si>
  <si>
    <t>CAA Coldiretti - MACERATA - 009</t>
  </si>
  <si>
    <t>PUCCIARELLI MAURO</t>
  </si>
  <si>
    <t>AGEA.ASR.2021.0517627</t>
  </si>
  <si>
    <t>AGEA.ASR.2021.0517622</t>
  </si>
  <si>
    <t>SERV. DEC. AGRICOLTURA E ALIMENTAZIONE - ANCONA</t>
  </si>
  <si>
    <t>ALLEVATORI E PRODUTTORI DI MONTELAGO SOC. COOP. AGRICOLA</t>
  </si>
  <si>
    <t>AGEA.ASR.2021.0784435</t>
  </si>
  <si>
    <t>SEBASTIANI DAMIANO</t>
  </si>
  <si>
    <t>CAA Coldiretti - MACERATA - 017</t>
  </si>
  <si>
    <t>SEPI MICHELE</t>
  </si>
  <si>
    <t>SOCIETA' AGRICOLA TERRE DELLA SERRA S.A.S. DI LUCIA LUCCERINI</t>
  </si>
  <si>
    <t>SERV. DEC. AGRICOLTURA E ALIM. -ASCOLI PICENO</t>
  </si>
  <si>
    <t>CARLINI TIZIANO</t>
  </si>
  <si>
    <t>AGEA.ASR.2021.0808836</t>
  </si>
  <si>
    <t>CAA UNICAA - ASCOLI PICENO - 004</t>
  </si>
  <si>
    <t>FIORAVANTI VALENTINO</t>
  </si>
  <si>
    <t>SERV. DEC. AGRICOLTURA E ALIMENTAZIONE - PESARO</t>
  </si>
  <si>
    <t>CAA LiberiAgricoltori - PESARO E URBINO - 002</t>
  </si>
  <si>
    <t>IL CARNOCCHIO S.S. - SOCIETA' AGRICOLA</t>
  </si>
  <si>
    <t>CAA CIA - ASCOLI PICENO - 005</t>
  </si>
  <si>
    <t>GIORGETTI GIOVANNELLA</t>
  </si>
  <si>
    <t>CAA CAF AGRI - ASCOLI PICENO - 222</t>
  </si>
  <si>
    <t>DE SANTIS ANGELO</t>
  </si>
  <si>
    <t>MESCHINI MARIO</t>
  </si>
  <si>
    <t>AGEA.ASR.2021.0820738</t>
  </si>
  <si>
    <t>CAA Coldiretti - ASCOLI PICENO - 010</t>
  </si>
  <si>
    <t>ALEANDRI VALENTINO</t>
  </si>
  <si>
    <t>AGEA.ASR.2021.0817445</t>
  </si>
  <si>
    <t>SOCIETA' AGRICOLA LIBERTI GABRIELE &amp; C. S.S.</t>
  </si>
  <si>
    <t>SOCIETA' AGRICOLA MONSIGNORI S.S.</t>
  </si>
  <si>
    <t>VINEA SOCIETA' COOPERATIVA AGRICOLA</t>
  </si>
  <si>
    <t>AGEA.ASR.2021.0821414</t>
  </si>
  <si>
    <t>DESIDERI SAMUELE</t>
  </si>
  <si>
    <t>AGEA.ASR.2021.0817505</t>
  </si>
  <si>
    <t>CONSORZIO MARCHE BIOLOGICHE SOC.COOP AGR</t>
  </si>
  <si>
    <t>AGEA.ASR.2021.0821253</t>
  </si>
  <si>
    <t>BAJOCCO MARCO E MONIA SOC. SEMPLICE</t>
  </si>
  <si>
    <t>AGEA.ASR.2021.0807478</t>
  </si>
  <si>
    <t>BENVENUTI ROBERTO</t>
  </si>
  <si>
    <t>CA' MAGGIO SOCIETA' AGRICOLA DI TICCHI ALBERTO &amp; C SAS</t>
  </si>
  <si>
    <t>CAMILLETTI LUIGI</t>
  </si>
  <si>
    <t>CAA CIA - PESARO E URBINO - 007</t>
  </si>
  <si>
    <t>COSTANTINI STELLINA</t>
  </si>
  <si>
    <t>CAA Coldiretti - PESARO E URBINO - 006</t>
  </si>
  <si>
    <t>DURO FRANCA</t>
  </si>
  <si>
    <t>LA SELVA DI PIOLI SILVANO E MENCHI IOLANDA SOCIETA' SEMPLICE</t>
  </si>
  <si>
    <t>CAA CIA - PESARO E URBINO - 002</t>
  </si>
  <si>
    <t>LIBANORE ENRICO</t>
  </si>
  <si>
    <t>MARTINELLI FREDERIC</t>
  </si>
  <si>
    <t>CAA Copagri srl</t>
  </si>
  <si>
    <t>CAA Copagri - MACERATA - 501</t>
  </si>
  <si>
    <t>PASSACANTANDO ANDREA</t>
  </si>
  <si>
    <t>PASSERI VALERIA</t>
  </si>
  <si>
    <t>RAPACCINI PASQUALE</t>
  </si>
  <si>
    <t>SOC.AGRICOLA CA' QUATTROCCHI S.S</t>
  </si>
  <si>
    <t>CAA Coldiretti - ANCONA - 003</t>
  </si>
  <si>
    <t>SOCIETA' AGRICOLA "EREDI FILIPPONI" SOCIETA' SEMPLICE</t>
  </si>
  <si>
    <t>SOCIETA' AGRICOLA LUCANGELI AYMERICH DI LACONI SOCIETA' SEMPLICE DETTA</t>
  </si>
  <si>
    <t>"SOCIETA' AGRICOLA" PELOSI VENANZO MARIO E MANCINELLI AUGUSTA S.S.</t>
  </si>
  <si>
    <t>CAA Coldiretti - MACERATA - 008</t>
  </si>
  <si>
    <t>SOCIETA' AGRICOLA SARGENTI DI PRIMUCCI ELISABETTA &amp; C. SOC. SEMPL ICE</t>
  </si>
  <si>
    <t>SOCIETA' AGRICOLA SILVETTI GIANFRANCO E GAETANO SOCIETA' SEMPLICE</t>
  </si>
  <si>
    <t>CAA Coldiretti - PESARO E URBINO - 001</t>
  </si>
  <si>
    <t>BELLI MARCO</t>
  </si>
  <si>
    <t>CASELLI MAURIZIO</t>
  </si>
  <si>
    <t>"IL CASALE SOCIETA' AGRICOLA SEMPLICE DI BARATTINI PASCUCCI DORIANA E</t>
  </si>
  <si>
    <t>CAA CAF AGRI - MACERATA - 224</t>
  </si>
  <si>
    <t>RUBICONDO FEDERICA</t>
  </si>
  <si>
    <t>CAA Coldiretti - ANCONA - 005</t>
  </si>
  <si>
    <t>SOCIETA AGRICOLA FATTORIA AGRITURISTICA BIOLOGICA CASALE VENEZIA S.S.</t>
  </si>
  <si>
    <t>CAA Coldiretti - PESARO E URBINO - 008</t>
  </si>
  <si>
    <t>SOCIETA' AGRICOLA F.LLI FOGLIETTA S.S.</t>
  </si>
  <si>
    <t>SOCIETA' AGRICOLA FABRIZI VENANZO FABRIZIO E LIBERTI ENZA S.S.</t>
  </si>
  <si>
    <t>CAA CAF AGRI - PESARO E URBINO - 221</t>
  </si>
  <si>
    <t>SOCIETA' AGRICOLA LONGHI CLAUDIO E GIOVANNI S.S.</t>
  </si>
  <si>
    <t>AZIENDA AGRICOLA ALLA VECCHIA QUERCIA DI MEYER CORINNE &amp; C. S.N.C.</t>
  </si>
  <si>
    <t>CAA CIA - PESARO E URBINO - 005</t>
  </si>
  <si>
    <t>EUSEPI NICOLA</t>
  </si>
  <si>
    <t>AZIENDA AGRICOLA BARBADORO SOCIETA' SEMPLICE AGRICOLA DI BARBADORO A.</t>
  </si>
  <si>
    <t>FULVI GILBERTO</t>
  </si>
  <si>
    <t>MARTINELLI ANTONIO</t>
  </si>
  <si>
    <t>PIERINI MONICA</t>
  </si>
  <si>
    <t>CAA Coldiretti - PESARO E URBINO - 013</t>
  </si>
  <si>
    <t>SOCIETA AGRICOLA SAN GIROLAMO S.S.</t>
  </si>
  <si>
    <t>CAA CIA - ANCONA - 005</t>
  </si>
  <si>
    <t>TICCHI ORIETTA</t>
  </si>
  <si>
    <t>MAGNONI CLAUDIO</t>
  </si>
  <si>
    <t>AGEA.ASR.2021.0823815</t>
  </si>
  <si>
    <t>TITTONI GIOVANNI</t>
  </si>
  <si>
    <t>MARTINELLI MARICA</t>
  </si>
  <si>
    <t>CAA Confagricoltura - MACERATA - 001</t>
  </si>
  <si>
    <t>JORGENSEN SARAH</t>
  </si>
  <si>
    <t>SOCIETA' AGRICOLA FRISONI DEL FURLO DI AMANTINI E BUCCHI S.S.</t>
  </si>
  <si>
    <t>CELESCHI CLAUDIO</t>
  </si>
  <si>
    <t>TRAVAGLIATI LEONARDO</t>
  </si>
  <si>
    <t>CAA CIA - ASCOLI PICENO - 001</t>
  </si>
  <si>
    <t>STANGONI ROMANO</t>
  </si>
  <si>
    <t>SERRA FELICINA SERAFINA</t>
  </si>
  <si>
    <t>BONDI MASSIMO</t>
  </si>
  <si>
    <t>CAA Coldiretti - FERMO - 001</t>
  </si>
  <si>
    <t>MASTROSANI CHIARA</t>
  </si>
  <si>
    <t>AGEA.ASR.2021.0791538</t>
  </si>
  <si>
    <t>AGEA.ASR.2021.0817641</t>
  </si>
  <si>
    <t>BONAVENTURA MASSIMILIANO PIERO VITTORIO</t>
  </si>
  <si>
    <t>AGEA.ASR.2021.0820988</t>
  </si>
  <si>
    <t>BAGALINI SAURO</t>
  </si>
  <si>
    <t>AGEA.ASR.2021.0809717</t>
  </si>
  <si>
    <t>SOC. AGR. I SAPORI DEI MONTI DI CIARROCCHI MARIO E SERENELLA SOCIETA'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</si>
</sst>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76083-93B5-469A-97CF-F625EDAE29D9}">
  <dimension ref="A1:Z70"/>
  <sheetViews>
    <sheetView showGridLines="0" tabSelected="1" workbookViewId="0">
      <selection activeCell="E71" sqref="E71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38</v>
      </c>
      <c r="C4" s="7" t="s">
        <v>45</v>
      </c>
      <c r="D4" s="7" t="s">
        <v>46</v>
      </c>
      <c r="E4" s="7" t="s">
        <v>37</v>
      </c>
      <c r="F4" s="7" t="s">
        <v>47</v>
      </c>
      <c r="G4" s="7">
        <v>2017</v>
      </c>
      <c r="H4" s="7" t="str">
        <f>CONCATENATE("14270111900")</f>
        <v>14270111900</v>
      </c>
      <c r="I4" s="7" t="s">
        <v>30</v>
      </c>
      <c r="J4" s="7" t="s">
        <v>31</v>
      </c>
      <c r="K4" s="7" t="str">
        <f>CONCATENATE("")</f>
        <v/>
      </c>
      <c r="L4" s="7" t="str">
        <f>CONCATENATE("4 4.1 2a")</f>
        <v>4 4.1 2a</v>
      </c>
      <c r="M4" s="7" t="str">
        <f>CONCATENATE("PCCMRA92S19L191D")</f>
        <v>PCCMRA92S19L191D</v>
      </c>
      <c r="N4" s="7" t="s">
        <v>48</v>
      </c>
      <c r="O4" s="7" t="s">
        <v>49</v>
      </c>
      <c r="P4" s="8">
        <v>44305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49135.11</v>
      </c>
      <c r="W4" s="9">
        <v>21187.06</v>
      </c>
      <c r="X4" s="9">
        <v>19565.599999999999</v>
      </c>
      <c r="Y4" s="7">
        <v>0</v>
      </c>
      <c r="Z4" s="9">
        <v>8382.4500000000007</v>
      </c>
    </row>
    <row r="5" spans="1:26" x14ac:dyDescent="0.35">
      <c r="A5" s="7" t="s">
        <v>27</v>
      </c>
      <c r="B5" s="7" t="s">
        <v>38</v>
      </c>
      <c r="C5" s="7" t="s">
        <v>45</v>
      </c>
      <c r="D5" s="7" t="s">
        <v>46</v>
      </c>
      <c r="E5" s="7" t="s">
        <v>37</v>
      </c>
      <c r="F5" s="7" t="s">
        <v>47</v>
      </c>
      <c r="G5" s="7">
        <v>2017</v>
      </c>
      <c r="H5" s="7" t="str">
        <f>CONCATENATE("14270111892")</f>
        <v>14270111892</v>
      </c>
      <c r="I5" s="7" t="s">
        <v>30</v>
      </c>
      <c r="J5" s="7" t="s">
        <v>31</v>
      </c>
      <c r="K5" s="7" t="str">
        <f>CONCATENATE("")</f>
        <v/>
      </c>
      <c r="L5" s="7" t="str">
        <f>CONCATENATE("6 6.1 2b")</f>
        <v>6 6.1 2b</v>
      </c>
      <c r="M5" s="7" t="str">
        <f>CONCATENATE("PCCMRA92S19L191D")</f>
        <v>PCCMRA92S19L191D</v>
      </c>
      <c r="N5" s="7" t="s">
        <v>48</v>
      </c>
      <c r="O5" s="7" t="s">
        <v>50</v>
      </c>
      <c r="P5" s="8">
        <v>44305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21000</v>
      </c>
      <c r="W5" s="9">
        <v>9055.2000000000007</v>
      </c>
      <c r="X5" s="9">
        <v>8362.2000000000007</v>
      </c>
      <c r="Y5" s="7">
        <v>0</v>
      </c>
      <c r="Z5" s="9">
        <v>3582.6</v>
      </c>
    </row>
    <row r="6" spans="1:26" x14ac:dyDescent="0.35">
      <c r="A6" s="7" t="s">
        <v>27</v>
      </c>
      <c r="B6" s="7" t="s">
        <v>38</v>
      </c>
      <c r="C6" s="7" t="s">
        <v>45</v>
      </c>
      <c r="D6" s="7" t="s">
        <v>51</v>
      </c>
      <c r="E6" s="7" t="s">
        <v>39</v>
      </c>
      <c r="F6" s="7" t="s">
        <v>39</v>
      </c>
      <c r="G6" s="7">
        <v>2017</v>
      </c>
      <c r="H6" s="7" t="str">
        <f>CONCATENATE("14270165997")</f>
        <v>14270165997</v>
      </c>
      <c r="I6" s="7" t="s">
        <v>30</v>
      </c>
      <c r="J6" s="7" t="s">
        <v>31</v>
      </c>
      <c r="K6" s="7" t="str">
        <f>CONCATENATE("")</f>
        <v/>
      </c>
      <c r="L6" s="7" t="str">
        <f>CONCATENATE("4 4.4 4c")</f>
        <v>4 4.4 4c</v>
      </c>
      <c r="M6" s="7" t="str">
        <f>CONCATENATE("00973030422")</f>
        <v>00973030422</v>
      </c>
      <c r="N6" s="7" t="s">
        <v>52</v>
      </c>
      <c r="O6" s="7" t="s">
        <v>53</v>
      </c>
      <c r="P6" s="8">
        <v>44368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5499.32</v>
      </c>
      <c r="W6" s="9">
        <v>2371.31</v>
      </c>
      <c r="X6" s="9">
        <v>2189.83</v>
      </c>
      <c r="Y6" s="7">
        <v>0</v>
      </c>
      <c r="Z6" s="7">
        <v>938.18</v>
      </c>
    </row>
    <row r="7" spans="1:26" x14ac:dyDescent="0.35">
      <c r="A7" s="7" t="s">
        <v>27</v>
      </c>
      <c r="B7" s="7" t="s">
        <v>38</v>
      </c>
      <c r="C7" s="7" t="s">
        <v>45</v>
      </c>
      <c r="D7" s="7" t="s">
        <v>46</v>
      </c>
      <c r="E7" s="7" t="s">
        <v>39</v>
      </c>
      <c r="F7" s="7" t="s">
        <v>39</v>
      </c>
      <c r="G7" s="7">
        <v>2017</v>
      </c>
      <c r="H7" s="7" t="str">
        <f>CONCATENATE("04270233473")</f>
        <v>04270233473</v>
      </c>
      <c r="I7" s="7" t="s">
        <v>30</v>
      </c>
      <c r="J7" s="7" t="s">
        <v>31</v>
      </c>
      <c r="K7" s="7" t="str">
        <f>CONCATENATE("")</f>
        <v/>
      </c>
      <c r="L7" s="7" t="str">
        <f>CONCATENATE("4 4.4 4c")</f>
        <v>4 4.4 4c</v>
      </c>
      <c r="M7" s="7" t="str">
        <f>CONCATENATE("SBSDMN91B16I156V")</f>
        <v>SBSDMN91B16I156V</v>
      </c>
      <c r="N7" s="7" t="s">
        <v>54</v>
      </c>
      <c r="O7" s="7" t="s">
        <v>53</v>
      </c>
      <c r="P7" s="8">
        <v>44368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1890</v>
      </c>
      <c r="W7" s="7">
        <v>814.97</v>
      </c>
      <c r="X7" s="7">
        <v>752.6</v>
      </c>
      <c r="Y7" s="7">
        <v>0</v>
      </c>
      <c r="Z7" s="7">
        <v>322.43</v>
      </c>
    </row>
    <row r="8" spans="1:26" x14ac:dyDescent="0.35">
      <c r="A8" s="7" t="s">
        <v>27</v>
      </c>
      <c r="B8" s="7" t="s">
        <v>38</v>
      </c>
      <c r="C8" s="7" t="s">
        <v>45</v>
      </c>
      <c r="D8" s="7" t="s">
        <v>46</v>
      </c>
      <c r="E8" s="7" t="s">
        <v>37</v>
      </c>
      <c r="F8" s="7" t="s">
        <v>55</v>
      </c>
      <c r="G8" s="7">
        <v>2017</v>
      </c>
      <c r="H8" s="7" t="str">
        <f>CONCATENATE("04270233457")</f>
        <v>04270233457</v>
      </c>
      <c r="I8" s="7" t="s">
        <v>30</v>
      </c>
      <c r="J8" s="7" t="s">
        <v>31</v>
      </c>
      <c r="K8" s="7" t="str">
        <f>CONCATENATE("")</f>
        <v/>
      </c>
      <c r="L8" s="7" t="str">
        <f>CONCATENATE("4 4.4 4c")</f>
        <v>4 4.4 4c</v>
      </c>
      <c r="M8" s="7" t="str">
        <f>CONCATENATE("SPEMHL55L21M078J")</f>
        <v>SPEMHL55L21M078J</v>
      </c>
      <c r="N8" s="7" t="s">
        <v>56</v>
      </c>
      <c r="O8" s="7" t="s">
        <v>53</v>
      </c>
      <c r="P8" s="8">
        <v>44368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2827.55</v>
      </c>
      <c r="W8" s="9">
        <v>1219.24</v>
      </c>
      <c r="X8" s="9">
        <v>1125.93</v>
      </c>
      <c r="Y8" s="7">
        <v>0</v>
      </c>
      <c r="Z8" s="7">
        <v>482.38</v>
      </c>
    </row>
    <row r="9" spans="1:26" x14ac:dyDescent="0.35">
      <c r="A9" s="7" t="s">
        <v>27</v>
      </c>
      <c r="B9" s="7" t="s">
        <v>38</v>
      </c>
      <c r="C9" s="7" t="s">
        <v>45</v>
      </c>
      <c r="D9" s="7" t="s">
        <v>46</v>
      </c>
      <c r="E9" s="7" t="s">
        <v>39</v>
      </c>
      <c r="F9" s="7" t="s">
        <v>39</v>
      </c>
      <c r="G9" s="7">
        <v>2017</v>
      </c>
      <c r="H9" s="7" t="str">
        <f>CONCATENATE("04270233465")</f>
        <v>04270233465</v>
      </c>
      <c r="I9" s="7" t="s">
        <v>30</v>
      </c>
      <c r="J9" s="7" t="s">
        <v>31</v>
      </c>
      <c r="K9" s="7" t="str">
        <f>CONCATENATE("")</f>
        <v/>
      </c>
      <c r="L9" s="7" t="str">
        <f>CONCATENATE("4 4.4 4c")</f>
        <v>4 4.4 4c</v>
      </c>
      <c r="M9" s="7" t="str">
        <f>CONCATENATE("01939990436")</f>
        <v>01939990436</v>
      </c>
      <c r="N9" s="7" t="s">
        <v>57</v>
      </c>
      <c r="O9" s="7" t="s">
        <v>53</v>
      </c>
      <c r="P9" s="8">
        <v>44368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4559.78</v>
      </c>
      <c r="W9" s="9">
        <v>1966.18</v>
      </c>
      <c r="X9" s="9">
        <v>1815.7</v>
      </c>
      <c r="Y9" s="7">
        <v>0</v>
      </c>
      <c r="Z9" s="7">
        <v>777.9</v>
      </c>
    </row>
    <row r="10" spans="1:26" x14ac:dyDescent="0.35">
      <c r="A10" s="7" t="s">
        <v>27</v>
      </c>
      <c r="B10" s="7" t="s">
        <v>28</v>
      </c>
      <c r="C10" s="7" t="s">
        <v>45</v>
      </c>
      <c r="D10" s="7" t="s">
        <v>58</v>
      </c>
      <c r="E10" s="7" t="s">
        <v>39</v>
      </c>
      <c r="F10" s="7" t="s">
        <v>39</v>
      </c>
      <c r="G10" s="7">
        <v>2020</v>
      </c>
      <c r="H10" s="7" t="str">
        <f>CONCATENATE("04241130618")</f>
        <v>04241130618</v>
      </c>
      <c r="I10" s="7" t="s">
        <v>30</v>
      </c>
      <c r="J10" s="7" t="s">
        <v>31</v>
      </c>
      <c r="K10" s="7" t="str">
        <f>CONCATENATE("")</f>
        <v/>
      </c>
      <c r="L10" s="7" t="str">
        <f>CONCATENATE("11 11.2 4b")</f>
        <v>11 11.2 4b</v>
      </c>
      <c r="M10" s="7" t="str">
        <f>CONCATENATE("CRLTZN71D03H769I")</f>
        <v>CRLTZN71D03H769I</v>
      </c>
      <c r="N10" s="7" t="s">
        <v>59</v>
      </c>
      <c r="O10" s="7" t="s">
        <v>60</v>
      </c>
      <c r="P10" s="8">
        <v>44368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1156.94</v>
      </c>
      <c r="W10" s="7">
        <v>498.87</v>
      </c>
      <c r="X10" s="7">
        <v>460.69</v>
      </c>
      <c r="Y10" s="7">
        <v>0</v>
      </c>
      <c r="Z10" s="7">
        <v>197.38</v>
      </c>
    </row>
    <row r="11" spans="1:26" x14ac:dyDescent="0.35">
      <c r="A11" s="7" t="s">
        <v>27</v>
      </c>
      <c r="B11" s="7" t="s">
        <v>28</v>
      </c>
      <c r="C11" s="7" t="s">
        <v>45</v>
      </c>
      <c r="D11" s="7" t="s">
        <v>58</v>
      </c>
      <c r="E11" s="7" t="s">
        <v>43</v>
      </c>
      <c r="F11" s="7" t="s">
        <v>61</v>
      </c>
      <c r="G11" s="7">
        <v>2020</v>
      </c>
      <c r="H11" s="7" t="str">
        <f>CONCATENATE("04240176422")</f>
        <v>04240176422</v>
      </c>
      <c r="I11" s="7" t="s">
        <v>30</v>
      </c>
      <c r="J11" s="7" t="s">
        <v>31</v>
      </c>
      <c r="K11" s="7" t="str">
        <f>CONCATENATE("")</f>
        <v/>
      </c>
      <c r="L11" s="7" t="str">
        <f>CONCATENATE("11 11.2 4b")</f>
        <v>11 11.2 4b</v>
      </c>
      <c r="M11" s="7" t="str">
        <f>CONCATENATE("FRVVNT84A13A462W")</f>
        <v>FRVVNT84A13A462W</v>
      </c>
      <c r="N11" s="7" t="s">
        <v>62</v>
      </c>
      <c r="O11" s="7" t="s">
        <v>60</v>
      </c>
      <c r="P11" s="8">
        <v>44368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7733.37</v>
      </c>
      <c r="W11" s="9">
        <v>3334.63</v>
      </c>
      <c r="X11" s="9">
        <v>3079.43</v>
      </c>
      <c r="Y11" s="7">
        <v>0</v>
      </c>
      <c r="Z11" s="9">
        <v>1319.31</v>
      </c>
    </row>
    <row r="12" spans="1:26" x14ac:dyDescent="0.35">
      <c r="A12" s="7" t="s">
        <v>27</v>
      </c>
      <c r="B12" s="7" t="s">
        <v>28</v>
      </c>
      <c r="C12" s="7" t="s">
        <v>45</v>
      </c>
      <c r="D12" s="7" t="s">
        <v>63</v>
      </c>
      <c r="E12" s="7" t="s">
        <v>44</v>
      </c>
      <c r="F12" s="7" t="s">
        <v>64</v>
      </c>
      <c r="G12" s="7">
        <v>2020</v>
      </c>
      <c r="H12" s="7" t="str">
        <f>CONCATENATE("04240206740")</f>
        <v>04240206740</v>
      </c>
      <c r="I12" s="7" t="s">
        <v>30</v>
      </c>
      <c r="J12" s="7" t="s">
        <v>31</v>
      </c>
      <c r="K12" s="7" t="str">
        <f>CONCATENATE("")</f>
        <v/>
      </c>
      <c r="L12" s="7" t="str">
        <f>CONCATENATE("11 11.2 4b")</f>
        <v>11 11.2 4b</v>
      </c>
      <c r="M12" s="7" t="str">
        <f>CONCATENATE("02487310415")</f>
        <v>02487310415</v>
      </c>
      <c r="N12" s="7" t="s">
        <v>65</v>
      </c>
      <c r="O12" s="7" t="s">
        <v>60</v>
      </c>
      <c r="P12" s="8">
        <v>44368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1171.2</v>
      </c>
      <c r="W12" s="7">
        <v>505.02</v>
      </c>
      <c r="X12" s="7">
        <v>466.37</v>
      </c>
      <c r="Y12" s="7">
        <v>0</v>
      </c>
      <c r="Z12" s="7">
        <v>199.81</v>
      </c>
    </row>
    <row r="13" spans="1:26" x14ac:dyDescent="0.35">
      <c r="A13" s="7" t="s">
        <v>27</v>
      </c>
      <c r="B13" s="7" t="s">
        <v>28</v>
      </c>
      <c r="C13" s="7" t="s">
        <v>45</v>
      </c>
      <c r="D13" s="7" t="s">
        <v>58</v>
      </c>
      <c r="E13" s="7" t="s">
        <v>41</v>
      </c>
      <c r="F13" s="7" t="s">
        <v>66</v>
      </c>
      <c r="G13" s="7">
        <v>2020</v>
      </c>
      <c r="H13" s="7" t="str">
        <f>CONCATENATE("04240167165")</f>
        <v>04240167165</v>
      </c>
      <c r="I13" s="7" t="s">
        <v>30</v>
      </c>
      <c r="J13" s="7" t="s">
        <v>31</v>
      </c>
      <c r="K13" s="7" t="str">
        <f>CONCATENATE("")</f>
        <v/>
      </c>
      <c r="L13" s="7" t="str">
        <f>CONCATENATE("11 11.2 4b")</f>
        <v>11 11.2 4b</v>
      </c>
      <c r="M13" s="7" t="str">
        <f>CONCATENATE("GRGGNN57H70A271N")</f>
        <v>GRGGNN57H70A271N</v>
      </c>
      <c r="N13" s="7" t="s">
        <v>67</v>
      </c>
      <c r="O13" s="7" t="s">
        <v>60</v>
      </c>
      <c r="P13" s="8">
        <v>44368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1389.9</v>
      </c>
      <c r="W13" s="7">
        <v>599.32000000000005</v>
      </c>
      <c r="X13" s="7">
        <v>553.46</v>
      </c>
      <c r="Y13" s="7">
        <v>0</v>
      </c>
      <c r="Z13" s="7">
        <v>237.12</v>
      </c>
    </row>
    <row r="14" spans="1:26" x14ac:dyDescent="0.35">
      <c r="A14" s="7" t="s">
        <v>27</v>
      </c>
      <c r="B14" s="7" t="s">
        <v>28</v>
      </c>
      <c r="C14" s="7" t="s">
        <v>45</v>
      </c>
      <c r="D14" s="7" t="s">
        <v>58</v>
      </c>
      <c r="E14" s="7" t="s">
        <v>29</v>
      </c>
      <c r="F14" s="7" t="s">
        <v>68</v>
      </c>
      <c r="G14" s="7">
        <v>2020</v>
      </c>
      <c r="H14" s="7" t="str">
        <f>CONCATENATE("04240531261")</f>
        <v>04240531261</v>
      </c>
      <c r="I14" s="7" t="s">
        <v>30</v>
      </c>
      <c r="J14" s="7" t="s">
        <v>31</v>
      </c>
      <c r="K14" s="7" t="str">
        <f>CONCATENATE("")</f>
        <v/>
      </c>
      <c r="L14" s="7" t="str">
        <f>CONCATENATE("11 11.2 4b")</f>
        <v>11 11.2 4b</v>
      </c>
      <c r="M14" s="7" t="str">
        <f>CONCATENATE("DSNNGL56A16F570Q")</f>
        <v>DSNNGL56A16F570Q</v>
      </c>
      <c r="N14" s="7" t="s">
        <v>69</v>
      </c>
      <c r="O14" s="7" t="s">
        <v>60</v>
      </c>
      <c r="P14" s="8">
        <v>44368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7">
        <v>33.94</v>
      </c>
      <c r="W14" s="7">
        <v>14.63</v>
      </c>
      <c r="X14" s="7">
        <v>13.51</v>
      </c>
      <c r="Y14" s="7">
        <v>0</v>
      </c>
      <c r="Z14" s="7">
        <v>5.8</v>
      </c>
    </row>
    <row r="15" spans="1:26" x14ac:dyDescent="0.35">
      <c r="A15" s="7" t="s">
        <v>27</v>
      </c>
      <c r="B15" s="7" t="s">
        <v>38</v>
      </c>
      <c r="C15" s="7" t="s">
        <v>45</v>
      </c>
      <c r="D15" s="7" t="s">
        <v>46</v>
      </c>
      <c r="E15" s="7" t="s">
        <v>39</v>
      </c>
      <c r="F15" s="7" t="s">
        <v>39</v>
      </c>
      <c r="G15" s="7">
        <v>2017</v>
      </c>
      <c r="H15" s="7" t="str">
        <f>CONCATENATE("14270169510")</f>
        <v>14270169510</v>
      </c>
      <c r="I15" s="7" t="s">
        <v>30</v>
      </c>
      <c r="J15" s="7" t="s">
        <v>31</v>
      </c>
      <c r="K15" s="7" t="str">
        <f>CONCATENATE("")</f>
        <v/>
      </c>
      <c r="L15" s="7" t="str">
        <f>CONCATENATE("21 21.1 2a")</f>
        <v>21 21.1 2a</v>
      </c>
      <c r="M15" s="7" t="str">
        <f>CONCATENATE("MSCMRA53L25I156U")</f>
        <v>MSCMRA53L25I156U</v>
      </c>
      <c r="N15" s="7" t="s">
        <v>70</v>
      </c>
      <c r="O15" s="7" t="s">
        <v>71</v>
      </c>
      <c r="P15" s="8">
        <v>44368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2474.52</v>
      </c>
      <c r="W15" s="9">
        <v>1067.01</v>
      </c>
      <c r="X15" s="7">
        <v>985.35</v>
      </c>
      <c r="Y15" s="7">
        <v>0</v>
      </c>
      <c r="Z15" s="7">
        <v>422.16</v>
      </c>
    </row>
    <row r="16" spans="1:26" x14ac:dyDescent="0.35">
      <c r="A16" s="7" t="s">
        <v>27</v>
      </c>
      <c r="B16" s="7" t="s">
        <v>38</v>
      </c>
      <c r="C16" s="7" t="s">
        <v>45</v>
      </c>
      <c r="D16" s="7" t="s">
        <v>58</v>
      </c>
      <c r="E16" s="7" t="s">
        <v>37</v>
      </c>
      <c r="F16" s="7" t="s">
        <v>72</v>
      </c>
      <c r="G16" s="7">
        <v>2017</v>
      </c>
      <c r="H16" s="7" t="str">
        <f>CONCATENATE("14270167365")</f>
        <v>14270167365</v>
      </c>
      <c r="I16" s="7" t="s">
        <v>30</v>
      </c>
      <c r="J16" s="7" t="s">
        <v>31</v>
      </c>
      <c r="K16" s="7" t="str">
        <f>CONCATENATE("")</f>
        <v/>
      </c>
      <c r="L16" s="7" t="str">
        <f>CONCATENATE("6 6.1 2b")</f>
        <v>6 6.1 2b</v>
      </c>
      <c r="M16" s="7" t="str">
        <f>CONCATENATE("LNDVNT83L19H769B")</f>
        <v>LNDVNT83L19H769B</v>
      </c>
      <c r="N16" s="7" t="s">
        <v>73</v>
      </c>
      <c r="O16" s="7" t="s">
        <v>74</v>
      </c>
      <c r="P16" s="8">
        <v>44368</v>
      </c>
      <c r="Q16" s="7" t="s">
        <v>32</v>
      </c>
      <c r="R16" s="7" t="s">
        <v>40</v>
      </c>
      <c r="S16" s="7" t="s">
        <v>34</v>
      </c>
      <c r="T16" s="7"/>
      <c r="U16" s="7" t="s">
        <v>35</v>
      </c>
      <c r="V16" s="9">
        <v>28000</v>
      </c>
      <c r="W16" s="9">
        <v>12073.6</v>
      </c>
      <c r="X16" s="9">
        <v>11149.6</v>
      </c>
      <c r="Y16" s="7">
        <v>0</v>
      </c>
      <c r="Z16" s="9">
        <v>4776.8</v>
      </c>
    </row>
    <row r="17" spans="1:26" x14ac:dyDescent="0.35">
      <c r="A17" s="7" t="s">
        <v>27</v>
      </c>
      <c r="B17" s="7" t="s">
        <v>38</v>
      </c>
      <c r="C17" s="7" t="s">
        <v>45</v>
      </c>
      <c r="D17" s="7" t="s">
        <v>58</v>
      </c>
      <c r="E17" s="7" t="s">
        <v>39</v>
      </c>
      <c r="F17" s="7" t="s">
        <v>39</v>
      </c>
      <c r="G17" s="7">
        <v>2017</v>
      </c>
      <c r="H17" s="7" t="str">
        <f>CONCATENATE("14270167373")</f>
        <v>14270167373</v>
      </c>
      <c r="I17" s="7" t="s">
        <v>30</v>
      </c>
      <c r="J17" s="7" t="s">
        <v>31</v>
      </c>
      <c r="K17" s="7" t="str">
        <f>CONCATENATE("")</f>
        <v/>
      </c>
      <c r="L17" s="7" t="str">
        <f>CONCATENATE("6 6.1 2b")</f>
        <v>6 6.1 2b</v>
      </c>
      <c r="M17" s="7" t="str">
        <f>CONCATENATE("00607050432")</f>
        <v>00607050432</v>
      </c>
      <c r="N17" s="7" t="s">
        <v>75</v>
      </c>
      <c r="O17" s="7" t="s">
        <v>74</v>
      </c>
      <c r="P17" s="8">
        <v>44368</v>
      </c>
      <c r="Q17" s="7" t="s">
        <v>32</v>
      </c>
      <c r="R17" s="7" t="s">
        <v>40</v>
      </c>
      <c r="S17" s="7" t="s">
        <v>34</v>
      </c>
      <c r="T17" s="7"/>
      <c r="U17" s="7" t="s">
        <v>35</v>
      </c>
      <c r="V17" s="9">
        <v>42000</v>
      </c>
      <c r="W17" s="9">
        <v>18110.400000000001</v>
      </c>
      <c r="X17" s="9">
        <v>16724.400000000001</v>
      </c>
      <c r="Y17" s="7">
        <v>0</v>
      </c>
      <c r="Z17" s="9">
        <v>7165.2</v>
      </c>
    </row>
    <row r="18" spans="1:26" x14ac:dyDescent="0.35">
      <c r="A18" s="7" t="s">
        <v>27</v>
      </c>
      <c r="B18" s="7" t="s">
        <v>38</v>
      </c>
      <c r="C18" s="7" t="s">
        <v>45</v>
      </c>
      <c r="D18" s="7" t="s">
        <v>58</v>
      </c>
      <c r="E18" s="7" t="s">
        <v>39</v>
      </c>
      <c r="F18" s="7" t="s">
        <v>39</v>
      </c>
      <c r="G18" s="7">
        <v>2017</v>
      </c>
      <c r="H18" s="7" t="str">
        <f>CONCATENATE("14270167381")</f>
        <v>14270167381</v>
      </c>
      <c r="I18" s="7" t="s">
        <v>30</v>
      </c>
      <c r="J18" s="7" t="s">
        <v>31</v>
      </c>
      <c r="K18" s="7" t="str">
        <f>CONCATENATE("")</f>
        <v/>
      </c>
      <c r="L18" s="7" t="str">
        <f>CONCATENATE("6 6.1 2b")</f>
        <v>6 6.1 2b</v>
      </c>
      <c r="M18" s="7" t="str">
        <f>CONCATENATE("01517310445")</f>
        <v>01517310445</v>
      </c>
      <c r="N18" s="7" t="s">
        <v>76</v>
      </c>
      <c r="O18" s="7" t="s">
        <v>74</v>
      </c>
      <c r="P18" s="8">
        <v>44368</v>
      </c>
      <c r="Q18" s="7" t="s">
        <v>32</v>
      </c>
      <c r="R18" s="7" t="s">
        <v>40</v>
      </c>
      <c r="S18" s="7" t="s">
        <v>34</v>
      </c>
      <c r="T18" s="7"/>
      <c r="U18" s="7" t="s">
        <v>35</v>
      </c>
      <c r="V18" s="9">
        <v>42000</v>
      </c>
      <c r="W18" s="9">
        <v>18110.400000000001</v>
      </c>
      <c r="X18" s="9">
        <v>16724.400000000001</v>
      </c>
      <c r="Y18" s="7">
        <v>0</v>
      </c>
      <c r="Z18" s="9">
        <v>7165.2</v>
      </c>
    </row>
    <row r="19" spans="1:26" x14ac:dyDescent="0.35">
      <c r="A19" s="7" t="s">
        <v>27</v>
      </c>
      <c r="B19" s="7" t="s">
        <v>38</v>
      </c>
      <c r="C19" s="7" t="s">
        <v>45</v>
      </c>
      <c r="D19" s="7" t="s">
        <v>58</v>
      </c>
      <c r="E19" s="7" t="s">
        <v>43</v>
      </c>
      <c r="F19" s="7" t="s">
        <v>61</v>
      </c>
      <c r="G19" s="7">
        <v>2017</v>
      </c>
      <c r="H19" s="7" t="str">
        <f>CONCATENATE("04270233481")</f>
        <v>04270233481</v>
      </c>
      <c r="I19" s="7" t="s">
        <v>30</v>
      </c>
      <c r="J19" s="7" t="s">
        <v>31</v>
      </c>
      <c r="K19" s="7" t="str">
        <f>CONCATENATE("")</f>
        <v/>
      </c>
      <c r="L19" s="7" t="str">
        <f>CONCATENATE("16 16.2 2a")</f>
        <v>16 16.2 2a</v>
      </c>
      <c r="M19" s="7" t="str">
        <f>CONCATENATE("92000660446")</f>
        <v>92000660446</v>
      </c>
      <c r="N19" s="7" t="s">
        <v>77</v>
      </c>
      <c r="O19" s="7" t="s">
        <v>78</v>
      </c>
      <c r="P19" s="8">
        <v>44368</v>
      </c>
      <c r="Q19" s="7" t="s">
        <v>32</v>
      </c>
      <c r="R19" s="7" t="s">
        <v>40</v>
      </c>
      <c r="S19" s="7" t="s">
        <v>34</v>
      </c>
      <c r="T19" s="7"/>
      <c r="U19" s="7" t="s">
        <v>35</v>
      </c>
      <c r="V19" s="9">
        <v>91875.67</v>
      </c>
      <c r="W19" s="9">
        <v>39616.79</v>
      </c>
      <c r="X19" s="9">
        <v>36584.89</v>
      </c>
      <c r="Y19" s="7">
        <v>0</v>
      </c>
      <c r="Z19" s="9">
        <v>15673.99</v>
      </c>
    </row>
    <row r="20" spans="1:26" x14ac:dyDescent="0.35">
      <c r="A20" s="7" t="s">
        <v>27</v>
      </c>
      <c r="B20" s="7" t="s">
        <v>38</v>
      </c>
      <c r="C20" s="7" t="s">
        <v>45</v>
      </c>
      <c r="D20" s="7" t="s">
        <v>58</v>
      </c>
      <c r="E20" s="7" t="s">
        <v>43</v>
      </c>
      <c r="F20" s="7" t="s">
        <v>61</v>
      </c>
      <c r="G20" s="7">
        <v>2017</v>
      </c>
      <c r="H20" s="7" t="str">
        <f>CONCATENATE("14270168686")</f>
        <v>14270168686</v>
      </c>
      <c r="I20" s="7" t="s">
        <v>30</v>
      </c>
      <c r="J20" s="7" t="s">
        <v>31</v>
      </c>
      <c r="K20" s="7" t="str">
        <f>CONCATENATE("")</f>
        <v/>
      </c>
      <c r="L20" s="7" t="str">
        <f>CONCATENATE("6 6.1 2b")</f>
        <v>6 6.1 2b</v>
      </c>
      <c r="M20" s="7" t="str">
        <f>CONCATENATE("DSDSML89P21A462C")</f>
        <v>DSDSML89P21A462C</v>
      </c>
      <c r="N20" s="7" t="s">
        <v>79</v>
      </c>
      <c r="O20" s="7" t="s">
        <v>80</v>
      </c>
      <c r="P20" s="8">
        <v>44368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10500</v>
      </c>
      <c r="W20" s="9">
        <v>4527.6000000000004</v>
      </c>
      <c r="X20" s="9">
        <v>4181.1000000000004</v>
      </c>
      <c r="Y20" s="7">
        <v>0</v>
      </c>
      <c r="Z20" s="9">
        <v>1791.3</v>
      </c>
    </row>
    <row r="21" spans="1:26" x14ac:dyDescent="0.35">
      <c r="A21" s="7" t="s">
        <v>27</v>
      </c>
      <c r="B21" s="7" t="s">
        <v>38</v>
      </c>
      <c r="C21" s="7" t="s">
        <v>45</v>
      </c>
      <c r="D21" s="7" t="s">
        <v>51</v>
      </c>
      <c r="E21" s="7" t="s">
        <v>39</v>
      </c>
      <c r="F21" s="7" t="s">
        <v>39</v>
      </c>
      <c r="G21" s="7">
        <v>2017</v>
      </c>
      <c r="H21" s="7" t="str">
        <f>CONCATENATE("14270168694")</f>
        <v>14270168694</v>
      </c>
      <c r="I21" s="7" t="s">
        <v>30</v>
      </c>
      <c r="J21" s="7" t="s">
        <v>31</v>
      </c>
      <c r="K21" s="7" t="str">
        <f>CONCATENATE("")</f>
        <v/>
      </c>
      <c r="L21" s="7" t="str">
        <f>CONCATENATE("3 3.1 3a")</f>
        <v>3 3.1 3a</v>
      </c>
      <c r="M21" s="7" t="str">
        <f>CONCATENATE("02464490420")</f>
        <v>02464490420</v>
      </c>
      <c r="N21" s="7" t="s">
        <v>81</v>
      </c>
      <c r="O21" s="7" t="s">
        <v>82</v>
      </c>
      <c r="P21" s="8">
        <v>44368</v>
      </c>
      <c r="Q21" s="7" t="s">
        <v>32</v>
      </c>
      <c r="R21" s="7" t="s">
        <v>40</v>
      </c>
      <c r="S21" s="7" t="s">
        <v>34</v>
      </c>
      <c r="T21" s="7"/>
      <c r="U21" s="7" t="s">
        <v>35</v>
      </c>
      <c r="V21" s="9">
        <v>2150</v>
      </c>
      <c r="W21" s="7">
        <v>927.08</v>
      </c>
      <c r="X21" s="7">
        <v>856.13</v>
      </c>
      <c r="Y21" s="7">
        <v>0</v>
      </c>
      <c r="Z21" s="7">
        <v>366.79</v>
      </c>
    </row>
    <row r="22" spans="1:26" x14ac:dyDescent="0.35">
      <c r="A22" s="7" t="s">
        <v>27</v>
      </c>
      <c r="B22" s="7" t="s">
        <v>38</v>
      </c>
      <c r="C22" s="7" t="s">
        <v>45</v>
      </c>
      <c r="D22" s="7" t="s">
        <v>46</v>
      </c>
      <c r="E22" s="7" t="s">
        <v>39</v>
      </c>
      <c r="F22" s="7" t="s">
        <v>39</v>
      </c>
      <c r="G22" s="7">
        <v>2017</v>
      </c>
      <c r="H22" s="7" t="str">
        <f>CONCATENATE("14270166011")</f>
        <v>14270166011</v>
      </c>
      <c r="I22" s="7" t="s">
        <v>30</v>
      </c>
      <c r="J22" s="7" t="s">
        <v>31</v>
      </c>
      <c r="K22" s="7" t="str">
        <f>CONCATENATE("")</f>
        <v/>
      </c>
      <c r="L22" s="7" t="str">
        <f>CONCATENATE("21 21.1 2a")</f>
        <v>21 21.1 2a</v>
      </c>
      <c r="M22" s="7" t="str">
        <f>CONCATENATE("01381740438")</f>
        <v>01381740438</v>
      </c>
      <c r="N22" s="7" t="s">
        <v>83</v>
      </c>
      <c r="O22" s="7" t="s">
        <v>84</v>
      </c>
      <c r="P22" s="8">
        <v>44368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7000</v>
      </c>
      <c r="W22" s="9">
        <v>3018.4</v>
      </c>
      <c r="X22" s="9">
        <v>2787.4</v>
      </c>
      <c r="Y22" s="7">
        <v>0</v>
      </c>
      <c r="Z22" s="9">
        <v>1194.2</v>
      </c>
    </row>
    <row r="23" spans="1:26" x14ac:dyDescent="0.35">
      <c r="A23" s="7" t="s">
        <v>27</v>
      </c>
      <c r="B23" s="7" t="s">
        <v>38</v>
      </c>
      <c r="C23" s="7" t="s">
        <v>45</v>
      </c>
      <c r="D23" s="7" t="s">
        <v>63</v>
      </c>
      <c r="E23" s="7" t="s">
        <v>39</v>
      </c>
      <c r="F23" s="7" t="s">
        <v>39</v>
      </c>
      <c r="G23" s="7">
        <v>2017</v>
      </c>
      <c r="H23" s="7" t="str">
        <f>CONCATENATE("14270166029")</f>
        <v>14270166029</v>
      </c>
      <c r="I23" s="7" t="s">
        <v>30</v>
      </c>
      <c r="J23" s="7" t="s">
        <v>31</v>
      </c>
      <c r="K23" s="7" t="str">
        <f>CONCATENATE("")</f>
        <v/>
      </c>
      <c r="L23" s="7" t="str">
        <f>CONCATENATE("21 21.1 2a")</f>
        <v>21 21.1 2a</v>
      </c>
      <c r="M23" s="7" t="str">
        <f>CONCATENATE("BNVRRT61T27G479D")</f>
        <v>BNVRRT61T27G479D</v>
      </c>
      <c r="N23" s="7" t="s">
        <v>85</v>
      </c>
      <c r="O23" s="7" t="s">
        <v>84</v>
      </c>
      <c r="P23" s="8">
        <v>44368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7000</v>
      </c>
      <c r="W23" s="9">
        <v>3018.4</v>
      </c>
      <c r="X23" s="9">
        <v>2787.4</v>
      </c>
      <c r="Y23" s="7">
        <v>0</v>
      </c>
      <c r="Z23" s="9">
        <v>1194.2</v>
      </c>
    </row>
    <row r="24" spans="1:26" x14ac:dyDescent="0.35">
      <c r="A24" s="7" t="s">
        <v>27</v>
      </c>
      <c r="B24" s="7" t="s">
        <v>38</v>
      </c>
      <c r="C24" s="7" t="s">
        <v>45</v>
      </c>
      <c r="D24" s="7" t="s">
        <v>63</v>
      </c>
      <c r="E24" s="7" t="s">
        <v>39</v>
      </c>
      <c r="F24" s="7" t="s">
        <v>39</v>
      </c>
      <c r="G24" s="7">
        <v>2017</v>
      </c>
      <c r="H24" s="7" t="str">
        <f>CONCATENATE("14270166136")</f>
        <v>14270166136</v>
      </c>
      <c r="I24" s="7" t="s">
        <v>42</v>
      </c>
      <c r="J24" s="7" t="s">
        <v>31</v>
      </c>
      <c r="K24" s="7" t="str">
        <f>CONCATENATE("")</f>
        <v/>
      </c>
      <c r="L24" s="7" t="str">
        <f>CONCATENATE("21 21.1 2a")</f>
        <v>21 21.1 2a</v>
      </c>
      <c r="M24" s="7" t="str">
        <f>CONCATENATE("02496680410")</f>
        <v>02496680410</v>
      </c>
      <c r="N24" s="7" t="s">
        <v>86</v>
      </c>
      <c r="O24" s="7" t="s">
        <v>84</v>
      </c>
      <c r="P24" s="8">
        <v>44368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7000</v>
      </c>
      <c r="W24" s="9">
        <v>3018.4</v>
      </c>
      <c r="X24" s="9">
        <v>2787.4</v>
      </c>
      <c r="Y24" s="7">
        <v>0</v>
      </c>
      <c r="Z24" s="9">
        <v>1194.2</v>
      </c>
    </row>
    <row r="25" spans="1:26" x14ac:dyDescent="0.35">
      <c r="A25" s="7" t="s">
        <v>27</v>
      </c>
      <c r="B25" s="7" t="s">
        <v>38</v>
      </c>
      <c r="C25" s="7" t="s">
        <v>45</v>
      </c>
      <c r="D25" s="7" t="s">
        <v>51</v>
      </c>
      <c r="E25" s="7" t="s">
        <v>39</v>
      </c>
      <c r="F25" s="7" t="s">
        <v>39</v>
      </c>
      <c r="G25" s="7">
        <v>2017</v>
      </c>
      <c r="H25" s="7" t="str">
        <f>CONCATENATE("14270166250")</f>
        <v>14270166250</v>
      </c>
      <c r="I25" s="7" t="s">
        <v>42</v>
      </c>
      <c r="J25" s="7" t="s">
        <v>31</v>
      </c>
      <c r="K25" s="7" t="str">
        <f>CONCATENATE("")</f>
        <v/>
      </c>
      <c r="L25" s="7" t="str">
        <f>CONCATENATE("21 21.1 2a")</f>
        <v>21 21.1 2a</v>
      </c>
      <c r="M25" s="7" t="str">
        <f>CONCATENATE("CMLLGU32B22G157H")</f>
        <v>CMLLGU32B22G157H</v>
      </c>
      <c r="N25" s="7" t="s">
        <v>87</v>
      </c>
      <c r="O25" s="7" t="s">
        <v>84</v>
      </c>
      <c r="P25" s="8">
        <v>44368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4573.93</v>
      </c>
      <c r="W25" s="9">
        <v>1972.28</v>
      </c>
      <c r="X25" s="9">
        <v>1821.34</v>
      </c>
      <c r="Y25" s="7">
        <v>0</v>
      </c>
      <c r="Z25" s="7">
        <v>780.31</v>
      </c>
    </row>
    <row r="26" spans="1:26" x14ac:dyDescent="0.35">
      <c r="A26" s="7" t="s">
        <v>27</v>
      </c>
      <c r="B26" s="7" t="s">
        <v>38</v>
      </c>
      <c r="C26" s="7" t="s">
        <v>45</v>
      </c>
      <c r="D26" s="7" t="s">
        <v>63</v>
      </c>
      <c r="E26" s="7" t="s">
        <v>41</v>
      </c>
      <c r="F26" s="7" t="s">
        <v>88</v>
      </c>
      <c r="G26" s="7">
        <v>2017</v>
      </c>
      <c r="H26" s="7" t="str">
        <f>CONCATENATE("14270166300")</f>
        <v>14270166300</v>
      </c>
      <c r="I26" s="7" t="s">
        <v>30</v>
      </c>
      <c r="J26" s="7" t="s">
        <v>31</v>
      </c>
      <c r="K26" s="7" t="str">
        <f>CONCATENATE("")</f>
        <v/>
      </c>
      <c r="L26" s="7" t="str">
        <f>CONCATENATE("21 21.1 2a")</f>
        <v>21 21.1 2a</v>
      </c>
      <c r="M26" s="7" t="str">
        <f>CONCATENATE("CSTSLL61S50A035R")</f>
        <v>CSTSLL61S50A035R</v>
      </c>
      <c r="N26" s="7" t="s">
        <v>89</v>
      </c>
      <c r="O26" s="7" t="s">
        <v>84</v>
      </c>
      <c r="P26" s="8">
        <v>44368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3086.73</v>
      </c>
      <c r="W26" s="9">
        <v>1331</v>
      </c>
      <c r="X26" s="9">
        <v>1229.1400000000001</v>
      </c>
      <c r="Y26" s="7">
        <v>0</v>
      </c>
      <c r="Z26" s="7">
        <v>526.59</v>
      </c>
    </row>
    <row r="27" spans="1:26" x14ac:dyDescent="0.35">
      <c r="A27" s="7" t="s">
        <v>27</v>
      </c>
      <c r="B27" s="7" t="s">
        <v>38</v>
      </c>
      <c r="C27" s="7" t="s">
        <v>45</v>
      </c>
      <c r="D27" s="7" t="s">
        <v>63</v>
      </c>
      <c r="E27" s="7" t="s">
        <v>37</v>
      </c>
      <c r="F27" s="7" t="s">
        <v>90</v>
      </c>
      <c r="G27" s="7">
        <v>2017</v>
      </c>
      <c r="H27" s="7" t="str">
        <f>CONCATENATE("14270166227")</f>
        <v>14270166227</v>
      </c>
      <c r="I27" s="7" t="s">
        <v>30</v>
      </c>
      <c r="J27" s="7" t="s">
        <v>31</v>
      </c>
      <c r="K27" s="7" t="str">
        <f>CONCATENATE("")</f>
        <v/>
      </c>
      <c r="L27" s="7" t="str">
        <f>CONCATENATE("21 21.1 2a")</f>
        <v>21 21.1 2a</v>
      </c>
      <c r="M27" s="7" t="str">
        <f>CONCATENATE("DRUFNC63C69B636V")</f>
        <v>DRUFNC63C69B636V</v>
      </c>
      <c r="N27" s="7" t="s">
        <v>91</v>
      </c>
      <c r="O27" s="7" t="s">
        <v>84</v>
      </c>
      <c r="P27" s="8">
        <v>44368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4807.79</v>
      </c>
      <c r="W27" s="9">
        <v>2073.12</v>
      </c>
      <c r="X27" s="9">
        <v>1914.46</v>
      </c>
      <c r="Y27" s="7">
        <v>0</v>
      </c>
      <c r="Z27" s="7">
        <v>820.21</v>
      </c>
    </row>
    <row r="28" spans="1:26" x14ac:dyDescent="0.35">
      <c r="A28" s="7" t="s">
        <v>27</v>
      </c>
      <c r="B28" s="7" t="s">
        <v>38</v>
      </c>
      <c r="C28" s="7" t="s">
        <v>45</v>
      </c>
      <c r="D28" s="7" t="s">
        <v>46</v>
      </c>
      <c r="E28" s="7" t="s">
        <v>39</v>
      </c>
      <c r="F28" s="7" t="s">
        <v>39</v>
      </c>
      <c r="G28" s="7">
        <v>2017</v>
      </c>
      <c r="H28" s="7" t="str">
        <f>CONCATENATE("14270166292")</f>
        <v>14270166292</v>
      </c>
      <c r="I28" s="7" t="s">
        <v>30</v>
      </c>
      <c r="J28" s="7" t="s">
        <v>31</v>
      </c>
      <c r="K28" s="7" t="str">
        <f>CONCATENATE("")</f>
        <v/>
      </c>
      <c r="L28" s="7" t="str">
        <f>CONCATENATE("21 21.1 2a")</f>
        <v>21 21.1 2a</v>
      </c>
      <c r="M28" s="7" t="str">
        <f>CONCATENATE("00401230438")</f>
        <v>00401230438</v>
      </c>
      <c r="N28" s="7" t="s">
        <v>92</v>
      </c>
      <c r="O28" s="7" t="s">
        <v>84</v>
      </c>
      <c r="P28" s="8">
        <v>44368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7000</v>
      </c>
      <c r="W28" s="9">
        <v>3018.4</v>
      </c>
      <c r="X28" s="9">
        <v>2787.4</v>
      </c>
      <c r="Y28" s="7">
        <v>0</v>
      </c>
      <c r="Z28" s="9">
        <v>1194.2</v>
      </c>
    </row>
    <row r="29" spans="1:26" x14ac:dyDescent="0.35">
      <c r="A29" s="7" t="s">
        <v>27</v>
      </c>
      <c r="B29" s="7" t="s">
        <v>38</v>
      </c>
      <c r="C29" s="7" t="s">
        <v>45</v>
      </c>
      <c r="D29" s="7" t="s">
        <v>63</v>
      </c>
      <c r="E29" s="7" t="s">
        <v>41</v>
      </c>
      <c r="F29" s="7" t="s">
        <v>93</v>
      </c>
      <c r="G29" s="7">
        <v>2017</v>
      </c>
      <c r="H29" s="7" t="str">
        <f>CONCATENATE("14270166219")</f>
        <v>14270166219</v>
      </c>
      <c r="I29" s="7" t="s">
        <v>30</v>
      </c>
      <c r="J29" s="7" t="s">
        <v>31</v>
      </c>
      <c r="K29" s="7" t="str">
        <f>CONCATENATE("")</f>
        <v/>
      </c>
      <c r="L29" s="7" t="str">
        <f>CONCATENATE("21 21.1 2a")</f>
        <v>21 21.1 2a</v>
      </c>
      <c r="M29" s="7" t="str">
        <f>CONCATENATE("LBNNRC68B11L219G")</f>
        <v>LBNNRC68B11L219G</v>
      </c>
      <c r="N29" s="7" t="s">
        <v>94</v>
      </c>
      <c r="O29" s="7" t="s">
        <v>84</v>
      </c>
      <c r="P29" s="8">
        <v>44368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3054.61</v>
      </c>
      <c r="W29" s="9">
        <v>1317.15</v>
      </c>
      <c r="X29" s="9">
        <v>1216.3499999999999</v>
      </c>
      <c r="Y29" s="7">
        <v>0</v>
      </c>
      <c r="Z29" s="7">
        <v>521.11</v>
      </c>
    </row>
    <row r="30" spans="1:26" x14ac:dyDescent="0.35">
      <c r="A30" s="7" t="s">
        <v>27</v>
      </c>
      <c r="B30" s="7" t="s">
        <v>38</v>
      </c>
      <c r="C30" s="7" t="s">
        <v>45</v>
      </c>
      <c r="D30" s="7" t="s">
        <v>63</v>
      </c>
      <c r="E30" s="7" t="s">
        <v>39</v>
      </c>
      <c r="F30" s="7" t="s">
        <v>39</v>
      </c>
      <c r="G30" s="7">
        <v>2017</v>
      </c>
      <c r="H30" s="7" t="str">
        <f>CONCATENATE("14270166201")</f>
        <v>14270166201</v>
      </c>
      <c r="I30" s="7" t="s">
        <v>30</v>
      </c>
      <c r="J30" s="7" t="s">
        <v>31</v>
      </c>
      <c r="K30" s="7" t="str">
        <f>CONCATENATE("")</f>
        <v/>
      </c>
      <c r="L30" s="7" t="str">
        <f>CONCATENATE("21 21.1 2a")</f>
        <v>21 21.1 2a</v>
      </c>
      <c r="M30" s="7" t="str">
        <f>CONCATENATE("MRTFDR70C21Z103E")</f>
        <v>MRTFDR70C21Z103E</v>
      </c>
      <c r="N30" s="7" t="s">
        <v>95</v>
      </c>
      <c r="O30" s="7" t="s">
        <v>84</v>
      </c>
      <c r="P30" s="8">
        <v>44368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6315.16</v>
      </c>
      <c r="W30" s="9">
        <v>2723.1</v>
      </c>
      <c r="X30" s="9">
        <v>2514.6999999999998</v>
      </c>
      <c r="Y30" s="7">
        <v>0</v>
      </c>
      <c r="Z30" s="9">
        <v>1077.3599999999999</v>
      </c>
    </row>
    <row r="31" spans="1:26" x14ac:dyDescent="0.35">
      <c r="A31" s="7" t="s">
        <v>27</v>
      </c>
      <c r="B31" s="7" t="s">
        <v>38</v>
      </c>
      <c r="C31" s="7" t="s">
        <v>45</v>
      </c>
      <c r="D31" s="7" t="s">
        <v>46</v>
      </c>
      <c r="E31" s="7" t="s">
        <v>96</v>
      </c>
      <c r="F31" s="7" t="s">
        <v>97</v>
      </c>
      <c r="G31" s="7">
        <v>2017</v>
      </c>
      <c r="H31" s="7" t="str">
        <f>CONCATENATE("14270166334")</f>
        <v>14270166334</v>
      </c>
      <c r="I31" s="7" t="s">
        <v>30</v>
      </c>
      <c r="J31" s="7" t="s">
        <v>31</v>
      </c>
      <c r="K31" s="7" t="str">
        <f>CONCATENATE("")</f>
        <v/>
      </c>
      <c r="L31" s="7" t="str">
        <f>CONCATENATE("21 21.1 2a")</f>
        <v>21 21.1 2a</v>
      </c>
      <c r="M31" s="7" t="str">
        <f>CONCATENATE("PSSNDR68T07L191O")</f>
        <v>PSSNDR68T07L191O</v>
      </c>
      <c r="N31" s="7" t="s">
        <v>98</v>
      </c>
      <c r="O31" s="7" t="s">
        <v>84</v>
      </c>
      <c r="P31" s="8">
        <v>44368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7000</v>
      </c>
      <c r="W31" s="9">
        <v>3018.4</v>
      </c>
      <c r="X31" s="9">
        <v>2787.4</v>
      </c>
      <c r="Y31" s="7">
        <v>0</v>
      </c>
      <c r="Z31" s="9">
        <v>1194.2</v>
      </c>
    </row>
    <row r="32" spans="1:26" x14ac:dyDescent="0.35">
      <c r="A32" s="7" t="s">
        <v>27</v>
      </c>
      <c r="B32" s="7" t="s">
        <v>38</v>
      </c>
      <c r="C32" s="7" t="s">
        <v>45</v>
      </c>
      <c r="D32" s="7" t="s">
        <v>63</v>
      </c>
      <c r="E32" s="7" t="s">
        <v>39</v>
      </c>
      <c r="F32" s="7" t="s">
        <v>39</v>
      </c>
      <c r="G32" s="7">
        <v>2017</v>
      </c>
      <c r="H32" s="7" t="str">
        <f>CONCATENATE("14270166169")</f>
        <v>14270166169</v>
      </c>
      <c r="I32" s="7" t="s">
        <v>30</v>
      </c>
      <c r="J32" s="7" t="s">
        <v>31</v>
      </c>
      <c r="K32" s="7" t="str">
        <f>CONCATENATE("")</f>
        <v/>
      </c>
      <c r="L32" s="7" t="str">
        <f>CONCATENATE("21 21.1 2a")</f>
        <v>21 21.1 2a</v>
      </c>
      <c r="M32" s="7" t="str">
        <f>CONCATENATE("PSSVLR74H59L498F")</f>
        <v>PSSVLR74H59L498F</v>
      </c>
      <c r="N32" s="7" t="s">
        <v>99</v>
      </c>
      <c r="O32" s="7" t="s">
        <v>84</v>
      </c>
      <c r="P32" s="8">
        <v>44368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7000</v>
      </c>
      <c r="W32" s="9">
        <v>3018.4</v>
      </c>
      <c r="X32" s="9">
        <v>2787.4</v>
      </c>
      <c r="Y32" s="7">
        <v>0</v>
      </c>
      <c r="Z32" s="9">
        <v>1194.2</v>
      </c>
    </row>
    <row r="33" spans="1:26" x14ac:dyDescent="0.35">
      <c r="A33" s="7" t="s">
        <v>27</v>
      </c>
      <c r="B33" s="7" t="s">
        <v>38</v>
      </c>
      <c r="C33" s="7" t="s">
        <v>45</v>
      </c>
      <c r="D33" s="7" t="s">
        <v>46</v>
      </c>
      <c r="E33" s="7" t="s">
        <v>39</v>
      </c>
      <c r="F33" s="7" t="s">
        <v>39</v>
      </c>
      <c r="G33" s="7">
        <v>2017</v>
      </c>
      <c r="H33" s="7" t="str">
        <f>CONCATENATE("14270166284")</f>
        <v>14270166284</v>
      </c>
      <c r="I33" s="7" t="s">
        <v>42</v>
      </c>
      <c r="J33" s="7" t="s">
        <v>31</v>
      </c>
      <c r="K33" s="7" t="str">
        <f>CONCATENATE("")</f>
        <v/>
      </c>
      <c r="L33" s="7" t="str">
        <f>CONCATENATE("21 21.1 2a")</f>
        <v>21 21.1 2a</v>
      </c>
      <c r="M33" s="7" t="str">
        <f>CONCATENATE("RPCPQL57P29L366P")</f>
        <v>RPCPQL57P29L366P</v>
      </c>
      <c r="N33" s="7" t="s">
        <v>100</v>
      </c>
      <c r="O33" s="7" t="s">
        <v>84</v>
      </c>
      <c r="P33" s="8">
        <v>44368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7000</v>
      </c>
      <c r="W33" s="9">
        <v>3018.4</v>
      </c>
      <c r="X33" s="9">
        <v>2787.4</v>
      </c>
      <c r="Y33" s="7">
        <v>0</v>
      </c>
      <c r="Z33" s="9">
        <v>1194.2</v>
      </c>
    </row>
    <row r="34" spans="1:26" x14ac:dyDescent="0.35">
      <c r="A34" s="7" t="s">
        <v>27</v>
      </c>
      <c r="B34" s="7" t="s">
        <v>38</v>
      </c>
      <c r="C34" s="7" t="s">
        <v>45</v>
      </c>
      <c r="D34" s="7" t="s">
        <v>63</v>
      </c>
      <c r="E34" s="7" t="s">
        <v>39</v>
      </c>
      <c r="F34" s="7" t="s">
        <v>39</v>
      </c>
      <c r="G34" s="7">
        <v>2017</v>
      </c>
      <c r="H34" s="7" t="str">
        <f>CONCATENATE("14270166128")</f>
        <v>14270166128</v>
      </c>
      <c r="I34" s="7" t="s">
        <v>30</v>
      </c>
      <c r="J34" s="7" t="s">
        <v>31</v>
      </c>
      <c r="K34" s="7" t="str">
        <f>CONCATENATE("")</f>
        <v/>
      </c>
      <c r="L34" s="7" t="str">
        <f>CONCATENATE("21 21.1 2a")</f>
        <v>21 21.1 2a</v>
      </c>
      <c r="M34" s="7" t="str">
        <f>CONCATENATE("02596960415")</f>
        <v>02596960415</v>
      </c>
      <c r="N34" s="7" t="s">
        <v>101</v>
      </c>
      <c r="O34" s="7" t="s">
        <v>84</v>
      </c>
      <c r="P34" s="8">
        <v>44368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7000</v>
      </c>
      <c r="W34" s="9">
        <v>3018.4</v>
      </c>
      <c r="X34" s="9">
        <v>2787.4</v>
      </c>
      <c r="Y34" s="7">
        <v>0</v>
      </c>
      <c r="Z34" s="9">
        <v>1194.2</v>
      </c>
    </row>
    <row r="35" spans="1:26" x14ac:dyDescent="0.35">
      <c r="A35" s="7" t="s">
        <v>27</v>
      </c>
      <c r="B35" s="7" t="s">
        <v>38</v>
      </c>
      <c r="C35" s="7" t="s">
        <v>45</v>
      </c>
      <c r="D35" s="7" t="s">
        <v>51</v>
      </c>
      <c r="E35" s="7" t="s">
        <v>37</v>
      </c>
      <c r="F35" s="7" t="s">
        <v>102</v>
      </c>
      <c r="G35" s="7">
        <v>2017</v>
      </c>
      <c r="H35" s="7" t="str">
        <f>CONCATENATE("14270166177")</f>
        <v>14270166177</v>
      </c>
      <c r="I35" s="7" t="s">
        <v>42</v>
      </c>
      <c r="J35" s="7" t="s">
        <v>31</v>
      </c>
      <c r="K35" s="7" t="str">
        <f>CONCATENATE("")</f>
        <v/>
      </c>
      <c r="L35" s="7" t="str">
        <f>CONCATENATE("21 21.1 2a")</f>
        <v>21 21.1 2a</v>
      </c>
      <c r="M35" s="7" t="str">
        <f>CONCATENATE("02286710427")</f>
        <v>02286710427</v>
      </c>
      <c r="N35" s="7" t="s">
        <v>103</v>
      </c>
      <c r="O35" s="7" t="s">
        <v>84</v>
      </c>
      <c r="P35" s="8">
        <v>44368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2661.69</v>
      </c>
      <c r="W35" s="9">
        <v>1147.72</v>
      </c>
      <c r="X35" s="9">
        <v>1059.8800000000001</v>
      </c>
      <c r="Y35" s="7">
        <v>0</v>
      </c>
      <c r="Z35" s="7">
        <v>454.09</v>
      </c>
    </row>
    <row r="36" spans="1:26" ht="17.5" x14ac:dyDescent="0.35">
      <c r="A36" s="7" t="s">
        <v>27</v>
      </c>
      <c r="B36" s="7" t="s">
        <v>38</v>
      </c>
      <c r="C36" s="7" t="s">
        <v>45</v>
      </c>
      <c r="D36" s="7" t="s">
        <v>46</v>
      </c>
      <c r="E36" s="7" t="s">
        <v>39</v>
      </c>
      <c r="F36" s="7" t="s">
        <v>39</v>
      </c>
      <c r="G36" s="7">
        <v>2017</v>
      </c>
      <c r="H36" s="7" t="str">
        <f>CONCATENATE("14270166359")</f>
        <v>14270166359</v>
      </c>
      <c r="I36" s="7" t="s">
        <v>42</v>
      </c>
      <c r="J36" s="7" t="s">
        <v>31</v>
      </c>
      <c r="K36" s="7" t="str">
        <f>CONCATENATE("")</f>
        <v/>
      </c>
      <c r="L36" s="7" t="str">
        <f>CONCATENATE("21 21.1 2a")</f>
        <v>21 21.1 2a</v>
      </c>
      <c r="M36" s="7" t="str">
        <f>CONCATENATE("01072260431")</f>
        <v>01072260431</v>
      </c>
      <c r="N36" s="7" t="s">
        <v>104</v>
      </c>
      <c r="O36" s="7" t="s">
        <v>84</v>
      </c>
      <c r="P36" s="8">
        <v>44368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1279.98</v>
      </c>
      <c r="W36" s="7">
        <v>551.92999999999995</v>
      </c>
      <c r="X36" s="7">
        <v>509.69</v>
      </c>
      <c r="Y36" s="7">
        <v>0</v>
      </c>
      <c r="Z36" s="7">
        <v>218.36</v>
      </c>
    </row>
    <row r="37" spans="1:26" ht="17.5" x14ac:dyDescent="0.35">
      <c r="A37" s="7" t="s">
        <v>27</v>
      </c>
      <c r="B37" s="7" t="s">
        <v>38</v>
      </c>
      <c r="C37" s="7" t="s">
        <v>45</v>
      </c>
      <c r="D37" s="7" t="s">
        <v>46</v>
      </c>
      <c r="E37" s="7" t="s">
        <v>39</v>
      </c>
      <c r="F37" s="7" t="s">
        <v>39</v>
      </c>
      <c r="G37" s="7">
        <v>2017</v>
      </c>
      <c r="H37" s="7" t="str">
        <f>CONCATENATE("14270166318")</f>
        <v>14270166318</v>
      </c>
      <c r="I37" s="7" t="s">
        <v>30</v>
      </c>
      <c r="J37" s="7" t="s">
        <v>31</v>
      </c>
      <c r="K37" s="7" t="str">
        <f>CONCATENATE("")</f>
        <v/>
      </c>
      <c r="L37" s="7" t="str">
        <f>CONCATENATE("21 21.1 2a")</f>
        <v>21 21.1 2a</v>
      </c>
      <c r="M37" s="7" t="str">
        <f>CONCATENATE("00348620436")</f>
        <v>00348620436</v>
      </c>
      <c r="N37" s="7" t="s">
        <v>105</v>
      </c>
      <c r="O37" s="7" t="s">
        <v>84</v>
      </c>
      <c r="P37" s="8">
        <v>44368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6401.49</v>
      </c>
      <c r="W37" s="9">
        <v>2760.32</v>
      </c>
      <c r="X37" s="9">
        <v>2549.0700000000002</v>
      </c>
      <c r="Y37" s="7">
        <v>0</v>
      </c>
      <c r="Z37" s="9">
        <v>1092.0999999999999</v>
      </c>
    </row>
    <row r="38" spans="1:26" ht="17.5" x14ac:dyDescent="0.35">
      <c r="A38" s="7" t="s">
        <v>27</v>
      </c>
      <c r="B38" s="7" t="s">
        <v>38</v>
      </c>
      <c r="C38" s="7" t="s">
        <v>45</v>
      </c>
      <c r="D38" s="7" t="s">
        <v>46</v>
      </c>
      <c r="E38" s="7" t="s">
        <v>37</v>
      </c>
      <c r="F38" s="7" t="s">
        <v>106</v>
      </c>
      <c r="G38" s="7">
        <v>2017</v>
      </c>
      <c r="H38" s="7" t="str">
        <f>CONCATENATE("14270166151")</f>
        <v>14270166151</v>
      </c>
      <c r="I38" s="7" t="s">
        <v>42</v>
      </c>
      <c r="J38" s="7" t="s">
        <v>31</v>
      </c>
      <c r="K38" s="7" t="str">
        <f>CONCATENATE("")</f>
        <v/>
      </c>
      <c r="L38" s="7" t="str">
        <f>CONCATENATE("21 21.1 2a")</f>
        <v>21 21.1 2a</v>
      </c>
      <c r="M38" s="7" t="str">
        <f>CONCATENATE("01695990430")</f>
        <v>01695990430</v>
      </c>
      <c r="N38" s="7" t="s">
        <v>107</v>
      </c>
      <c r="O38" s="7" t="s">
        <v>84</v>
      </c>
      <c r="P38" s="8">
        <v>44368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7000</v>
      </c>
      <c r="W38" s="9">
        <v>3018.4</v>
      </c>
      <c r="X38" s="9">
        <v>2787.4</v>
      </c>
      <c r="Y38" s="7">
        <v>0</v>
      </c>
      <c r="Z38" s="9">
        <v>1194.2</v>
      </c>
    </row>
    <row r="39" spans="1:26" ht="17.5" x14ac:dyDescent="0.35">
      <c r="A39" s="7" t="s">
        <v>27</v>
      </c>
      <c r="B39" s="7" t="s">
        <v>38</v>
      </c>
      <c r="C39" s="7" t="s">
        <v>45</v>
      </c>
      <c r="D39" s="7" t="s">
        <v>46</v>
      </c>
      <c r="E39" s="7" t="s">
        <v>39</v>
      </c>
      <c r="F39" s="7" t="s">
        <v>39</v>
      </c>
      <c r="G39" s="7">
        <v>2017</v>
      </c>
      <c r="H39" s="7" t="str">
        <f>CONCATENATE("14270166110")</f>
        <v>14270166110</v>
      </c>
      <c r="I39" s="7" t="s">
        <v>42</v>
      </c>
      <c r="J39" s="7" t="s">
        <v>31</v>
      </c>
      <c r="K39" s="7" t="str">
        <f>CONCATENATE("")</f>
        <v/>
      </c>
      <c r="L39" s="7" t="str">
        <f>CONCATENATE("21 21.1 2a")</f>
        <v>21 21.1 2a</v>
      </c>
      <c r="M39" s="7" t="str">
        <f>CONCATENATE("00604160432")</f>
        <v>00604160432</v>
      </c>
      <c r="N39" s="7" t="s">
        <v>108</v>
      </c>
      <c r="O39" s="7" t="s">
        <v>84</v>
      </c>
      <c r="P39" s="8">
        <v>44368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7000</v>
      </c>
      <c r="W39" s="9">
        <v>3018.4</v>
      </c>
      <c r="X39" s="9">
        <v>2787.4</v>
      </c>
      <c r="Y39" s="7">
        <v>0</v>
      </c>
      <c r="Z39" s="9">
        <v>1194.2</v>
      </c>
    </row>
    <row r="40" spans="1:26" x14ac:dyDescent="0.35">
      <c r="A40" s="7" t="s">
        <v>27</v>
      </c>
      <c r="B40" s="7" t="s">
        <v>38</v>
      </c>
      <c r="C40" s="7" t="s">
        <v>45</v>
      </c>
      <c r="D40" s="7" t="s">
        <v>63</v>
      </c>
      <c r="E40" s="7" t="s">
        <v>37</v>
      </c>
      <c r="F40" s="7" t="s">
        <v>109</v>
      </c>
      <c r="G40" s="7">
        <v>2017</v>
      </c>
      <c r="H40" s="7" t="str">
        <f>CONCATENATE("14270166094")</f>
        <v>14270166094</v>
      </c>
      <c r="I40" s="7" t="s">
        <v>30</v>
      </c>
      <c r="J40" s="7" t="s">
        <v>31</v>
      </c>
      <c r="K40" s="7" t="str">
        <f>CONCATENATE("")</f>
        <v/>
      </c>
      <c r="L40" s="7" t="str">
        <f>CONCATENATE("21 21.1 2a")</f>
        <v>21 21.1 2a</v>
      </c>
      <c r="M40" s="7" t="str">
        <f>CONCATENATE("BLLMRC77M26B352K")</f>
        <v>BLLMRC77M26B352K</v>
      </c>
      <c r="N40" s="7" t="s">
        <v>110</v>
      </c>
      <c r="O40" s="7" t="s">
        <v>84</v>
      </c>
      <c r="P40" s="8">
        <v>44368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4443.29</v>
      </c>
      <c r="W40" s="9">
        <v>1915.95</v>
      </c>
      <c r="X40" s="9">
        <v>1769.32</v>
      </c>
      <c r="Y40" s="7">
        <v>0</v>
      </c>
      <c r="Z40" s="7">
        <v>758.02</v>
      </c>
    </row>
    <row r="41" spans="1:26" x14ac:dyDescent="0.35">
      <c r="A41" s="7" t="s">
        <v>27</v>
      </c>
      <c r="B41" s="7" t="s">
        <v>38</v>
      </c>
      <c r="C41" s="7" t="s">
        <v>45</v>
      </c>
      <c r="D41" s="7" t="s">
        <v>63</v>
      </c>
      <c r="E41" s="7" t="s">
        <v>37</v>
      </c>
      <c r="F41" s="7" t="s">
        <v>109</v>
      </c>
      <c r="G41" s="7">
        <v>2017</v>
      </c>
      <c r="H41" s="7" t="str">
        <f>CONCATENATE("14270166193")</f>
        <v>14270166193</v>
      </c>
      <c r="I41" s="7" t="s">
        <v>30</v>
      </c>
      <c r="J41" s="7" t="s">
        <v>31</v>
      </c>
      <c r="K41" s="7" t="str">
        <f>CONCATENATE("")</f>
        <v/>
      </c>
      <c r="L41" s="7" t="str">
        <f>CONCATENATE("21 21.1 2a")</f>
        <v>21 21.1 2a</v>
      </c>
      <c r="M41" s="7" t="str">
        <f>CONCATENATE("CSLMRZ69B04C745L")</f>
        <v>CSLMRZ69B04C745L</v>
      </c>
      <c r="N41" s="7" t="s">
        <v>111</v>
      </c>
      <c r="O41" s="7" t="s">
        <v>84</v>
      </c>
      <c r="P41" s="8">
        <v>44368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5438.56</v>
      </c>
      <c r="W41" s="9">
        <v>2345.11</v>
      </c>
      <c r="X41" s="9">
        <v>2165.63</v>
      </c>
      <c r="Y41" s="7">
        <v>0</v>
      </c>
      <c r="Z41" s="7">
        <v>927.82</v>
      </c>
    </row>
    <row r="42" spans="1:26" ht="17.5" x14ac:dyDescent="0.35">
      <c r="A42" s="7" t="s">
        <v>27</v>
      </c>
      <c r="B42" s="7" t="s">
        <v>38</v>
      </c>
      <c r="C42" s="7" t="s">
        <v>45</v>
      </c>
      <c r="D42" s="7" t="s">
        <v>63</v>
      </c>
      <c r="E42" s="7" t="s">
        <v>37</v>
      </c>
      <c r="F42" s="7" t="s">
        <v>90</v>
      </c>
      <c r="G42" s="7">
        <v>2017</v>
      </c>
      <c r="H42" s="7" t="str">
        <f>CONCATENATE("14270166342")</f>
        <v>14270166342</v>
      </c>
      <c r="I42" s="7" t="s">
        <v>30</v>
      </c>
      <c r="J42" s="7" t="s">
        <v>31</v>
      </c>
      <c r="K42" s="7" t="str">
        <f>CONCATENATE("")</f>
        <v/>
      </c>
      <c r="L42" s="7" t="str">
        <f>CONCATENATE("21 21.1 2a")</f>
        <v>21 21.1 2a</v>
      </c>
      <c r="M42" s="7" t="str">
        <f>CONCATENATE("02132080413")</f>
        <v>02132080413</v>
      </c>
      <c r="N42" s="7" t="s">
        <v>112</v>
      </c>
      <c r="O42" s="7" t="s">
        <v>84</v>
      </c>
      <c r="P42" s="8">
        <v>44368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7000</v>
      </c>
      <c r="W42" s="9">
        <v>3018.4</v>
      </c>
      <c r="X42" s="9">
        <v>2787.4</v>
      </c>
      <c r="Y42" s="7">
        <v>0</v>
      </c>
      <c r="Z42" s="9">
        <v>1194.2</v>
      </c>
    </row>
    <row r="43" spans="1:26" x14ac:dyDescent="0.35">
      <c r="A43" s="7" t="s">
        <v>27</v>
      </c>
      <c r="B43" s="7" t="s">
        <v>38</v>
      </c>
      <c r="C43" s="7" t="s">
        <v>45</v>
      </c>
      <c r="D43" s="7" t="s">
        <v>46</v>
      </c>
      <c r="E43" s="7" t="s">
        <v>29</v>
      </c>
      <c r="F43" s="7" t="s">
        <v>113</v>
      </c>
      <c r="G43" s="7">
        <v>2017</v>
      </c>
      <c r="H43" s="7" t="str">
        <f>CONCATENATE("14270166235")</f>
        <v>14270166235</v>
      </c>
      <c r="I43" s="7" t="s">
        <v>30</v>
      </c>
      <c r="J43" s="7" t="s">
        <v>31</v>
      </c>
      <c r="K43" s="7" t="str">
        <f>CONCATENATE("")</f>
        <v/>
      </c>
      <c r="L43" s="7" t="str">
        <f>CONCATENATE("21 21.1 2a")</f>
        <v>21 21.1 2a</v>
      </c>
      <c r="M43" s="7" t="str">
        <f>CONCATENATE("RBCFRC82E42E783A")</f>
        <v>RBCFRC82E42E783A</v>
      </c>
      <c r="N43" s="7" t="s">
        <v>114</v>
      </c>
      <c r="O43" s="7" t="s">
        <v>84</v>
      </c>
      <c r="P43" s="8">
        <v>44368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4738.9799999999996</v>
      </c>
      <c r="W43" s="9">
        <v>2043.45</v>
      </c>
      <c r="X43" s="9">
        <v>1887.06</v>
      </c>
      <c r="Y43" s="7">
        <v>0</v>
      </c>
      <c r="Z43" s="7">
        <v>808.47</v>
      </c>
    </row>
    <row r="44" spans="1:26" ht="17.5" x14ac:dyDescent="0.35">
      <c r="A44" s="7" t="s">
        <v>27</v>
      </c>
      <c r="B44" s="7" t="s">
        <v>38</v>
      </c>
      <c r="C44" s="7" t="s">
        <v>45</v>
      </c>
      <c r="D44" s="7" t="s">
        <v>51</v>
      </c>
      <c r="E44" s="7" t="s">
        <v>37</v>
      </c>
      <c r="F44" s="7" t="s">
        <v>115</v>
      </c>
      <c r="G44" s="7">
        <v>2017</v>
      </c>
      <c r="H44" s="7" t="str">
        <f>CONCATENATE("14270166078")</f>
        <v>14270166078</v>
      </c>
      <c r="I44" s="7" t="s">
        <v>30</v>
      </c>
      <c r="J44" s="7" t="s">
        <v>31</v>
      </c>
      <c r="K44" s="7" t="str">
        <f>CONCATENATE("")</f>
        <v/>
      </c>
      <c r="L44" s="7" t="str">
        <f>CONCATENATE("21 21.1 2a")</f>
        <v>21 21.1 2a</v>
      </c>
      <c r="M44" s="7" t="str">
        <f>CONCATENATE("02707600421")</f>
        <v>02707600421</v>
      </c>
      <c r="N44" s="7" t="s">
        <v>116</v>
      </c>
      <c r="O44" s="7" t="s">
        <v>84</v>
      </c>
      <c r="P44" s="8">
        <v>44368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6665.69</v>
      </c>
      <c r="W44" s="9">
        <v>2874.25</v>
      </c>
      <c r="X44" s="9">
        <v>2654.28</v>
      </c>
      <c r="Y44" s="7">
        <v>0</v>
      </c>
      <c r="Z44" s="9">
        <v>1137.1600000000001</v>
      </c>
    </row>
    <row r="45" spans="1:26" x14ac:dyDescent="0.35">
      <c r="A45" s="7" t="s">
        <v>27</v>
      </c>
      <c r="B45" s="7" t="s">
        <v>38</v>
      </c>
      <c r="C45" s="7" t="s">
        <v>45</v>
      </c>
      <c r="D45" s="7" t="s">
        <v>63</v>
      </c>
      <c r="E45" s="7" t="s">
        <v>37</v>
      </c>
      <c r="F45" s="7" t="s">
        <v>117</v>
      </c>
      <c r="G45" s="7">
        <v>2017</v>
      </c>
      <c r="H45" s="7" t="str">
        <f>CONCATENATE("14270166243")</f>
        <v>14270166243</v>
      </c>
      <c r="I45" s="7" t="s">
        <v>42</v>
      </c>
      <c r="J45" s="7" t="s">
        <v>31</v>
      </c>
      <c r="K45" s="7" t="str">
        <f>CONCATENATE("")</f>
        <v/>
      </c>
      <c r="L45" s="7" t="str">
        <f>CONCATENATE("21 21.1 2a")</f>
        <v>21 21.1 2a</v>
      </c>
      <c r="M45" s="7" t="str">
        <f>CONCATENATE("00452350416")</f>
        <v>00452350416</v>
      </c>
      <c r="N45" s="7" t="s">
        <v>118</v>
      </c>
      <c r="O45" s="7" t="s">
        <v>84</v>
      </c>
      <c r="P45" s="8">
        <v>44368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7000</v>
      </c>
      <c r="W45" s="9">
        <v>3018.4</v>
      </c>
      <c r="X45" s="9">
        <v>2787.4</v>
      </c>
      <c r="Y45" s="7">
        <v>0</v>
      </c>
      <c r="Z45" s="9">
        <v>1194.2</v>
      </c>
    </row>
    <row r="46" spans="1:26" x14ac:dyDescent="0.35">
      <c r="A46" s="7" t="s">
        <v>27</v>
      </c>
      <c r="B46" s="7" t="s">
        <v>38</v>
      </c>
      <c r="C46" s="7" t="s">
        <v>45</v>
      </c>
      <c r="D46" s="7" t="s">
        <v>46</v>
      </c>
      <c r="E46" s="7" t="s">
        <v>37</v>
      </c>
      <c r="F46" s="7" t="s">
        <v>55</v>
      </c>
      <c r="G46" s="7">
        <v>2017</v>
      </c>
      <c r="H46" s="7" t="str">
        <f>CONCATENATE("14270166060")</f>
        <v>14270166060</v>
      </c>
      <c r="I46" s="7" t="s">
        <v>42</v>
      </c>
      <c r="J46" s="7" t="s">
        <v>31</v>
      </c>
      <c r="K46" s="7" t="str">
        <f>CONCATENATE("")</f>
        <v/>
      </c>
      <c r="L46" s="7" t="str">
        <f>CONCATENATE("21 21.1 2a")</f>
        <v>21 21.1 2a</v>
      </c>
      <c r="M46" s="7" t="str">
        <f>CONCATENATE("01141480432")</f>
        <v>01141480432</v>
      </c>
      <c r="N46" s="7" t="s">
        <v>119</v>
      </c>
      <c r="O46" s="7" t="s">
        <v>84</v>
      </c>
      <c r="P46" s="8">
        <v>44368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7000</v>
      </c>
      <c r="W46" s="9">
        <v>3018.4</v>
      </c>
      <c r="X46" s="9">
        <v>2787.4</v>
      </c>
      <c r="Y46" s="7">
        <v>0</v>
      </c>
      <c r="Z46" s="9">
        <v>1194.2</v>
      </c>
    </row>
    <row r="47" spans="1:26" x14ac:dyDescent="0.35">
      <c r="A47" s="7" t="s">
        <v>27</v>
      </c>
      <c r="B47" s="7" t="s">
        <v>38</v>
      </c>
      <c r="C47" s="7" t="s">
        <v>45</v>
      </c>
      <c r="D47" s="7" t="s">
        <v>63</v>
      </c>
      <c r="E47" s="7" t="s">
        <v>29</v>
      </c>
      <c r="F47" s="7" t="s">
        <v>120</v>
      </c>
      <c r="G47" s="7">
        <v>2017</v>
      </c>
      <c r="H47" s="7" t="str">
        <f>CONCATENATE("14270166326")</f>
        <v>14270166326</v>
      </c>
      <c r="I47" s="7" t="s">
        <v>30</v>
      </c>
      <c r="J47" s="7" t="s">
        <v>31</v>
      </c>
      <c r="K47" s="7" t="str">
        <f>CONCATENATE("")</f>
        <v/>
      </c>
      <c r="L47" s="7" t="str">
        <f>CONCATENATE("21 21.1 2a")</f>
        <v>21 21.1 2a</v>
      </c>
      <c r="M47" s="7" t="str">
        <f>CONCATENATE("01204270415")</f>
        <v>01204270415</v>
      </c>
      <c r="N47" s="7" t="s">
        <v>121</v>
      </c>
      <c r="O47" s="7" t="s">
        <v>84</v>
      </c>
      <c r="P47" s="8">
        <v>44368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7000</v>
      </c>
      <c r="W47" s="9">
        <v>3018.4</v>
      </c>
      <c r="X47" s="9">
        <v>2787.4</v>
      </c>
      <c r="Y47" s="7">
        <v>0</v>
      </c>
      <c r="Z47" s="9">
        <v>1194.2</v>
      </c>
    </row>
    <row r="48" spans="1:26" ht="17.5" x14ac:dyDescent="0.35">
      <c r="A48" s="7" t="s">
        <v>27</v>
      </c>
      <c r="B48" s="7" t="s">
        <v>38</v>
      </c>
      <c r="C48" s="7" t="s">
        <v>45</v>
      </c>
      <c r="D48" s="7" t="s">
        <v>63</v>
      </c>
      <c r="E48" s="7" t="s">
        <v>41</v>
      </c>
      <c r="F48" s="7" t="s">
        <v>88</v>
      </c>
      <c r="G48" s="7">
        <v>2017</v>
      </c>
      <c r="H48" s="7" t="str">
        <f>CONCATENATE("14270166086")</f>
        <v>14270166086</v>
      </c>
      <c r="I48" s="7" t="s">
        <v>30</v>
      </c>
      <c r="J48" s="7" t="s">
        <v>31</v>
      </c>
      <c r="K48" s="7" t="str">
        <f>CONCATENATE("")</f>
        <v/>
      </c>
      <c r="L48" s="7" t="str">
        <f>CONCATENATE("21 21.1 2a")</f>
        <v>21 21.1 2a</v>
      </c>
      <c r="M48" s="7" t="str">
        <f>CONCATENATE("01425100417")</f>
        <v>01425100417</v>
      </c>
      <c r="N48" s="7" t="s">
        <v>122</v>
      </c>
      <c r="O48" s="7" t="s">
        <v>84</v>
      </c>
      <c r="P48" s="8">
        <v>44368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7000</v>
      </c>
      <c r="W48" s="9">
        <v>3018.4</v>
      </c>
      <c r="X48" s="9">
        <v>2787.4</v>
      </c>
      <c r="Y48" s="7">
        <v>0</v>
      </c>
      <c r="Z48" s="9">
        <v>1194.2</v>
      </c>
    </row>
    <row r="49" spans="1:26" x14ac:dyDescent="0.35">
      <c r="A49" s="7" t="s">
        <v>27</v>
      </c>
      <c r="B49" s="7" t="s">
        <v>38</v>
      </c>
      <c r="C49" s="7" t="s">
        <v>45</v>
      </c>
      <c r="D49" s="7" t="s">
        <v>63</v>
      </c>
      <c r="E49" s="7" t="s">
        <v>41</v>
      </c>
      <c r="F49" s="7" t="s">
        <v>123</v>
      </c>
      <c r="G49" s="7">
        <v>2017</v>
      </c>
      <c r="H49" s="7" t="str">
        <f>CONCATENATE("14270166052")</f>
        <v>14270166052</v>
      </c>
      <c r="I49" s="7" t="s">
        <v>30</v>
      </c>
      <c r="J49" s="7" t="s">
        <v>31</v>
      </c>
      <c r="K49" s="7" t="str">
        <f>CONCATENATE("")</f>
        <v/>
      </c>
      <c r="L49" s="7" t="str">
        <f>CONCATENATE("21 21.1 2a")</f>
        <v>21 21.1 2a</v>
      </c>
      <c r="M49" s="7" t="str">
        <f>CONCATENATE("SPENCL88C09D749H")</f>
        <v>SPENCL88C09D749H</v>
      </c>
      <c r="N49" s="7" t="s">
        <v>124</v>
      </c>
      <c r="O49" s="7" t="s">
        <v>84</v>
      </c>
      <c r="P49" s="8">
        <v>44368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7000</v>
      </c>
      <c r="W49" s="9">
        <v>3018.4</v>
      </c>
      <c r="X49" s="9">
        <v>2787.4</v>
      </c>
      <c r="Y49" s="7">
        <v>0</v>
      </c>
      <c r="Z49" s="9">
        <v>1194.2</v>
      </c>
    </row>
    <row r="50" spans="1:26" ht="17.5" x14ac:dyDescent="0.35">
      <c r="A50" s="7" t="s">
        <v>27</v>
      </c>
      <c r="B50" s="7" t="s">
        <v>38</v>
      </c>
      <c r="C50" s="7" t="s">
        <v>45</v>
      </c>
      <c r="D50" s="7" t="s">
        <v>63</v>
      </c>
      <c r="E50" s="7" t="s">
        <v>41</v>
      </c>
      <c r="F50" s="7" t="s">
        <v>88</v>
      </c>
      <c r="G50" s="7">
        <v>2017</v>
      </c>
      <c r="H50" s="7" t="str">
        <f>CONCATENATE("14270166276")</f>
        <v>14270166276</v>
      </c>
      <c r="I50" s="7" t="s">
        <v>30</v>
      </c>
      <c r="J50" s="7" t="s">
        <v>31</v>
      </c>
      <c r="K50" s="7" t="str">
        <f>CONCATENATE("")</f>
        <v/>
      </c>
      <c r="L50" s="7" t="str">
        <f>CONCATENATE("21 21.1 2a")</f>
        <v>21 21.1 2a</v>
      </c>
      <c r="M50" s="7" t="str">
        <f>CONCATENATE("02231020419")</f>
        <v>02231020419</v>
      </c>
      <c r="N50" s="7" t="s">
        <v>125</v>
      </c>
      <c r="O50" s="7" t="s">
        <v>84</v>
      </c>
      <c r="P50" s="8">
        <v>44368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7000</v>
      </c>
      <c r="W50" s="9">
        <v>3018.4</v>
      </c>
      <c r="X50" s="9">
        <v>2787.4</v>
      </c>
      <c r="Y50" s="7">
        <v>0</v>
      </c>
      <c r="Z50" s="9">
        <v>1194.2</v>
      </c>
    </row>
    <row r="51" spans="1:26" x14ac:dyDescent="0.35">
      <c r="A51" s="7" t="s">
        <v>27</v>
      </c>
      <c r="B51" s="7" t="s">
        <v>38</v>
      </c>
      <c r="C51" s="7" t="s">
        <v>45</v>
      </c>
      <c r="D51" s="7" t="s">
        <v>63</v>
      </c>
      <c r="E51" s="7" t="s">
        <v>37</v>
      </c>
      <c r="F51" s="7" t="s">
        <v>109</v>
      </c>
      <c r="G51" s="7">
        <v>2017</v>
      </c>
      <c r="H51" s="7" t="str">
        <f>CONCATENATE("14270166037")</f>
        <v>14270166037</v>
      </c>
      <c r="I51" s="7" t="s">
        <v>30</v>
      </c>
      <c r="J51" s="7" t="s">
        <v>31</v>
      </c>
      <c r="K51" s="7" t="str">
        <f>CONCATENATE("")</f>
        <v/>
      </c>
      <c r="L51" s="7" t="str">
        <f>CONCATENATE("21 21.1 2a")</f>
        <v>21 21.1 2a</v>
      </c>
      <c r="M51" s="7" t="str">
        <f>CONCATENATE("FLVGBR53M18B352Z")</f>
        <v>FLVGBR53M18B352Z</v>
      </c>
      <c r="N51" s="7" t="s">
        <v>126</v>
      </c>
      <c r="O51" s="7" t="s">
        <v>84</v>
      </c>
      <c r="P51" s="8">
        <v>44368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7000</v>
      </c>
      <c r="W51" s="9">
        <v>3018.4</v>
      </c>
      <c r="X51" s="9">
        <v>2787.4</v>
      </c>
      <c r="Y51" s="7">
        <v>0</v>
      </c>
      <c r="Z51" s="9">
        <v>1194.2</v>
      </c>
    </row>
    <row r="52" spans="1:26" x14ac:dyDescent="0.35">
      <c r="A52" s="7" t="s">
        <v>27</v>
      </c>
      <c r="B52" s="7" t="s">
        <v>38</v>
      </c>
      <c r="C52" s="7" t="s">
        <v>45</v>
      </c>
      <c r="D52" s="7" t="s">
        <v>63</v>
      </c>
      <c r="E52" s="7" t="s">
        <v>37</v>
      </c>
      <c r="F52" s="7" t="s">
        <v>109</v>
      </c>
      <c r="G52" s="7">
        <v>2017</v>
      </c>
      <c r="H52" s="7" t="str">
        <f>CONCATENATE("14270166268")</f>
        <v>14270166268</v>
      </c>
      <c r="I52" s="7" t="s">
        <v>30</v>
      </c>
      <c r="J52" s="7" t="s">
        <v>31</v>
      </c>
      <c r="K52" s="7" t="str">
        <f>CONCATENATE("")</f>
        <v/>
      </c>
      <c r="L52" s="7" t="str">
        <f>CONCATENATE("21 21.1 2a")</f>
        <v>21 21.1 2a</v>
      </c>
      <c r="M52" s="7" t="str">
        <f>CONCATENATE("MRTNTN47S08A327G")</f>
        <v>MRTNTN47S08A327G</v>
      </c>
      <c r="N52" s="7" t="s">
        <v>127</v>
      </c>
      <c r="O52" s="7" t="s">
        <v>84</v>
      </c>
      <c r="P52" s="8">
        <v>44368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7000</v>
      </c>
      <c r="W52" s="9">
        <v>3018.4</v>
      </c>
      <c r="X52" s="9">
        <v>2787.4</v>
      </c>
      <c r="Y52" s="7">
        <v>0</v>
      </c>
      <c r="Z52" s="9">
        <v>1194.2</v>
      </c>
    </row>
    <row r="53" spans="1:26" x14ac:dyDescent="0.35">
      <c r="A53" s="7" t="s">
        <v>27</v>
      </c>
      <c r="B53" s="7" t="s">
        <v>38</v>
      </c>
      <c r="C53" s="7" t="s">
        <v>45</v>
      </c>
      <c r="D53" s="7" t="s">
        <v>63</v>
      </c>
      <c r="E53" s="7" t="s">
        <v>29</v>
      </c>
      <c r="F53" s="7" t="s">
        <v>120</v>
      </c>
      <c r="G53" s="7">
        <v>2017</v>
      </c>
      <c r="H53" s="7" t="str">
        <f>CONCATENATE("14270166144")</f>
        <v>14270166144</v>
      </c>
      <c r="I53" s="7" t="s">
        <v>30</v>
      </c>
      <c r="J53" s="7" t="s">
        <v>31</v>
      </c>
      <c r="K53" s="7" t="str">
        <f>CONCATENATE("")</f>
        <v/>
      </c>
      <c r="L53" s="7" t="str">
        <f>CONCATENATE("21 21.1 2a")</f>
        <v>21 21.1 2a</v>
      </c>
      <c r="M53" s="7" t="str">
        <f>CONCATENATE("PRNMNC84S55I459O")</f>
        <v>PRNMNC84S55I459O</v>
      </c>
      <c r="N53" s="7" t="s">
        <v>128</v>
      </c>
      <c r="O53" s="7" t="s">
        <v>84</v>
      </c>
      <c r="P53" s="8">
        <v>44368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7000</v>
      </c>
      <c r="W53" s="9">
        <v>3018.4</v>
      </c>
      <c r="X53" s="9">
        <v>2787.4</v>
      </c>
      <c r="Y53" s="7">
        <v>0</v>
      </c>
      <c r="Z53" s="9">
        <v>1194.2</v>
      </c>
    </row>
    <row r="54" spans="1:26" x14ac:dyDescent="0.35">
      <c r="A54" s="7" t="s">
        <v>27</v>
      </c>
      <c r="B54" s="7" t="s">
        <v>38</v>
      </c>
      <c r="C54" s="7" t="s">
        <v>45</v>
      </c>
      <c r="D54" s="7" t="s">
        <v>63</v>
      </c>
      <c r="E54" s="7" t="s">
        <v>37</v>
      </c>
      <c r="F54" s="7" t="s">
        <v>129</v>
      </c>
      <c r="G54" s="7">
        <v>2017</v>
      </c>
      <c r="H54" s="7" t="str">
        <f>CONCATENATE("14270166185")</f>
        <v>14270166185</v>
      </c>
      <c r="I54" s="7" t="s">
        <v>30</v>
      </c>
      <c r="J54" s="7" t="s">
        <v>31</v>
      </c>
      <c r="K54" s="7" t="str">
        <f>CONCATENATE("")</f>
        <v/>
      </c>
      <c r="L54" s="7" t="str">
        <f>CONCATENATE("21 21.1 2a")</f>
        <v>21 21.1 2a</v>
      </c>
      <c r="M54" s="7" t="str">
        <f>CONCATENATE("02461200418")</f>
        <v>02461200418</v>
      </c>
      <c r="N54" s="7" t="s">
        <v>130</v>
      </c>
      <c r="O54" s="7" t="s">
        <v>84</v>
      </c>
      <c r="P54" s="8">
        <v>44368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1987.04</v>
      </c>
      <c r="W54" s="7">
        <v>856.81</v>
      </c>
      <c r="X54" s="7">
        <v>791.24</v>
      </c>
      <c r="Y54" s="7">
        <v>0</v>
      </c>
      <c r="Z54" s="7">
        <v>338.99</v>
      </c>
    </row>
    <row r="55" spans="1:26" x14ac:dyDescent="0.35">
      <c r="A55" s="7" t="s">
        <v>27</v>
      </c>
      <c r="B55" s="7" t="s">
        <v>38</v>
      </c>
      <c r="C55" s="7" t="s">
        <v>45</v>
      </c>
      <c r="D55" s="7" t="s">
        <v>51</v>
      </c>
      <c r="E55" s="7" t="s">
        <v>41</v>
      </c>
      <c r="F55" s="7" t="s">
        <v>131</v>
      </c>
      <c r="G55" s="7">
        <v>2017</v>
      </c>
      <c r="H55" s="7" t="str">
        <f>CONCATENATE("14270166045")</f>
        <v>14270166045</v>
      </c>
      <c r="I55" s="7" t="s">
        <v>30</v>
      </c>
      <c r="J55" s="7" t="s">
        <v>31</v>
      </c>
      <c r="K55" s="7" t="str">
        <f>CONCATENATE("")</f>
        <v/>
      </c>
      <c r="L55" s="7" t="str">
        <f>CONCATENATE("21 21.1 2a")</f>
        <v>21 21.1 2a</v>
      </c>
      <c r="M55" s="7" t="str">
        <f>CONCATENATE("TCCRTT67B44G453D")</f>
        <v>TCCRTT67B44G453D</v>
      </c>
      <c r="N55" s="7" t="s">
        <v>132</v>
      </c>
      <c r="O55" s="7" t="s">
        <v>84</v>
      </c>
      <c r="P55" s="8">
        <v>44368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7000</v>
      </c>
      <c r="W55" s="9">
        <v>3018.4</v>
      </c>
      <c r="X55" s="9">
        <v>2787.4</v>
      </c>
      <c r="Y55" s="7">
        <v>0</v>
      </c>
      <c r="Z55" s="9">
        <v>1194.2</v>
      </c>
    </row>
    <row r="56" spans="1:26" x14ac:dyDescent="0.35">
      <c r="A56" s="7" t="s">
        <v>27</v>
      </c>
      <c r="B56" s="7" t="s">
        <v>28</v>
      </c>
      <c r="C56" s="7" t="s">
        <v>45</v>
      </c>
      <c r="D56" s="7" t="s">
        <v>51</v>
      </c>
      <c r="E56" s="7" t="s">
        <v>37</v>
      </c>
      <c r="F56" s="7" t="s">
        <v>115</v>
      </c>
      <c r="G56" s="7">
        <v>2020</v>
      </c>
      <c r="H56" s="7" t="str">
        <f>CONCATENATE("04210435006")</f>
        <v>04210435006</v>
      </c>
      <c r="I56" s="7" t="s">
        <v>30</v>
      </c>
      <c r="J56" s="7" t="s">
        <v>31</v>
      </c>
      <c r="K56" s="7" t="str">
        <f>CONCATENATE("")</f>
        <v/>
      </c>
      <c r="L56" s="7" t="str">
        <f>CONCATENATE("13 13.1 4a")</f>
        <v>13 13.1 4a</v>
      </c>
      <c r="M56" s="7" t="str">
        <f>CONCATENATE("MGNCLD66M11Z133Y")</f>
        <v>MGNCLD66M11Z133Y</v>
      </c>
      <c r="N56" s="7" t="s">
        <v>133</v>
      </c>
      <c r="O56" s="7" t="s">
        <v>134</v>
      </c>
      <c r="P56" s="8">
        <v>44368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3681.44</v>
      </c>
      <c r="W56" s="9">
        <v>1587.44</v>
      </c>
      <c r="X56" s="9">
        <v>1465.95</v>
      </c>
      <c r="Y56" s="7">
        <v>0</v>
      </c>
      <c r="Z56" s="7">
        <v>628.04999999999995</v>
      </c>
    </row>
    <row r="57" spans="1:26" x14ac:dyDescent="0.35">
      <c r="A57" s="7" t="s">
        <v>27</v>
      </c>
      <c r="B57" s="7" t="s">
        <v>28</v>
      </c>
      <c r="C57" s="7" t="s">
        <v>45</v>
      </c>
      <c r="D57" s="7" t="s">
        <v>51</v>
      </c>
      <c r="E57" s="7" t="s">
        <v>37</v>
      </c>
      <c r="F57" s="7" t="s">
        <v>115</v>
      </c>
      <c r="G57" s="7">
        <v>2020</v>
      </c>
      <c r="H57" s="7" t="str">
        <f>CONCATENATE("04210190510")</f>
        <v>04210190510</v>
      </c>
      <c r="I57" s="7" t="s">
        <v>30</v>
      </c>
      <c r="J57" s="7" t="s">
        <v>31</v>
      </c>
      <c r="K57" s="7" t="str">
        <f>CONCATENATE("")</f>
        <v/>
      </c>
      <c r="L57" s="7" t="str">
        <f>CONCATENATE("13 13.1 4a")</f>
        <v>13 13.1 4a</v>
      </c>
      <c r="M57" s="7" t="str">
        <f>CONCATENATE("TTTGNN61H01I461M")</f>
        <v>TTTGNN61H01I461M</v>
      </c>
      <c r="N57" s="7" t="s">
        <v>135</v>
      </c>
      <c r="O57" s="7" t="s">
        <v>134</v>
      </c>
      <c r="P57" s="8">
        <v>44368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3224.42</v>
      </c>
      <c r="W57" s="9">
        <v>1390.37</v>
      </c>
      <c r="X57" s="9">
        <v>1283.96</v>
      </c>
      <c r="Y57" s="7">
        <v>0</v>
      </c>
      <c r="Z57" s="7">
        <v>550.09</v>
      </c>
    </row>
    <row r="58" spans="1:26" x14ac:dyDescent="0.35">
      <c r="A58" s="7" t="s">
        <v>27</v>
      </c>
      <c r="B58" s="7" t="s">
        <v>28</v>
      </c>
      <c r="C58" s="7" t="s">
        <v>45</v>
      </c>
      <c r="D58" s="7" t="s">
        <v>63</v>
      </c>
      <c r="E58" s="7" t="s">
        <v>37</v>
      </c>
      <c r="F58" s="7" t="s">
        <v>109</v>
      </c>
      <c r="G58" s="7">
        <v>2020</v>
      </c>
      <c r="H58" s="7" t="str">
        <f>CONCATENATE("04210302917")</f>
        <v>04210302917</v>
      </c>
      <c r="I58" s="7" t="s">
        <v>30</v>
      </c>
      <c r="J58" s="7" t="s">
        <v>31</v>
      </c>
      <c r="K58" s="7" t="str">
        <f>CONCATENATE("")</f>
        <v/>
      </c>
      <c r="L58" s="7" t="str">
        <f>CONCATENATE("13 13.1 4a")</f>
        <v>13 13.1 4a</v>
      </c>
      <c r="M58" s="7" t="str">
        <f>CONCATENATE("MRTMRC79P64L500K")</f>
        <v>MRTMRC79P64L500K</v>
      </c>
      <c r="N58" s="7" t="s">
        <v>136</v>
      </c>
      <c r="O58" s="7" t="s">
        <v>134</v>
      </c>
      <c r="P58" s="8">
        <v>44368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7">
        <v>803.12</v>
      </c>
      <c r="W58" s="7">
        <v>346.31</v>
      </c>
      <c r="X58" s="7">
        <v>319.8</v>
      </c>
      <c r="Y58" s="7">
        <v>0</v>
      </c>
      <c r="Z58" s="7">
        <v>137.01</v>
      </c>
    </row>
    <row r="59" spans="1:26" x14ac:dyDescent="0.35">
      <c r="A59" s="7" t="s">
        <v>27</v>
      </c>
      <c r="B59" s="7" t="s">
        <v>28</v>
      </c>
      <c r="C59" s="7" t="s">
        <v>45</v>
      </c>
      <c r="D59" s="7" t="s">
        <v>46</v>
      </c>
      <c r="E59" s="7" t="s">
        <v>36</v>
      </c>
      <c r="F59" s="7" t="s">
        <v>137</v>
      </c>
      <c r="G59" s="7">
        <v>2020</v>
      </c>
      <c r="H59" s="7" t="str">
        <f>CONCATENATE("04210198778")</f>
        <v>04210198778</v>
      </c>
      <c r="I59" s="7" t="s">
        <v>30</v>
      </c>
      <c r="J59" s="7" t="s">
        <v>31</v>
      </c>
      <c r="K59" s="7" t="str">
        <f>CONCATENATE("")</f>
        <v/>
      </c>
      <c r="L59" s="7" t="str">
        <f>CONCATENATE("13 13.1 4a")</f>
        <v>13 13.1 4a</v>
      </c>
      <c r="M59" s="7" t="str">
        <f>CONCATENATE("JRGSRH79E64H501A")</f>
        <v>JRGSRH79E64H501A</v>
      </c>
      <c r="N59" s="7" t="s">
        <v>138</v>
      </c>
      <c r="O59" s="7" t="s">
        <v>134</v>
      </c>
      <c r="P59" s="8">
        <v>44368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3490.96</v>
      </c>
      <c r="W59" s="9">
        <v>1505.3</v>
      </c>
      <c r="X59" s="9">
        <v>1390.1</v>
      </c>
      <c r="Y59" s="7">
        <v>0</v>
      </c>
      <c r="Z59" s="7">
        <v>595.55999999999995</v>
      </c>
    </row>
    <row r="60" spans="1:26" x14ac:dyDescent="0.35">
      <c r="A60" s="7" t="s">
        <v>27</v>
      </c>
      <c r="B60" s="7" t="s">
        <v>28</v>
      </c>
      <c r="C60" s="7" t="s">
        <v>45</v>
      </c>
      <c r="D60" s="7" t="s">
        <v>63</v>
      </c>
      <c r="E60" s="7" t="s">
        <v>37</v>
      </c>
      <c r="F60" s="7" t="s">
        <v>109</v>
      </c>
      <c r="G60" s="7">
        <v>2020</v>
      </c>
      <c r="H60" s="7" t="str">
        <f>CONCATENATE("04210835635")</f>
        <v>04210835635</v>
      </c>
      <c r="I60" s="7" t="s">
        <v>30</v>
      </c>
      <c r="J60" s="7" t="s">
        <v>31</v>
      </c>
      <c r="K60" s="7" t="str">
        <f>CONCATENATE("")</f>
        <v/>
      </c>
      <c r="L60" s="7" t="str">
        <f>CONCATENATE("13 13.1 4a")</f>
        <v>13 13.1 4a</v>
      </c>
      <c r="M60" s="7" t="str">
        <f>CONCATENATE("02444870410")</f>
        <v>02444870410</v>
      </c>
      <c r="N60" s="7" t="s">
        <v>139</v>
      </c>
      <c r="O60" s="7" t="s">
        <v>134</v>
      </c>
      <c r="P60" s="8">
        <v>44368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9">
        <v>1143.8800000000001</v>
      </c>
      <c r="W60" s="7">
        <v>493.24</v>
      </c>
      <c r="X60" s="7">
        <v>455.49</v>
      </c>
      <c r="Y60" s="7">
        <v>0</v>
      </c>
      <c r="Z60" s="7">
        <v>195.15</v>
      </c>
    </row>
    <row r="61" spans="1:26" x14ac:dyDescent="0.35">
      <c r="A61" s="7" t="s">
        <v>27</v>
      </c>
      <c r="B61" s="7" t="s">
        <v>28</v>
      </c>
      <c r="C61" s="7" t="s">
        <v>45</v>
      </c>
      <c r="D61" s="7" t="s">
        <v>63</v>
      </c>
      <c r="E61" s="7" t="s">
        <v>44</v>
      </c>
      <c r="F61" s="7" t="s">
        <v>64</v>
      </c>
      <c r="G61" s="7">
        <v>2020</v>
      </c>
      <c r="H61" s="7" t="str">
        <f>CONCATENATE("04210323897")</f>
        <v>04210323897</v>
      </c>
      <c r="I61" s="7" t="s">
        <v>30</v>
      </c>
      <c r="J61" s="7" t="s">
        <v>31</v>
      </c>
      <c r="K61" s="7" t="str">
        <f>CONCATENATE("")</f>
        <v/>
      </c>
      <c r="L61" s="7" t="str">
        <f>CONCATENATE("13 13.1 4a")</f>
        <v>13 13.1 4a</v>
      </c>
      <c r="M61" s="7" t="str">
        <f>CONCATENATE("CLSCLD65D10I287A")</f>
        <v>CLSCLD65D10I287A</v>
      </c>
      <c r="N61" s="7" t="s">
        <v>140</v>
      </c>
      <c r="O61" s="7" t="s">
        <v>134</v>
      </c>
      <c r="P61" s="8">
        <v>44368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7">
        <v>238.9</v>
      </c>
      <c r="W61" s="7">
        <v>103.01</v>
      </c>
      <c r="X61" s="7">
        <v>95.13</v>
      </c>
      <c r="Y61" s="7">
        <v>0</v>
      </c>
      <c r="Z61" s="7">
        <v>40.76</v>
      </c>
    </row>
    <row r="62" spans="1:26" x14ac:dyDescent="0.35">
      <c r="A62" s="7" t="s">
        <v>27</v>
      </c>
      <c r="B62" s="7" t="s">
        <v>28</v>
      </c>
      <c r="C62" s="7" t="s">
        <v>45</v>
      </c>
      <c r="D62" s="7" t="s">
        <v>63</v>
      </c>
      <c r="E62" s="7" t="s">
        <v>41</v>
      </c>
      <c r="F62" s="7" t="s">
        <v>88</v>
      </c>
      <c r="G62" s="7">
        <v>2020</v>
      </c>
      <c r="H62" s="7" t="str">
        <f>CONCATENATE("04210397693")</f>
        <v>04210397693</v>
      </c>
      <c r="I62" s="7" t="s">
        <v>30</v>
      </c>
      <c r="J62" s="7" t="s">
        <v>31</v>
      </c>
      <c r="K62" s="7" t="str">
        <f>CONCATENATE("")</f>
        <v/>
      </c>
      <c r="L62" s="7" t="str">
        <f>CONCATENATE("13 13.1 4a")</f>
        <v>13 13.1 4a</v>
      </c>
      <c r="M62" s="7" t="str">
        <f>CONCATENATE("TRVLRD62L07B636F")</f>
        <v>TRVLRD62L07B636F</v>
      </c>
      <c r="N62" s="7" t="s">
        <v>141</v>
      </c>
      <c r="O62" s="7" t="s">
        <v>134</v>
      </c>
      <c r="P62" s="8">
        <v>44368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9">
        <v>1877.34</v>
      </c>
      <c r="W62" s="7">
        <v>809.51</v>
      </c>
      <c r="X62" s="7">
        <v>747.56</v>
      </c>
      <c r="Y62" s="7">
        <v>0</v>
      </c>
      <c r="Z62" s="7">
        <v>320.27</v>
      </c>
    </row>
    <row r="63" spans="1:26" x14ac:dyDescent="0.35">
      <c r="A63" s="7" t="s">
        <v>27</v>
      </c>
      <c r="B63" s="7" t="s">
        <v>28</v>
      </c>
      <c r="C63" s="7" t="s">
        <v>45</v>
      </c>
      <c r="D63" s="7" t="s">
        <v>58</v>
      </c>
      <c r="E63" s="7" t="s">
        <v>41</v>
      </c>
      <c r="F63" s="7" t="s">
        <v>142</v>
      </c>
      <c r="G63" s="7">
        <v>2020</v>
      </c>
      <c r="H63" s="7" t="str">
        <f>CONCATENATE("04210138881")</f>
        <v>04210138881</v>
      </c>
      <c r="I63" s="7" t="s">
        <v>30</v>
      </c>
      <c r="J63" s="7" t="s">
        <v>31</v>
      </c>
      <c r="K63" s="7" t="str">
        <f>CONCATENATE("")</f>
        <v/>
      </c>
      <c r="L63" s="7" t="str">
        <f>CONCATENATE("13 13.1 4a")</f>
        <v>13 13.1 4a</v>
      </c>
      <c r="M63" s="7" t="str">
        <f>CONCATENATE("STNRMN78L01A462S")</f>
        <v>STNRMN78L01A462S</v>
      </c>
      <c r="N63" s="7" t="s">
        <v>143</v>
      </c>
      <c r="O63" s="7" t="s">
        <v>134</v>
      </c>
      <c r="P63" s="8">
        <v>44368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2780.86</v>
      </c>
      <c r="W63" s="9">
        <v>1199.1099999999999</v>
      </c>
      <c r="X63" s="9">
        <v>1107.3399999999999</v>
      </c>
      <c r="Y63" s="7">
        <v>0</v>
      </c>
      <c r="Z63" s="7">
        <v>474.41</v>
      </c>
    </row>
    <row r="64" spans="1:26" x14ac:dyDescent="0.35">
      <c r="A64" s="7" t="s">
        <v>27</v>
      </c>
      <c r="B64" s="7" t="s">
        <v>28</v>
      </c>
      <c r="C64" s="7" t="s">
        <v>45</v>
      </c>
      <c r="D64" s="7" t="s">
        <v>63</v>
      </c>
      <c r="E64" s="7" t="s">
        <v>41</v>
      </c>
      <c r="F64" s="7" t="s">
        <v>123</v>
      </c>
      <c r="G64" s="7">
        <v>2020</v>
      </c>
      <c r="H64" s="7" t="str">
        <f>CONCATENATE("04210623759")</f>
        <v>04210623759</v>
      </c>
      <c r="I64" s="7" t="s">
        <v>30</v>
      </c>
      <c r="J64" s="7" t="s">
        <v>31</v>
      </c>
      <c r="K64" s="7" t="str">
        <f>CONCATENATE("")</f>
        <v/>
      </c>
      <c r="L64" s="7" t="str">
        <f>CONCATENATE("13 13.1 4a")</f>
        <v>13 13.1 4a</v>
      </c>
      <c r="M64" s="7" t="str">
        <f>CONCATENATE("SRRFCN70L50F979L")</f>
        <v>SRRFCN70L50F979L</v>
      </c>
      <c r="N64" s="7" t="s">
        <v>144</v>
      </c>
      <c r="O64" s="7" t="s">
        <v>134</v>
      </c>
      <c r="P64" s="8">
        <v>44368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7">
        <v>909.3</v>
      </c>
      <c r="W64" s="7">
        <v>392.09</v>
      </c>
      <c r="X64" s="7">
        <v>362.08</v>
      </c>
      <c r="Y64" s="7">
        <v>0</v>
      </c>
      <c r="Z64" s="7">
        <v>155.13</v>
      </c>
    </row>
    <row r="65" spans="1:26" x14ac:dyDescent="0.35">
      <c r="A65" s="7" t="s">
        <v>27</v>
      </c>
      <c r="B65" s="7" t="s">
        <v>28</v>
      </c>
      <c r="C65" s="7" t="s">
        <v>45</v>
      </c>
      <c r="D65" s="7" t="s">
        <v>63</v>
      </c>
      <c r="E65" s="7" t="s">
        <v>41</v>
      </c>
      <c r="F65" s="7" t="s">
        <v>88</v>
      </c>
      <c r="G65" s="7">
        <v>2018</v>
      </c>
      <c r="H65" s="7" t="str">
        <f>CONCATENATE("84210097089")</f>
        <v>84210097089</v>
      </c>
      <c r="I65" s="7" t="s">
        <v>30</v>
      </c>
      <c r="J65" s="7" t="s">
        <v>31</v>
      </c>
      <c r="K65" s="7" t="str">
        <f>CONCATENATE("")</f>
        <v/>
      </c>
      <c r="L65" s="7" t="str">
        <f>CONCATENATE("13 13.1 4a")</f>
        <v>13 13.1 4a</v>
      </c>
      <c r="M65" s="7" t="str">
        <f>CONCATENATE("BNDMSM67R22G682X")</f>
        <v>BNDMSM67R22G682X</v>
      </c>
      <c r="N65" s="7" t="s">
        <v>145</v>
      </c>
      <c r="O65" s="7" t="s">
        <v>134</v>
      </c>
      <c r="P65" s="8">
        <v>44368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9">
        <v>1598.02</v>
      </c>
      <c r="W65" s="7">
        <v>689.07</v>
      </c>
      <c r="X65" s="7">
        <v>636.33000000000004</v>
      </c>
      <c r="Y65" s="7">
        <v>0</v>
      </c>
      <c r="Z65" s="7">
        <v>272.62</v>
      </c>
    </row>
    <row r="66" spans="1:26" x14ac:dyDescent="0.35">
      <c r="A66" s="7" t="s">
        <v>27</v>
      </c>
      <c r="B66" s="7" t="s">
        <v>38</v>
      </c>
      <c r="C66" s="7" t="s">
        <v>45</v>
      </c>
      <c r="D66" s="7" t="s">
        <v>58</v>
      </c>
      <c r="E66" s="7" t="s">
        <v>37</v>
      </c>
      <c r="F66" s="7" t="s">
        <v>146</v>
      </c>
      <c r="G66" s="7">
        <v>2017</v>
      </c>
      <c r="H66" s="7" t="str">
        <f>CONCATENATE("14270166698")</f>
        <v>14270166698</v>
      </c>
      <c r="I66" s="7" t="s">
        <v>30</v>
      </c>
      <c r="J66" s="7" t="s">
        <v>31</v>
      </c>
      <c r="K66" s="7" t="str">
        <f>CONCATENATE("")</f>
        <v/>
      </c>
      <c r="L66" s="7" t="str">
        <f>CONCATENATE("6 6.1 2b")</f>
        <v>6 6.1 2b</v>
      </c>
      <c r="M66" s="7" t="str">
        <f>CONCATENATE("MSTCHR92E55G388U")</f>
        <v>MSTCHR92E55G388U</v>
      </c>
      <c r="N66" s="7" t="s">
        <v>147</v>
      </c>
      <c r="O66" s="7" t="s">
        <v>148</v>
      </c>
      <c r="P66" s="8">
        <v>44368</v>
      </c>
      <c r="Q66" s="7" t="s">
        <v>32</v>
      </c>
      <c r="R66" s="7" t="s">
        <v>40</v>
      </c>
      <c r="S66" s="7" t="s">
        <v>34</v>
      </c>
      <c r="T66" s="7"/>
      <c r="U66" s="7" t="s">
        <v>35</v>
      </c>
      <c r="V66" s="9">
        <v>24500</v>
      </c>
      <c r="W66" s="9">
        <v>10564.4</v>
      </c>
      <c r="X66" s="9">
        <v>9755.9</v>
      </c>
      <c r="Y66" s="7">
        <v>0</v>
      </c>
      <c r="Z66" s="9">
        <v>4179.7</v>
      </c>
    </row>
    <row r="67" spans="1:26" x14ac:dyDescent="0.35">
      <c r="A67" s="7" t="s">
        <v>27</v>
      </c>
      <c r="B67" s="7" t="s">
        <v>38</v>
      </c>
      <c r="C67" s="7" t="s">
        <v>45</v>
      </c>
      <c r="D67" s="7" t="s">
        <v>58</v>
      </c>
      <c r="E67" s="7" t="s">
        <v>43</v>
      </c>
      <c r="F67" s="7" t="s">
        <v>61</v>
      </c>
      <c r="G67" s="7">
        <v>2017</v>
      </c>
      <c r="H67" s="7" t="str">
        <f>CONCATENATE("14270168777")</f>
        <v>14270168777</v>
      </c>
      <c r="I67" s="7" t="s">
        <v>30</v>
      </c>
      <c r="J67" s="7" t="s">
        <v>31</v>
      </c>
      <c r="K67" s="7" t="str">
        <f>CONCATENATE("")</f>
        <v/>
      </c>
      <c r="L67" s="7" t="str">
        <f>CONCATENATE("4 4.1 2a")</f>
        <v>4 4.1 2a</v>
      </c>
      <c r="M67" s="7" t="str">
        <f>CONCATENATE("DSDSML89P21A462C")</f>
        <v>DSDSML89P21A462C</v>
      </c>
      <c r="N67" s="7" t="s">
        <v>79</v>
      </c>
      <c r="O67" s="7" t="s">
        <v>149</v>
      </c>
      <c r="P67" s="8">
        <v>44368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9">
        <v>70797.5</v>
      </c>
      <c r="W67" s="9">
        <v>30527.88</v>
      </c>
      <c r="X67" s="9">
        <v>28191.56</v>
      </c>
      <c r="Y67" s="7">
        <v>0</v>
      </c>
      <c r="Z67" s="9">
        <v>12078.06</v>
      </c>
    </row>
    <row r="68" spans="1:26" x14ac:dyDescent="0.35">
      <c r="A68" s="7" t="s">
        <v>27</v>
      </c>
      <c r="B68" s="7" t="s">
        <v>38</v>
      </c>
      <c r="C68" s="7" t="s">
        <v>45</v>
      </c>
      <c r="D68" s="7" t="s">
        <v>58</v>
      </c>
      <c r="E68" s="7" t="s">
        <v>43</v>
      </c>
      <c r="F68" s="7" t="s">
        <v>61</v>
      </c>
      <c r="G68" s="7">
        <v>2017</v>
      </c>
      <c r="H68" s="7" t="str">
        <f>CONCATENATE("14270167399")</f>
        <v>14270167399</v>
      </c>
      <c r="I68" s="7" t="s">
        <v>30</v>
      </c>
      <c r="J68" s="7" t="s">
        <v>31</v>
      </c>
      <c r="K68" s="7" t="str">
        <f>CONCATENATE("")</f>
        <v/>
      </c>
      <c r="L68" s="7" t="str">
        <f>CONCATENATE("4 4.1 2a")</f>
        <v>4 4.1 2a</v>
      </c>
      <c r="M68" s="7" t="str">
        <f>CONCATENATE("BNVMSM82R21F205J")</f>
        <v>BNVMSM82R21F205J</v>
      </c>
      <c r="N68" s="7" t="s">
        <v>150</v>
      </c>
      <c r="O68" s="7" t="s">
        <v>151</v>
      </c>
      <c r="P68" s="8">
        <v>44368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9">
        <v>36381.81</v>
      </c>
      <c r="W68" s="9">
        <v>15687.84</v>
      </c>
      <c r="X68" s="9">
        <v>14487.24</v>
      </c>
      <c r="Y68" s="7">
        <v>0</v>
      </c>
      <c r="Z68" s="9">
        <v>6206.73</v>
      </c>
    </row>
    <row r="69" spans="1:26" x14ac:dyDescent="0.35">
      <c r="A69" s="7" t="s">
        <v>27</v>
      </c>
      <c r="B69" s="7" t="s">
        <v>28</v>
      </c>
      <c r="C69" s="7" t="s">
        <v>45</v>
      </c>
      <c r="D69" s="7" t="s">
        <v>58</v>
      </c>
      <c r="E69" s="7" t="s">
        <v>37</v>
      </c>
      <c r="F69" s="7" t="s">
        <v>146</v>
      </c>
      <c r="G69" s="7">
        <v>2018</v>
      </c>
      <c r="H69" s="7" t="str">
        <f>CONCATENATE("84240674907")</f>
        <v>84240674907</v>
      </c>
      <c r="I69" s="7" t="s">
        <v>42</v>
      </c>
      <c r="J69" s="7" t="s">
        <v>31</v>
      </c>
      <c r="K69" s="7" t="str">
        <f>CONCATENATE("")</f>
        <v/>
      </c>
      <c r="L69" s="7" t="str">
        <f>CONCATENATE("10 10.1 4b")</f>
        <v>10 10.1 4b</v>
      </c>
      <c r="M69" s="7" t="str">
        <f>CONCATENATE("BGLSRA58H27H182J")</f>
        <v>BGLSRA58H27H182J</v>
      </c>
      <c r="N69" s="7" t="s">
        <v>152</v>
      </c>
      <c r="O69" s="7" t="s">
        <v>153</v>
      </c>
      <c r="P69" s="8">
        <v>44368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2563.6999999999998</v>
      </c>
      <c r="W69" s="9">
        <v>1105.47</v>
      </c>
      <c r="X69" s="9">
        <v>1020.87</v>
      </c>
      <c r="Y69" s="7">
        <v>0</v>
      </c>
      <c r="Z69" s="7">
        <v>437.36</v>
      </c>
    </row>
    <row r="70" spans="1:26" ht="17.5" x14ac:dyDescent="0.35">
      <c r="A70" s="7" t="s">
        <v>27</v>
      </c>
      <c r="B70" s="7" t="s">
        <v>28</v>
      </c>
      <c r="C70" s="7" t="s">
        <v>45</v>
      </c>
      <c r="D70" s="7" t="s">
        <v>58</v>
      </c>
      <c r="E70" s="7" t="s">
        <v>37</v>
      </c>
      <c r="F70" s="7" t="s">
        <v>146</v>
      </c>
      <c r="G70" s="7">
        <v>2018</v>
      </c>
      <c r="H70" s="7" t="str">
        <f>CONCATENATE("84240674972")</f>
        <v>84240674972</v>
      </c>
      <c r="I70" s="7" t="s">
        <v>42</v>
      </c>
      <c r="J70" s="7" t="s">
        <v>31</v>
      </c>
      <c r="K70" s="7" t="str">
        <f>CONCATENATE("")</f>
        <v/>
      </c>
      <c r="L70" s="7" t="str">
        <f>CONCATENATE("10 10.1 4b")</f>
        <v>10 10.1 4b</v>
      </c>
      <c r="M70" s="7" t="str">
        <f>CONCATENATE("01746380441")</f>
        <v>01746380441</v>
      </c>
      <c r="N70" s="7" t="s">
        <v>154</v>
      </c>
      <c r="O70" s="7" t="s">
        <v>153</v>
      </c>
      <c r="P70" s="8">
        <v>44368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9">
        <v>1859.45</v>
      </c>
      <c r="W70" s="7">
        <v>801.79</v>
      </c>
      <c r="X70" s="7">
        <v>740.43</v>
      </c>
      <c r="Y70" s="7">
        <v>0</v>
      </c>
      <c r="Z70" s="7">
        <v>317.23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4F4ABB-1448-471A-8E2D-239211AA4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B99F9F-1A85-4810-ABB3-03CDFEE441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FEAA60-F831-4D33-927B-ED062A36202D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31089</vt:lpwstr>
  </property>
  <property fmtid="{D5CDD505-2E9C-101B-9397-08002B2CF9AE}" pid="4" name="OptimizationTime">
    <vt:lpwstr>20210623_1927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2021-06-23T15:56:29Z</dcterms:created>
  <dcterms:modified xsi:type="dcterms:W3CDTF">2021-06-23T15:57:18Z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