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59/"/>
    </mc:Choice>
  </mc:AlternateContent>
  <xr:revisionPtr revIDLastSave="0" documentId="8_{019D4A5C-9EF6-4849-AF17-EC6ACD8FBAAB}" xr6:coauthVersionLast="45" xr6:coauthVersionMax="45" xr10:uidLastSave="{00000000-0000-0000-0000-000000000000}"/>
  <bookViews>
    <workbookView xWindow="-110" yWindow="-110" windowWidth="19420" windowHeight="10420" xr2:uid="{43BBC3E7-C494-43F1-A13C-FF62013A20D3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9" i="1" l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<sst xmlns="http://schemas.openxmlformats.org/spreadsheetml/2006/main" count="1791" uniqueCount="222">
  <si>
    <t>Dettaglio Domande Pagabili Decreto 459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</si>
  <si>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</si>
  <si>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</si>
  <si>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</si>
  <si>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</si>
  <si>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</si>
  <si>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</si>
  <si>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</si>
  <si>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</si>
  <si>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</si>
  <si>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</si>
  <si>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</si>
  <si>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</si>
  <si>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</si>
  <si>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</si>
  <si>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</si>
  <si>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</si>
  <si>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</si>
  <si>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</si>
  <si>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</si>
  <si>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</si>
  <si>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</si>
  <si>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</si>
  <si>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</si>
  <si>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</si>
  <si>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</si>
  <si>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</si>
  <si>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</si>
  <si>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</si>
  <si>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CIA srl</t>
  </si>
  <si>
    <t>SI</t>
  </si>
  <si>
    <t>Nuova Programmazione</t>
  </si>
  <si>
    <t>In Liquidazione</t>
  </si>
  <si>
    <t>Saldo</t>
  </si>
  <si>
    <t>Co-Finanziato</t>
  </si>
  <si>
    <t>Ordinario</t>
  </si>
  <si>
    <t>CAA Coldiretti srl</t>
  </si>
  <si>
    <t>NO</t>
  </si>
  <si>
    <t>CAA-CAF AGRI S.R.L.</t>
  </si>
  <si>
    <t>CAA LiberiAgricoltori srl già CAA AGCI srl</t>
  </si>
  <si>
    <t>Misure Strutturali</t>
  </si>
  <si>
    <t>Anticipo</t>
  </si>
  <si>
    <t>SAL</t>
  </si>
  <si>
    <t>IN PROPRIO</t>
  </si>
  <si>
    <t>MARCHE</t>
  </si>
  <si>
    <t>SERV. DEC. AGRICOLTURA E ALIM. -ASCOLI PICENO</t>
  </si>
  <si>
    <t>CAA Coldiretti - ASCOLI PICENO - 010</t>
  </si>
  <si>
    <t>FERENCZ KINGA-MAGDALENA</t>
  </si>
  <si>
    <t>AGEA.ASR.2021.0712293</t>
  </si>
  <si>
    <t>SERV. DEC. AGRICOLTURA E ALIMENTAZIONE - PESARO</t>
  </si>
  <si>
    <t>CAA CAF AGRI - PESARO E URBINO - 221</t>
  </si>
  <si>
    <t>TRONCHIN RENZO</t>
  </si>
  <si>
    <t>AGEA.ASR.2021.0700930</t>
  </si>
  <si>
    <t>CAA Coldiretti - PESARO E URBINO - 001</t>
  </si>
  <si>
    <t>UNIVERSITA' DEGLI UOMINI ORIGINARI DI FRONTONE</t>
  </si>
  <si>
    <t>AGEA.ASR.2021.0727346</t>
  </si>
  <si>
    <t>ANGELI ANGELO</t>
  </si>
  <si>
    <t>AGEA.ASR.2021.0728281</t>
  </si>
  <si>
    <t>SERV. DEC. AGRICOLTURA E ALIMENTAZIONE - ANCONA</t>
  </si>
  <si>
    <t>CAA CIA - ANCONA - 006</t>
  </si>
  <si>
    <t>AZ. AGR. MONTEDAGO SOCIETA' SEMPLICE AGRICOLA</t>
  </si>
  <si>
    <t>SERV. DEC. AGRICOLTURA E ALIM. - MACERATA</t>
  </si>
  <si>
    <t>CAA CAF AGRI - MACERATA - 224</t>
  </si>
  <si>
    <t>BARCHETTA MONIA</t>
  </si>
  <si>
    <t>CAA CAF AGRI - ASCOLI PICENO - 222</t>
  </si>
  <si>
    <t>DI VIRGILIO SILVIA</t>
  </si>
  <si>
    <t>EREDI FULVIA MARAZZANI VISCONTI S.S. SOCIETA' AGRICOLA</t>
  </si>
  <si>
    <t>FATTORIA LUCESOLE S.N.C. DI MANINI MASSIMILIANO E MAURO SOCIETA' AGRIC</t>
  </si>
  <si>
    <t>FRACCAROLI STEFANIA</t>
  </si>
  <si>
    <t>LATINI E RUBINI SOCIETA' SEMPLICE AGRICOLA</t>
  </si>
  <si>
    <t>MACCARONI DOMENICO</t>
  </si>
  <si>
    <t>MORODER ALESSANDRO</t>
  </si>
  <si>
    <t>CAA CIA - PESARO E URBINO - 002</t>
  </si>
  <si>
    <t>PASSERI MERCEDE</t>
  </si>
  <si>
    <t>PETROLATI SANTE</t>
  </si>
  <si>
    <t>PIERONI FRANCESCA</t>
  </si>
  <si>
    <t>CAA CIA - PESARO E URBINO - 006</t>
  </si>
  <si>
    <t>SIMONCINI RITA</t>
  </si>
  <si>
    <t>SOC. AGR. A CASA DA ANGELO DI CENCETTI P. &amp; A. S.S</t>
  </si>
  <si>
    <t>CAA Coldiretti - MACERATA - 017</t>
  </si>
  <si>
    <t>SOCIETA' AGRICOLA CASA GRIMALDI S.S.</t>
  </si>
  <si>
    <t>CAA Coldiretti - ASCOLI PICENO - 025</t>
  </si>
  <si>
    <t>SOCIETA' AGRICOLA FARA ANGELO E BRUNO SOCIETA' SEMPLICE</t>
  </si>
  <si>
    <t>CAA Coldiretti - ASCOLI PICENO - 015</t>
  </si>
  <si>
    <t>SOCIETA' AGRICOLA SCARPECCI MARCELLO &amp; SCARPECCI FEDERICA S.S.</t>
  </si>
  <si>
    <t>CAA Coldiretti - MACERATA - 010</t>
  </si>
  <si>
    <t>SOCIETA' AGRICOLA SEMPLICE RAGGIOVERDE DI PAOLINI GIANMARIO &amp; C.</t>
  </si>
  <si>
    <t>TADDEI MAURIZIO</t>
  </si>
  <si>
    <t>TEODORI FRANCESCO</t>
  </si>
  <si>
    <t>CAA Copagri srl</t>
  </si>
  <si>
    <t>CAA Copagri - MACERATA - 501</t>
  </si>
  <si>
    <t>VINCENZETTI SIMONA</t>
  </si>
  <si>
    <t>CAA Coldiretti - ANCONA - 002</t>
  </si>
  <si>
    <t>DE ANGELIS PIETRO</t>
  </si>
  <si>
    <t>AGEA.ASR.2021.0720625</t>
  </si>
  <si>
    <t>CAA CIA - PESARO E URBINO - 007</t>
  </si>
  <si>
    <t>AZIENDA AGRICOLA SAN SEVERO SOCIETA' SEMPLICE AGRICOLA - DI FUMAGALLI</t>
  </si>
  <si>
    <t>DURANTI PIERPAOLO</t>
  </si>
  <si>
    <t>CAA Coldiretti - FERMO - 001</t>
  </si>
  <si>
    <t>FILONI MARIA CRISTINA</t>
  </si>
  <si>
    <t>MARCHETTI MASSIMO</t>
  </si>
  <si>
    <t>CAA Coldiretti - MACERATA - 009</t>
  </si>
  <si>
    <t>MUCCI GIORGINA</t>
  </si>
  <si>
    <t>CAA CIA - ANCONA - 005</t>
  </si>
  <si>
    <t>CESARETTI GABRIELLA</t>
  </si>
  <si>
    <t>PANZIRONI SIMONETTA</t>
  </si>
  <si>
    <t>SOCIETA' AGRICOLA LE ARCELLE DI PAZZAGLIA GIUSEPPINA &amp; C.SNC</t>
  </si>
  <si>
    <t>CORRADINI LUIGI</t>
  </si>
  <si>
    <t>AGEA.ASR.2021.0723479</t>
  </si>
  <si>
    <t>CAA Coldiretti - MACERATA - 018</t>
  </si>
  <si>
    <t>SOCIETA' AGRICOLA F.LLI MEI CARNI DI MEI ALBERTO E C. S.S.</t>
  </si>
  <si>
    <t>CAA CIA - PESARO E URBINO - 003</t>
  </si>
  <si>
    <t>SOCIETA' AGRICOLA ROBERTI S.R.L.</t>
  </si>
  <si>
    <t>COMUNE DI CAMPOFILONE</t>
  </si>
  <si>
    <t>AGEA.ASR.2021.0712628</t>
  </si>
  <si>
    <t>LA CORTE DELLA MINIERA S.R.L.</t>
  </si>
  <si>
    <t>AGEA.ASR.2021.0712642</t>
  </si>
  <si>
    <t>AZIENDA AGRICOLA LANFRANCO COLONNELLI DI MARCO MONTI E FRANCESCA COLON</t>
  </si>
  <si>
    <t>CINGOLANI FLAVIO</t>
  </si>
  <si>
    <t>CAA Coldiretti - ANCONA - 005</t>
  </si>
  <si>
    <t>CRINELLA LUCA</t>
  </si>
  <si>
    <t>LE COLLINE DI RUSTANO SOC. AGRIC. SEMPL.</t>
  </si>
  <si>
    <t>MAGNANI RENZO</t>
  </si>
  <si>
    <t>MASS-HANS VALDIFIORI DI CIPRIANI MASSIMO &amp; C. S.A.S. - SOCIETA'AG RICO</t>
  </si>
  <si>
    <t>MAZZIERI GIUSEPPE</t>
  </si>
  <si>
    <t>PARIS CHRISTIAN</t>
  </si>
  <si>
    <t>SOCIETA' AGRICOLA AGRICOM SRL IN LIQUIDAZIONE</t>
  </si>
  <si>
    <t>SOCIETA' AGRICOLA CARDUCCI DI CARDUCCI MIKI &amp; C. S.S.</t>
  </si>
  <si>
    <t>SOCIETA' AGRICOLA F.LLI AMBROGI S.S.</t>
  </si>
  <si>
    <t>SOCIETA' AGRICOLA FATTOBENE LAURA E MAURO S.S.</t>
  </si>
  <si>
    <t>AZ. AGR. CASTELVECCHIO DI MAGNONI GIOVANNI E C. SOC. SEMPLIC</t>
  </si>
  <si>
    <t>BARBAROSSA FABRIZIO</t>
  </si>
  <si>
    <t>BRESCINI MARZIO</t>
  </si>
  <si>
    <t>CAA LiberiAgricoltori - MACERATA - 002</t>
  </si>
  <si>
    <t>CONVERSINI LUCIANO</t>
  </si>
  <si>
    <t>LA FATTORIA DI MIA SOCIETA' AGRICOLA SEMPLICE DI LEOPARDI FEDERICO E R</t>
  </si>
  <si>
    <t>PEDICA MARIA TERESA</t>
  </si>
  <si>
    <t>CAA Coldiretti - ASCOLI PICENO - 030</t>
  </si>
  <si>
    <t>SI BIO DI PREMICI SILVIA E ALEANDRI VINCENZO SOCIETA' SEMPLICE AGRICOL</t>
  </si>
  <si>
    <t>SOC. AGR. FATTORIA DELLA BONTA' - L'OASI DI PIERINO DI ELVIS &amp; SAMUELE</t>
  </si>
  <si>
    <t>SOCIETA' AGRICOLA BARZOTTI ALDO E FIGLI S.S.</t>
  </si>
  <si>
    <t>SOCIETA' AGRICOLA CAPPUCCINI S.S.</t>
  </si>
  <si>
    <t>CAA Coldiretti - PESARO E URBINO - 010</t>
  </si>
  <si>
    <t>SOCIETA' AGRICOLA ORADEI FERNANDO E VALENTINO SS</t>
  </si>
  <si>
    <t>SOCIETA' AGRICOLA IL GELSO DEI FRATELLI COFANI DI COFANI LUCA E MICHEL</t>
  </si>
  <si>
    <t>SOCIETA' AGRICOLA LORENZOTTI GIANCARLO &amp; C. S.S.</t>
  </si>
  <si>
    <t>SOCIETA' AGRICOLA MAGGI GILBERTO, MASSIMO E STEFANO S.S.</t>
  </si>
  <si>
    <t>STIGLIANO SOCIETA' COOPERATIVA AGRICOLA</t>
  </si>
  <si>
    <t>CAA Coldiretti - PESARO E URBINO - 013</t>
  </si>
  <si>
    <t>TAMBURINI GIANCARLO E VALENTINO SOCIETA' SEMPLICE</t>
  </si>
  <si>
    <t>TURCHI FABIO</t>
  </si>
  <si>
    <t>CAA LiberiAgricoltori - PESARO E URBINO - 001</t>
  </si>
  <si>
    <t>VANNUCCI AUGUSTO</t>
  </si>
  <si>
    <t>VENANZETTI EMANUELA</t>
  </si>
  <si>
    <t>DURO FRANCA</t>
  </si>
  <si>
    <t>AGEA.ASR.2021.0722498</t>
  </si>
  <si>
    <t>VERSER SOCIETA' AGRICOLA</t>
  </si>
  <si>
    <t>AGEA.ASR.2021.0722581</t>
  </si>
  <si>
    <t>TITTONI GIOVANNI</t>
  </si>
  <si>
    <t>AGEA.ASR.2021.0662082</t>
  </si>
  <si>
    <t>AGRITURISMO LE QUATTRO STAGIONI - SOCIETA' AGRICOLA S.S.</t>
  </si>
  <si>
    <t>AGEA.ASR.2021.0728328</t>
  </si>
  <si>
    <t>MANONI LUISA</t>
  </si>
  <si>
    <t>AZ. AGR. GIOVANNI E FRANCESCA MAROTTI CAMPI S.S. SOC. AGRICOLA</t>
  </si>
  <si>
    <t>CAA Coldiretti - MACERATA - 002</t>
  </si>
  <si>
    <t>DELLA-MORA STEFANO</t>
  </si>
  <si>
    <t>PACI PIERGIORGIO</t>
  </si>
  <si>
    <t>SOCIETA' AGRICOLA BLASI AMEDEO E BLASI MARIA LILIA SS</t>
  </si>
  <si>
    <t>CAA CIA - MACERATA - 001</t>
  </si>
  <si>
    <t>BARBIERI ENNIO GUGLIELMO</t>
  </si>
  <si>
    <t>MATTIOLI DORIANA</t>
  </si>
  <si>
    <t>SOCIETA' AGRICOLA A&amp;S FABRIZI S.S.</t>
  </si>
  <si>
    <t>BASSO GIULIO</t>
  </si>
  <si>
    <t>FALCIONI ROBERTO</t>
  </si>
  <si>
    <t>IMPECORA MARIO</t>
  </si>
  <si>
    <t>FELICETTI SARA</t>
  </si>
  <si>
    <t>MAGNADORSA SOCIETA' AGRICOLA FORESTALE A R.L.</t>
  </si>
  <si>
    <t>MASSI SAURO</t>
  </si>
  <si>
    <t>GIULIETTI MARCO</t>
  </si>
  <si>
    <t>MARCHEGIANI IOLANDA</t>
  </si>
  <si>
    <t>NASTASI GIUSEPPE</t>
  </si>
  <si>
    <t>CAA Coldiretti - PESARO E URBINO - 008</t>
  </si>
  <si>
    <t>NOBERINI BERNARDO</t>
  </si>
  <si>
    <t>COFANI ROMUALDO</t>
  </si>
  <si>
    <t>GIACOMAZZI LUCA</t>
  </si>
  <si>
    <t>SOCIATA' AGRICOLA LE VILLE S.S.</t>
  </si>
  <si>
    <t>MECOZZI GIULIETTO</t>
  </si>
  <si>
    <t>FERRUCCI SAVINO</t>
  </si>
  <si>
    <t>MANCINI LARA</t>
  </si>
  <si>
    <t>CAA Coldiretti - ANCONA - 008</t>
  </si>
  <si>
    <t>ZANNOTTI GRAZIELLA</t>
  </si>
  <si>
    <t>POLENTA SOCIETA' AGRICOLA A R.L.</t>
  </si>
  <si>
    <t>SOCIETA' AGRICOLA FATTORIA DELLA ROVERE S.S.</t>
  </si>
  <si>
    <t>SOCIETA' AGRICOLA VECCHIO MORO...SUL LAGO S.S.</t>
  </si>
  <si>
    <t>AGEA.ASR.2021.0712242</t>
  </si>
  <si>
    <t>CAA Coldiretti - MACERATA - 007</t>
  </si>
  <si>
    <t>MERELLI MARCELLO</t>
  </si>
  <si>
    <t>ORAZI WALTER</t>
  </si>
  <si>
    <t>AGEA.ASR.2021.0701019</t>
  </si>
  <si>
    <t>CAA Coldiretti - ANCONA - 004</t>
  </si>
  <si>
    <t>ALOISI GILBERTO</t>
  </si>
  <si>
    <t>CAA Coldiretti - PESARO E URBINO - 004</t>
  </si>
  <si>
    <t>BARTOLUCCI ANGELO E ZAMPONI SANTINA SOCIETA' SEMPLICE</t>
  </si>
  <si>
    <t>PETRINI FABIO</t>
  </si>
  <si>
    <t>AZIENDA AGRICOLA SABBATINI E C. SOCIETA' AGRICOLA S.S.</t>
  </si>
  <si>
    <t>AZIENDA AGRICOLA VENZANO DI URBINATI GABRIELE E FABRIZIO S.S</t>
  </si>
  <si>
    <t>CARSETTI MASSIMILIANO</t>
  </si>
  <si>
    <t>CAA LiberiAgricoltori - PESARO E URBINO - 002</t>
  </si>
  <si>
    <t>SOCIETA' AGRICOLA PIANDIMEZZO S.S.</t>
  </si>
  <si>
    <t>ANNIBALLI ALESSANDRO-MARIA</t>
  </si>
  <si>
    <t>LOMBONI DANIELE</t>
  </si>
  <si>
    <t>PAGINI SIMONA</t>
  </si>
  <si>
    <t>SOCIETA' AGRICOLA LA VITA BELLA S.S.</t>
  </si>
  <si>
    <t>CA' LE SUORE S.A.R.L.</t>
  </si>
  <si>
    <t>CONTI MAURIZIO</t>
  </si>
  <si>
    <t>SOCIETA' AGRICOLA CA' SERRANTONIO DEI F.LLI FORMICA S.S.</t>
  </si>
  <si>
    <t>ROBERTI ALESSANDRO</t>
  </si>
  <si>
    <t>SOC.AGR.NUOVA HERA DI PECORELLI ARIANNA E C. S.A.S</t>
  </si>
  <si>
    <t>SOCIETA' AGRICOLA IUPPITER S.R.L.</t>
  </si>
  <si>
    <t>PIACENTINI RITA MARIA</t>
  </si>
  <si>
    <t>SOCIETA' AGRICOLA ZAMPONI MARCO E FAUSTO SOCIETA' SEMPLICE</t>
  </si>
  <si>
    <t>AGEA.ASR.2021.0712573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</si>
</sst>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6597-604E-4513-9443-5DC3FDF3DC1F}">
  <dimension ref="A1:Z129"/>
  <sheetViews>
    <sheetView showGridLines="0" tabSelected="1" workbookViewId="0">
      <selection activeCell="E132" sqref="E132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7.7265625" bestFit="1" customWidth="1"/>
    <col min="4" max="4" width="27.54296875" bestFit="1" customWidth="1"/>
    <col min="5" max="5" width="20.36328125" bestFit="1" customWidth="1"/>
    <col min="6" max="6" width="22.906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5429687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40</v>
      </c>
      <c r="C4" s="7" t="s">
        <v>44</v>
      </c>
      <c r="D4" s="7" t="s">
        <v>45</v>
      </c>
      <c r="E4" s="7" t="s">
        <v>36</v>
      </c>
      <c r="F4" s="7" t="s">
        <v>46</v>
      </c>
      <c r="G4" s="7">
        <v>2017</v>
      </c>
      <c r="H4" s="7" t="str">
        <f>CONCATENATE("14270156996")</f>
        <v>14270156996</v>
      </c>
      <c r="I4" s="7" t="s">
        <v>37</v>
      </c>
      <c r="J4" s="7" t="s">
        <v>31</v>
      </c>
      <c r="K4" s="7" t="str">
        <f>CONCATENATE("")</f>
        <v/>
      </c>
      <c r="L4" s="7" t="str">
        <f>CONCATENATE("6 6.4 2a")</f>
        <v>6 6.4 2a</v>
      </c>
      <c r="M4" s="7" t="str">
        <f>CONCATENATE("FRNKGM83E59Z129K")</f>
        <v>FRNKGM83E59Z129K</v>
      </c>
      <c r="N4" s="7" t="s">
        <v>47</v>
      </c>
      <c r="O4" s="7" t="s">
        <v>48</v>
      </c>
      <c r="P4" s="8">
        <v>44354</v>
      </c>
      <c r="Q4" s="7" t="s">
        <v>32</v>
      </c>
      <c r="R4" s="7" t="s">
        <v>41</v>
      </c>
      <c r="S4" s="7" t="s">
        <v>34</v>
      </c>
      <c r="T4" s="7"/>
      <c r="U4" s="7" t="s">
        <v>35</v>
      </c>
      <c r="V4" s="9">
        <v>88453.82</v>
      </c>
      <c r="W4" s="9">
        <v>38141.29</v>
      </c>
      <c r="X4" s="9">
        <v>35222.31</v>
      </c>
      <c r="Y4" s="7">
        <v>0</v>
      </c>
      <c r="Z4" s="9">
        <v>15090.22</v>
      </c>
    </row>
    <row r="5" spans="1:26" x14ac:dyDescent="0.35">
      <c r="A5" s="7" t="s">
        <v>27</v>
      </c>
      <c r="B5" s="7" t="s">
        <v>28</v>
      </c>
      <c r="C5" s="7" t="s">
        <v>44</v>
      </c>
      <c r="D5" s="7" t="s">
        <v>49</v>
      </c>
      <c r="E5" s="7" t="s">
        <v>38</v>
      </c>
      <c r="F5" s="7" t="s">
        <v>50</v>
      </c>
      <c r="G5" s="7">
        <v>2020</v>
      </c>
      <c r="H5" s="7" t="str">
        <f>CONCATENATE("04241092123")</f>
        <v>04241092123</v>
      </c>
      <c r="I5" s="7" t="s">
        <v>37</v>
      </c>
      <c r="J5" s="7" t="s">
        <v>31</v>
      </c>
      <c r="K5" s="7" t="str">
        <f>CONCATENATE("")</f>
        <v/>
      </c>
      <c r="L5" s="7" t="str">
        <f>CONCATENATE("11 11.2 4b")</f>
        <v>11 11.2 4b</v>
      </c>
      <c r="M5" s="7" t="str">
        <f>CONCATENATE("TRNRNZ60S14L736O")</f>
        <v>TRNRNZ60S14L736O</v>
      </c>
      <c r="N5" s="7" t="s">
        <v>51</v>
      </c>
      <c r="O5" s="7" t="s">
        <v>52</v>
      </c>
      <c r="P5" s="8">
        <v>44354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1035.74</v>
      </c>
      <c r="W5" s="7">
        <v>446.61</v>
      </c>
      <c r="X5" s="7">
        <v>412.43</v>
      </c>
      <c r="Y5" s="7">
        <v>0</v>
      </c>
      <c r="Z5" s="7">
        <v>176.7</v>
      </c>
    </row>
    <row r="6" spans="1:26" x14ac:dyDescent="0.35">
      <c r="A6" s="7" t="s">
        <v>27</v>
      </c>
      <c r="B6" s="7" t="s">
        <v>40</v>
      </c>
      <c r="C6" s="7" t="s">
        <v>44</v>
      </c>
      <c r="D6" s="7" t="s">
        <v>49</v>
      </c>
      <c r="E6" s="7" t="s">
        <v>36</v>
      </c>
      <c r="F6" s="7" t="s">
        <v>53</v>
      </c>
      <c r="G6" s="7">
        <v>2017</v>
      </c>
      <c r="H6" s="7" t="str">
        <f>CONCATENATE("04270233325")</f>
        <v>04270233325</v>
      </c>
      <c r="I6" s="7" t="s">
        <v>37</v>
      </c>
      <c r="J6" s="7" t="s">
        <v>31</v>
      </c>
      <c r="K6" s="7" t="str">
        <f>CONCATENATE("")</f>
        <v/>
      </c>
      <c r="L6" s="7" t="str">
        <f>CONCATENATE("16 16.8 5e")</f>
        <v>16 16.8 5e</v>
      </c>
      <c r="M6" s="7" t="str">
        <f>CONCATENATE("82004130413")</f>
        <v>82004130413</v>
      </c>
      <c r="N6" s="7" t="s">
        <v>54</v>
      </c>
      <c r="O6" s="7" t="s">
        <v>55</v>
      </c>
      <c r="P6" s="8">
        <v>44354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107454.32</v>
      </c>
      <c r="W6" s="9">
        <v>46334.3</v>
      </c>
      <c r="X6" s="9">
        <v>42788.31</v>
      </c>
      <c r="Y6" s="7">
        <v>0</v>
      </c>
      <c r="Z6" s="9">
        <v>18331.71</v>
      </c>
    </row>
    <row r="7" spans="1:26" x14ac:dyDescent="0.35">
      <c r="A7" s="7" t="s">
        <v>27</v>
      </c>
      <c r="B7" s="7" t="s">
        <v>40</v>
      </c>
      <c r="C7" s="7" t="s">
        <v>44</v>
      </c>
      <c r="D7" s="7" t="s">
        <v>49</v>
      </c>
      <c r="E7" s="7" t="s">
        <v>43</v>
      </c>
      <c r="F7" s="7" t="s">
        <v>43</v>
      </c>
      <c r="G7" s="7">
        <v>2017</v>
      </c>
      <c r="H7" s="7" t="str">
        <f>CONCATENATE("14270142129")</f>
        <v>14270142129</v>
      </c>
      <c r="I7" s="7" t="s">
        <v>37</v>
      </c>
      <c r="J7" s="7" t="s">
        <v>31</v>
      </c>
      <c r="K7" s="7" t="str">
        <f>CONCATENATE("")</f>
        <v/>
      </c>
      <c r="L7" s="7" t="str">
        <f>CONCATENATE("21 21.1 2a")</f>
        <v>21 21.1 2a</v>
      </c>
      <c r="M7" s="7" t="str">
        <f>CONCATENATE("NGLNGL42L31G453K")</f>
        <v>NGLNGL42L31G453K</v>
      </c>
      <c r="N7" s="7" t="s">
        <v>56</v>
      </c>
      <c r="O7" s="7" t="s">
        <v>57</v>
      </c>
      <c r="P7" s="8">
        <v>44354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5557.1</v>
      </c>
      <c r="W7" s="9">
        <v>2396.2199999999998</v>
      </c>
      <c r="X7" s="9">
        <v>2212.84</v>
      </c>
      <c r="Y7" s="7">
        <v>0</v>
      </c>
      <c r="Z7" s="7">
        <v>948.04</v>
      </c>
    </row>
    <row r="8" spans="1:26" x14ac:dyDescent="0.35">
      <c r="A8" s="7" t="s">
        <v>27</v>
      </c>
      <c r="B8" s="7" t="s">
        <v>40</v>
      </c>
      <c r="C8" s="7" t="s">
        <v>44</v>
      </c>
      <c r="D8" s="7" t="s">
        <v>58</v>
      </c>
      <c r="E8" s="7" t="s">
        <v>29</v>
      </c>
      <c r="F8" s="7" t="s">
        <v>59</v>
      </c>
      <c r="G8" s="7">
        <v>2017</v>
      </c>
      <c r="H8" s="7" t="str">
        <f>CONCATENATE("14270142061")</f>
        <v>14270142061</v>
      </c>
      <c r="I8" s="7" t="s">
        <v>37</v>
      </c>
      <c r="J8" s="7" t="s">
        <v>31</v>
      </c>
      <c r="K8" s="7" t="str">
        <f>CONCATENATE("")</f>
        <v/>
      </c>
      <c r="L8" s="7" t="str">
        <f>CONCATENATE("21 21.1 2a")</f>
        <v>21 21.1 2a</v>
      </c>
      <c r="M8" s="7" t="str">
        <f>CONCATENATE("02664260425")</f>
        <v>02664260425</v>
      </c>
      <c r="N8" s="7" t="s">
        <v>60</v>
      </c>
      <c r="O8" s="7" t="s">
        <v>57</v>
      </c>
      <c r="P8" s="8">
        <v>44354</v>
      </c>
      <c r="Q8" s="7" t="s">
        <v>32</v>
      </c>
      <c r="R8" s="7" t="s">
        <v>33</v>
      </c>
      <c r="S8" s="7" t="s">
        <v>34</v>
      </c>
      <c r="T8" s="7"/>
      <c r="U8" s="7" t="s">
        <v>35</v>
      </c>
      <c r="V8" s="9">
        <v>5331.57</v>
      </c>
      <c r="W8" s="9">
        <v>2298.9699999999998</v>
      </c>
      <c r="X8" s="9">
        <v>2123.0300000000002</v>
      </c>
      <c r="Y8" s="7">
        <v>0</v>
      </c>
      <c r="Z8" s="7">
        <v>909.57</v>
      </c>
    </row>
    <row r="9" spans="1:26" x14ac:dyDescent="0.35">
      <c r="A9" s="7" t="s">
        <v>27</v>
      </c>
      <c r="B9" s="7" t="s">
        <v>40</v>
      </c>
      <c r="C9" s="7" t="s">
        <v>44</v>
      </c>
      <c r="D9" s="7" t="s">
        <v>61</v>
      </c>
      <c r="E9" s="7" t="s">
        <v>38</v>
      </c>
      <c r="F9" s="7" t="s">
        <v>62</v>
      </c>
      <c r="G9" s="7">
        <v>2017</v>
      </c>
      <c r="H9" s="7" t="str">
        <f>CONCATENATE("14270142178")</f>
        <v>14270142178</v>
      </c>
      <c r="I9" s="7" t="s">
        <v>37</v>
      </c>
      <c r="J9" s="7" t="s">
        <v>31</v>
      </c>
      <c r="K9" s="7" t="str">
        <f>CONCATENATE("")</f>
        <v/>
      </c>
      <c r="L9" s="7" t="str">
        <f>CONCATENATE("21 21.1 2a")</f>
        <v>21 21.1 2a</v>
      </c>
      <c r="M9" s="7" t="str">
        <f>CONCATENATE("BRCMNO74P61E783E")</f>
        <v>BRCMNO74P61E783E</v>
      </c>
      <c r="N9" s="7" t="s">
        <v>63</v>
      </c>
      <c r="O9" s="7" t="s">
        <v>57</v>
      </c>
      <c r="P9" s="8">
        <v>44354</v>
      </c>
      <c r="Q9" s="7" t="s">
        <v>32</v>
      </c>
      <c r="R9" s="7" t="s">
        <v>33</v>
      </c>
      <c r="S9" s="7" t="s">
        <v>34</v>
      </c>
      <c r="T9" s="7"/>
      <c r="U9" s="7" t="s">
        <v>35</v>
      </c>
      <c r="V9" s="9">
        <v>7000</v>
      </c>
      <c r="W9" s="9">
        <v>3018.4</v>
      </c>
      <c r="X9" s="9">
        <v>2787.4</v>
      </c>
      <c r="Y9" s="7">
        <v>0</v>
      </c>
      <c r="Z9" s="9">
        <v>1194.2</v>
      </c>
    </row>
    <row r="10" spans="1:26" x14ac:dyDescent="0.35">
      <c r="A10" s="7" t="s">
        <v>27</v>
      </c>
      <c r="B10" s="7" t="s">
        <v>40</v>
      </c>
      <c r="C10" s="7" t="s">
        <v>44</v>
      </c>
      <c r="D10" s="7" t="s">
        <v>45</v>
      </c>
      <c r="E10" s="7" t="s">
        <v>38</v>
      </c>
      <c r="F10" s="7" t="s">
        <v>64</v>
      </c>
      <c r="G10" s="7">
        <v>2017</v>
      </c>
      <c r="H10" s="7" t="str">
        <f>CONCATENATE("14270142285")</f>
        <v>14270142285</v>
      </c>
      <c r="I10" s="7" t="s">
        <v>37</v>
      </c>
      <c r="J10" s="7" t="s">
        <v>31</v>
      </c>
      <c r="K10" s="7" t="str">
        <f>CONCATENATE("")</f>
        <v/>
      </c>
      <c r="L10" s="7" t="str">
        <f>CONCATENATE("21 21.1 2a")</f>
        <v>21 21.1 2a</v>
      </c>
      <c r="M10" s="7" t="str">
        <f>CONCATENATE("DVRSLV78S48A462D")</f>
        <v>DVRSLV78S48A462D</v>
      </c>
      <c r="N10" s="7" t="s">
        <v>65</v>
      </c>
      <c r="O10" s="7" t="s">
        <v>57</v>
      </c>
      <c r="P10" s="8">
        <v>44354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7000</v>
      </c>
      <c r="W10" s="9">
        <v>3018.4</v>
      </c>
      <c r="X10" s="9">
        <v>2787.4</v>
      </c>
      <c r="Y10" s="7">
        <v>0</v>
      </c>
      <c r="Z10" s="9">
        <v>1194.2</v>
      </c>
    </row>
    <row r="11" spans="1:26" x14ac:dyDescent="0.35">
      <c r="A11" s="7" t="s">
        <v>27</v>
      </c>
      <c r="B11" s="7" t="s">
        <v>40</v>
      </c>
      <c r="C11" s="7" t="s">
        <v>44</v>
      </c>
      <c r="D11" s="7" t="s">
        <v>58</v>
      </c>
      <c r="E11" s="7" t="s">
        <v>43</v>
      </c>
      <c r="F11" s="7" t="s">
        <v>43</v>
      </c>
      <c r="G11" s="7">
        <v>2017</v>
      </c>
      <c r="H11" s="7" t="str">
        <f>CONCATENATE("14270142046")</f>
        <v>14270142046</v>
      </c>
      <c r="I11" s="7" t="s">
        <v>37</v>
      </c>
      <c r="J11" s="7" t="s">
        <v>31</v>
      </c>
      <c r="K11" s="7" t="str">
        <f>CONCATENATE("")</f>
        <v/>
      </c>
      <c r="L11" s="7" t="str">
        <f>CONCATENATE("21 21.1 2a")</f>
        <v>21 21.1 2a</v>
      </c>
      <c r="M11" s="7" t="str">
        <f>CONCATENATE("01356830420")</f>
        <v>01356830420</v>
      </c>
      <c r="N11" s="7" t="s">
        <v>66</v>
      </c>
      <c r="O11" s="7" t="s">
        <v>57</v>
      </c>
      <c r="P11" s="8">
        <v>44354</v>
      </c>
      <c r="Q11" s="7" t="s">
        <v>32</v>
      </c>
      <c r="R11" s="7" t="s">
        <v>33</v>
      </c>
      <c r="S11" s="7" t="s">
        <v>34</v>
      </c>
      <c r="T11" s="7"/>
      <c r="U11" s="7" t="s">
        <v>35</v>
      </c>
      <c r="V11" s="9">
        <v>7000</v>
      </c>
      <c r="W11" s="9">
        <v>3018.4</v>
      </c>
      <c r="X11" s="9">
        <v>2787.4</v>
      </c>
      <c r="Y11" s="7">
        <v>0</v>
      </c>
      <c r="Z11" s="9">
        <v>1194.2</v>
      </c>
    </row>
    <row r="12" spans="1:26" ht="17.5" x14ac:dyDescent="0.35">
      <c r="A12" s="7" t="s">
        <v>27</v>
      </c>
      <c r="B12" s="7" t="s">
        <v>40</v>
      </c>
      <c r="C12" s="7" t="s">
        <v>44</v>
      </c>
      <c r="D12" s="7" t="s">
        <v>58</v>
      </c>
      <c r="E12" s="7" t="s">
        <v>29</v>
      </c>
      <c r="F12" s="7" t="s">
        <v>59</v>
      </c>
      <c r="G12" s="7">
        <v>2017</v>
      </c>
      <c r="H12" s="7" t="str">
        <f>CONCATENATE("14270142269")</f>
        <v>14270142269</v>
      </c>
      <c r="I12" s="7" t="s">
        <v>37</v>
      </c>
      <c r="J12" s="7" t="s">
        <v>31</v>
      </c>
      <c r="K12" s="7" t="str">
        <f>CONCATENATE("")</f>
        <v/>
      </c>
      <c r="L12" s="7" t="str">
        <f>CONCATENATE("21 21.1 2a")</f>
        <v>21 21.1 2a</v>
      </c>
      <c r="M12" s="7" t="str">
        <f>CONCATENATE("02788490429")</f>
        <v>02788490429</v>
      </c>
      <c r="N12" s="7" t="s">
        <v>67</v>
      </c>
      <c r="O12" s="7" t="s">
        <v>57</v>
      </c>
      <c r="P12" s="8">
        <v>44354</v>
      </c>
      <c r="Q12" s="7" t="s">
        <v>32</v>
      </c>
      <c r="R12" s="7" t="s">
        <v>33</v>
      </c>
      <c r="S12" s="7" t="s">
        <v>34</v>
      </c>
      <c r="T12" s="7"/>
      <c r="U12" s="7" t="s">
        <v>35</v>
      </c>
      <c r="V12" s="9">
        <v>7000</v>
      </c>
      <c r="W12" s="9">
        <v>3018.4</v>
      </c>
      <c r="X12" s="9">
        <v>2787.4</v>
      </c>
      <c r="Y12" s="7">
        <v>0</v>
      </c>
      <c r="Z12" s="9">
        <v>1194.2</v>
      </c>
    </row>
    <row r="13" spans="1:26" x14ac:dyDescent="0.35">
      <c r="A13" s="7" t="s">
        <v>27</v>
      </c>
      <c r="B13" s="7" t="s">
        <v>40</v>
      </c>
      <c r="C13" s="7" t="s">
        <v>44</v>
      </c>
      <c r="D13" s="7" t="s">
        <v>49</v>
      </c>
      <c r="E13" s="7" t="s">
        <v>43</v>
      </c>
      <c r="F13" s="7" t="s">
        <v>43</v>
      </c>
      <c r="G13" s="7">
        <v>2017</v>
      </c>
      <c r="H13" s="7" t="str">
        <f>CONCATENATE("14270148209")</f>
        <v>14270148209</v>
      </c>
      <c r="I13" s="7" t="s">
        <v>37</v>
      </c>
      <c r="J13" s="7" t="s">
        <v>31</v>
      </c>
      <c r="K13" s="7" t="str">
        <f>CONCATENATE("")</f>
        <v/>
      </c>
      <c r="L13" s="7" t="str">
        <f>CONCATENATE("21 21.1 2a")</f>
        <v>21 21.1 2a</v>
      </c>
      <c r="M13" s="7" t="str">
        <f>CONCATENATE("FRCSFN66M70F704B")</f>
        <v>FRCSFN66M70F704B</v>
      </c>
      <c r="N13" s="7" t="s">
        <v>68</v>
      </c>
      <c r="O13" s="7" t="s">
        <v>57</v>
      </c>
      <c r="P13" s="8">
        <v>44354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7000</v>
      </c>
      <c r="W13" s="9">
        <v>3018.4</v>
      </c>
      <c r="X13" s="9">
        <v>2787.4</v>
      </c>
      <c r="Y13" s="7">
        <v>0</v>
      </c>
      <c r="Z13" s="9">
        <v>1194.2</v>
      </c>
    </row>
    <row r="14" spans="1:26" x14ac:dyDescent="0.35">
      <c r="A14" s="7" t="s">
        <v>27</v>
      </c>
      <c r="B14" s="7" t="s">
        <v>40</v>
      </c>
      <c r="C14" s="7" t="s">
        <v>44</v>
      </c>
      <c r="D14" s="7" t="s">
        <v>58</v>
      </c>
      <c r="E14" s="7" t="s">
        <v>29</v>
      </c>
      <c r="F14" s="7" t="s">
        <v>59</v>
      </c>
      <c r="G14" s="7">
        <v>2017</v>
      </c>
      <c r="H14" s="7" t="str">
        <f>CONCATENATE("14270146385")</f>
        <v>14270146385</v>
      </c>
      <c r="I14" s="7" t="s">
        <v>37</v>
      </c>
      <c r="J14" s="7" t="s">
        <v>31</v>
      </c>
      <c r="K14" s="7" t="str">
        <f>CONCATENATE("")</f>
        <v/>
      </c>
      <c r="L14" s="7" t="str">
        <f>CONCATENATE("21 21.1 2a")</f>
        <v>21 21.1 2a</v>
      </c>
      <c r="M14" s="7" t="str">
        <f>CONCATENATE("01514370426")</f>
        <v>01514370426</v>
      </c>
      <c r="N14" s="7" t="s">
        <v>69</v>
      </c>
      <c r="O14" s="7" t="s">
        <v>57</v>
      </c>
      <c r="P14" s="8">
        <v>44354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7000</v>
      </c>
      <c r="W14" s="9">
        <v>3018.4</v>
      </c>
      <c r="X14" s="9">
        <v>2787.4</v>
      </c>
      <c r="Y14" s="7">
        <v>0</v>
      </c>
      <c r="Z14" s="9">
        <v>1194.2</v>
      </c>
    </row>
    <row r="15" spans="1:26" x14ac:dyDescent="0.35">
      <c r="A15" s="7" t="s">
        <v>27</v>
      </c>
      <c r="B15" s="7" t="s">
        <v>40</v>
      </c>
      <c r="C15" s="7" t="s">
        <v>44</v>
      </c>
      <c r="D15" s="7" t="s">
        <v>49</v>
      </c>
      <c r="E15" s="7" t="s">
        <v>43</v>
      </c>
      <c r="F15" s="7" t="s">
        <v>43</v>
      </c>
      <c r="G15" s="7">
        <v>2017</v>
      </c>
      <c r="H15" s="7" t="str">
        <f>CONCATENATE("14270142186")</f>
        <v>14270142186</v>
      </c>
      <c r="I15" s="7" t="s">
        <v>37</v>
      </c>
      <c r="J15" s="7" t="s">
        <v>31</v>
      </c>
      <c r="K15" s="7" t="str">
        <f>CONCATENATE("")</f>
        <v/>
      </c>
      <c r="L15" s="7" t="str">
        <f>CONCATENATE("21 21.1 2a")</f>
        <v>21 21.1 2a</v>
      </c>
      <c r="M15" s="7" t="str">
        <f>CONCATENATE("MCCDNC53M30L500J")</f>
        <v>MCCDNC53M30L500J</v>
      </c>
      <c r="N15" s="7" t="s">
        <v>70</v>
      </c>
      <c r="O15" s="7" t="s">
        <v>57</v>
      </c>
      <c r="P15" s="8">
        <v>44354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9">
        <v>2265.6999999999998</v>
      </c>
      <c r="W15" s="7">
        <v>976.97</v>
      </c>
      <c r="X15" s="7">
        <v>902.2</v>
      </c>
      <c r="Y15" s="7">
        <v>0</v>
      </c>
      <c r="Z15" s="7">
        <v>386.53</v>
      </c>
    </row>
    <row r="16" spans="1:26" x14ac:dyDescent="0.35">
      <c r="A16" s="7" t="s">
        <v>27</v>
      </c>
      <c r="B16" s="7" t="s">
        <v>40</v>
      </c>
      <c r="C16" s="7" t="s">
        <v>44</v>
      </c>
      <c r="D16" s="7" t="s">
        <v>58</v>
      </c>
      <c r="E16" s="7" t="s">
        <v>43</v>
      </c>
      <c r="F16" s="7" t="s">
        <v>43</v>
      </c>
      <c r="G16" s="7">
        <v>2017</v>
      </c>
      <c r="H16" s="7" t="str">
        <f>CONCATENATE("14270142038")</f>
        <v>14270142038</v>
      </c>
      <c r="I16" s="7" t="s">
        <v>37</v>
      </c>
      <c r="J16" s="7" t="s">
        <v>31</v>
      </c>
      <c r="K16" s="7" t="str">
        <f>CONCATENATE("")</f>
        <v/>
      </c>
      <c r="L16" s="7" t="str">
        <f>CONCATENATE("21 21.1 2a")</f>
        <v>21 21.1 2a</v>
      </c>
      <c r="M16" s="7" t="str">
        <f>CONCATENATE("MRDLSN51E15H501F")</f>
        <v>MRDLSN51E15H501F</v>
      </c>
      <c r="N16" s="7" t="s">
        <v>71</v>
      </c>
      <c r="O16" s="7" t="s">
        <v>57</v>
      </c>
      <c r="P16" s="8">
        <v>44354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9">
        <v>7000</v>
      </c>
      <c r="W16" s="9">
        <v>3018.4</v>
      </c>
      <c r="X16" s="9">
        <v>2787.4</v>
      </c>
      <c r="Y16" s="7">
        <v>0</v>
      </c>
      <c r="Z16" s="9">
        <v>1194.2</v>
      </c>
    </row>
    <row r="17" spans="1:26" x14ac:dyDescent="0.35">
      <c r="A17" s="7" t="s">
        <v>27</v>
      </c>
      <c r="B17" s="7" t="s">
        <v>40</v>
      </c>
      <c r="C17" s="7" t="s">
        <v>44</v>
      </c>
      <c r="D17" s="7" t="s">
        <v>49</v>
      </c>
      <c r="E17" s="7" t="s">
        <v>29</v>
      </c>
      <c r="F17" s="7" t="s">
        <v>72</v>
      </c>
      <c r="G17" s="7">
        <v>2017</v>
      </c>
      <c r="H17" s="7" t="str">
        <f>CONCATENATE("14270142111")</f>
        <v>14270142111</v>
      </c>
      <c r="I17" s="7" t="s">
        <v>37</v>
      </c>
      <c r="J17" s="7" t="s">
        <v>31</v>
      </c>
      <c r="K17" s="7" t="str">
        <f>CONCATENATE("")</f>
        <v/>
      </c>
      <c r="L17" s="7" t="str">
        <f>CONCATENATE("21 21.1 2a")</f>
        <v>21 21.1 2a</v>
      </c>
      <c r="M17" s="7" t="str">
        <f>CONCATENATE("PSSMCD65L64L498K")</f>
        <v>PSSMCD65L64L498K</v>
      </c>
      <c r="N17" s="7" t="s">
        <v>73</v>
      </c>
      <c r="O17" s="7" t="s">
        <v>57</v>
      </c>
      <c r="P17" s="8">
        <v>44354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9">
        <v>7000</v>
      </c>
      <c r="W17" s="9">
        <v>3018.4</v>
      </c>
      <c r="X17" s="9">
        <v>2787.4</v>
      </c>
      <c r="Y17" s="7">
        <v>0</v>
      </c>
      <c r="Z17" s="9">
        <v>1194.2</v>
      </c>
    </row>
    <row r="18" spans="1:26" x14ac:dyDescent="0.35">
      <c r="A18" s="7" t="s">
        <v>27</v>
      </c>
      <c r="B18" s="7" t="s">
        <v>40</v>
      </c>
      <c r="C18" s="7" t="s">
        <v>44</v>
      </c>
      <c r="D18" s="7" t="s">
        <v>58</v>
      </c>
      <c r="E18" s="7" t="s">
        <v>29</v>
      </c>
      <c r="F18" s="7" t="s">
        <v>59</v>
      </c>
      <c r="G18" s="7">
        <v>2017</v>
      </c>
      <c r="H18" s="7" t="str">
        <f>CONCATENATE("14270142079")</f>
        <v>14270142079</v>
      </c>
      <c r="I18" s="7" t="s">
        <v>37</v>
      </c>
      <c r="J18" s="7" t="s">
        <v>31</v>
      </c>
      <c r="K18" s="7" t="str">
        <f>CONCATENATE("")</f>
        <v/>
      </c>
      <c r="L18" s="7" t="str">
        <f>CONCATENATE("21 21.1 2a")</f>
        <v>21 21.1 2a</v>
      </c>
      <c r="M18" s="7" t="str">
        <f>CONCATENATE("PTRSNT71L21F453H")</f>
        <v>PTRSNT71L21F453H</v>
      </c>
      <c r="N18" s="7" t="s">
        <v>74</v>
      </c>
      <c r="O18" s="7" t="s">
        <v>57</v>
      </c>
      <c r="P18" s="8">
        <v>44354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9">
        <v>3794.17</v>
      </c>
      <c r="W18" s="9">
        <v>1636.05</v>
      </c>
      <c r="X18" s="9">
        <v>1510.84</v>
      </c>
      <c r="Y18" s="7">
        <v>0</v>
      </c>
      <c r="Z18" s="7">
        <v>647.28</v>
      </c>
    </row>
    <row r="19" spans="1:26" x14ac:dyDescent="0.35">
      <c r="A19" s="7" t="s">
        <v>27</v>
      </c>
      <c r="B19" s="7" t="s">
        <v>40</v>
      </c>
      <c r="C19" s="7" t="s">
        <v>44</v>
      </c>
      <c r="D19" s="7" t="s">
        <v>45</v>
      </c>
      <c r="E19" s="7" t="s">
        <v>43</v>
      </c>
      <c r="F19" s="7" t="s">
        <v>43</v>
      </c>
      <c r="G19" s="7">
        <v>2017</v>
      </c>
      <c r="H19" s="7" t="str">
        <f>CONCATENATE("14270142160")</f>
        <v>14270142160</v>
      </c>
      <c r="I19" s="7" t="s">
        <v>30</v>
      </c>
      <c r="J19" s="7" t="s">
        <v>31</v>
      </c>
      <c r="K19" s="7" t="str">
        <f>CONCATENATE("")</f>
        <v/>
      </c>
      <c r="L19" s="7" t="str">
        <f>CONCATENATE("21 21.1 2a")</f>
        <v>21 21.1 2a</v>
      </c>
      <c r="M19" s="7" t="str">
        <f>CONCATENATE("PRNFNC89A66F522M")</f>
        <v>PRNFNC89A66F522M</v>
      </c>
      <c r="N19" s="7" t="s">
        <v>75</v>
      </c>
      <c r="O19" s="7" t="s">
        <v>57</v>
      </c>
      <c r="P19" s="8">
        <v>44354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7000</v>
      </c>
      <c r="W19" s="9">
        <v>3018.4</v>
      </c>
      <c r="X19" s="9">
        <v>2787.4</v>
      </c>
      <c r="Y19" s="7">
        <v>0</v>
      </c>
      <c r="Z19" s="9">
        <v>1194.2</v>
      </c>
    </row>
    <row r="20" spans="1:26" x14ac:dyDescent="0.35">
      <c r="A20" s="7" t="s">
        <v>27</v>
      </c>
      <c r="B20" s="7" t="s">
        <v>40</v>
      </c>
      <c r="C20" s="7" t="s">
        <v>44</v>
      </c>
      <c r="D20" s="7" t="s">
        <v>49</v>
      </c>
      <c r="E20" s="7" t="s">
        <v>29</v>
      </c>
      <c r="F20" s="7" t="s">
        <v>76</v>
      </c>
      <c r="G20" s="7">
        <v>2017</v>
      </c>
      <c r="H20" s="7" t="str">
        <f>CONCATENATE("14270142145")</f>
        <v>14270142145</v>
      </c>
      <c r="I20" s="7" t="s">
        <v>37</v>
      </c>
      <c r="J20" s="7" t="s">
        <v>31</v>
      </c>
      <c r="K20" s="7" t="str">
        <f>CONCATENATE("")</f>
        <v/>
      </c>
      <c r="L20" s="7" t="str">
        <f>CONCATENATE("21 21.1 2a")</f>
        <v>21 21.1 2a</v>
      </c>
      <c r="M20" s="7" t="str">
        <f>CONCATENATE("SMNRTI57S45D488P")</f>
        <v>SMNRTI57S45D488P</v>
      </c>
      <c r="N20" s="7" t="s">
        <v>77</v>
      </c>
      <c r="O20" s="7" t="s">
        <v>57</v>
      </c>
      <c r="P20" s="8">
        <v>44354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7000</v>
      </c>
      <c r="W20" s="9">
        <v>3018.4</v>
      </c>
      <c r="X20" s="9">
        <v>2787.4</v>
      </c>
      <c r="Y20" s="7">
        <v>0</v>
      </c>
      <c r="Z20" s="9">
        <v>1194.2</v>
      </c>
    </row>
    <row r="21" spans="1:26" x14ac:dyDescent="0.35">
      <c r="A21" s="7" t="s">
        <v>27</v>
      </c>
      <c r="B21" s="7" t="s">
        <v>40</v>
      </c>
      <c r="C21" s="7" t="s">
        <v>44</v>
      </c>
      <c r="D21" s="7" t="s">
        <v>45</v>
      </c>
      <c r="E21" s="7" t="s">
        <v>43</v>
      </c>
      <c r="F21" s="7" t="s">
        <v>43</v>
      </c>
      <c r="G21" s="7">
        <v>2017</v>
      </c>
      <c r="H21" s="7" t="str">
        <f>CONCATENATE("14270142103")</f>
        <v>14270142103</v>
      </c>
      <c r="I21" s="7" t="s">
        <v>37</v>
      </c>
      <c r="J21" s="7" t="s">
        <v>31</v>
      </c>
      <c r="K21" s="7" t="str">
        <f>CONCATENATE("")</f>
        <v/>
      </c>
      <c r="L21" s="7" t="str">
        <f>CONCATENATE("21 21.1 2a")</f>
        <v>21 21.1 2a</v>
      </c>
      <c r="M21" s="7" t="str">
        <f>CONCATENATE("02048160440")</f>
        <v>02048160440</v>
      </c>
      <c r="N21" s="7" t="s">
        <v>78</v>
      </c>
      <c r="O21" s="7" t="s">
        <v>57</v>
      </c>
      <c r="P21" s="8">
        <v>44354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7000</v>
      </c>
      <c r="W21" s="9">
        <v>3018.4</v>
      </c>
      <c r="X21" s="9">
        <v>2787.4</v>
      </c>
      <c r="Y21" s="7">
        <v>0</v>
      </c>
      <c r="Z21" s="9">
        <v>1194.2</v>
      </c>
    </row>
    <row r="22" spans="1:26" x14ac:dyDescent="0.35">
      <c r="A22" s="7" t="s">
        <v>27</v>
      </c>
      <c r="B22" s="7" t="s">
        <v>40</v>
      </c>
      <c r="C22" s="7" t="s">
        <v>44</v>
      </c>
      <c r="D22" s="7" t="s">
        <v>61</v>
      </c>
      <c r="E22" s="7" t="s">
        <v>36</v>
      </c>
      <c r="F22" s="7" t="s">
        <v>79</v>
      </c>
      <c r="G22" s="7">
        <v>2017</v>
      </c>
      <c r="H22" s="7" t="str">
        <f>CONCATENATE("14270159107")</f>
        <v>14270159107</v>
      </c>
      <c r="I22" s="7" t="s">
        <v>30</v>
      </c>
      <c r="J22" s="7" t="s">
        <v>31</v>
      </c>
      <c r="K22" s="7" t="str">
        <f>CONCATENATE("")</f>
        <v/>
      </c>
      <c r="L22" s="7" t="str">
        <f>CONCATENATE("21 21.1 2a")</f>
        <v>21 21.1 2a</v>
      </c>
      <c r="M22" s="7" t="str">
        <f>CONCATENATE("01741530438")</f>
        <v>01741530438</v>
      </c>
      <c r="N22" s="7" t="s">
        <v>80</v>
      </c>
      <c r="O22" s="7" t="s">
        <v>57</v>
      </c>
      <c r="P22" s="8">
        <v>44354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7000</v>
      </c>
      <c r="W22" s="9">
        <v>3018.4</v>
      </c>
      <c r="X22" s="9">
        <v>2787.4</v>
      </c>
      <c r="Y22" s="7">
        <v>0</v>
      </c>
      <c r="Z22" s="9">
        <v>1194.2</v>
      </c>
    </row>
    <row r="23" spans="1:26" x14ac:dyDescent="0.35">
      <c r="A23" s="7" t="s">
        <v>27</v>
      </c>
      <c r="B23" s="7" t="s">
        <v>40</v>
      </c>
      <c r="C23" s="7" t="s">
        <v>44</v>
      </c>
      <c r="D23" s="7" t="s">
        <v>45</v>
      </c>
      <c r="E23" s="7" t="s">
        <v>36</v>
      </c>
      <c r="F23" s="7" t="s">
        <v>81</v>
      </c>
      <c r="G23" s="7">
        <v>2017</v>
      </c>
      <c r="H23" s="7" t="str">
        <f>CONCATENATE("14270142087")</f>
        <v>14270142087</v>
      </c>
      <c r="I23" s="7" t="s">
        <v>37</v>
      </c>
      <c r="J23" s="7" t="s">
        <v>31</v>
      </c>
      <c r="K23" s="7" t="str">
        <f>CONCATENATE("")</f>
        <v/>
      </c>
      <c r="L23" s="7" t="str">
        <f>CONCATENATE("21 21.1 2a")</f>
        <v>21 21.1 2a</v>
      </c>
      <c r="M23" s="7" t="str">
        <f>CONCATENATE("00489370445")</f>
        <v>00489370445</v>
      </c>
      <c r="N23" s="7" t="s">
        <v>82</v>
      </c>
      <c r="O23" s="7" t="s">
        <v>57</v>
      </c>
      <c r="P23" s="8">
        <v>44354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7000</v>
      </c>
      <c r="W23" s="9">
        <v>3018.4</v>
      </c>
      <c r="X23" s="9">
        <v>2787.4</v>
      </c>
      <c r="Y23" s="7">
        <v>0</v>
      </c>
      <c r="Z23" s="9">
        <v>1194.2</v>
      </c>
    </row>
    <row r="24" spans="1:26" x14ac:dyDescent="0.35">
      <c r="A24" s="7" t="s">
        <v>27</v>
      </c>
      <c r="B24" s="7" t="s">
        <v>40</v>
      </c>
      <c r="C24" s="7" t="s">
        <v>44</v>
      </c>
      <c r="D24" s="7" t="s">
        <v>45</v>
      </c>
      <c r="E24" s="7" t="s">
        <v>36</v>
      </c>
      <c r="F24" s="7" t="s">
        <v>83</v>
      </c>
      <c r="G24" s="7">
        <v>2017</v>
      </c>
      <c r="H24" s="7" t="str">
        <f>CONCATENATE("14270142095")</f>
        <v>14270142095</v>
      </c>
      <c r="I24" s="7" t="s">
        <v>37</v>
      </c>
      <c r="J24" s="7" t="s">
        <v>31</v>
      </c>
      <c r="K24" s="7" t="str">
        <f>CONCATENATE("")</f>
        <v/>
      </c>
      <c r="L24" s="7" t="str">
        <f>CONCATENATE("21 21.1 2a")</f>
        <v>21 21.1 2a</v>
      </c>
      <c r="M24" s="7" t="str">
        <f>CONCATENATE("01977960440")</f>
        <v>01977960440</v>
      </c>
      <c r="N24" s="7" t="s">
        <v>84</v>
      </c>
      <c r="O24" s="7" t="s">
        <v>57</v>
      </c>
      <c r="P24" s="8">
        <v>44354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3669.92</v>
      </c>
      <c r="W24" s="9">
        <v>1582.47</v>
      </c>
      <c r="X24" s="9">
        <v>1461.36</v>
      </c>
      <c r="Y24" s="7">
        <v>0</v>
      </c>
      <c r="Z24" s="7">
        <v>626.09</v>
      </c>
    </row>
    <row r="25" spans="1:26" ht="17.5" x14ac:dyDescent="0.35">
      <c r="A25" s="7" t="s">
        <v>27</v>
      </c>
      <c r="B25" s="7" t="s">
        <v>40</v>
      </c>
      <c r="C25" s="7" t="s">
        <v>44</v>
      </c>
      <c r="D25" s="7" t="s">
        <v>61</v>
      </c>
      <c r="E25" s="7" t="s">
        <v>36</v>
      </c>
      <c r="F25" s="7" t="s">
        <v>85</v>
      </c>
      <c r="G25" s="7">
        <v>2017</v>
      </c>
      <c r="H25" s="7" t="str">
        <f>CONCATENATE("14270142236")</f>
        <v>14270142236</v>
      </c>
      <c r="I25" s="7" t="s">
        <v>37</v>
      </c>
      <c r="J25" s="7" t="s">
        <v>31</v>
      </c>
      <c r="K25" s="7" t="str">
        <f>CONCATENATE("")</f>
        <v/>
      </c>
      <c r="L25" s="7" t="str">
        <f>CONCATENATE("21 21.1 2a")</f>
        <v>21 21.1 2a</v>
      </c>
      <c r="M25" s="7" t="str">
        <f>CONCATENATE("01377840432")</f>
        <v>01377840432</v>
      </c>
      <c r="N25" s="7" t="s">
        <v>86</v>
      </c>
      <c r="O25" s="7" t="s">
        <v>57</v>
      </c>
      <c r="P25" s="8">
        <v>44354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9">
        <v>7000</v>
      </c>
      <c r="W25" s="9">
        <v>3018.4</v>
      </c>
      <c r="X25" s="9">
        <v>2787.4</v>
      </c>
      <c r="Y25" s="7">
        <v>0</v>
      </c>
      <c r="Z25" s="9">
        <v>1194.2</v>
      </c>
    </row>
    <row r="26" spans="1:26" x14ac:dyDescent="0.35">
      <c r="A26" s="7" t="s">
        <v>27</v>
      </c>
      <c r="B26" s="7" t="s">
        <v>40</v>
      </c>
      <c r="C26" s="7" t="s">
        <v>44</v>
      </c>
      <c r="D26" s="7" t="s">
        <v>58</v>
      </c>
      <c r="E26" s="7" t="s">
        <v>29</v>
      </c>
      <c r="F26" s="7" t="s">
        <v>59</v>
      </c>
      <c r="G26" s="7">
        <v>2017</v>
      </c>
      <c r="H26" s="7" t="str">
        <f>CONCATENATE("14270142228")</f>
        <v>14270142228</v>
      </c>
      <c r="I26" s="7" t="s">
        <v>37</v>
      </c>
      <c r="J26" s="7" t="s">
        <v>31</v>
      </c>
      <c r="K26" s="7" t="str">
        <f>CONCATENATE("")</f>
        <v/>
      </c>
      <c r="L26" s="7" t="str">
        <f>CONCATENATE("21 21.1 2a")</f>
        <v>21 21.1 2a</v>
      </c>
      <c r="M26" s="7" t="str">
        <f>CONCATENATE("TDDMRZ65S26I251G")</f>
        <v>TDDMRZ65S26I251G</v>
      </c>
      <c r="N26" s="7" t="s">
        <v>87</v>
      </c>
      <c r="O26" s="7" t="s">
        <v>57</v>
      </c>
      <c r="P26" s="8">
        <v>44354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2146.14</v>
      </c>
      <c r="W26" s="7">
        <v>925.42</v>
      </c>
      <c r="X26" s="7">
        <v>854.59</v>
      </c>
      <c r="Y26" s="7">
        <v>0</v>
      </c>
      <c r="Z26" s="7">
        <v>366.13</v>
      </c>
    </row>
    <row r="27" spans="1:26" x14ac:dyDescent="0.35">
      <c r="A27" s="7" t="s">
        <v>27</v>
      </c>
      <c r="B27" s="7" t="s">
        <v>40</v>
      </c>
      <c r="C27" s="7" t="s">
        <v>44</v>
      </c>
      <c r="D27" s="7" t="s">
        <v>58</v>
      </c>
      <c r="E27" s="7" t="s">
        <v>29</v>
      </c>
      <c r="F27" s="7" t="s">
        <v>59</v>
      </c>
      <c r="G27" s="7">
        <v>2017</v>
      </c>
      <c r="H27" s="7" t="str">
        <f>CONCATENATE("14270142582")</f>
        <v>14270142582</v>
      </c>
      <c r="I27" s="7" t="s">
        <v>37</v>
      </c>
      <c r="J27" s="7" t="s">
        <v>31</v>
      </c>
      <c r="K27" s="7" t="str">
        <f>CONCATENATE("")</f>
        <v/>
      </c>
      <c r="L27" s="7" t="str">
        <f>CONCATENATE("21 21.1 2a")</f>
        <v>21 21.1 2a</v>
      </c>
      <c r="M27" s="7" t="str">
        <f>CONCATENATE("TDRFNC80H08E388P")</f>
        <v>TDRFNC80H08E388P</v>
      </c>
      <c r="N27" s="7" t="s">
        <v>88</v>
      </c>
      <c r="O27" s="7" t="s">
        <v>57</v>
      </c>
      <c r="P27" s="8">
        <v>44354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7000</v>
      </c>
      <c r="W27" s="9">
        <v>3018.4</v>
      </c>
      <c r="X27" s="9">
        <v>2787.4</v>
      </c>
      <c r="Y27" s="7">
        <v>0</v>
      </c>
      <c r="Z27" s="9">
        <v>1194.2</v>
      </c>
    </row>
    <row r="28" spans="1:26" x14ac:dyDescent="0.35">
      <c r="A28" s="7" t="s">
        <v>27</v>
      </c>
      <c r="B28" s="7" t="s">
        <v>40</v>
      </c>
      <c r="C28" s="7" t="s">
        <v>44</v>
      </c>
      <c r="D28" s="7" t="s">
        <v>61</v>
      </c>
      <c r="E28" s="7" t="s">
        <v>89</v>
      </c>
      <c r="F28" s="7" t="s">
        <v>90</v>
      </c>
      <c r="G28" s="7">
        <v>2017</v>
      </c>
      <c r="H28" s="7" t="str">
        <f>CONCATENATE("14270142244")</f>
        <v>14270142244</v>
      </c>
      <c r="I28" s="7" t="s">
        <v>37</v>
      </c>
      <c r="J28" s="7" t="s">
        <v>31</v>
      </c>
      <c r="K28" s="7" t="str">
        <f>CONCATENATE("")</f>
        <v/>
      </c>
      <c r="L28" s="7" t="str">
        <f>CONCATENATE("21 21.1 2a")</f>
        <v>21 21.1 2a</v>
      </c>
      <c r="M28" s="7" t="str">
        <f>CONCATENATE("VNCSMN79L62L366B")</f>
        <v>VNCSMN79L62L366B</v>
      </c>
      <c r="N28" s="7" t="s">
        <v>91</v>
      </c>
      <c r="O28" s="7" t="s">
        <v>57</v>
      </c>
      <c r="P28" s="8">
        <v>44354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7000</v>
      </c>
      <c r="W28" s="9">
        <v>3018.4</v>
      </c>
      <c r="X28" s="9">
        <v>2787.4</v>
      </c>
      <c r="Y28" s="7">
        <v>0</v>
      </c>
      <c r="Z28" s="9">
        <v>1194.2</v>
      </c>
    </row>
    <row r="29" spans="1:26" x14ac:dyDescent="0.35">
      <c r="A29" s="7" t="s">
        <v>27</v>
      </c>
      <c r="B29" s="7" t="s">
        <v>28</v>
      </c>
      <c r="C29" s="7" t="s">
        <v>44</v>
      </c>
      <c r="D29" s="7" t="s">
        <v>58</v>
      </c>
      <c r="E29" s="7" t="s">
        <v>36</v>
      </c>
      <c r="F29" s="7" t="s">
        <v>92</v>
      </c>
      <c r="G29" s="7">
        <v>2020</v>
      </c>
      <c r="H29" s="7" t="str">
        <f>CONCATENATE("04240349003")</f>
        <v>04240349003</v>
      </c>
      <c r="I29" s="7" t="s">
        <v>30</v>
      </c>
      <c r="J29" s="7" t="s">
        <v>31</v>
      </c>
      <c r="K29" s="7" t="str">
        <f>CONCATENATE("")</f>
        <v/>
      </c>
      <c r="L29" s="7" t="str">
        <f>CONCATENATE("14 14.1 3a")</f>
        <v>14 14.1 3a</v>
      </c>
      <c r="M29" s="7" t="str">
        <f>CONCATENATE("DNGPTR96P12E230A")</f>
        <v>DNGPTR96P12E230A</v>
      </c>
      <c r="N29" s="7" t="s">
        <v>93</v>
      </c>
      <c r="O29" s="7" t="s">
        <v>94</v>
      </c>
      <c r="P29" s="8">
        <v>44354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9">
        <v>5800</v>
      </c>
      <c r="W29" s="9">
        <v>2500.96</v>
      </c>
      <c r="X29" s="9">
        <v>2309.56</v>
      </c>
      <c r="Y29" s="7">
        <v>0</v>
      </c>
      <c r="Z29" s="7">
        <v>989.48</v>
      </c>
    </row>
    <row r="30" spans="1:26" ht="17.5" x14ac:dyDescent="0.35">
      <c r="A30" s="7" t="s">
        <v>27</v>
      </c>
      <c r="B30" s="7" t="s">
        <v>40</v>
      </c>
      <c r="C30" s="7" t="s">
        <v>44</v>
      </c>
      <c r="D30" s="7" t="s">
        <v>49</v>
      </c>
      <c r="E30" s="7" t="s">
        <v>29</v>
      </c>
      <c r="F30" s="7" t="s">
        <v>95</v>
      </c>
      <c r="G30" s="7">
        <v>2017</v>
      </c>
      <c r="H30" s="7" t="str">
        <f>CONCATENATE("14270142202")</f>
        <v>14270142202</v>
      </c>
      <c r="I30" s="7" t="s">
        <v>37</v>
      </c>
      <c r="J30" s="7" t="s">
        <v>31</v>
      </c>
      <c r="K30" s="7" t="str">
        <f>CONCATENATE("")</f>
        <v/>
      </c>
      <c r="L30" s="7" t="str">
        <f>CONCATENATE("21 21.1 2a")</f>
        <v>21 21.1 2a</v>
      </c>
      <c r="M30" s="7" t="str">
        <f>CONCATENATE("02329380410")</f>
        <v>02329380410</v>
      </c>
      <c r="N30" s="7" t="s">
        <v>96</v>
      </c>
      <c r="O30" s="7" t="s">
        <v>57</v>
      </c>
      <c r="P30" s="8">
        <v>44354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9">
        <v>1611.7</v>
      </c>
      <c r="W30" s="7">
        <v>694.97</v>
      </c>
      <c r="X30" s="7">
        <v>641.78</v>
      </c>
      <c r="Y30" s="7">
        <v>0</v>
      </c>
      <c r="Z30" s="7">
        <v>274.95</v>
      </c>
    </row>
    <row r="31" spans="1:26" x14ac:dyDescent="0.35">
      <c r="A31" s="7" t="s">
        <v>27</v>
      </c>
      <c r="B31" s="7" t="s">
        <v>40</v>
      </c>
      <c r="C31" s="7" t="s">
        <v>44</v>
      </c>
      <c r="D31" s="7" t="s">
        <v>49</v>
      </c>
      <c r="E31" s="7" t="s">
        <v>36</v>
      </c>
      <c r="F31" s="7" t="s">
        <v>53</v>
      </c>
      <c r="G31" s="7">
        <v>2017</v>
      </c>
      <c r="H31" s="7" t="str">
        <f>CONCATENATE("14270142210")</f>
        <v>14270142210</v>
      </c>
      <c r="I31" s="7" t="s">
        <v>37</v>
      </c>
      <c r="J31" s="7" t="s">
        <v>31</v>
      </c>
      <c r="K31" s="7" t="str">
        <f>CONCATENATE("")</f>
        <v/>
      </c>
      <c r="L31" s="7" t="str">
        <f>CONCATENATE("21 21.1 2a")</f>
        <v>21 21.1 2a</v>
      </c>
      <c r="M31" s="7" t="str">
        <f>CONCATENATE("DRNPPL62H29A035R")</f>
        <v>DRNPPL62H29A035R</v>
      </c>
      <c r="N31" s="7" t="s">
        <v>97</v>
      </c>
      <c r="O31" s="7" t="s">
        <v>57</v>
      </c>
      <c r="P31" s="8">
        <v>44354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9">
        <v>7000</v>
      </c>
      <c r="W31" s="9">
        <v>3018.4</v>
      </c>
      <c r="X31" s="9">
        <v>2787.4</v>
      </c>
      <c r="Y31" s="7">
        <v>0</v>
      </c>
      <c r="Z31" s="9">
        <v>1194.2</v>
      </c>
    </row>
    <row r="32" spans="1:26" x14ac:dyDescent="0.35">
      <c r="A32" s="7" t="s">
        <v>27</v>
      </c>
      <c r="B32" s="7" t="s">
        <v>40</v>
      </c>
      <c r="C32" s="7" t="s">
        <v>44</v>
      </c>
      <c r="D32" s="7" t="s">
        <v>45</v>
      </c>
      <c r="E32" s="7" t="s">
        <v>36</v>
      </c>
      <c r="F32" s="7" t="s">
        <v>98</v>
      </c>
      <c r="G32" s="7">
        <v>2017</v>
      </c>
      <c r="H32" s="7" t="str">
        <f>CONCATENATE("14270143465")</f>
        <v>14270143465</v>
      </c>
      <c r="I32" s="7" t="s">
        <v>37</v>
      </c>
      <c r="J32" s="7" t="s">
        <v>31</v>
      </c>
      <c r="K32" s="7" t="str">
        <f>CONCATENATE("")</f>
        <v/>
      </c>
      <c r="L32" s="7" t="str">
        <f>CONCATENATE("21 21.1 2a")</f>
        <v>21 21.1 2a</v>
      </c>
      <c r="M32" s="7" t="str">
        <f>CONCATENATE("FLNMCR97D56D542C")</f>
        <v>FLNMCR97D56D542C</v>
      </c>
      <c r="N32" s="7" t="s">
        <v>99</v>
      </c>
      <c r="O32" s="7" t="s">
        <v>57</v>
      </c>
      <c r="P32" s="8">
        <v>44354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2915.27</v>
      </c>
      <c r="W32" s="9">
        <v>1257.06</v>
      </c>
      <c r="X32" s="9">
        <v>1160.8599999999999</v>
      </c>
      <c r="Y32" s="7">
        <v>0</v>
      </c>
      <c r="Z32" s="7">
        <v>497.35</v>
      </c>
    </row>
    <row r="33" spans="1:26" ht="17.5" x14ac:dyDescent="0.35">
      <c r="A33" s="7" t="s">
        <v>27</v>
      </c>
      <c r="B33" s="7" t="s">
        <v>40</v>
      </c>
      <c r="C33" s="7" t="s">
        <v>44</v>
      </c>
      <c r="D33" s="7" t="s">
        <v>49</v>
      </c>
      <c r="E33" s="7" t="s">
        <v>29</v>
      </c>
      <c r="F33" s="7" t="s">
        <v>95</v>
      </c>
      <c r="G33" s="7">
        <v>2017</v>
      </c>
      <c r="H33" s="7" t="str">
        <f>CONCATENATE("14270142137")</f>
        <v>14270142137</v>
      </c>
      <c r="I33" s="7" t="s">
        <v>37</v>
      </c>
      <c r="J33" s="7" t="s">
        <v>31</v>
      </c>
      <c r="K33" s="7" t="str">
        <f>CONCATENATE("")</f>
        <v/>
      </c>
      <c r="L33" s="7" t="str">
        <f>CONCATENATE("21 21.1 2a")</f>
        <v>21 21.1 2a</v>
      </c>
      <c r="M33" s="7" t="str">
        <f>CONCATENATE("MRCMSM67L14D836W")</f>
        <v>MRCMSM67L14D836W</v>
      </c>
      <c r="N33" s="7" t="s">
        <v>100</v>
      </c>
      <c r="O33" s="7" t="s">
        <v>57</v>
      </c>
      <c r="P33" s="8">
        <v>44354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9">
        <v>7000</v>
      </c>
      <c r="W33" s="9">
        <v>3018.4</v>
      </c>
      <c r="X33" s="9">
        <v>2787.4</v>
      </c>
      <c r="Y33" s="7">
        <v>0</v>
      </c>
      <c r="Z33" s="9">
        <v>1194.2</v>
      </c>
    </row>
    <row r="34" spans="1:26" x14ac:dyDescent="0.35">
      <c r="A34" s="7" t="s">
        <v>27</v>
      </c>
      <c r="B34" s="7" t="s">
        <v>40</v>
      </c>
      <c r="C34" s="7" t="s">
        <v>44</v>
      </c>
      <c r="D34" s="7" t="s">
        <v>61</v>
      </c>
      <c r="E34" s="7" t="s">
        <v>36</v>
      </c>
      <c r="F34" s="7" t="s">
        <v>101</v>
      </c>
      <c r="G34" s="7">
        <v>2017</v>
      </c>
      <c r="H34" s="7" t="str">
        <f>CONCATENATE("14270142251")</f>
        <v>14270142251</v>
      </c>
      <c r="I34" s="7" t="s">
        <v>37</v>
      </c>
      <c r="J34" s="7" t="s">
        <v>31</v>
      </c>
      <c r="K34" s="7" t="str">
        <f>CONCATENATE("")</f>
        <v/>
      </c>
      <c r="L34" s="7" t="str">
        <f>CONCATENATE("21 21.1 2a")</f>
        <v>21 21.1 2a</v>
      </c>
      <c r="M34" s="7" t="str">
        <f>CONCATENATE("MCCGGN28B63L191B")</f>
        <v>MCCGGN28B63L191B</v>
      </c>
      <c r="N34" s="7" t="s">
        <v>102</v>
      </c>
      <c r="O34" s="7" t="s">
        <v>57</v>
      </c>
      <c r="P34" s="8">
        <v>44354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7000</v>
      </c>
      <c r="W34" s="9">
        <v>3018.4</v>
      </c>
      <c r="X34" s="9">
        <v>2787.4</v>
      </c>
      <c r="Y34" s="7">
        <v>0</v>
      </c>
      <c r="Z34" s="9">
        <v>1194.2</v>
      </c>
    </row>
    <row r="35" spans="1:26" x14ac:dyDescent="0.35">
      <c r="A35" s="7" t="s">
        <v>27</v>
      </c>
      <c r="B35" s="7" t="s">
        <v>40</v>
      </c>
      <c r="C35" s="7" t="s">
        <v>44</v>
      </c>
      <c r="D35" s="7" t="s">
        <v>58</v>
      </c>
      <c r="E35" s="7" t="s">
        <v>29</v>
      </c>
      <c r="F35" s="7" t="s">
        <v>103</v>
      </c>
      <c r="G35" s="7">
        <v>2017</v>
      </c>
      <c r="H35" s="7" t="str">
        <f>CONCATENATE("14270142053")</f>
        <v>14270142053</v>
      </c>
      <c r="I35" s="7" t="s">
        <v>37</v>
      </c>
      <c r="J35" s="7" t="s">
        <v>31</v>
      </c>
      <c r="K35" s="7" t="str">
        <f>CONCATENATE("")</f>
        <v/>
      </c>
      <c r="L35" s="7" t="str">
        <f>CONCATENATE("21 21.1 2a")</f>
        <v>21 21.1 2a</v>
      </c>
      <c r="M35" s="7" t="str">
        <f>CONCATENATE("CSRGRL58S63A366A")</f>
        <v>CSRGRL58S63A366A</v>
      </c>
      <c r="N35" s="7" t="s">
        <v>104</v>
      </c>
      <c r="O35" s="7" t="s">
        <v>57</v>
      </c>
      <c r="P35" s="8">
        <v>44354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9">
        <v>1940.17</v>
      </c>
      <c r="W35" s="7">
        <v>836.6</v>
      </c>
      <c r="X35" s="7">
        <v>772.58</v>
      </c>
      <c r="Y35" s="7">
        <v>0</v>
      </c>
      <c r="Z35" s="7">
        <v>330.99</v>
      </c>
    </row>
    <row r="36" spans="1:26" x14ac:dyDescent="0.35">
      <c r="A36" s="7" t="s">
        <v>27</v>
      </c>
      <c r="B36" s="7" t="s">
        <v>40</v>
      </c>
      <c r="C36" s="7" t="s">
        <v>44</v>
      </c>
      <c r="D36" s="7" t="s">
        <v>49</v>
      </c>
      <c r="E36" s="7" t="s">
        <v>29</v>
      </c>
      <c r="F36" s="7" t="s">
        <v>95</v>
      </c>
      <c r="G36" s="7">
        <v>2017</v>
      </c>
      <c r="H36" s="7" t="str">
        <f>CONCATENATE("14270142152")</f>
        <v>14270142152</v>
      </c>
      <c r="I36" s="7" t="s">
        <v>37</v>
      </c>
      <c r="J36" s="7" t="s">
        <v>31</v>
      </c>
      <c r="K36" s="7" t="str">
        <f>CONCATENATE("")</f>
        <v/>
      </c>
      <c r="L36" s="7" t="str">
        <f>CONCATENATE("21 21.1 2a")</f>
        <v>21 21.1 2a</v>
      </c>
      <c r="M36" s="7" t="str">
        <f>CONCATENATE("PNZSNT60E68H501J")</f>
        <v>PNZSNT60E68H501J</v>
      </c>
      <c r="N36" s="7" t="s">
        <v>105</v>
      </c>
      <c r="O36" s="7" t="s">
        <v>57</v>
      </c>
      <c r="P36" s="8">
        <v>44354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7000</v>
      </c>
      <c r="W36" s="9">
        <v>3018.4</v>
      </c>
      <c r="X36" s="9">
        <v>2787.4</v>
      </c>
      <c r="Y36" s="7">
        <v>0</v>
      </c>
      <c r="Z36" s="9">
        <v>1194.2</v>
      </c>
    </row>
    <row r="37" spans="1:26" x14ac:dyDescent="0.35">
      <c r="A37" s="7" t="s">
        <v>27</v>
      </c>
      <c r="B37" s="7" t="s">
        <v>40</v>
      </c>
      <c r="C37" s="7" t="s">
        <v>44</v>
      </c>
      <c r="D37" s="7" t="s">
        <v>49</v>
      </c>
      <c r="E37" s="7" t="s">
        <v>36</v>
      </c>
      <c r="F37" s="7" t="s">
        <v>53</v>
      </c>
      <c r="G37" s="7">
        <v>2017</v>
      </c>
      <c r="H37" s="7" t="str">
        <f>CONCATENATE("14270142194")</f>
        <v>14270142194</v>
      </c>
      <c r="I37" s="7" t="s">
        <v>37</v>
      </c>
      <c r="J37" s="7" t="s">
        <v>31</v>
      </c>
      <c r="K37" s="7" t="str">
        <f>CONCATENATE("")</f>
        <v/>
      </c>
      <c r="L37" s="7" t="str">
        <f>CONCATENATE("21 21.1 2a")</f>
        <v>21 21.1 2a</v>
      </c>
      <c r="M37" s="7" t="str">
        <f>CONCATENATE("02634470419")</f>
        <v>02634470419</v>
      </c>
      <c r="N37" s="7" t="s">
        <v>106</v>
      </c>
      <c r="O37" s="7" t="s">
        <v>57</v>
      </c>
      <c r="P37" s="8">
        <v>44354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7000</v>
      </c>
      <c r="W37" s="9">
        <v>3018.4</v>
      </c>
      <c r="X37" s="9">
        <v>2787.4</v>
      </c>
      <c r="Y37" s="7">
        <v>0</v>
      </c>
      <c r="Z37" s="9">
        <v>1194.2</v>
      </c>
    </row>
    <row r="38" spans="1:26" x14ac:dyDescent="0.35">
      <c r="A38" s="7" t="s">
        <v>27</v>
      </c>
      <c r="B38" s="7" t="s">
        <v>40</v>
      </c>
      <c r="C38" s="7" t="s">
        <v>44</v>
      </c>
      <c r="D38" s="7" t="s">
        <v>61</v>
      </c>
      <c r="E38" s="7" t="s">
        <v>36</v>
      </c>
      <c r="F38" s="7" t="s">
        <v>79</v>
      </c>
      <c r="G38" s="7">
        <v>2017</v>
      </c>
      <c r="H38" s="7" t="str">
        <f>CONCATENATE("14270151484")</f>
        <v>14270151484</v>
      </c>
      <c r="I38" s="7" t="s">
        <v>37</v>
      </c>
      <c r="J38" s="7" t="s">
        <v>31</v>
      </c>
      <c r="K38" s="7" t="str">
        <f>CONCATENATE("")</f>
        <v/>
      </c>
      <c r="L38" s="7" t="str">
        <f>CONCATENATE("21 21.1 2a")</f>
        <v>21 21.1 2a</v>
      </c>
      <c r="M38" s="7" t="str">
        <f>CONCATENATE("CRRLGU66B11D628H")</f>
        <v>CRRLGU66B11D628H</v>
      </c>
      <c r="N38" s="7" t="s">
        <v>107</v>
      </c>
      <c r="O38" s="7" t="s">
        <v>108</v>
      </c>
      <c r="P38" s="8">
        <v>44354</v>
      </c>
      <c r="Q38" s="7" t="s">
        <v>32</v>
      </c>
      <c r="R38" s="7" t="s">
        <v>33</v>
      </c>
      <c r="S38" s="7" t="s">
        <v>34</v>
      </c>
      <c r="T38" s="7"/>
      <c r="U38" s="7" t="s">
        <v>35</v>
      </c>
      <c r="V38" s="9">
        <v>4200</v>
      </c>
      <c r="W38" s="9">
        <v>1811.04</v>
      </c>
      <c r="X38" s="9">
        <v>1672.44</v>
      </c>
      <c r="Y38" s="7">
        <v>0</v>
      </c>
      <c r="Z38" s="7">
        <v>716.52</v>
      </c>
    </row>
    <row r="39" spans="1:26" x14ac:dyDescent="0.35">
      <c r="A39" s="7" t="s">
        <v>27</v>
      </c>
      <c r="B39" s="7" t="s">
        <v>40</v>
      </c>
      <c r="C39" s="7" t="s">
        <v>44</v>
      </c>
      <c r="D39" s="7" t="s">
        <v>61</v>
      </c>
      <c r="E39" s="7" t="s">
        <v>36</v>
      </c>
      <c r="F39" s="7" t="s">
        <v>109</v>
      </c>
      <c r="G39" s="7">
        <v>2017</v>
      </c>
      <c r="H39" s="7" t="str">
        <f>CONCATENATE("14270151245")</f>
        <v>14270151245</v>
      </c>
      <c r="I39" s="7" t="s">
        <v>37</v>
      </c>
      <c r="J39" s="7" t="s">
        <v>31</v>
      </c>
      <c r="K39" s="7" t="str">
        <f>CONCATENATE("")</f>
        <v/>
      </c>
      <c r="L39" s="7" t="str">
        <f>CONCATENATE("21 21.1 2a")</f>
        <v>21 21.1 2a</v>
      </c>
      <c r="M39" s="7" t="str">
        <f>CONCATENATE("01442190433")</f>
        <v>01442190433</v>
      </c>
      <c r="N39" s="7" t="s">
        <v>110</v>
      </c>
      <c r="O39" s="7" t="s">
        <v>108</v>
      </c>
      <c r="P39" s="8">
        <v>44354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7000</v>
      </c>
      <c r="W39" s="9">
        <v>3018.4</v>
      </c>
      <c r="X39" s="9">
        <v>2787.4</v>
      </c>
      <c r="Y39" s="7">
        <v>0</v>
      </c>
      <c r="Z39" s="9">
        <v>1194.2</v>
      </c>
    </row>
    <row r="40" spans="1:26" x14ac:dyDescent="0.35">
      <c r="A40" s="7" t="s">
        <v>27</v>
      </c>
      <c r="B40" s="7" t="s">
        <v>40</v>
      </c>
      <c r="C40" s="7" t="s">
        <v>44</v>
      </c>
      <c r="D40" s="7" t="s">
        <v>49</v>
      </c>
      <c r="E40" s="7" t="s">
        <v>29</v>
      </c>
      <c r="F40" s="7" t="s">
        <v>111</v>
      </c>
      <c r="G40" s="7">
        <v>2017</v>
      </c>
      <c r="H40" s="7" t="str">
        <f>CONCATENATE("14270151534")</f>
        <v>14270151534</v>
      </c>
      <c r="I40" s="7" t="s">
        <v>37</v>
      </c>
      <c r="J40" s="7" t="s">
        <v>31</v>
      </c>
      <c r="K40" s="7" t="str">
        <f>CONCATENATE("")</f>
        <v/>
      </c>
      <c r="L40" s="7" t="str">
        <f>CONCATENATE("21 21.1 2a")</f>
        <v>21 21.1 2a</v>
      </c>
      <c r="M40" s="7" t="str">
        <f>CONCATENATE("02457920417")</f>
        <v>02457920417</v>
      </c>
      <c r="N40" s="7" t="s">
        <v>112</v>
      </c>
      <c r="O40" s="7" t="s">
        <v>108</v>
      </c>
      <c r="P40" s="8">
        <v>44354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9">
        <v>1680</v>
      </c>
      <c r="W40" s="7">
        <v>724.42</v>
      </c>
      <c r="X40" s="7">
        <v>668.98</v>
      </c>
      <c r="Y40" s="7">
        <v>0</v>
      </c>
      <c r="Z40" s="7">
        <v>286.60000000000002</v>
      </c>
    </row>
    <row r="41" spans="1:26" x14ac:dyDescent="0.35">
      <c r="A41" s="7" t="s">
        <v>27</v>
      </c>
      <c r="B41" s="7" t="s">
        <v>40</v>
      </c>
      <c r="C41" s="7" t="s">
        <v>44</v>
      </c>
      <c r="D41" s="7" t="s">
        <v>44</v>
      </c>
      <c r="E41" s="7" t="s">
        <v>43</v>
      </c>
      <c r="F41" s="7" t="s">
        <v>43</v>
      </c>
      <c r="G41" s="7">
        <v>2017</v>
      </c>
      <c r="H41" s="7" t="str">
        <f>CONCATENATE("14270156384")</f>
        <v>14270156384</v>
      </c>
      <c r="I41" s="7" t="s">
        <v>37</v>
      </c>
      <c r="J41" s="7" t="s">
        <v>31</v>
      </c>
      <c r="K41" s="7" t="str">
        <f>CONCATENATE("")</f>
        <v/>
      </c>
      <c r="L41" s="7" t="str">
        <f>CONCATENATE("19 19.2 6b")</f>
        <v>19 19.2 6b</v>
      </c>
      <c r="M41" s="7" t="str">
        <f>CONCATENATE("00334340445")</f>
        <v>00334340445</v>
      </c>
      <c r="N41" s="7" t="s">
        <v>113</v>
      </c>
      <c r="O41" s="7" t="s">
        <v>114</v>
      </c>
      <c r="P41" s="8">
        <v>44354</v>
      </c>
      <c r="Q41" s="7" t="s">
        <v>32</v>
      </c>
      <c r="R41" s="7" t="s">
        <v>42</v>
      </c>
      <c r="S41" s="7" t="s">
        <v>34</v>
      </c>
      <c r="T41" s="7"/>
      <c r="U41" s="7" t="s">
        <v>35</v>
      </c>
      <c r="V41" s="9">
        <v>24996</v>
      </c>
      <c r="W41" s="9">
        <v>10778.28</v>
      </c>
      <c r="X41" s="9">
        <v>9953.41</v>
      </c>
      <c r="Y41" s="7">
        <v>0</v>
      </c>
      <c r="Z41" s="9">
        <v>4264.3100000000004</v>
      </c>
    </row>
    <row r="42" spans="1:26" x14ac:dyDescent="0.35">
      <c r="A42" s="7" t="s">
        <v>27</v>
      </c>
      <c r="B42" s="7" t="s">
        <v>40</v>
      </c>
      <c r="C42" s="7" t="s">
        <v>44</v>
      </c>
      <c r="D42" s="7" t="s">
        <v>44</v>
      </c>
      <c r="E42" s="7" t="s">
        <v>43</v>
      </c>
      <c r="F42" s="7" t="s">
        <v>43</v>
      </c>
      <c r="G42" s="7">
        <v>2017</v>
      </c>
      <c r="H42" s="7" t="str">
        <f>CONCATENATE("14270156434")</f>
        <v>14270156434</v>
      </c>
      <c r="I42" s="7" t="s">
        <v>37</v>
      </c>
      <c r="J42" s="7" t="s">
        <v>31</v>
      </c>
      <c r="K42" s="7" t="str">
        <f>CONCATENATE("")</f>
        <v/>
      </c>
      <c r="L42" s="7" t="str">
        <f>CONCATENATE("19 19.2 6b")</f>
        <v>19 19.2 6b</v>
      </c>
      <c r="M42" s="7" t="str">
        <f>CONCATENATE("01093960415")</f>
        <v>01093960415</v>
      </c>
      <c r="N42" s="7" t="s">
        <v>115</v>
      </c>
      <c r="O42" s="7" t="s">
        <v>116</v>
      </c>
      <c r="P42" s="8">
        <v>44354</v>
      </c>
      <c r="Q42" s="7" t="s">
        <v>32</v>
      </c>
      <c r="R42" s="7" t="s">
        <v>42</v>
      </c>
      <c r="S42" s="7" t="s">
        <v>34</v>
      </c>
      <c r="T42" s="7"/>
      <c r="U42" s="7" t="s">
        <v>35</v>
      </c>
      <c r="V42" s="9">
        <v>15000</v>
      </c>
      <c r="W42" s="9">
        <v>6468</v>
      </c>
      <c r="X42" s="9">
        <v>5973</v>
      </c>
      <c r="Y42" s="7">
        <v>0</v>
      </c>
      <c r="Z42" s="9">
        <v>2559</v>
      </c>
    </row>
    <row r="43" spans="1:26" ht="17.5" x14ac:dyDescent="0.35">
      <c r="A43" s="7" t="s">
        <v>27</v>
      </c>
      <c r="B43" s="7" t="s">
        <v>40</v>
      </c>
      <c r="C43" s="7" t="s">
        <v>44</v>
      </c>
      <c r="D43" s="7" t="s">
        <v>58</v>
      </c>
      <c r="E43" s="7" t="s">
        <v>43</v>
      </c>
      <c r="F43" s="7" t="s">
        <v>43</v>
      </c>
      <c r="G43" s="7">
        <v>2017</v>
      </c>
      <c r="H43" s="7" t="str">
        <f>CONCATENATE("14270151302")</f>
        <v>14270151302</v>
      </c>
      <c r="I43" s="7" t="s">
        <v>37</v>
      </c>
      <c r="J43" s="7" t="s">
        <v>31</v>
      </c>
      <c r="K43" s="7" t="str">
        <f>CONCATENATE("")</f>
        <v/>
      </c>
      <c r="L43" s="7" t="str">
        <f>CONCATENATE("21 21.1 2a")</f>
        <v>21 21.1 2a</v>
      </c>
      <c r="M43" s="7" t="str">
        <f>CONCATENATE("02389100427")</f>
        <v>02389100427</v>
      </c>
      <c r="N43" s="7" t="s">
        <v>117</v>
      </c>
      <c r="O43" s="7" t="s">
        <v>108</v>
      </c>
      <c r="P43" s="8">
        <v>44354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2520</v>
      </c>
      <c r="W43" s="9">
        <v>1086.6199999999999</v>
      </c>
      <c r="X43" s="9">
        <v>1003.46</v>
      </c>
      <c r="Y43" s="7">
        <v>0</v>
      </c>
      <c r="Z43" s="7">
        <v>429.92</v>
      </c>
    </row>
    <row r="44" spans="1:26" x14ac:dyDescent="0.35">
      <c r="A44" s="7" t="s">
        <v>27</v>
      </c>
      <c r="B44" s="7" t="s">
        <v>40</v>
      </c>
      <c r="C44" s="7" t="s">
        <v>44</v>
      </c>
      <c r="D44" s="7" t="s">
        <v>61</v>
      </c>
      <c r="E44" s="7" t="s">
        <v>43</v>
      </c>
      <c r="F44" s="7" t="s">
        <v>43</v>
      </c>
      <c r="G44" s="7">
        <v>2017</v>
      </c>
      <c r="H44" s="7" t="str">
        <f>CONCATENATE("14270152904")</f>
        <v>14270152904</v>
      </c>
      <c r="I44" s="7" t="s">
        <v>37</v>
      </c>
      <c r="J44" s="7" t="s">
        <v>31</v>
      </c>
      <c r="K44" s="7" t="str">
        <f>CONCATENATE("")</f>
        <v/>
      </c>
      <c r="L44" s="7" t="str">
        <f>CONCATENATE("21 21.1 2a")</f>
        <v>21 21.1 2a</v>
      </c>
      <c r="M44" s="7" t="str">
        <f>CONCATENATE("CNGFLV54C20E783U")</f>
        <v>CNGFLV54C20E783U</v>
      </c>
      <c r="N44" s="7" t="s">
        <v>118</v>
      </c>
      <c r="O44" s="7" t="s">
        <v>108</v>
      </c>
      <c r="P44" s="8">
        <v>44354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1320</v>
      </c>
      <c r="W44" s="7">
        <v>569.17999999999995</v>
      </c>
      <c r="X44" s="7">
        <v>525.62</v>
      </c>
      <c r="Y44" s="7">
        <v>0</v>
      </c>
      <c r="Z44" s="7">
        <v>225.2</v>
      </c>
    </row>
    <row r="45" spans="1:26" x14ac:dyDescent="0.35">
      <c r="A45" s="7" t="s">
        <v>27</v>
      </c>
      <c r="B45" s="7" t="s">
        <v>40</v>
      </c>
      <c r="C45" s="7" t="s">
        <v>44</v>
      </c>
      <c r="D45" s="7" t="s">
        <v>58</v>
      </c>
      <c r="E45" s="7" t="s">
        <v>36</v>
      </c>
      <c r="F45" s="7" t="s">
        <v>119</v>
      </c>
      <c r="G45" s="7">
        <v>2017</v>
      </c>
      <c r="H45" s="7" t="str">
        <f>CONCATENATE("14270152912")</f>
        <v>14270152912</v>
      </c>
      <c r="I45" s="7" t="s">
        <v>30</v>
      </c>
      <c r="J45" s="7" t="s">
        <v>31</v>
      </c>
      <c r="K45" s="7" t="str">
        <f>CONCATENATE("")</f>
        <v/>
      </c>
      <c r="L45" s="7" t="str">
        <f>CONCATENATE("21 21.1 2a")</f>
        <v>21 21.1 2a</v>
      </c>
      <c r="M45" s="7" t="str">
        <f>CONCATENATE("CRNLCU90D02D451Y")</f>
        <v>CRNLCU90D02D451Y</v>
      </c>
      <c r="N45" s="7" t="s">
        <v>120</v>
      </c>
      <c r="O45" s="7" t="s">
        <v>108</v>
      </c>
      <c r="P45" s="8">
        <v>44354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1575</v>
      </c>
      <c r="W45" s="7">
        <v>679.14</v>
      </c>
      <c r="X45" s="7">
        <v>627.16999999999996</v>
      </c>
      <c r="Y45" s="7">
        <v>0</v>
      </c>
      <c r="Z45" s="7">
        <v>268.69</v>
      </c>
    </row>
    <row r="46" spans="1:26" x14ac:dyDescent="0.35">
      <c r="A46" s="7" t="s">
        <v>27</v>
      </c>
      <c r="B46" s="7" t="s">
        <v>40</v>
      </c>
      <c r="C46" s="7" t="s">
        <v>44</v>
      </c>
      <c r="D46" s="7" t="s">
        <v>61</v>
      </c>
      <c r="E46" s="7" t="s">
        <v>36</v>
      </c>
      <c r="F46" s="7" t="s">
        <v>79</v>
      </c>
      <c r="G46" s="7">
        <v>2017</v>
      </c>
      <c r="H46" s="7" t="str">
        <f>CONCATENATE("14270151518")</f>
        <v>14270151518</v>
      </c>
      <c r="I46" s="7" t="s">
        <v>37</v>
      </c>
      <c r="J46" s="7" t="s">
        <v>31</v>
      </c>
      <c r="K46" s="7" t="str">
        <f>CONCATENATE("")</f>
        <v/>
      </c>
      <c r="L46" s="7" t="str">
        <f>CONCATENATE("21 21.1 2a")</f>
        <v>21 21.1 2a</v>
      </c>
      <c r="M46" s="7" t="str">
        <f>CONCATENATE("01710780436")</f>
        <v>01710780436</v>
      </c>
      <c r="N46" s="7" t="s">
        <v>121</v>
      </c>
      <c r="O46" s="7" t="s">
        <v>108</v>
      </c>
      <c r="P46" s="8">
        <v>44354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9">
        <v>1680</v>
      </c>
      <c r="W46" s="7">
        <v>724.42</v>
      </c>
      <c r="X46" s="7">
        <v>668.98</v>
      </c>
      <c r="Y46" s="7">
        <v>0</v>
      </c>
      <c r="Z46" s="7">
        <v>286.60000000000002</v>
      </c>
    </row>
    <row r="47" spans="1:26" ht="17.5" x14ac:dyDescent="0.35">
      <c r="A47" s="7" t="s">
        <v>27</v>
      </c>
      <c r="B47" s="7" t="s">
        <v>40</v>
      </c>
      <c r="C47" s="7" t="s">
        <v>44</v>
      </c>
      <c r="D47" s="7" t="s">
        <v>49</v>
      </c>
      <c r="E47" s="7" t="s">
        <v>43</v>
      </c>
      <c r="F47" s="7" t="s">
        <v>43</v>
      </c>
      <c r="G47" s="7">
        <v>2017</v>
      </c>
      <c r="H47" s="7" t="str">
        <f>CONCATENATE("14270151450")</f>
        <v>14270151450</v>
      </c>
      <c r="I47" s="7" t="s">
        <v>37</v>
      </c>
      <c r="J47" s="7" t="s">
        <v>31</v>
      </c>
      <c r="K47" s="7" t="str">
        <f>CONCATENATE("")</f>
        <v/>
      </c>
      <c r="L47" s="7" t="str">
        <f>CONCATENATE("21 21.1 2a")</f>
        <v>21 21.1 2a</v>
      </c>
      <c r="M47" s="7" t="str">
        <f>CONCATENATE("MGNRNZ56M20G479H")</f>
        <v>MGNRNZ56M20G479H</v>
      </c>
      <c r="N47" s="7" t="s">
        <v>122</v>
      </c>
      <c r="O47" s="7" t="s">
        <v>108</v>
      </c>
      <c r="P47" s="8">
        <v>44354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1680</v>
      </c>
      <c r="W47" s="7">
        <v>724.42</v>
      </c>
      <c r="X47" s="7">
        <v>668.98</v>
      </c>
      <c r="Y47" s="7">
        <v>0</v>
      </c>
      <c r="Z47" s="7">
        <v>286.60000000000002</v>
      </c>
    </row>
    <row r="48" spans="1:26" ht="17.5" x14ac:dyDescent="0.35">
      <c r="A48" s="7" t="s">
        <v>27</v>
      </c>
      <c r="B48" s="7" t="s">
        <v>40</v>
      </c>
      <c r="C48" s="7" t="s">
        <v>44</v>
      </c>
      <c r="D48" s="7" t="s">
        <v>58</v>
      </c>
      <c r="E48" s="7" t="s">
        <v>29</v>
      </c>
      <c r="F48" s="7" t="s">
        <v>103</v>
      </c>
      <c r="G48" s="7">
        <v>2017</v>
      </c>
      <c r="H48" s="7" t="str">
        <f>CONCATENATE("14270151492")</f>
        <v>14270151492</v>
      </c>
      <c r="I48" s="7" t="s">
        <v>37</v>
      </c>
      <c r="J48" s="7" t="s">
        <v>31</v>
      </c>
      <c r="K48" s="7" t="str">
        <f>CONCATENATE("")</f>
        <v/>
      </c>
      <c r="L48" s="7" t="str">
        <f>CONCATENATE("21 21.1 2a")</f>
        <v>21 21.1 2a</v>
      </c>
      <c r="M48" s="7" t="str">
        <f>CONCATENATE("02663240428")</f>
        <v>02663240428</v>
      </c>
      <c r="N48" s="7" t="s">
        <v>123</v>
      </c>
      <c r="O48" s="7" t="s">
        <v>108</v>
      </c>
      <c r="P48" s="8">
        <v>44354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9">
        <v>1260</v>
      </c>
      <c r="W48" s="7">
        <v>543.30999999999995</v>
      </c>
      <c r="X48" s="7">
        <v>501.73</v>
      </c>
      <c r="Y48" s="7">
        <v>0</v>
      </c>
      <c r="Z48" s="7">
        <v>214.96</v>
      </c>
    </row>
    <row r="49" spans="1:26" ht="17.5" x14ac:dyDescent="0.35">
      <c r="A49" s="7" t="s">
        <v>27</v>
      </c>
      <c r="B49" s="7" t="s">
        <v>40</v>
      </c>
      <c r="C49" s="7" t="s">
        <v>44</v>
      </c>
      <c r="D49" s="7" t="s">
        <v>58</v>
      </c>
      <c r="E49" s="7" t="s">
        <v>43</v>
      </c>
      <c r="F49" s="7" t="s">
        <v>43</v>
      </c>
      <c r="G49" s="7">
        <v>2017</v>
      </c>
      <c r="H49" s="7" t="str">
        <f>CONCATENATE("14270151161")</f>
        <v>14270151161</v>
      </c>
      <c r="I49" s="7" t="s">
        <v>37</v>
      </c>
      <c r="J49" s="7" t="s">
        <v>31</v>
      </c>
      <c r="K49" s="7" t="str">
        <f>CONCATENATE("")</f>
        <v/>
      </c>
      <c r="L49" s="7" t="str">
        <f>CONCATENATE("21 21.1 2a")</f>
        <v>21 21.1 2a</v>
      </c>
      <c r="M49" s="7" t="str">
        <f>CONCATENATE("MZZGPP42M29G157O")</f>
        <v>MZZGPP42M29G157O</v>
      </c>
      <c r="N49" s="7" t="s">
        <v>124</v>
      </c>
      <c r="O49" s="7" t="s">
        <v>108</v>
      </c>
      <c r="P49" s="8">
        <v>44354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2160</v>
      </c>
      <c r="W49" s="7">
        <v>931.39</v>
      </c>
      <c r="X49" s="7">
        <v>860.11</v>
      </c>
      <c r="Y49" s="7">
        <v>0</v>
      </c>
      <c r="Z49" s="7">
        <v>368.5</v>
      </c>
    </row>
    <row r="50" spans="1:26" x14ac:dyDescent="0.35">
      <c r="A50" s="7" t="s">
        <v>27</v>
      </c>
      <c r="B50" s="7" t="s">
        <v>40</v>
      </c>
      <c r="C50" s="7" t="s">
        <v>44</v>
      </c>
      <c r="D50" s="7" t="s">
        <v>58</v>
      </c>
      <c r="E50" s="7" t="s">
        <v>36</v>
      </c>
      <c r="F50" s="7" t="s">
        <v>119</v>
      </c>
      <c r="G50" s="7">
        <v>2017</v>
      </c>
      <c r="H50" s="7" t="str">
        <f>CONCATENATE("14270151203")</f>
        <v>14270151203</v>
      </c>
      <c r="I50" s="7" t="s">
        <v>37</v>
      </c>
      <c r="J50" s="7" t="s">
        <v>31</v>
      </c>
      <c r="K50" s="7" t="str">
        <f>CONCATENATE("")</f>
        <v/>
      </c>
      <c r="L50" s="7" t="str">
        <f>CONCATENATE("21 21.1 2a")</f>
        <v>21 21.1 2a</v>
      </c>
      <c r="M50" s="7" t="str">
        <f>CONCATENATE("PRSCRS92T30D451O")</f>
        <v>PRSCRS92T30D451O</v>
      </c>
      <c r="N50" s="7" t="s">
        <v>125</v>
      </c>
      <c r="O50" s="7" t="s">
        <v>108</v>
      </c>
      <c r="P50" s="8">
        <v>44354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1260</v>
      </c>
      <c r="W50" s="7">
        <v>543.30999999999995</v>
      </c>
      <c r="X50" s="7">
        <v>501.73</v>
      </c>
      <c r="Y50" s="7">
        <v>0</v>
      </c>
      <c r="Z50" s="7">
        <v>214.96</v>
      </c>
    </row>
    <row r="51" spans="1:26" x14ac:dyDescent="0.35">
      <c r="A51" s="7" t="s">
        <v>27</v>
      </c>
      <c r="B51" s="7" t="s">
        <v>40</v>
      </c>
      <c r="C51" s="7" t="s">
        <v>44</v>
      </c>
      <c r="D51" s="7" t="s">
        <v>58</v>
      </c>
      <c r="E51" s="7" t="s">
        <v>36</v>
      </c>
      <c r="F51" s="7" t="s">
        <v>92</v>
      </c>
      <c r="G51" s="7">
        <v>2017</v>
      </c>
      <c r="H51" s="7" t="str">
        <f>CONCATENATE("14270151294")</f>
        <v>14270151294</v>
      </c>
      <c r="I51" s="7" t="s">
        <v>37</v>
      </c>
      <c r="J51" s="7" t="s">
        <v>31</v>
      </c>
      <c r="K51" s="7" t="str">
        <f>CONCATENATE("")</f>
        <v/>
      </c>
      <c r="L51" s="7" t="str">
        <f>CONCATENATE("21 21.1 2a")</f>
        <v>21 21.1 2a</v>
      </c>
      <c r="M51" s="7" t="str">
        <f>CONCATENATE("02293460420")</f>
        <v>02293460420</v>
      </c>
      <c r="N51" s="7" t="s">
        <v>126</v>
      </c>
      <c r="O51" s="7" t="s">
        <v>108</v>
      </c>
      <c r="P51" s="8">
        <v>44354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2700</v>
      </c>
      <c r="W51" s="9">
        <v>1164.24</v>
      </c>
      <c r="X51" s="9">
        <v>1075.1400000000001</v>
      </c>
      <c r="Y51" s="7">
        <v>0</v>
      </c>
      <c r="Z51" s="7">
        <v>460.62</v>
      </c>
    </row>
    <row r="52" spans="1:26" x14ac:dyDescent="0.35">
      <c r="A52" s="7" t="s">
        <v>27</v>
      </c>
      <c r="B52" s="7" t="s">
        <v>40</v>
      </c>
      <c r="C52" s="7" t="s">
        <v>44</v>
      </c>
      <c r="D52" s="7" t="s">
        <v>61</v>
      </c>
      <c r="E52" s="7" t="s">
        <v>43</v>
      </c>
      <c r="F52" s="7" t="s">
        <v>43</v>
      </c>
      <c r="G52" s="7">
        <v>2017</v>
      </c>
      <c r="H52" s="7" t="str">
        <f>CONCATENATE("14270151377")</f>
        <v>14270151377</v>
      </c>
      <c r="I52" s="7" t="s">
        <v>37</v>
      </c>
      <c r="J52" s="7" t="s">
        <v>31</v>
      </c>
      <c r="K52" s="7" t="str">
        <f>CONCATENATE("")</f>
        <v/>
      </c>
      <c r="L52" s="7" t="str">
        <f>CONCATENATE("21 21.1 2a")</f>
        <v>21 21.1 2a</v>
      </c>
      <c r="M52" s="7" t="str">
        <f>CONCATENATE("01913720437")</f>
        <v>01913720437</v>
      </c>
      <c r="N52" s="7" t="s">
        <v>127</v>
      </c>
      <c r="O52" s="7" t="s">
        <v>108</v>
      </c>
      <c r="P52" s="8">
        <v>44354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9">
        <v>1050</v>
      </c>
      <c r="W52" s="7">
        <v>452.76</v>
      </c>
      <c r="X52" s="7">
        <v>418.11</v>
      </c>
      <c r="Y52" s="7">
        <v>0</v>
      </c>
      <c r="Z52" s="7">
        <v>179.13</v>
      </c>
    </row>
    <row r="53" spans="1:26" x14ac:dyDescent="0.35">
      <c r="A53" s="7" t="s">
        <v>27</v>
      </c>
      <c r="B53" s="7" t="s">
        <v>40</v>
      </c>
      <c r="C53" s="7" t="s">
        <v>44</v>
      </c>
      <c r="D53" s="7" t="s">
        <v>49</v>
      </c>
      <c r="E53" s="7" t="s">
        <v>43</v>
      </c>
      <c r="F53" s="7" t="s">
        <v>43</v>
      </c>
      <c r="G53" s="7">
        <v>2017</v>
      </c>
      <c r="H53" s="7" t="str">
        <f>CONCATENATE("14270155345")</f>
        <v>14270155345</v>
      </c>
      <c r="I53" s="7" t="s">
        <v>37</v>
      </c>
      <c r="J53" s="7" t="s">
        <v>31</v>
      </c>
      <c r="K53" s="7" t="str">
        <f>CONCATENATE("")</f>
        <v/>
      </c>
      <c r="L53" s="7" t="str">
        <f>CONCATENATE("21 21.1 2a")</f>
        <v>21 21.1 2a</v>
      </c>
      <c r="M53" s="7" t="str">
        <f>CONCATENATE("00452950413")</f>
        <v>00452950413</v>
      </c>
      <c r="N53" s="7" t="s">
        <v>128</v>
      </c>
      <c r="O53" s="7" t="s">
        <v>108</v>
      </c>
      <c r="P53" s="8">
        <v>44354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2400</v>
      </c>
      <c r="W53" s="9">
        <v>1034.8800000000001</v>
      </c>
      <c r="X53" s="7">
        <v>955.68</v>
      </c>
      <c r="Y53" s="7">
        <v>0</v>
      </c>
      <c r="Z53" s="7">
        <v>409.44</v>
      </c>
    </row>
    <row r="54" spans="1:26" x14ac:dyDescent="0.35">
      <c r="A54" s="7" t="s">
        <v>27</v>
      </c>
      <c r="B54" s="7" t="s">
        <v>40</v>
      </c>
      <c r="C54" s="7" t="s">
        <v>44</v>
      </c>
      <c r="D54" s="7" t="s">
        <v>61</v>
      </c>
      <c r="E54" s="7" t="s">
        <v>43</v>
      </c>
      <c r="F54" s="7" t="s">
        <v>43</v>
      </c>
      <c r="G54" s="7">
        <v>2017</v>
      </c>
      <c r="H54" s="7" t="str">
        <f>CONCATENATE("14270151237")</f>
        <v>14270151237</v>
      </c>
      <c r="I54" s="7" t="s">
        <v>37</v>
      </c>
      <c r="J54" s="7" t="s">
        <v>31</v>
      </c>
      <c r="K54" s="7" t="str">
        <f>CONCATENATE("")</f>
        <v/>
      </c>
      <c r="L54" s="7" t="str">
        <f>CONCATENATE("21 21.1 2a")</f>
        <v>21 21.1 2a</v>
      </c>
      <c r="M54" s="7" t="str">
        <f>CONCATENATE("01836370435")</f>
        <v>01836370435</v>
      </c>
      <c r="N54" s="7" t="s">
        <v>129</v>
      </c>
      <c r="O54" s="7" t="s">
        <v>108</v>
      </c>
      <c r="P54" s="8">
        <v>44354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9">
        <v>3300</v>
      </c>
      <c r="W54" s="9">
        <v>1422.96</v>
      </c>
      <c r="X54" s="9">
        <v>1314.06</v>
      </c>
      <c r="Y54" s="7">
        <v>0</v>
      </c>
      <c r="Z54" s="7">
        <v>562.98</v>
      </c>
    </row>
    <row r="55" spans="1:26" x14ac:dyDescent="0.35">
      <c r="A55" s="7" t="s">
        <v>27</v>
      </c>
      <c r="B55" s="7" t="s">
        <v>40</v>
      </c>
      <c r="C55" s="7" t="s">
        <v>44</v>
      </c>
      <c r="D55" s="7" t="s">
        <v>49</v>
      </c>
      <c r="E55" s="7" t="s">
        <v>36</v>
      </c>
      <c r="F55" s="7" t="s">
        <v>53</v>
      </c>
      <c r="G55" s="7">
        <v>2017</v>
      </c>
      <c r="H55" s="7" t="str">
        <f>CONCATENATE("14270151278")</f>
        <v>14270151278</v>
      </c>
      <c r="I55" s="7" t="s">
        <v>37</v>
      </c>
      <c r="J55" s="7" t="s">
        <v>31</v>
      </c>
      <c r="K55" s="7" t="str">
        <f>CONCATENATE("")</f>
        <v/>
      </c>
      <c r="L55" s="7" t="str">
        <f>CONCATENATE("21 21.1 2a")</f>
        <v>21 21.1 2a</v>
      </c>
      <c r="M55" s="7" t="str">
        <f>CONCATENATE("01407050416")</f>
        <v>01407050416</v>
      </c>
      <c r="N55" s="7" t="s">
        <v>130</v>
      </c>
      <c r="O55" s="7" t="s">
        <v>108</v>
      </c>
      <c r="P55" s="8">
        <v>44354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9">
        <v>4620</v>
      </c>
      <c r="W55" s="9">
        <v>1992.14</v>
      </c>
      <c r="X55" s="9">
        <v>1839.68</v>
      </c>
      <c r="Y55" s="7">
        <v>0</v>
      </c>
      <c r="Z55" s="7">
        <v>788.18</v>
      </c>
    </row>
    <row r="56" spans="1:26" x14ac:dyDescent="0.35">
      <c r="A56" s="7" t="s">
        <v>27</v>
      </c>
      <c r="B56" s="7" t="s">
        <v>40</v>
      </c>
      <c r="C56" s="7" t="s">
        <v>44</v>
      </c>
      <c r="D56" s="7" t="s">
        <v>58</v>
      </c>
      <c r="E56" s="7" t="s">
        <v>36</v>
      </c>
      <c r="F56" s="7" t="s">
        <v>92</v>
      </c>
      <c r="G56" s="7">
        <v>2017</v>
      </c>
      <c r="H56" s="7" t="str">
        <f>CONCATENATE("14270151146")</f>
        <v>14270151146</v>
      </c>
      <c r="I56" s="7" t="s">
        <v>37</v>
      </c>
      <c r="J56" s="7" t="s">
        <v>31</v>
      </c>
      <c r="K56" s="7" t="str">
        <f>CONCATENATE("")</f>
        <v/>
      </c>
      <c r="L56" s="7" t="str">
        <f>CONCATENATE("21 21.1 2a")</f>
        <v>21 21.1 2a</v>
      </c>
      <c r="M56" s="7" t="str">
        <f>CONCATENATE("BRBFRZ63T27D451T")</f>
        <v>BRBFRZ63T27D451T</v>
      </c>
      <c r="N56" s="7" t="s">
        <v>131</v>
      </c>
      <c r="O56" s="7" t="s">
        <v>108</v>
      </c>
      <c r="P56" s="8">
        <v>44354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9">
        <v>4800</v>
      </c>
      <c r="W56" s="9">
        <v>2069.7600000000002</v>
      </c>
      <c r="X56" s="9">
        <v>1911.36</v>
      </c>
      <c r="Y56" s="7">
        <v>0</v>
      </c>
      <c r="Z56" s="7">
        <v>818.88</v>
      </c>
    </row>
    <row r="57" spans="1:26" x14ac:dyDescent="0.35">
      <c r="A57" s="7" t="s">
        <v>27</v>
      </c>
      <c r="B57" s="7" t="s">
        <v>40</v>
      </c>
      <c r="C57" s="7" t="s">
        <v>44</v>
      </c>
      <c r="D57" s="7" t="s">
        <v>49</v>
      </c>
      <c r="E57" s="7" t="s">
        <v>29</v>
      </c>
      <c r="F57" s="7" t="s">
        <v>111</v>
      </c>
      <c r="G57" s="7">
        <v>2017</v>
      </c>
      <c r="H57" s="7" t="str">
        <f>CONCATENATE("14270151393")</f>
        <v>14270151393</v>
      </c>
      <c r="I57" s="7" t="s">
        <v>37</v>
      </c>
      <c r="J57" s="7" t="s">
        <v>31</v>
      </c>
      <c r="K57" s="7" t="str">
        <f>CONCATENATE("")</f>
        <v/>
      </c>
      <c r="L57" s="7" t="str">
        <f>CONCATENATE("21 21.1 2a")</f>
        <v>21 21.1 2a</v>
      </c>
      <c r="M57" s="7" t="str">
        <f>CONCATENATE("BRSMRZ66H05F347C")</f>
        <v>BRSMRZ66H05F347C</v>
      </c>
      <c r="N57" s="7" t="s">
        <v>132</v>
      </c>
      <c r="O57" s="7" t="s">
        <v>108</v>
      </c>
      <c r="P57" s="8">
        <v>44354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9">
        <v>2580</v>
      </c>
      <c r="W57" s="9">
        <v>1112.5</v>
      </c>
      <c r="X57" s="9">
        <v>1027.3599999999999</v>
      </c>
      <c r="Y57" s="7">
        <v>0</v>
      </c>
      <c r="Z57" s="7">
        <v>440.14</v>
      </c>
    </row>
    <row r="58" spans="1:26" x14ac:dyDescent="0.35">
      <c r="A58" s="7" t="s">
        <v>27</v>
      </c>
      <c r="B58" s="7" t="s">
        <v>40</v>
      </c>
      <c r="C58" s="7" t="s">
        <v>44</v>
      </c>
      <c r="D58" s="7" t="s">
        <v>61</v>
      </c>
      <c r="E58" s="7" t="s">
        <v>39</v>
      </c>
      <c r="F58" s="7" t="s">
        <v>133</v>
      </c>
      <c r="G58" s="7">
        <v>2017</v>
      </c>
      <c r="H58" s="7" t="str">
        <f>CONCATENATE("14270151252")</f>
        <v>14270151252</v>
      </c>
      <c r="I58" s="7" t="s">
        <v>37</v>
      </c>
      <c r="J58" s="7" t="s">
        <v>31</v>
      </c>
      <c r="K58" s="7" t="str">
        <f>CONCATENATE("")</f>
        <v/>
      </c>
      <c r="L58" s="7" t="str">
        <f>CONCATENATE("21 21.1 2a")</f>
        <v>21 21.1 2a</v>
      </c>
      <c r="M58" s="7" t="str">
        <f>CONCATENATE("CNVLCN66T09B474J")</f>
        <v>CNVLCN66T09B474J</v>
      </c>
      <c r="N58" s="7" t="s">
        <v>134</v>
      </c>
      <c r="O58" s="7" t="s">
        <v>108</v>
      </c>
      <c r="P58" s="8">
        <v>44354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9">
        <v>1680</v>
      </c>
      <c r="W58" s="7">
        <v>724.42</v>
      </c>
      <c r="X58" s="7">
        <v>668.98</v>
      </c>
      <c r="Y58" s="7">
        <v>0</v>
      </c>
      <c r="Z58" s="7">
        <v>286.60000000000002</v>
      </c>
    </row>
    <row r="59" spans="1:26" ht="17.5" x14ac:dyDescent="0.35">
      <c r="A59" s="7" t="s">
        <v>27</v>
      </c>
      <c r="B59" s="7" t="s">
        <v>40</v>
      </c>
      <c r="C59" s="7" t="s">
        <v>44</v>
      </c>
      <c r="D59" s="7" t="s">
        <v>45</v>
      </c>
      <c r="E59" s="7" t="s">
        <v>36</v>
      </c>
      <c r="F59" s="7" t="s">
        <v>98</v>
      </c>
      <c r="G59" s="7">
        <v>2017</v>
      </c>
      <c r="H59" s="7" t="str">
        <f>CONCATENATE("14270151286")</f>
        <v>14270151286</v>
      </c>
      <c r="I59" s="7" t="s">
        <v>30</v>
      </c>
      <c r="J59" s="7" t="s">
        <v>31</v>
      </c>
      <c r="K59" s="7" t="str">
        <f>CONCATENATE("")</f>
        <v/>
      </c>
      <c r="L59" s="7" t="str">
        <f>CONCATENATE("21 21.1 2a")</f>
        <v>21 21.1 2a</v>
      </c>
      <c r="M59" s="7" t="str">
        <f>CONCATENATE("02311290445")</f>
        <v>02311290445</v>
      </c>
      <c r="N59" s="7" t="s">
        <v>135</v>
      </c>
      <c r="O59" s="7" t="s">
        <v>108</v>
      </c>
      <c r="P59" s="8">
        <v>44354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9">
        <v>1680</v>
      </c>
      <c r="W59" s="7">
        <v>724.42</v>
      </c>
      <c r="X59" s="7">
        <v>668.98</v>
      </c>
      <c r="Y59" s="7">
        <v>0</v>
      </c>
      <c r="Z59" s="7">
        <v>286.60000000000002</v>
      </c>
    </row>
    <row r="60" spans="1:26" x14ac:dyDescent="0.35">
      <c r="A60" s="7" t="s">
        <v>27</v>
      </c>
      <c r="B60" s="7" t="s">
        <v>40</v>
      </c>
      <c r="C60" s="7" t="s">
        <v>44</v>
      </c>
      <c r="D60" s="7" t="s">
        <v>58</v>
      </c>
      <c r="E60" s="7" t="s">
        <v>36</v>
      </c>
      <c r="F60" s="7" t="s">
        <v>92</v>
      </c>
      <c r="G60" s="7">
        <v>2017</v>
      </c>
      <c r="H60" s="7" t="str">
        <f>CONCATENATE("14270151427")</f>
        <v>14270151427</v>
      </c>
      <c r="I60" s="7" t="s">
        <v>30</v>
      </c>
      <c r="J60" s="7" t="s">
        <v>31</v>
      </c>
      <c r="K60" s="7" t="str">
        <f>CONCATENATE("")</f>
        <v/>
      </c>
      <c r="L60" s="7" t="str">
        <f>CONCATENATE("21 21.1 2a")</f>
        <v>21 21.1 2a</v>
      </c>
      <c r="M60" s="7" t="str">
        <f>CONCATENATE("PDCMTR50A63D451U")</f>
        <v>PDCMTR50A63D451U</v>
      </c>
      <c r="N60" s="7" t="s">
        <v>136</v>
      </c>
      <c r="O60" s="7" t="s">
        <v>108</v>
      </c>
      <c r="P60" s="8">
        <v>44354</v>
      </c>
      <c r="Q60" s="7" t="s">
        <v>32</v>
      </c>
      <c r="R60" s="7" t="s">
        <v>33</v>
      </c>
      <c r="S60" s="7" t="s">
        <v>34</v>
      </c>
      <c r="T60" s="7"/>
      <c r="U60" s="7" t="s">
        <v>35</v>
      </c>
      <c r="V60" s="9">
        <v>1050</v>
      </c>
      <c r="W60" s="7">
        <v>452.76</v>
      </c>
      <c r="X60" s="7">
        <v>418.11</v>
      </c>
      <c r="Y60" s="7">
        <v>0</v>
      </c>
      <c r="Z60" s="7">
        <v>179.13</v>
      </c>
    </row>
    <row r="61" spans="1:26" ht="17.5" x14ac:dyDescent="0.35">
      <c r="A61" s="7" t="s">
        <v>27</v>
      </c>
      <c r="B61" s="7" t="s">
        <v>40</v>
      </c>
      <c r="C61" s="7" t="s">
        <v>44</v>
      </c>
      <c r="D61" s="7" t="s">
        <v>45</v>
      </c>
      <c r="E61" s="7" t="s">
        <v>36</v>
      </c>
      <c r="F61" s="7" t="s">
        <v>137</v>
      </c>
      <c r="G61" s="7">
        <v>2017</v>
      </c>
      <c r="H61" s="7" t="str">
        <f>CONCATENATE("14270151526")</f>
        <v>14270151526</v>
      </c>
      <c r="I61" s="7" t="s">
        <v>37</v>
      </c>
      <c r="J61" s="7" t="s">
        <v>31</v>
      </c>
      <c r="K61" s="7" t="str">
        <f>CONCATENATE("")</f>
        <v/>
      </c>
      <c r="L61" s="7" t="str">
        <f>CONCATENATE("21 21.1 2a")</f>
        <v>21 21.1 2a</v>
      </c>
      <c r="M61" s="7" t="str">
        <f>CONCATENATE("02274900444")</f>
        <v>02274900444</v>
      </c>
      <c r="N61" s="7" t="s">
        <v>138</v>
      </c>
      <c r="O61" s="7" t="s">
        <v>108</v>
      </c>
      <c r="P61" s="8">
        <v>44354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9">
        <v>2100</v>
      </c>
      <c r="W61" s="7">
        <v>905.52</v>
      </c>
      <c r="X61" s="7">
        <v>836.22</v>
      </c>
      <c r="Y61" s="7">
        <v>0</v>
      </c>
      <c r="Z61" s="7">
        <v>358.26</v>
      </c>
    </row>
    <row r="62" spans="1:26" ht="17.5" x14ac:dyDescent="0.35">
      <c r="A62" s="7" t="s">
        <v>27</v>
      </c>
      <c r="B62" s="7" t="s">
        <v>40</v>
      </c>
      <c r="C62" s="7" t="s">
        <v>44</v>
      </c>
      <c r="D62" s="7" t="s">
        <v>45</v>
      </c>
      <c r="E62" s="7" t="s">
        <v>36</v>
      </c>
      <c r="F62" s="7" t="s">
        <v>83</v>
      </c>
      <c r="G62" s="7">
        <v>2017</v>
      </c>
      <c r="H62" s="7" t="str">
        <f>CONCATENATE("14270151419")</f>
        <v>14270151419</v>
      </c>
      <c r="I62" s="7" t="s">
        <v>30</v>
      </c>
      <c r="J62" s="7" t="s">
        <v>31</v>
      </c>
      <c r="K62" s="7" t="str">
        <f>CONCATENATE("")</f>
        <v/>
      </c>
      <c r="L62" s="7" t="str">
        <f>CONCATENATE("21 21.1 2a")</f>
        <v>21 21.1 2a</v>
      </c>
      <c r="M62" s="7" t="str">
        <f>CONCATENATE("02271300440")</f>
        <v>02271300440</v>
      </c>
      <c r="N62" s="7" t="s">
        <v>139</v>
      </c>
      <c r="O62" s="7" t="s">
        <v>108</v>
      </c>
      <c r="P62" s="8">
        <v>44354</v>
      </c>
      <c r="Q62" s="7" t="s">
        <v>32</v>
      </c>
      <c r="R62" s="7" t="s">
        <v>33</v>
      </c>
      <c r="S62" s="7" t="s">
        <v>34</v>
      </c>
      <c r="T62" s="7"/>
      <c r="U62" s="7" t="s">
        <v>35</v>
      </c>
      <c r="V62" s="9">
        <v>2100</v>
      </c>
      <c r="W62" s="7">
        <v>905.52</v>
      </c>
      <c r="X62" s="7">
        <v>836.22</v>
      </c>
      <c r="Y62" s="7">
        <v>0</v>
      </c>
      <c r="Z62" s="7">
        <v>358.26</v>
      </c>
    </row>
    <row r="63" spans="1:26" x14ac:dyDescent="0.35">
      <c r="A63" s="7" t="s">
        <v>27</v>
      </c>
      <c r="B63" s="7" t="s">
        <v>40</v>
      </c>
      <c r="C63" s="7" t="s">
        <v>44</v>
      </c>
      <c r="D63" s="7" t="s">
        <v>49</v>
      </c>
      <c r="E63" s="7" t="s">
        <v>36</v>
      </c>
      <c r="F63" s="7" t="s">
        <v>53</v>
      </c>
      <c r="G63" s="7">
        <v>2017</v>
      </c>
      <c r="H63" s="7" t="str">
        <f>CONCATENATE("14270151542")</f>
        <v>14270151542</v>
      </c>
      <c r="I63" s="7" t="s">
        <v>37</v>
      </c>
      <c r="J63" s="7" t="s">
        <v>31</v>
      </c>
      <c r="K63" s="7" t="str">
        <f>CONCATENATE("")</f>
        <v/>
      </c>
      <c r="L63" s="7" t="str">
        <f>CONCATENATE("21 21.1 2a")</f>
        <v>21 21.1 2a</v>
      </c>
      <c r="M63" s="7" t="str">
        <f>CONCATENATE("02429780410")</f>
        <v>02429780410</v>
      </c>
      <c r="N63" s="7" t="s">
        <v>140</v>
      </c>
      <c r="O63" s="7" t="s">
        <v>108</v>
      </c>
      <c r="P63" s="8">
        <v>44354</v>
      </c>
      <c r="Q63" s="7" t="s">
        <v>32</v>
      </c>
      <c r="R63" s="7" t="s">
        <v>33</v>
      </c>
      <c r="S63" s="7" t="s">
        <v>34</v>
      </c>
      <c r="T63" s="7"/>
      <c r="U63" s="7" t="s">
        <v>35</v>
      </c>
      <c r="V63" s="9">
        <v>3150</v>
      </c>
      <c r="W63" s="9">
        <v>1358.28</v>
      </c>
      <c r="X63" s="9">
        <v>1254.33</v>
      </c>
      <c r="Y63" s="7">
        <v>0</v>
      </c>
      <c r="Z63" s="7">
        <v>537.39</v>
      </c>
    </row>
    <row r="64" spans="1:26" x14ac:dyDescent="0.35">
      <c r="A64" s="7" t="s">
        <v>27</v>
      </c>
      <c r="B64" s="7" t="s">
        <v>40</v>
      </c>
      <c r="C64" s="7" t="s">
        <v>44</v>
      </c>
      <c r="D64" s="7" t="s">
        <v>61</v>
      </c>
      <c r="E64" s="7" t="s">
        <v>39</v>
      </c>
      <c r="F64" s="7" t="s">
        <v>133</v>
      </c>
      <c r="G64" s="7">
        <v>2017</v>
      </c>
      <c r="H64" s="7" t="str">
        <f>CONCATENATE("14270151500")</f>
        <v>14270151500</v>
      </c>
      <c r="I64" s="7" t="s">
        <v>37</v>
      </c>
      <c r="J64" s="7" t="s">
        <v>31</v>
      </c>
      <c r="K64" s="7" t="str">
        <f>CONCATENATE("")</f>
        <v/>
      </c>
      <c r="L64" s="7" t="str">
        <f>CONCATENATE("21 21.1 2a")</f>
        <v>21 21.1 2a</v>
      </c>
      <c r="M64" s="7" t="str">
        <f>CONCATENATE("01944930435")</f>
        <v>01944930435</v>
      </c>
      <c r="N64" s="7" t="s">
        <v>141</v>
      </c>
      <c r="O64" s="7" t="s">
        <v>108</v>
      </c>
      <c r="P64" s="8">
        <v>44354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9">
        <v>2100</v>
      </c>
      <c r="W64" s="7">
        <v>905.52</v>
      </c>
      <c r="X64" s="7">
        <v>836.22</v>
      </c>
      <c r="Y64" s="7">
        <v>0</v>
      </c>
      <c r="Z64" s="7">
        <v>358.26</v>
      </c>
    </row>
    <row r="65" spans="1:26" x14ac:dyDescent="0.35">
      <c r="A65" s="7" t="s">
        <v>27</v>
      </c>
      <c r="B65" s="7" t="s">
        <v>40</v>
      </c>
      <c r="C65" s="7" t="s">
        <v>44</v>
      </c>
      <c r="D65" s="7" t="s">
        <v>49</v>
      </c>
      <c r="E65" s="7" t="s">
        <v>36</v>
      </c>
      <c r="F65" s="7" t="s">
        <v>142</v>
      </c>
      <c r="G65" s="7">
        <v>2017</v>
      </c>
      <c r="H65" s="7" t="str">
        <f>CONCATENATE("14270151211")</f>
        <v>14270151211</v>
      </c>
      <c r="I65" s="7" t="s">
        <v>37</v>
      </c>
      <c r="J65" s="7" t="s">
        <v>31</v>
      </c>
      <c r="K65" s="7" t="str">
        <f>CONCATENATE("")</f>
        <v/>
      </c>
      <c r="L65" s="7" t="str">
        <f>CONCATENATE("21 21.1 2a")</f>
        <v>21 21.1 2a</v>
      </c>
      <c r="M65" s="7" t="str">
        <f>CONCATENATE("01068070414")</f>
        <v>01068070414</v>
      </c>
      <c r="N65" s="7" t="s">
        <v>143</v>
      </c>
      <c r="O65" s="7" t="s">
        <v>108</v>
      </c>
      <c r="P65" s="8">
        <v>44354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9">
        <v>3675</v>
      </c>
      <c r="W65" s="9">
        <v>1584.66</v>
      </c>
      <c r="X65" s="9">
        <v>1463.39</v>
      </c>
      <c r="Y65" s="7">
        <v>0</v>
      </c>
      <c r="Z65" s="7">
        <v>626.95000000000005</v>
      </c>
    </row>
    <row r="66" spans="1:26" ht="17.5" x14ac:dyDescent="0.35">
      <c r="A66" s="7" t="s">
        <v>27</v>
      </c>
      <c r="B66" s="7" t="s">
        <v>40</v>
      </c>
      <c r="C66" s="7" t="s">
        <v>44</v>
      </c>
      <c r="D66" s="7" t="s">
        <v>58</v>
      </c>
      <c r="E66" s="7" t="s">
        <v>36</v>
      </c>
      <c r="F66" s="7" t="s">
        <v>92</v>
      </c>
      <c r="G66" s="7">
        <v>2017</v>
      </c>
      <c r="H66" s="7" t="str">
        <f>CONCATENATE("14270151435")</f>
        <v>14270151435</v>
      </c>
      <c r="I66" s="7" t="s">
        <v>37</v>
      </c>
      <c r="J66" s="7" t="s">
        <v>31</v>
      </c>
      <c r="K66" s="7" t="str">
        <f>CONCATENATE("")</f>
        <v/>
      </c>
      <c r="L66" s="7" t="str">
        <f>CONCATENATE("21 21.1 2a")</f>
        <v>21 21.1 2a</v>
      </c>
      <c r="M66" s="7" t="str">
        <f>CONCATENATE("02711460424")</f>
        <v>02711460424</v>
      </c>
      <c r="N66" s="7" t="s">
        <v>144</v>
      </c>
      <c r="O66" s="7" t="s">
        <v>108</v>
      </c>
      <c r="P66" s="8">
        <v>44354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9">
        <v>1260</v>
      </c>
      <c r="W66" s="7">
        <v>543.30999999999995</v>
      </c>
      <c r="X66" s="7">
        <v>501.73</v>
      </c>
      <c r="Y66" s="7">
        <v>0</v>
      </c>
      <c r="Z66" s="7">
        <v>214.96</v>
      </c>
    </row>
    <row r="67" spans="1:26" x14ac:dyDescent="0.35">
      <c r="A67" s="7" t="s">
        <v>27</v>
      </c>
      <c r="B67" s="7" t="s">
        <v>40</v>
      </c>
      <c r="C67" s="7" t="s">
        <v>44</v>
      </c>
      <c r="D67" s="7" t="s">
        <v>61</v>
      </c>
      <c r="E67" s="7" t="s">
        <v>36</v>
      </c>
      <c r="F67" s="7" t="s">
        <v>79</v>
      </c>
      <c r="G67" s="7">
        <v>2017</v>
      </c>
      <c r="H67" s="7" t="str">
        <f>CONCATENATE("14270151476")</f>
        <v>14270151476</v>
      </c>
      <c r="I67" s="7" t="s">
        <v>37</v>
      </c>
      <c r="J67" s="7" t="s">
        <v>31</v>
      </c>
      <c r="K67" s="7" t="str">
        <f>CONCATENATE("")</f>
        <v/>
      </c>
      <c r="L67" s="7" t="str">
        <f>CONCATENATE("21 21.1 2a")</f>
        <v>21 21.1 2a</v>
      </c>
      <c r="M67" s="7" t="str">
        <f>CONCATENATE("01860160439")</f>
        <v>01860160439</v>
      </c>
      <c r="N67" s="7" t="s">
        <v>145</v>
      </c>
      <c r="O67" s="7" t="s">
        <v>108</v>
      </c>
      <c r="P67" s="8">
        <v>44354</v>
      </c>
      <c r="Q67" s="7" t="s">
        <v>32</v>
      </c>
      <c r="R67" s="7" t="s">
        <v>33</v>
      </c>
      <c r="S67" s="7" t="s">
        <v>34</v>
      </c>
      <c r="T67" s="7"/>
      <c r="U67" s="7" t="s">
        <v>35</v>
      </c>
      <c r="V67" s="9">
        <v>2520</v>
      </c>
      <c r="W67" s="9">
        <v>1086.6199999999999</v>
      </c>
      <c r="X67" s="9">
        <v>1003.46</v>
      </c>
      <c r="Y67" s="7">
        <v>0</v>
      </c>
      <c r="Z67" s="7">
        <v>429.92</v>
      </c>
    </row>
    <row r="68" spans="1:26" x14ac:dyDescent="0.35">
      <c r="A68" s="7" t="s">
        <v>27</v>
      </c>
      <c r="B68" s="7" t="s">
        <v>40</v>
      </c>
      <c r="C68" s="7" t="s">
        <v>44</v>
      </c>
      <c r="D68" s="7" t="s">
        <v>61</v>
      </c>
      <c r="E68" s="7" t="s">
        <v>36</v>
      </c>
      <c r="F68" s="7" t="s">
        <v>79</v>
      </c>
      <c r="G68" s="7">
        <v>2017</v>
      </c>
      <c r="H68" s="7" t="str">
        <f>CONCATENATE("14270151344")</f>
        <v>14270151344</v>
      </c>
      <c r="I68" s="7" t="s">
        <v>37</v>
      </c>
      <c r="J68" s="7" t="s">
        <v>31</v>
      </c>
      <c r="K68" s="7" t="str">
        <f>CONCATENATE("")</f>
        <v/>
      </c>
      <c r="L68" s="7" t="str">
        <f>CONCATENATE("21 21.1 2a")</f>
        <v>21 21.1 2a</v>
      </c>
      <c r="M68" s="7" t="str">
        <f>CONCATENATE("01094640438")</f>
        <v>01094640438</v>
      </c>
      <c r="N68" s="7" t="s">
        <v>146</v>
      </c>
      <c r="O68" s="7" t="s">
        <v>108</v>
      </c>
      <c r="P68" s="8">
        <v>44354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9">
        <v>6825</v>
      </c>
      <c r="W68" s="9">
        <v>2942.94</v>
      </c>
      <c r="X68" s="9">
        <v>2717.72</v>
      </c>
      <c r="Y68" s="7">
        <v>0</v>
      </c>
      <c r="Z68" s="9">
        <v>1164.3399999999999</v>
      </c>
    </row>
    <row r="69" spans="1:26" x14ac:dyDescent="0.35">
      <c r="A69" s="7" t="s">
        <v>27</v>
      </c>
      <c r="B69" s="7" t="s">
        <v>40</v>
      </c>
      <c r="C69" s="7" t="s">
        <v>44</v>
      </c>
      <c r="D69" s="7" t="s">
        <v>61</v>
      </c>
      <c r="E69" s="7" t="s">
        <v>43</v>
      </c>
      <c r="F69" s="7" t="s">
        <v>43</v>
      </c>
      <c r="G69" s="7">
        <v>2017</v>
      </c>
      <c r="H69" s="7" t="str">
        <f>CONCATENATE("14270151369")</f>
        <v>14270151369</v>
      </c>
      <c r="I69" s="7" t="s">
        <v>37</v>
      </c>
      <c r="J69" s="7" t="s">
        <v>31</v>
      </c>
      <c r="K69" s="7" t="str">
        <f>CONCATENATE("")</f>
        <v/>
      </c>
      <c r="L69" s="7" t="str">
        <f>CONCATENATE("21 21.1 2a")</f>
        <v>21 21.1 2a</v>
      </c>
      <c r="M69" s="7" t="str">
        <f>CONCATENATE("00863530432")</f>
        <v>00863530432</v>
      </c>
      <c r="N69" s="7" t="s">
        <v>147</v>
      </c>
      <c r="O69" s="7" t="s">
        <v>108</v>
      </c>
      <c r="P69" s="8">
        <v>44354</v>
      </c>
      <c r="Q69" s="7" t="s">
        <v>32</v>
      </c>
      <c r="R69" s="7" t="s">
        <v>33</v>
      </c>
      <c r="S69" s="7" t="s">
        <v>34</v>
      </c>
      <c r="T69" s="7"/>
      <c r="U69" s="7" t="s">
        <v>35</v>
      </c>
      <c r="V69" s="9">
        <v>2520</v>
      </c>
      <c r="W69" s="9">
        <v>1086.6199999999999</v>
      </c>
      <c r="X69" s="9">
        <v>1003.46</v>
      </c>
      <c r="Y69" s="7">
        <v>0</v>
      </c>
      <c r="Z69" s="7">
        <v>429.92</v>
      </c>
    </row>
    <row r="70" spans="1:26" x14ac:dyDescent="0.35">
      <c r="A70" s="7" t="s">
        <v>27</v>
      </c>
      <c r="B70" s="7" t="s">
        <v>40</v>
      </c>
      <c r="C70" s="7" t="s">
        <v>44</v>
      </c>
      <c r="D70" s="7" t="s">
        <v>49</v>
      </c>
      <c r="E70" s="7" t="s">
        <v>36</v>
      </c>
      <c r="F70" s="7" t="s">
        <v>148</v>
      </c>
      <c r="G70" s="7">
        <v>2017</v>
      </c>
      <c r="H70" s="7" t="str">
        <f>CONCATENATE("14270155360")</f>
        <v>14270155360</v>
      </c>
      <c r="I70" s="7" t="s">
        <v>37</v>
      </c>
      <c r="J70" s="7" t="s">
        <v>31</v>
      </c>
      <c r="K70" s="7" t="str">
        <f>CONCATENATE("")</f>
        <v/>
      </c>
      <c r="L70" s="7" t="str">
        <f>CONCATENATE("21 21.1 2a")</f>
        <v>21 21.1 2a</v>
      </c>
      <c r="M70" s="7" t="str">
        <f>CONCATENATE("01406540417")</f>
        <v>01406540417</v>
      </c>
      <c r="N70" s="7" t="s">
        <v>149</v>
      </c>
      <c r="O70" s="7" t="s">
        <v>108</v>
      </c>
      <c r="P70" s="8">
        <v>44354</v>
      </c>
      <c r="Q70" s="7" t="s">
        <v>32</v>
      </c>
      <c r="R70" s="7" t="s">
        <v>33</v>
      </c>
      <c r="S70" s="7" t="s">
        <v>34</v>
      </c>
      <c r="T70" s="7"/>
      <c r="U70" s="7" t="s">
        <v>35</v>
      </c>
      <c r="V70" s="9">
        <v>4830</v>
      </c>
      <c r="W70" s="9">
        <v>2082.6999999999998</v>
      </c>
      <c r="X70" s="9">
        <v>1923.31</v>
      </c>
      <c r="Y70" s="7">
        <v>0</v>
      </c>
      <c r="Z70" s="7">
        <v>823.99</v>
      </c>
    </row>
    <row r="71" spans="1:26" x14ac:dyDescent="0.35">
      <c r="A71" s="7" t="s">
        <v>27</v>
      </c>
      <c r="B71" s="7" t="s">
        <v>40</v>
      </c>
      <c r="C71" s="7" t="s">
        <v>44</v>
      </c>
      <c r="D71" s="7" t="s">
        <v>58</v>
      </c>
      <c r="E71" s="7" t="s">
        <v>36</v>
      </c>
      <c r="F71" s="7" t="s">
        <v>92</v>
      </c>
      <c r="G71" s="7">
        <v>2017</v>
      </c>
      <c r="H71" s="7" t="str">
        <f>CONCATENATE("14270151179")</f>
        <v>14270151179</v>
      </c>
      <c r="I71" s="7" t="s">
        <v>37</v>
      </c>
      <c r="J71" s="7" t="s">
        <v>31</v>
      </c>
      <c r="K71" s="7" t="str">
        <f>CONCATENATE("")</f>
        <v/>
      </c>
      <c r="L71" s="7" t="str">
        <f>CONCATENATE("21 21.1 2a")</f>
        <v>21 21.1 2a</v>
      </c>
      <c r="M71" s="7" t="str">
        <f>CONCATENATE("TRCFBA65S20A329C")</f>
        <v>TRCFBA65S20A329C</v>
      </c>
      <c r="N71" s="7" t="s">
        <v>150</v>
      </c>
      <c r="O71" s="7" t="s">
        <v>108</v>
      </c>
      <c r="P71" s="8">
        <v>44354</v>
      </c>
      <c r="Q71" s="7" t="s">
        <v>32</v>
      </c>
      <c r="R71" s="7" t="s">
        <v>33</v>
      </c>
      <c r="S71" s="7" t="s">
        <v>34</v>
      </c>
      <c r="T71" s="7"/>
      <c r="U71" s="7" t="s">
        <v>35</v>
      </c>
      <c r="V71" s="9">
        <v>2625</v>
      </c>
      <c r="W71" s="9">
        <v>1131.9000000000001</v>
      </c>
      <c r="X71" s="9">
        <v>1045.28</v>
      </c>
      <c r="Y71" s="7">
        <v>0</v>
      </c>
      <c r="Z71" s="7">
        <v>447.82</v>
      </c>
    </row>
    <row r="72" spans="1:26" x14ac:dyDescent="0.35">
      <c r="A72" s="7" t="s">
        <v>27</v>
      </c>
      <c r="B72" s="7" t="s">
        <v>40</v>
      </c>
      <c r="C72" s="7" t="s">
        <v>44</v>
      </c>
      <c r="D72" s="7" t="s">
        <v>49</v>
      </c>
      <c r="E72" s="7" t="s">
        <v>39</v>
      </c>
      <c r="F72" s="7" t="s">
        <v>151</v>
      </c>
      <c r="G72" s="7">
        <v>2017</v>
      </c>
      <c r="H72" s="7" t="str">
        <f>CONCATENATE("14270151310")</f>
        <v>14270151310</v>
      </c>
      <c r="I72" s="7" t="s">
        <v>37</v>
      </c>
      <c r="J72" s="7" t="s">
        <v>31</v>
      </c>
      <c r="K72" s="7" t="str">
        <f>CONCATENATE("")</f>
        <v/>
      </c>
      <c r="L72" s="7" t="str">
        <f>CONCATENATE("21 21.1 2a")</f>
        <v>21 21.1 2a</v>
      </c>
      <c r="M72" s="7" t="str">
        <f>CONCATENATE("VNNGST60B11D488F")</f>
        <v>VNNGST60B11D488F</v>
      </c>
      <c r="N72" s="7" t="s">
        <v>152</v>
      </c>
      <c r="O72" s="7" t="s">
        <v>108</v>
      </c>
      <c r="P72" s="8">
        <v>44354</v>
      </c>
      <c r="Q72" s="7" t="s">
        <v>32</v>
      </c>
      <c r="R72" s="7" t="s">
        <v>33</v>
      </c>
      <c r="S72" s="7" t="s">
        <v>34</v>
      </c>
      <c r="T72" s="7"/>
      <c r="U72" s="7" t="s">
        <v>35</v>
      </c>
      <c r="V72" s="9">
        <v>1260</v>
      </c>
      <c r="W72" s="7">
        <v>543.30999999999995</v>
      </c>
      <c r="X72" s="7">
        <v>501.73</v>
      </c>
      <c r="Y72" s="7">
        <v>0</v>
      </c>
      <c r="Z72" s="7">
        <v>214.96</v>
      </c>
    </row>
    <row r="73" spans="1:26" ht="17.5" x14ac:dyDescent="0.35">
      <c r="A73" s="7" t="s">
        <v>27</v>
      </c>
      <c r="B73" s="7" t="s">
        <v>40</v>
      </c>
      <c r="C73" s="7" t="s">
        <v>44</v>
      </c>
      <c r="D73" s="7" t="s">
        <v>58</v>
      </c>
      <c r="E73" s="7" t="s">
        <v>36</v>
      </c>
      <c r="F73" s="7" t="s">
        <v>92</v>
      </c>
      <c r="G73" s="7">
        <v>2017</v>
      </c>
      <c r="H73" s="7" t="str">
        <f>CONCATENATE("14270151385")</f>
        <v>14270151385</v>
      </c>
      <c r="I73" s="7" t="s">
        <v>37</v>
      </c>
      <c r="J73" s="7" t="s">
        <v>31</v>
      </c>
      <c r="K73" s="7" t="str">
        <f>CONCATENATE("")</f>
        <v/>
      </c>
      <c r="L73" s="7" t="str">
        <f>CONCATENATE("21 21.1 2a")</f>
        <v>21 21.1 2a</v>
      </c>
      <c r="M73" s="7" t="str">
        <f>CONCATENATE("VNNMNL69R66D451A")</f>
        <v>VNNMNL69R66D451A</v>
      </c>
      <c r="N73" s="7" t="s">
        <v>153</v>
      </c>
      <c r="O73" s="7" t="s">
        <v>108</v>
      </c>
      <c r="P73" s="8">
        <v>44354</v>
      </c>
      <c r="Q73" s="7" t="s">
        <v>32</v>
      </c>
      <c r="R73" s="7" t="s">
        <v>33</v>
      </c>
      <c r="S73" s="7" t="s">
        <v>34</v>
      </c>
      <c r="T73" s="7"/>
      <c r="U73" s="7" t="s">
        <v>35</v>
      </c>
      <c r="V73" s="9">
        <v>1740</v>
      </c>
      <c r="W73" s="7">
        <v>750.29</v>
      </c>
      <c r="X73" s="7">
        <v>692.87</v>
      </c>
      <c r="Y73" s="7">
        <v>0</v>
      </c>
      <c r="Z73" s="7">
        <v>296.83999999999997</v>
      </c>
    </row>
    <row r="74" spans="1:26" x14ac:dyDescent="0.35">
      <c r="A74" s="7" t="s">
        <v>27</v>
      </c>
      <c r="B74" s="7" t="s">
        <v>40</v>
      </c>
      <c r="C74" s="7" t="s">
        <v>44</v>
      </c>
      <c r="D74" s="7" t="s">
        <v>49</v>
      </c>
      <c r="E74" s="7" t="s">
        <v>36</v>
      </c>
      <c r="F74" s="7" t="s">
        <v>148</v>
      </c>
      <c r="G74" s="7">
        <v>2017</v>
      </c>
      <c r="H74" s="7" t="str">
        <f>CONCATENATE("04270233341")</f>
        <v>04270233341</v>
      </c>
      <c r="I74" s="7" t="s">
        <v>37</v>
      </c>
      <c r="J74" s="7" t="s">
        <v>31</v>
      </c>
      <c r="K74" s="7" t="str">
        <f>CONCATENATE("")</f>
        <v/>
      </c>
      <c r="L74" s="7" t="str">
        <f>CONCATENATE("4 4.4 4c")</f>
        <v>4 4.4 4c</v>
      </c>
      <c r="M74" s="7" t="str">
        <f>CONCATENATE("DRUFNC63C69B636V")</f>
        <v>DRUFNC63C69B636V</v>
      </c>
      <c r="N74" s="7" t="s">
        <v>154</v>
      </c>
      <c r="O74" s="7" t="s">
        <v>155</v>
      </c>
      <c r="P74" s="8">
        <v>44354</v>
      </c>
      <c r="Q74" s="7" t="s">
        <v>32</v>
      </c>
      <c r="R74" s="7" t="s">
        <v>33</v>
      </c>
      <c r="S74" s="7" t="s">
        <v>34</v>
      </c>
      <c r="T74" s="7"/>
      <c r="U74" s="7" t="s">
        <v>35</v>
      </c>
      <c r="V74" s="9">
        <v>8085</v>
      </c>
      <c r="W74" s="9">
        <v>3486.25</v>
      </c>
      <c r="X74" s="9">
        <v>3219.45</v>
      </c>
      <c r="Y74" s="7">
        <v>0</v>
      </c>
      <c r="Z74" s="9">
        <v>1379.3</v>
      </c>
    </row>
    <row r="75" spans="1:26" x14ac:dyDescent="0.35">
      <c r="A75" s="7" t="s">
        <v>27</v>
      </c>
      <c r="B75" s="7" t="s">
        <v>40</v>
      </c>
      <c r="C75" s="7" t="s">
        <v>44</v>
      </c>
      <c r="D75" s="7" t="s">
        <v>61</v>
      </c>
      <c r="E75" s="7" t="s">
        <v>39</v>
      </c>
      <c r="F75" s="7" t="s">
        <v>133</v>
      </c>
      <c r="G75" s="7">
        <v>2017</v>
      </c>
      <c r="H75" s="7" t="str">
        <f>CONCATENATE("04270233333")</f>
        <v>04270233333</v>
      </c>
      <c r="I75" s="7" t="s">
        <v>37</v>
      </c>
      <c r="J75" s="7" t="s">
        <v>31</v>
      </c>
      <c r="K75" s="7" t="str">
        <f>CONCATENATE("")</f>
        <v/>
      </c>
      <c r="L75" s="7" t="str">
        <f>CONCATENATE("4 4.1 2a")</f>
        <v>4 4.1 2a</v>
      </c>
      <c r="M75" s="7" t="str">
        <f>CONCATENATE("01910550431")</f>
        <v>01910550431</v>
      </c>
      <c r="N75" s="7" t="s">
        <v>156</v>
      </c>
      <c r="O75" s="7" t="s">
        <v>157</v>
      </c>
      <c r="P75" s="8">
        <v>44354</v>
      </c>
      <c r="Q75" s="7" t="s">
        <v>32</v>
      </c>
      <c r="R75" s="7" t="s">
        <v>33</v>
      </c>
      <c r="S75" s="7" t="s">
        <v>34</v>
      </c>
      <c r="T75" s="7"/>
      <c r="U75" s="7" t="s">
        <v>35</v>
      </c>
      <c r="V75" s="9">
        <v>280762.53000000003</v>
      </c>
      <c r="W75" s="9">
        <v>121064.8</v>
      </c>
      <c r="X75" s="9">
        <v>111799.64</v>
      </c>
      <c r="Y75" s="7">
        <v>0</v>
      </c>
      <c r="Z75" s="9">
        <v>47898.09</v>
      </c>
    </row>
    <row r="76" spans="1:26" x14ac:dyDescent="0.35">
      <c r="A76" s="7" t="s">
        <v>27</v>
      </c>
      <c r="B76" s="7" t="s">
        <v>28</v>
      </c>
      <c r="C76" s="7" t="s">
        <v>44</v>
      </c>
      <c r="D76" s="7" t="s">
        <v>58</v>
      </c>
      <c r="E76" s="7" t="s">
        <v>36</v>
      </c>
      <c r="F76" s="7" t="s">
        <v>119</v>
      </c>
      <c r="G76" s="7">
        <v>2020</v>
      </c>
      <c r="H76" s="7" t="str">
        <f>CONCATENATE("04240126914")</f>
        <v>04240126914</v>
      </c>
      <c r="I76" s="7" t="s">
        <v>37</v>
      </c>
      <c r="J76" s="7" t="s">
        <v>31</v>
      </c>
      <c r="K76" s="7" t="str">
        <f>CONCATENATE("")</f>
        <v/>
      </c>
      <c r="L76" s="7" t="str">
        <f>CONCATENATE("11 11.1 4b")</f>
        <v>11 11.1 4b</v>
      </c>
      <c r="M76" s="7" t="str">
        <f>CONCATENATE("TTTGNN61H01I461M")</f>
        <v>TTTGNN61H01I461M</v>
      </c>
      <c r="N76" s="7" t="s">
        <v>158</v>
      </c>
      <c r="O76" s="7" t="s">
        <v>159</v>
      </c>
      <c r="P76" s="8">
        <v>44334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7">
        <v>34.69</v>
      </c>
      <c r="W76" s="7">
        <v>14.96</v>
      </c>
      <c r="X76" s="7">
        <v>13.81</v>
      </c>
      <c r="Y76" s="7">
        <v>0</v>
      </c>
      <c r="Z76" s="7">
        <v>5.92</v>
      </c>
    </row>
    <row r="77" spans="1:26" x14ac:dyDescent="0.35">
      <c r="A77" s="7" t="s">
        <v>27</v>
      </c>
      <c r="B77" s="7" t="s">
        <v>40</v>
      </c>
      <c r="C77" s="7" t="s">
        <v>44</v>
      </c>
      <c r="D77" s="7" t="s">
        <v>61</v>
      </c>
      <c r="E77" s="7" t="s">
        <v>43</v>
      </c>
      <c r="F77" s="7" t="s">
        <v>43</v>
      </c>
      <c r="G77" s="7">
        <v>2017</v>
      </c>
      <c r="H77" s="7" t="str">
        <f>CONCATENATE("14270156590")</f>
        <v>14270156590</v>
      </c>
      <c r="I77" s="7" t="s">
        <v>37</v>
      </c>
      <c r="J77" s="7" t="s">
        <v>31</v>
      </c>
      <c r="K77" s="7" t="str">
        <f>CONCATENATE("")</f>
        <v/>
      </c>
      <c r="L77" s="7" t="str">
        <f>CONCATENATE("21 21.1 2a")</f>
        <v>21 21.1 2a</v>
      </c>
      <c r="M77" s="7" t="str">
        <f>CONCATENATE("01512040435")</f>
        <v>01512040435</v>
      </c>
      <c r="N77" s="7" t="s">
        <v>160</v>
      </c>
      <c r="O77" s="7" t="s">
        <v>161</v>
      </c>
      <c r="P77" s="8">
        <v>44354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9">
        <v>7000</v>
      </c>
      <c r="W77" s="9">
        <v>3018.4</v>
      </c>
      <c r="X77" s="9">
        <v>2787.4</v>
      </c>
      <c r="Y77" s="7">
        <v>0</v>
      </c>
      <c r="Z77" s="9">
        <v>1194.2</v>
      </c>
    </row>
    <row r="78" spans="1:26" x14ac:dyDescent="0.35">
      <c r="A78" s="7" t="s">
        <v>27</v>
      </c>
      <c r="B78" s="7" t="s">
        <v>40</v>
      </c>
      <c r="C78" s="7" t="s">
        <v>44</v>
      </c>
      <c r="D78" s="7" t="s">
        <v>49</v>
      </c>
      <c r="E78" s="7" t="s">
        <v>36</v>
      </c>
      <c r="F78" s="7" t="s">
        <v>148</v>
      </c>
      <c r="G78" s="7">
        <v>2017</v>
      </c>
      <c r="H78" s="7" t="str">
        <f>CONCATENATE("14270156509")</f>
        <v>14270156509</v>
      </c>
      <c r="I78" s="7" t="s">
        <v>37</v>
      </c>
      <c r="J78" s="7" t="s">
        <v>31</v>
      </c>
      <c r="K78" s="7" t="str">
        <f>CONCATENATE("")</f>
        <v/>
      </c>
      <c r="L78" s="7" t="str">
        <f>CONCATENATE("21 21.1 2a")</f>
        <v>21 21.1 2a</v>
      </c>
      <c r="M78" s="7" t="str">
        <f>CONCATENATE("MNNLSU46C71F555B")</f>
        <v>MNNLSU46C71F555B</v>
      </c>
      <c r="N78" s="7" t="s">
        <v>162</v>
      </c>
      <c r="O78" s="7" t="s">
        <v>161</v>
      </c>
      <c r="P78" s="8">
        <v>44354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9">
        <v>7000</v>
      </c>
      <c r="W78" s="9">
        <v>3018.4</v>
      </c>
      <c r="X78" s="9">
        <v>2787.4</v>
      </c>
      <c r="Y78" s="7">
        <v>0</v>
      </c>
      <c r="Z78" s="9">
        <v>1194.2</v>
      </c>
    </row>
    <row r="79" spans="1:26" x14ac:dyDescent="0.35">
      <c r="A79" s="7" t="s">
        <v>27</v>
      </c>
      <c r="B79" s="7" t="s">
        <v>40</v>
      </c>
      <c r="C79" s="7" t="s">
        <v>44</v>
      </c>
      <c r="D79" s="7" t="s">
        <v>58</v>
      </c>
      <c r="E79" s="7" t="s">
        <v>43</v>
      </c>
      <c r="F79" s="7" t="s">
        <v>43</v>
      </c>
      <c r="G79" s="7">
        <v>2017</v>
      </c>
      <c r="H79" s="7" t="str">
        <f>CONCATENATE("14270156863")</f>
        <v>14270156863</v>
      </c>
      <c r="I79" s="7" t="s">
        <v>37</v>
      </c>
      <c r="J79" s="7" t="s">
        <v>31</v>
      </c>
      <c r="K79" s="7" t="str">
        <f>CONCATENATE("")</f>
        <v/>
      </c>
      <c r="L79" s="7" t="str">
        <f>CONCATENATE("21 21.1 2a")</f>
        <v>21 21.1 2a</v>
      </c>
      <c r="M79" s="7" t="str">
        <f>CONCATENATE("01560240424")</f>
        <v>01560240424</v>
      </c>
      <c r="N79" s="7" t="s">
        <v>163</v>
      </c>
      <c r="O79" s="7" t="s">
        <v>161</v>
      </c>
      <c r="P79" s="8">
        <v>44354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9">
        <v>7000</v>
      </c>
      <c r="W79" s="9">
        <v>3018.4</v>
      </c>
      <c r="X79" s="9">
        <v>2787.4</v>
      </c>
      <c r="Y79" s="7">
        <v>0</v>
      </c>
      <c r="Z79" s="9">
        <v>1194.2</v>
      </c>
    </row>
    <row r="80" spans="1:26" x14ac:dyDescent="0.35">
      <c r="A80" s="7" t="s">
        <v>27</v>
      </c>
      <c r="B80" s="7" t="s">
        <v>40</v>
      </c>
      <c r="C80" s="7" t="s">
        <v>44</v>
      </c>
      <c r="D80" s="7" t="s">
        <v>61</v>
      </c>
      <c r="E80" s="7" t="s">
        <v>36</v>
      </c>
      <c r="F80" s="7" t="s">
        <v>164</v>
      </c>
      <c r="G80" s="7">
        <v>2017</v>
      </c>
      <c r="H80" s="7" t="str">
        <f>CONCATENATE("14270156749")</f>
        <v>14270156749</v>
      </c>
      <c r="I80" s="7" t="s">
        <v>37</v>
      </c>
      <c r="J80" s="7" t="s">
        <v>31</v>
      </c>
      <c r="K80" s="7" t="str">
        <f>CONCATENATE("")</f>
        <v/>
      </c>
      <c r="L80" s="7" t="str">
        <f>CONCATENATE("21 21.1 2a")</f>
        <v>21 21.1 2a</v>
      </c>
      <c r="M80" s="7" t="str">
        <f>CONCATENATE("DLLSFN76M13I156N")</f>
        <v>DLLSFN76M13I156N</v>
      </c>
      <c r="N80" s="7" t="s">
        <v>165</v>
      </c>
      <c r="O80" s="7" t="s">
        <v>161</v>
      </c>
      <c r="P80" s="8">
        <v>44354</v>
      </c>
      <c r="Q80" s="7" t="s">
        <v>32</v>
      </c>
      <c r="R80" s="7" t="s">
        <v>33</v>
      </c>
      <c r="S80" s="7" t="s">
        <v>34</v>
      </c>
      <c r="T80" s="7"/>
      <c r="U80" s="7" t="s">
        <v>35</v>
      </c>
      <c r="V80" s="9">
        <v>7000</v>
      </c>
      <c r="W80" s="9">
        <v>3018.4</v>
      </c>
      <c r="X80" s="9">
        <v>2787.4</v>
      </c>
      <c r="Y80" s="7">
        <v>0</v>
      </c>
      <c r="Z80" s="9">
        <v>1194.2</v>
      </c>
    </row>
    <row r="81" spans="1:26" x14ac:dyDescent="0.35">
      <c r="A81" s="7" t="s">
        <v>27</v>
      </c>
      <c r="B81" s="7" t="s">
        <v>40</v>
      </c>
      <c r="C81" s="7" t="s">
        <v>44</v>
      </c>
      <c r="D81" s="7" t="s">
        <v>49</v>
      </c>
      <c r="E81" s="7" t="s">
        <v>43</v>
      </c>
      <c r="F81" s="7" t="s">
        <v>43</v>
      </c>
      <c r="G81" s="7">
        <v>2017</v>
      </c>
      <c r="H81" s="7" t="str">
        <f>CONCATENATE("14270156525")</f>
        <v>14270156525</v>
      </c>
      <c r="I81" s="7" t="s">
        <v>30</v>
      </c>
      <c r="J81" s="7" t="s">
        <v>31</v>
      </c>
      <c r="K81" s="7" t="str">
        <f>CONCATENATE("")</f>
        <v/>
      </c>
      <c r="L81" s="7" t="str">
        <f>CONCATENATE("21 21.1 2a")</f>
        <v>21 21.1 2a</v>
      </c>
      <c r="M81" s="7" t="str">
        <f>CONCATENATE("PCAPGR42L12F347D")</f>
        <v>PCAPGR42L12F347D</v>
      </c>
      <c r="N81" s="7" t="s">
        <v>166</v>
      </c>
      <c r="O81" s="7" t="s">
        <v>161</v>
      </c>
      <c r="P81" s="8">
        <v>44354</v>
      </c>
      <c r="Q81" s="7" t="s">
        <v>32</v>
      </c>
      <c r="R81" s="7" t="s">
        <v>33</v>
      </c>
      <c r="S81" s="7" t="s">
        <v>34</v>
      </c>
      <c r="T81" s="7"/>
      <c r="U81" s="7" t="s">
        <v>35</v>
      </c>
      <c r="V81" s="9">
        <v>7000</v>
      </c>
      <c r="W81" s="9">
        <v>3018.4</v>
      </c>
      <c r="X81" s="9">
        <v>2787.4</v>
      </c>
      <c r="Y81" s="7">
        <v>0</v>
      </c>
      <c r="Z81" s="9">
        <v>1194.2</v>
      </c>
    </row>
    <row r="82" spans="1:26" x14ac:dyDescent="0.35">
      <c r="A82" s="7" t="s">
        <v>27</v>
      </c>
      <c r="B82" s="7" t="s">
        <v>40</v>
      </c>
      <c r="C82" s="7" t="s">
        <v>44</v>
      </c>
      <c r="D82" s="7" t="s">
        <v>49</v>
      </c>
      <c r="E82" s="7" t="s">
        <v>38</v>
      </c>
      <c r="F82" s="7" t="s">
        <v>50</v>
      </c>
      <c r="G82" s="7">
        <v>2017</v>
      </c>
      <c r="H82" s="7" t="str">
        <f>CONCATENATE("14270156558")</f>
        <v>14270156558</v>
      </c>
      <c r="I82" s="7" t="s">
        <v>30</v>
      </c>
      <c r="J82" s="7" t="s">
        <v>31</v>
      </c>
      <c r="K82" s="7" t="str">
        <f>CONCATENATE("")</f>
        <v/>
      </c>
      <c r="L82" s="7" t="str">
        <f>CONCATENATE("21 21.1 2a")</f>
        <v>21 21.1 2a</v>
      </c>
      <c r="M82" s="7" t="str">
        <f>CONCATENATE("01034440410")</f>
        <v>01034440410</v>
      </c>
      <c r="N82" s="7" t="s">
        <v>167</v>
      </c>
      <c r="O82" s="7" t="s">
        <v>161</v>
      </c>
      <c r="P82" s="8">
        <v>44354</v>
      </c>
      <c r="Q82" s="7" t="s">
        <v>32</v>
      </c>
      <c r="R82" s="7" t="s">
        <v>33</v>
      </c>
      <c r="S82" s="7" t="s">
        <v>34</v>
      </c>
      <c r="T82" s="7"/>
      <c r="U82" s="7" t="s">
        <v>35</v>
      </c>
      <c r="V82" s="9">
        <v>7000</v>
      </c>
      <c r="W82" s="9">
        <v>3018.4</v>
      </c>
      <c r="X82" s="9">
        <v>2787.4</v>
      </c>
      <c r="Y82" s="7">
        <v>0</v>
      </c>
      <c r="Z82" s="9">
        <v>1194.2</v>
      </c>
    </row>
    <row r="83" spans="1:26" ht="17.5" x14ac:dyDescent="0.35">
      <c r="A83" s="7" t="s">
        <v>27</v>
      </c>
      <c r="B83" s="7" t="s">
        <v>40</v>
      </c>
      <c r="C83" s="7" t="s">
        <v>44</v>
      </c>
      <c r="D83" s="7" t="s">
        <v>58</v>
      </c>
      <c r="E83" s="7" t="s">
        <v>36</v>
      </c>
      <c r="F83" s="7" t="s">
        <v>92</v>
      </c>
      <c r="G83" s="7">
        <v>2017</v>
      </c>
      <c r="H83" s="7" t="str">
        <f>CONCATENATE("14270156665")</f>
        <v>14270156665</v>
      </c>
      <c r="I83" s="7" t="s">
        <v>37</v>
      </c>
      <c r="J83" s="7" t="s">
        <v>31</v>
      </c>
      <c r="K83" s="7" t="str">
        <f>CONCATENATE("")</f>
        <v/>
      </c>
      <c r="L83" s="7" t="str">
        <f>CONCATENATE("21 21.1 2a")</f>
        <v>21 21.1 2a</v>
      </c>
      <c r="M83" s="7" t="str">
        <f>CONCATENATE("VNNMNL69R66D451A")</f>
        <v>VNNMNL69R66D451A</v>
      </c>
      <c r="N83" s="7" t="s">
        <v>153</v>
      </c>
      <c r="O83" s="7" t="s">
        <v>161</v>
      </c>
      <c r="P83" s="8">
        <v>44354</v>
      </c>
      <c r="Q83" s="7" t="s">
        <v>32</v>
      </c>
      <c r="R83" s="7" t="s">
        <v>33</v>
      </c>
      <c r="S83" s="7" t="s">
        <v>34</v>
      </c>
      <c r="T83" s="7"/>
      <c r="U83" s="7" t="s">
        <v>35</v>
      </c>
      <c r="V83" s="9">
        <v>7000</v>
      </c>
      <c r="W83" s="9">
        <v>3018.4</v>
      </c>
      <c r="X83" s="9">
        <v>2787.4</v>
      </c>
      <c r="Y83" s="7">
        <v>0</v>
      </c>
      <c r="Z83" s="9">
        <v>1194.2</v>
      </c>
    </row>
    <row r="84" spans="1:26" ht="17.5" x14ac:dyDescent="0.35">
      <c r="A84" s="7" t="s">
        <v>27</v>
      </c>
      <c r="B84" s="7" t="s">
        <v>40</v>
      </c>
      <c r="C84" s="7" t="s">
        <v>44</v>
      </c>
      <c r="D84" s="7" t="s">
        <v>61</v>
      </c>
      <c r="E84" s="7" t="s">
        <v>29</v>
      </c>
      <c r="F84" s="7" t="s">
        <v>168</v>
      </c>
      <c r="G84" s="7">
        <v>2017</v>
      </c>
      <c r="H84" s="7" t="str">
        <f>CONCATENATE("14270156616")</f>
        <v>14270156616</v>
      </c>
      <c r="I84" s="7" t="s">
        <v>37</v>
      </c>
      <c r="J84" s="7" t="s">
        <v>31</v>
      </c>
      <c r="K84" s="7" t="str">
        <f>CONCATENATE("")</f>
        <v/>
      </c>
      <c r="L84" s="7" t="str">
        <f>CONCATENATE("21 21.1 2a")</f>
        <v>21 21.1 2a</v>
      </c>
      <c r="M84" s="7" t="str">
        <f>CONCATENATE("BRBNGG61P03F205W")</f>
        <v>BRBNGG61P03F205W</v>
      </c>
      <c r="N84" s="7" t="s">
        <v>169</v>
      </c>
      <c r="O84" s="7" t="s">
        <v>161</v>
      </c>
      <c r="P84" s="8">
        <v>44354</v>
      </c>
      <c r="Q84" s="7" t="s">
        <v>32</v>
      </c>
      <c r="R84" s="7" t="s">
        <v>33</v>
      </c>
      <c r="S84" s="7" t="s">
        <v>34</v>
      </c>
      <c r="T84" s="7"/>
      <c r="U84" s="7" t="s">
        <v>35</v>
      </c>
      <c r="V84" s="9">
        <v>3855.93</v>
      </c>
      <c r="W84" s="9">
        <v>1662.68</v>
      </c>
      <c r="X84" s="9">
        <v>1535.43</v>
      </c>
      <c r="Y84" s="7">
        <v>0</v>
      </c>
      <c r="Z84" s="7">
        <v>657.82</v>
      </c>
    </row>
    <row r="85" spans="1:26" ht="17.5" x14ac:dyDescent="0.35">
      <c r="A85" s="7" t="s">
        <v>27</v>
      </c>
      <c r="B85" s="7" t="s">
        <v>40</v>
      </c>
      <c r="C85" s="7" t="s">
        <v>44</v>
      </c>
      <c r="D85" s="7" t="s">
        <v>49</v>
      </c>
      <c r="E85" s="7" t="s">
        <v>38</v>
      </c>
      <c r="F85" s="7" t="s">
        <v>50</v>
      </c>
      <c r="G85" s="7">
        <v>2017</v>
      </c>
      <c r="H85" s="7" t="str">
        <f>CONCATENATE("14270156574")</f>
        <v>14270156574</v>
      </c>
      <c r="I85" s="7" t="s">
        <v>37</v>
      </c>
      <c r="J85" s="7" t="s">
        <v>31</v>
      </c>
      <c r="K85" s="7" t="str">
        <f>CONCATENATE("")</f>
        <v/>
      </c>
      <c r="L85" s="7" t="str">
        <f>CONCATENATE("21 21.1 2a")</f>
        <v>21 21.1 2a</v>
      </c>
      <c r="M85" s="7" t="str">
        <f>CONCATENATE("MTTDRN52R53H958G")</f>
        <v>MTTDRN52R53H958G</v>
      </c>
      <c r="N85" s="7" t="s">
        <v>170</v>
      </c>
      <c r="O85" s="7" t="s">
        <v>161</v>
      </c>
      <c r="P85" s="8">
        <v>44354</v>
      </c>
      <c r="Q85" s="7" t="s">
        <v>32</v>
      </c>
      <c r="R85" s="7" t="s">
        <v>33</v>
      </c>
      <c r="S85" s="7" t="s">
        <v>34</v>
      </c>
      <c r="T85" s="7"/>
      <c r="U85" s="7" t="s">
        <v>35</v>
      </c>
      <c r="V85" s="9">
        <v>7000</v>
      </c>
      <c r="W85" s="9">
        <v>3018.4</v>
      </c>
      <c r="X85" s="9">
        <v>2787.4</v>
      </c>
      <c r="Y85" s="7">
        <v>0</v>
      </c>
      <c r="Z85" s="9">
        <v>1194.2</v>
      </c>
    </row>
    <row r="86" spans="1:26" x14ac:dyDescent="0.35">
      <c r="A86" s="7" t="s">
        <v>27</v>
      </c>
      <c r="B86" s="7" t="s">
        <v>40</v>
      </c>
      <c r="C86" s="7" t="s">
        <v>44</v>
      </c>
      <c r="D86" s="7" t="s">
        <v>61</v>
      </c>
      <c r="E86" s="7" t="s">
        <v>43</v>
      </c>
      <c r="F86" s="7" t="s">
        <v>43</v>
      </c>
      <c r="G86" s="7">
        <v>2017</v>
      </c>
      <c r="H86" s="7" t="str">
        <f>CONCATENATE("14270156608")</f>
        <v>14270156608</v>
      </c>
      <c r="I86" s="7" t="s">
        <v>37</v>
      </c>
      <c r="J86" s="7" t="s">
        <v>31</v>
      </c>
      <c r="K86" s="7" t="str">
        <f>CONCATENATE("")</f>
        <v/>
      </c>
      <c r="L86" s="7" t="str">
        <f>CONCATENATE("21 21.1 2a")</f>
        <v>21 21.1 2a</v>
      </c>
      <c r="M86" s="7" t="str">
        <f>CONCATENATE("01906200439")</f>
        <v>01906200439</v>
      </c>
      <c r="N86" s="7" t="s">
        <v>171</v>
      </c>
      <c r="O86" s="7" t="s">
        <v>161</v>
      </c>
      <c r="P86" s="8">
        <v>44354</v>
      </c>
      <c r="Q86" s="7" t="s">
        <v>32</v>
      </c>
      <c r="R86" s="7" t="s">
        <v>33</v>
      </c>
      <c r="S86" s="7" t="s">
        <v>34</v>
      </c>
      <c r="T86" s="7"/>
      <c r="U86" s="7" t="s">
        <v>35</v>
      </c>
      <c r="V86" s="9">
        <v>7000</v>
      </c>
      <c r="W86" s="9">
        <v>3018.4</v>
      </c>
      <c r="X86" s="9">
        <v>2787.4</v>
      </c>
      <c r="Y86" s="7">
        <v>0</v>
      </c>
      <c r="Z86" s="9">
        <v>1194.2</v>
      </c>
    </row>
    <row r="87" spans="1:26" x14ac:dyDescent="0.35">
      <c r="A87" s="7" t="s">
        <v>27</v>
      </c>
      <c r="B87" s="7" t="s">
        <v>40</v>
      </c>
      <c r="C87" s="7" t="s">
        <v>44</v>
      </c>
      <c r="D87" s="7" t="s">
        <v>61</v>
      </c>
      <c r="E87" s="7" t="s">
        <v>89</v>
      </c>
      <c r="F87" s="7" t="s">
        <v>90</v>
      </c>
      <c r="G87" s="7">
        <v>2017</v>
      </c>
      <c r="H87" s="7" t="str">
        <f>CONCATENATE("14270156541")</f>
        <v>14270156541</v>
      </c>
      <c r="I87" s="7" t="s">
        <v>37</v>
      </c>
      <c r="J87" s="7" t="s">
        <v>31</v>
      </c>
      <c r="K87" s="7" t="str">
        <f>CONCATENATE("")</f>
        <v/>
      </c>
      <c r="L87" s="7" t="str">
        <f>CONCATENATE("21 21.1 2a")</f>
        <v>21 21.1 2a</v>
      </c>
      <c r="M87" s="7" t="str">
        <f>CONCATENATE("BSSGLI65A18F104Z")</f>
        <v>BSSGLI65A18F104Z</v>
      </c>
      <c r="N87" s="7" t="s">
        <v>172</v>
      </c>
      <c r="O87" s="7" t="s">
        <v>161</v>
      </c>
      <c r="P87" s="8">
        <v>44354</v>
      </c>
      <c r="Q87" s="7" t="s">
        <v>32</v>
      </c>
      <c r="R87" s="7" t="s">
        <v>33</v>
      </c>
      <c r="S87" s="7" t="s">
        <v>34</v>
      </c>
      <c r="T87" s="7"/>
      <c r="U87" s="7" t="s">
        <v>35</v>
      </c>
      <c r="V87" s="9">
        <v>7000</v>
      </c>
      <c r="W87" s="9">
        <v>3018.4</v>
      </c>
      <c r="X87" s="9">
        <v>2787.4</v>
      </c>
      <c r="Y87" s="7">
        <v>0</v>
      </c>
      <c r="Z87" s="9">
        <v>1194.2</v>
      </c>
    </row>
    <row r="88" spans="1:26" x14ac:dyDescent="0.35">
      <c r="A88" s="7" t="s">
        <v>27</v>
      </c>
      <c r="B88" s="7" t="s">
        <v>40</v>
      </c>
      <c r="C88" s="7" t="s">
        <v>44</v>
      </c>
      <c r="D88" s="7" t="s">
        <v>49</v>
      </c>
      <c r="E88" s="7" t="s">
        <v>29</v>
      </c>
      <c r="F88" s="7" t="s">
        <v>111</v>
      </c>
      <c r="G88" s="7">
        <v>2017</v>
      </c>
      <c r="H88" s="7" t="str">
        <f>CONCATENATE("14270156517")</f>
        <v>14270156517</v>
      </c>
      <c r="I88" s="7" t="s">
        <v>37</v>
      </c>
      <c r="J88" s="7" t="s">
        <v>31</v>
      </c>
      <c r="K88" s="7" t="str">
        <f>CONCATENATE("")</f>
        <v/>
      </c>
      <c r="L88" s="7" t="str">
        <f>CONCATENATE("21 21.1 2a")</f>
        <v>21 21.1 2a</v>
      </c>
      <c r="M88" s="7" t="str">
        <f>CONCATENATE("FLCRRT52B24D488I")</f>
        <v>FLCRRT52B24D488I</v>
      </c>
      <c r="N88" s="7" t="s">
        <v>173</v>
      </c>
      <c r="O88" s="7" t="s">
        <v>161</v>
      </c>
      <c r="P88" s="8">
        <v>44354</v>
      </c>
      <c r="Q88" s="7" t="s">
        <v>32</v>
      </c>
      <c r="R88" s="7" t="s">
        <v>33</v>
      </c>
      <c r="S88" s="7" t="s">
        <v>34</v>
      </c>
      <c r="T88" s="7"/>
      <c r="U88" s="7" t="s">
        <v>35</v>
      </c>
      <c r="V88" s="9">
        <v>7000</v>
      </c>
      <c r="W88" s="9">
        <v>3018.4</v>
      </c>
      <c r="X88" s="9">
        <v>2787.4</v>
      </c>
      <c r="Y88" s="7">
        <v>0</v>
      </c>
      <c r="Z88" s="9">
        <v>1194.2</v>
      </c>
    </row>
    <row r="89" spans="1:26" ht="17.5" x14ac:dyDescent="0.35">
      <c r="A89" s="7" t="s">
        <v>27</v>
      </c>
      <c r="B89" s="7" t="s">
        <v>40</v>
      </c>
      <c r="C89" s="7" t="s">
        <v>44</v>
      </c>
      <c r="D89" s="7" t="s">
        <v>61</v>
      </c>
      <c r="E89" s="7" t="s">
        <v>36</v>
      </c>
      <c r="F89" s="7" t="s">
        <v>79</v>
      </c>
      <c r="G89" s="7">
        <v>2017</v>
      </c>
      <c r="H89" s="7" t="str">
        <f>CONCATENATE("14270156491")</f>
        <v>14270156491</v>
      </c>
      <c r="I89" s="7" t="s">
        <v>37</v>
      </c>
      <c r="J89" s="7" t="s">
        <v>31</v>
      </c>
      <c r="K89" s="7" t="str">
        <f>CONCATENATE("")</f>
        <v/>
      </c>
      <c r="L89" s="7" t="str">
        <f>CONCATENATE("21 21.1 2a")</f>
        <v>21 21.1 2a</v>
      </c>
      <c r="M89" s="7" t="str">
        <f>CONCATENATE("MPCMRA44E29G637O")</f>
        <v>MPCMRA44E29G637O</v>
      </c>
      <c r="N89" s="7" t="s">
        <v>174</v>
      </c>
      <c r="O89" s="7" t="s">
        <v>161</v>
      </c>
      <c r="P89" s="8">
        <v>44354</v>
      </c>
      <c r="Q89" s="7" t="s">
        <v>32</v>
      </c>
      <c r="R89" s="7" t="s">
        <v>33</v>
      </c>
      <c r="S89" s="7" t="s">
        <v>34</v>
      </c>
      <c r="T89" s="7"/>
      <c r="U89" s="7" t="s">
        <v>35</v>
      </c>
      <c r="V89" s="9">
        <v>7000</v>
      </c>
      <c r="W89" s="9">
        <v>3018.4</v>
      </c>
      <c r="X89" s="9">
        <v>2787.4</v>
      </c>
      <c r="Y89" s="7">
        <v>0</v>
      </c>
      <c r="Z89" s="9">
        <v>1194.2</v>
      </c>
    </row>
    <row r="90" spans="1:26" x14ac:dyDescent="0.35">
      <c r="A90" s="7" t="s">
        <v>27</v>
      </c>
      <c r="B90" s="7" t="s">
        <v>40</v>
      </c>
      <c r="C90" s="7" t="s">
        <v>44</v>
      </c>
      <c r="D90" s="7" t="s">
        <v>58</v>
      </c>
      <c r="E90" s="7" t="s">
        <v>43</v>
      </c>
      <c r="F90" s="7" t="s">
        <v>43</v>
      </c>
      <c r="G90" s="7">
        <v>2017</v>
      </c>
      <c r="H90" s="7" t="str">
        <f>CONCATENATE("14270156582")</f>
        <v>14270156582</v>
      </c>
      <c r="I90" s="7" t="s">
        <v>37</v>
      </c>
      <c r="J90" s="7" t="s">
        <v>31</v>
      </c>
      <c r="K90" s="7" t="str">
        <f>CONCATENATE("")</f>
        <v/>
      </c>
      <c r="L90" s="7" t="str">
        <f>CONCATENATE("21 21.1 2a")</f>
        <v>21 21.1 2a</v>
      </c>
      <c r="M90" s="7" t="str">
        <f>CONCATENATE("FLCSRA77R52E388F")</f>
        <v>FLCSRA77R52E388F</v>
      </c>
      <c r="N90" s="7" t="s">
        <v>175</v>
      </c>
      <c r="O90" s="7" t="s">
        <v>161</v>
      </c>
      <c r="P90" s="8">
        <v>44354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7000</v>
      </c>
      <c r="W90" s="9">
        <v>3018.4</v>
      </c>
      <c r="X90" s="9">
        <v>2787.4</v>
      </c>
      <c r="Y90" s="7">
        <v>0</v>
      </c>
      <c r="Z90" s="9">
        <v>1194.2</v>
      </c>
    </row>
    <row r="91" spans="1:26" x14ac:dyDescent="0.35">
      <c r="A91" s="7" t="s">
        <v>27</v>
      </c>
      <c r="B91" s="7" t="s">
        <v>40</v>
      </c>
      <c r="C91" s="7" t="s">
        <v>44</v>
      </c>
      <c r="D91" s="7" t="s">
        <v>58</v>
      </c>
      <c r="E91" s="7" t="s">
        <v>29</v>
      </c>
      <c r="F91" s="7" t="s">
        <v>103</v>
      </c>
      <c r="G91" s="7">
        <v>2017</v>
      </c>
      <c r="H91" s="7" t="str">
        <f>CONCATENATE("14270156624")</f>
        <v>14270156624</v>
      </c>
      <c r="I91" s="7" t="s">
        <v>37</v>
      </c>
      <c r="J91" s="7" t="s">
        <v>31</v>
      </c>
      <c r="K91" s="7" t="str">
        <f>CONCATENATE("")</f>
        <v/>
      </c>
      <c r="L91" s="7" t="str">
        <f>CONCATENATE("21 21.1 2a")</f>
        <v>21 21.1 2a</v>
      </c>
      <c r="M91" s="7" t="str">
        <f>CONCATENATE("02330640422")</f>
        <v>02330640422</v>
      </c>
      <c r="N91" s="7" t="s">
        <v>176</v>
      </c>
      <c r="O91" s="7" t="s">
        <v>161</v>
      </c>
      <c r="P91" s="8">
        <v>44354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9">
        <v>7000</v>
      </c>
      <c r="W91" s="9">
        <v>3018.4</v>
      </c>
      <c r="X91" s="9">
        <v>2787.4</v>
      </c>
      <c r="Y91" s="7">
        <v>0</v>
      </c>
      <c r="Z91" s="9">
        <v>1194.2</v>
      </c>
    </row>
    <row r="92" spans="1:26" x14ac:dyDescent="0.35">
      <c r="A92" s="7" t="s">
        <v>27</v>
      </c>
      <c r="B92" s="7" t="s">
        <v>40</v>
      </c>
      <c r="C92" s="7" t="s">
        <v>44</v>
      </c>
      <c r="D92" s="7" t="s">
        <v>61</v>
      </c>
      <c r="E92" s="7" t="s">
        <v>36</v>
      </c>
      <c r="F92" s="7" t="s">
        <v>85</v>
      </c>
      <c r="G92" s="7">
        <v>2017</v>
      </c>
      <c r="H92" s="7" t="str">
        <f>CONCATENATE("14270156640")</f>
        <v>14270156640</v>
      </c>
      <c r="I92" s="7" t="s">
        <v>37</v>
      </c>
      <c r="J92" s="7" t="s">
        <v>31</v>
      </c>
      <c r="K92" s="7" t="str">
        <f>CONCATENATE("")</f>
        <v/>
      </c>
      <c r="L92" s="7" t="str">
        <f>CONCATENATE("21 21.1 2a")</f>
        <v>21 21.1 2a</v>
      </c>
      <c r="M92" s="7" t="str">
        <f>CONCATENATE("MSSSRA72E11H211M")</f>
        <v>MSSSRA72E11H211M</v>
      </c>
      <c r="N92" s="7" t="s">
        <v>177</v>
      </c>
      <c r="O92" s="7" t="s">
        <v>161</v>
      </c>
      <c r="P92" s="8">
        <v>44354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9">
        <v>7000</v>
      </c>
      <c r="W92" s="9">
        <v>3018.4</v>
      </c>
      <c r="X92" s="9">
        <v>2787.4</v>
      </c>
      <c r="Y92" s="7">
        <v>0</v>
      </c>
      <c r="Z92" s="9">
        <v>1194.2</v>
      </c>
    </row>
    <row r="93" spans="1:26" x14ac:dyDescent="0.35">
      <c r="A93" s="7" t="s">
        <v>27</v>
      </c>
      <c r="B93" s="7" t="s">
        <v>40</v>
      </c>
      <c r="C93" s="7" t="s">
        <v>44</v>
      </c>
      <c r="D93" s="7" t="s">
        <v>58</v>
      </c>
      <c r="E93" s="7" t="s">
        <v>43</v>
      </c>
      <c r="F93" s="7" t="s">
        <v>43</v>
      </c>
      <c r="G93" s="7">
        <v>2017</v>
      </c>
      <c r="H93" s="7" t="str">
        <f>CONCATENATE("14270156715")</f>
        <v>14270156715</v>
      </c>
      <c r="I93" s="7" t="s">
        <v>37</v>
      </c>
      <c r="J93" s="7" t="s">
        <v>31</v>
      </c>
      <c r="K93" s="7" t="str">
        <f>CONCATENATE("")</f>
        <v/>
      </c>
      <c r="L93" s="7" t="str">
        <f>CONCATENATE("21 21.1 2a")</f>
        <v>21 21.1 2a</v>
      </c>
      <c r="M93" s="7" t="str">
        <f>CONCATENATE("GLTMRC69P19I461E")</f>
        <v>GLTMRC69P19I461E</v>
      </c>
      <c r="N93" s="7" t="s">
        <v>178</v>
      </c>
      <c r="O93" s="7" t="s">
        <v>161</v>
      </c>
      <c r="P93" s="8">
        <v>44354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9">
        <v>7000</v>
      </c>
      <c r="W93" s="9">
        <v>3018.4</v>
      </c>
      <c r="X93" s="9">
        <v>2787.4</v>
      </c>
      <c r="Y93" s="7">
        <v>0</v>
      </c>
      <c r="Z93" s="9">
        <v>1194.2</v>
      </c>
    </row>
    <row r="94" spans="1:26" x14ac:dyDescent="0.35">
      <c r="A94" s="7" t="s">
        <v>27</v>
      </c>
      <c r="B94" s="7" t="s">
        <v>40</v>
      </c>
      <c r="C94" s="7" t="s">
        <v>44</v>
      </c>
      <c r="D94" s="7" t="s">
        <v>61</v>
      </c>
      <c r="E94" s="7" t="s">
        <v>43</v>
      </c>
      <c r="F94" s="7" t="s">
        <v>43</v>
      </c>
      <c r="G94" s="7">
        <v>2017</v>
      </c>
      <c r="H94" s="7" t="str">
        <f>CONCATENATE("14270156673")</f>
        <v>14270156673</v>
      </c>
      <c r="I94" s="7" t="s">
        <v>37</v>
      </c>
      <c r="J94" s="7" t="s">
        <v>31</v>
      </c>
      <c r="K94" s="7" t="str">
        <f>CONCATENATE("")</f>
        <v/>
      </c>
      <c r="L94" s="7" t="str">
        <f>CONCATENATE("21 21.1 2a")</f>
        <v>21 21.1 2a</v>
      </c>
      <c r="M94" s="7" t="str">
        <f>CONCATENATE("MRCLND65C65F749J")</f>
        <v>MRCLND65C65F749J</v>
      </c>
      <c r="N94" s="7" t="s">
        <v>179</v>
      </c>
      <c r="O94" s="7" t="s">
        <v>161</v>
      </c>
      <c r="P94" s="8">
        <v>44354</v>
      </c>
      <c r="Q94" s="7" t="s">
        <v>32</v>
      </c>
      <c r="R94" s="7" t="s">
        <v>33</v>
      </c>
      <c r="S94" s="7" t="s">
        <v>34</v>
      </c>
      <c r="T94" s="7"/>
      <c r="U94" s="7" t="s">
        <v>35</v>
      </c>
      <c r="V94" s="9">
        <v>7000</v>
      </c>
      <c r="W94" s="9">
        <v>3018.4</v>
      </c>
      <c r="X94" s="9">
        <v>2787.4</v>
      </c>
      <c r="Y94" s="7">
        <v>0</v>
      </c>
      <c r="Z94" s="9">
        <v>1194.2</v>
      </c>
    </row>
    <row r="95" spans="1:26" x14ac:dyDescent="0.35">
      <c r="A95" s="7" t="s">
        <v>27</v>
      </c>
      <c r="B95" s="7" t="s">
        <v>40</v>
      </c>
      <c r="C95" s="7" t="s">
        <v>44</v>
      </c>
      <c r="D95" s="7" t="s">
        <v>61</v>
      </c>
      <c r="E95" s="7" t="s">
        <v>43</v>
      </c>
      <c r="F95" s="7" t="s">
        <v>43</v>
      </c>
      <c r="G95" s="7">
        <v>2017</v>
      </c>
      <c r="H95" s="7" t="str">
        <f>CONCATENATE("14270156707")</f>
        <v>14270156707</v>
      </c>
      <c r="I95" s="7" t="s">
        <v>37</v>
      </c>
      <c r="J95" s="7" t="s">
        <v>31</v>
      </c>
      <c r="K95" s="7" t="str">
        <f>CONCATENATE("")</f>
        <v/>
      </c>
      <c r="L95" s="7" t="str">
        <f>CONCATENATE("21 21.1 2a")</f>
        <v>21 21.1 2a</v>
      </c>
      <c r="M95" s="7" t="str">
        <f>CONCATENATE("NSTGPP54D29H501N")</f>
        <v>NSTGPP54D29H501N</v>
      </c>
      <c r="N95" s="7" t="s">
        <v>180</v>
      </c>
      <c r="O95" s="7" t="s">
        <v>161</v>
      </c>
      <c r="P95" s="8">
        <v>44354</v>
      </c>
      <c r="Q95" s="7" t="s">
        <v>32</v>
      </c>
      <c r="R95" s="7" t="s">
        <v>33</v>
      </c>
      <c r="S95" s="7" t="s">
        <v>34</v>
      </c>
      <c r="T95" s="7"/>
      <c r="U95" s="7" t="s">
        <v>35</v>
      </c>
      <c r="V95" s="9">
        <v>7000</v>
      </c>
      <c r="W95" s="9">
        <v>3018.4</v>
      </c>
      <c r="X95" s="9">
        <v>2787.4</v>
      </c>
      <c r="Y95" s="7">
        <v>0</v>
      </c>
      <c r="Z95" s="9">
        <v>1194.2</v>
      </c>
    </row>
    <row r="96" spans="1:26" x14ac:dyDescent="0.35">
      <c r="A96" s="7" t="s">
        <v>27</v>
      </c>
      <c r="B96" s="7" t="s">
        <v>40</v>
      </c>
      <c r="C96" s="7" t="s">
        <v>44</v>
      </c>
      <c r="D96" s="7" t="s">
        <v>49</v>
      </c>
      <c r="E96" s="7" t="s">
        <v>36</v>
      </c>
      <c r="F96" s="7" t="s">
        <v>181</v>
      </c>
      <c r="G96" s="7">
        <v>2017</v>
      </c>
      <c r="H96" s="7" t="str">
        <f>CONCATENATE("14270156657")</f>
        <v>14270156657</v>
      </c>
      <c r="I96" s="7" t="s">
        <v>37</v>
      </c>
      <c r="J96" s="7" t="s">
        <v>31</v>
      </c>
      <c r="K96" s="7" t="str">
        <f>CONCATENATE("")</f>
        <v/>
      </c>
      <c r="L96" s="7" t="str">
        <f>CONCATENATE("21 21.1 2a")</f>
        <v>21 21.1 2a</v>
      </c>
      <c r="M96" s="7" t="str">
        <f>CONCATENATE("NBRBNR64H18G337A")</f>
        <v>NBRBNR64H18G337A</v>
      </c>
      <c r="N96" s="7" t="s">
        <v>182</v>
      </c>
      <c r="O96" s="7" t="s">
        <v>161</v>
      </c>
      <c r="P96" s="8">
        <v>44354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9">
        <v>7000</v>
      </c>
      <c r="W96" s="9">
        <v>3018.4</v>
      </c>
      <c r="X96" s="9">
        <v>2787.4</v>
      </c>
      <c r="Y96" s="7">
        <v>0</v>
      </c>
      <c r="Z96" s="9">
        <v>1194.2</v>
      </c>
    </row>
    <row r="97" spans="1:26" x14ac:dyDescent="0.35">
      <c r="A97" s="7" t="s">
        <v>27</v>
      </c>
      <c r="B97" s="7" t="s">
        <v>40</v>
      </c>
      <c r="C97" s="7" t="s">
        <v>44</v>
      </c>
      <c r="D97" s="7" t="s">
        <v>58</v>
      </c>
      <c r="E97" s="7" t="s">
        <v>36</v>
      </c>
      <c r="F97" s="7" t="s">
        <v>92</v>
      </c>
      <c r="G97" s="7">
        <v>2017</v>
      </c>
      <c r="H97" s="7" t="str">
        <f>CONCATENATE("14270156780")</f>
        <v>14270156780</v>
      </c>
      <c r="I97" s="7" t="s">
        <v>37</v>
      </c>
      <c r="J97" s="7" t="s">
        <v>31</v>
      </c>
      <c r="K97" s="7" t="str">
        <f>CONCATENATE("")</f>
        <v/>
      </c>
      <c r="L97" s="7" t="str">
        <f>CONCATENATE("21 21.1 2a")</f>
        <v>21 21.1 2a</v>
      </c>
      <c r="M97" s="7" t="str">
        <f>CONCATENATE("CFNRLD64H19D451Z")</f>
        <v>CFNRLD64H19D451Z</v>
      </c>
      <c r="N97" s="7" t="s">
        <v>183</v>
      </c>
      <c r="O97" s="7" t="s">
        <v>161</v>
      </c>
      <c r="P97" s="8">
        <v>44354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9">
        <v>7000</v>
      </c>
      <c r="W97" s="9">
        <v>3018.4</v>
      </c>
      <c r="X97" s="9">
        <v>2787.4</v>
      </c>
      <c r="Y97" s="7">
        <v>0</v>
      </c>
      <c r="Z97" s="9">
        <v>1194.2</v>
      </c>
    </row>
    <row r="98" spans="1:26" x14ac:dyDescent="0.35">
      <c r="A98" s="7" t="s">
        <v>27</v>
      </c>
      <c r="B98" s="7" t="s">
        <v>40</v>
      </c>
      <c r="C98" s="7" t="s">
        <v>44</v>
      </c>
      <c r="D98" s="7" t="s">
        <v>61</v>
      </c>
      <c r="E98" s="7" t="s">
        <v>43</v>
      </c>
      <c r="F98" s="7" t="s">
        <v>43</v>
      </c>
      <c r="G98" s="7">
        <v>2017</v>
      </c>
      <c r="H98" s="7" t="str">
        <f>CONCATENATE("14270156764")</f>
        <v>14270156764</v>
      </c>
      <c r="I98" s="7" t="s">
        <v>37</v>
      </c>
      <c r="J98" s="7" t="s">
        <v>31</v>
      </c>
      <c r="K98" s="7" t="str">
        <f>CONCATENATE("")</f>
        <v/>
      </c>
      <c r="L98" s="7" t="str">
        <f>CONCATENATE("21 21.1 2a")</f>
        <v>21 21.1 2a</v>
      </c>
      <c r="M98" s="7" t="str">
        <f>CONCATENATE("GCMLCU66B28C111M")</f>
        <v>GCMLCU66B28C111M</v>
      </c>
      <c r="N98" s="7" t="s">
        <v>184</v>
      </c>
      <c r="O98" s="7" t="s">
        <v>161</v>
      </c>
      <c r="P98" s="8">
        <v>44354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9">
        <v>3942.82</v>
      </c>
      <c r="W98" s="9">
        <v>1700.14</v>
      </c>
      <c r="X98" s="9">
        <v>1570.03</v>
      </c>
      <c r="Y98" s="7">
        <v>0</v>
      </c>
      <c r="Z98" s="7">
        <v>672.65</v>
      </c>
    </row>
    <row r="99" spans="1:26" ht="17.5" x14ac:dyDescent="0.35">
      <c r="A99" s="7" t="s">
        <v>27</v>
      </c>
      <c r="B99" s="7" t="s">
        <v>40</v>
      </c>
      <c r="C99" s="7" t="s">
        <v>44</v>
      </c>
      <c r="D99" s="7" t="s">
        <v>58</v>
      </c>
      <c r="E99" s="7" t="s">
        <v>29</v>
      </c>
      <c r="F99" s="7" t="s">
        <v>103</v>
      </c>
      <c r="G99" s="7">
        <v>2017</v>
      </c>
      <c r="H99" s="7" t="str">
        <f>CONCATENATE("14270156822")</f>
        <v>14270156822</v>
      </c>
      <c r="I99" s="7" t="s">
        <v>37</v>
      </c>
      <c r="J99" s="7" t="s">
        <v>31</v>
      </c>
      <c r="K99" s="7" t="str">
        <f>CONCATENATE("")</f>
        <v/>
      </c>
      <c r="L99" s="7" t="str">
        <f>CONCATENATE("21 21.1 2a")</f>
        <v>21 21.1 2a</v>
      </c>
      <c r="M99" s="7" t="str">
        <f>CONCATENATE("02663240428")</f>
        <v>02663240428</v>
      </c>
      <c r="N99" s="7" t="s">
        <v>123</v>
      </c>
      <c r="O99" s="7" t="s">
        <v>161</v>
      </c>
      <c r="P99" s="8">
        <v>44354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9">
        <v>7000</v>
      </c>
      <c r="W99" s="9">
        <v>3018.4</v>
      </c>
      <c r="X99" s="9">
        <v>2787.4</v>
      </c>
      <c r="Y99" s="7">
        <v>0</v>
      </c>
      <c r="Z99" s="9">
        <v>1194.2</v>
      </c>
    </row>
    <row r="100" spans="1:26" x14ac:dyDescent="0.35">
      <c r="A100" s="7" t="s">
        <v>27</v>
      </c>
      <c r="B100" s="7" t="s">
        <v>40</v>
      </c>
      <c r="C100" s="7" t="s">
        <v>44</v>
      </c>
      <c r="D100" s="7" t="s">
        <v>49</v>
      </c>
      <c r="E100" s="7" t="s">
        <v>43</v>
      </c>
      <c r="F100" s="7" t="s">
        <v>43</v>
      </c>
      <c r="G100" s="7">
        <v>2017</v>
      </c>
      <c r="H100" s="7" t="str">
        <f>CONCATENATE("14270156731")</f>
        <v>14270156731</v>
      </c>
      <c r="I100" s="7" t="s">
        <v>37</v>
      </c>
      <c r="J100" s="7" t="s">
        <v>31</v>
      </c>
      <c r="K100" s="7" t="str">
        <f>CONCATENATE("")</f>
        <v/>
      </c>
      <c r="L100" s="7" t="str">
        <f>CONCATENATE("21 21.1 2a")</f>
        <v>21 21.1 2a</v>
      </c>
      <c r="M100" s="7" t="str">
        <f>CONCATENATE("02609490418")</f>
        <v>02609490418</v>
      </c>
      <c r="N100" s="7" t="s">
        <v>185</v>
      </c>
      <c r="O100" s="7" t="s">
        <v>161</v>
      </c>
      <c r="P100" s="8">
        <v>44354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9">
        <v>1977.61</v>
      </c>
      <c r="W100" s="7">
        <v>852.75</v>
      </c>
      <c r="X100" s="7">
        <v>787.48</v>
      </c>
      <c r="Y100" s="7">
        <v>0</v>
      </c>
      <c r="Z100" s="7">
        <v>337.38</v>
      </c>
    </row>
    <row r="101" spans="1:26" x14ac:dyDescent="0.35">
      <c r="A101" s="7" t="s">
        <v>27</v>
      </c>
      <c r="B101" s="7" t="s">
        <v>40</v>
      </c>
      <c r="C101" s="7" t="s">
        <v>44</v>
      </c>
      <c r="D101" s="7" t="s">
        <v>61</v>
      </c>
      <c r="E101" s="7" t="s">
        <v>43</v>
      </c>
      <c r="F101" s="7" t="s">
        <v>43</v>
      </c>
      <c r="G101" s="7">
        <v>2017</v>
      </c>
      <c r="H101" s="7" t="str">
        <f>CONCATENATE("14270156871")</f>
        <v>14270156871</v>
      </c>
      <c r="I101" s="7" t="s">
        <v>37</v>
      </c>
      <c r="J101" s="7" t="s">
        <v>31</v>
      </c>
      <c r="K101" s="7" t="str">
        <f>CONCATENATE("")</f>
        <v/>
      </c>
      <c r="L101" s="7" t="str">
        <f>CONCATENATE("21 21.1 2a")</f>
        <v>21 21.1 2a</v>
      </c>
      <c r="M101" s="7" t="str">
        <f>CONCATENATE("MCZGTT75T01D542N")</f>
        <v>MCZGTT75T01D542N</v>
      </c>
      <c r="N101" s="7" t="s">
        <v>186</v>
      </c>
      <c r="O101" s="7" t="s">
        <v>161</v>
      </c>
      <c r="P101" s="8">
        <v>44354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9">
        <v>7000</v>
      </c>
      <c r="W101" s="9">
        <v>3018.4</v>
      </c>
      <c r="X101" s="9">
        <v>2787.4</v>
      </c>
      <c r="Y101" s="7">
        <v>0</v>
      </c>
      <c r="Z101" s="9">
        <v>1194.2</v>
      </c>
    </row>
    <row r="102" spans="1:26" x14ac:dyDescent="0.35">
      <c r="A102" s="7" t="s">
        <v>27</v>
      </c>
      <c r="B102" s="7" t="s">
        <v>40</v>
      </c>
      <c r="C102" s="7" t="s">
        <v>44</v>
      </c>
      <c r="D102" s="7" t="s">
        <v>61</v>
      </c>
      <c r="E102" s="7" t="s">
        <v>36</v>
      </c>
      <c r="F102" s="7" t="s">
        <v>164</v>
      </c>
      <c r="G102" s="7">
        <v>2017</v>
      </c>
      <c r="H102" s="7" t="str">
        <f>CONCATENATE("14270156962")</f>
        <v>14270156962</v>
      </c>
      <c r="I102" s="7" t="s">
        <v>37</v>
      </c>
      <c r="J102" s="7" t="s">
        <v>31</v>
      </c>
      <c r="K102" s="7" t="str">
        <f>CONCATENATE("")</f>
        <v/>
      </c>
      <c r="L102" s="7" t="str">
        <f>CONCATENATE("21 21.1 2a")</f>
        <v>21 21.1 2a</v>
      </c>
      <c r="M102" s="7" t="str">
        <f>CONCATENATE("FRRSVN48B24A329H")</f>
        <v>FRRSVN48B24A329H</v>
      </c>
      <c r="N102" s="7" t="s">
        <v>187</v>
      </c>
      <c r="O102" s="7" t="s">
        <v>161</v>
      </c>
      <c r="P102" s="8">
        <v>44354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2104.25</v>
      </c>
      <c r="W102" s="7">
        <v>907.35</v>
      </c>
      <c r="X102" s="7">
        <v>837.91</v>
      </c>
      <c r="Y102" s="7">
        <v>0</v>
      </c>
      <c r="Z102" s="7">
        <v>358.99</v>
      </c>
    </row>
    <row r="103" spans="1:26" x14ac:dyDescent="0.35">
      <c r="A103" s="7" t="s">
        <v>27</v>
      </c>
      <c r="B103" s="7" t="s">
        <v>40</v>
      </c>
      <c r="C103" s="7" t="s">
        <v>44</v>
      </c>
      <c r="D103" s="7" t="s">
        <v>61</v>
      </c>
      <c r="E103" s="7" t="s">
        <v>43</v>
      </c>
      <c r="F103" s="7" t="s">
        <v>43</v>
      </c>
      <c r="G103" s="7">
        <v>2017</v>
      </c>
      <c r="H103" s="7" t="str">
        <f>CONCATENATE("14270156830")</f>
        <v>14270156830</v>
      </c>
      <c r="I103" s="7" t="s">
        <v>37</v>
      </c>
      <c r="J103" s="7" t="s">
        <v>31</v>
      </c>
      <c r="K103" s="7" t="str">
        <f>CONCATENATE("")</f>
        <v/>
      </c>
      <c r="L103" s="7" t="str">
        <f>CONCATENATE("21 21.1 2a")</f>
        <v>21 21.1 2a</v>
      </c>
      <c r="M103" s="7" t="str">
        <f>CONCATENATE("MNCLRA79H67L191L")</f>
        <v>MNCLRA79H67L191L</v>
      </c>
      <c r="N103" s="7" t="s">
        <v>188</v>
      </c>
      <c r="O103" s="7" t="s">
        <v>161</v>
      </c>
      <c r="P103" s="8">
        <v>44354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9">
        <v>7000</v>
      </c>
      <c r="W103" s="9">
        <v>3018.4</v>
      </c>
      <c r="X103" s="9">
        <v>2787.4</v>
      </c>
      <c r="Y103" s="7">
        <v>0</v>
      </c>
      <c r="Z103" s="9">
        <v>1194.2</v>
      </c>
    </row>
    <row r="104" spans="1:26" x14ac:dyDescent="0.35">
      <c r="A104" s="7" t="s">
        <v>27</v>
      </c>
      <c r="B104" s="7" t="s">
        <v>40</v>
      </c>
      <c r="C104" s="7" t="s">
        <v>44</v>
      </c>
      <c r="D104" s="7" t="s">
        <v>58</v>
      </c>
      <c r="E104" s="7" t="s">
        <v>36</v>
      </c>
      <c r="F104" s="7" t="s">
        <v>189</v>
      </c>
      <c r="G104" s="7">
        <v>2017</v>
      </c>
      <c r="H104" s="7" t="str">
        <f>CONCATENATE("14270156806")</f>
        <v>14270156806</v>
      </c>
      <c r="I104" s="7" t="s">
        <v>37</v>
      </c>
      <c r="J104" s="7" t="s">
        <v>31</v>
      </c>
      <c r="K104" s="7" t="str">
        <f>CONCATENATE("")</f>
        <v/>
      </c>
      <c r="L104" s="7" t="str">
        <f>CONCATENATE("21 21.1 2a")</f>
        <v>21 21.1 2a</v>
      </c>
      <c r="M104" s="7" t="str">
        <f>CONCATENATE("ZNNGZL53T54D211T")</f>
        <v>ZNNGZL53T54D211T</v>
      </c>
      <c r="N104" s="7" t="s">
        <v>190</v>
      </c>
      <c r="O104" s="7" t="s">
        <v>161</v>
      </c>
      <c r="P104" s="8">
        <v>44354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9">
        <v>7000</v>
      </c>
      <c r="W104" s="9">
        <v>3018.4</v>
      </c>
      <c r="X104" s="9">
        <v>2787.4</v>
      </c>
      <c r="Y104" s="7">
        <v>0</v>
      </c>
      <c r="Z104" s="9">
        <v>1194.2</v>
      </c>
    </row>
    <row r="105" spans="1:26" x14ac:dyDescent="0.35">
      <c r="A105" s="7" t="s">
        <v>27</v>
      </c>
      <c r="B105" s="7" t="s">
        <v>40</v>
      </c>
      <c r="C105" s="7" t="s">
        <v>44</v>
      </c>
      <c r="D105" s="7" t="s">
        <v>58</v>
      </c>
      <c r="E105" s="7" t="s">
        <v>29</v>
      </c>
      <c r="F105" s="7" t="s">
        <v>59</v>
      </c>
      <c r="G105" s="7">
        <v>2017</v>
      </c>
      <c r="H105" s="7" t="str">
        <f>CONCATENATE("14270156533")</f>
        <v>14270156533</v>
      </c>
      <c r="I105" s="7" t="s">
        <v>37</v>
      </c>
      <c r="J105" s="7" t="s">
        <v>31</v>
      </c>
      <c r="K105" s="7" t="str">
        <f>CONCATENATE("")</f>
        <v/>
      </c>
      <c r="L105" s="7" t="str">
        <f>CONCATENATE("21 21.1 2a")</f>
        <v>21 21.1 2a</v>
      </c>
      <c r="M105" s="7" t="str">
        <f>CONCATENATE("02364900429")</f>
        <v>02364900429</v>
      </c>
      <c r="N105" s="7" t="s">
        <v>191</v>
      </c>
      <c r="O105" s="7" t="s">
        <v>161</v>
      </c>
      <c r="P105" s="8">
        <v>44354</v>
      </c>
      <c r="Q105" s="7" t="s">
        <v>32</v>
      </c>
      <c r="R105" s="7" t="s">
        <v>33</v>
      </c>
      <c r="S105" s="7" t="s">
        <v>34</v>
      </c>
      <c r="T105" s="7"/>
      <c r="U105" s="7" t="s">
        <v>35</v>
      </c>
      <c r="V105" s="9">
        <v>7000</v>
      </c>
      <c r="W105" s="9">
        <v>3018.4</v>
      </c>
      <c r="X105" s="9">
        <v>2787.4</v>
      </c>
      <c r="Y105" s="7">
        <v>0</v>
      </c>
      <c r="Z105" s="9">
        <v>1194.2</v>
      </c>
    </row>
    <row r="106" spans="1:26" x14ac:dyDescent="0.35">
      <c r="A106" s="7" t="s">
        <v>27</v>
      </c>
      <c r="B106" s="7" t="s">
        <v>40</v>
      </c>
      <c r="C106" s="7" t="s">
        <v>44</v>
      </c>
      <c r="D106" s="7" t="s">
        <v>49</v>
      </c>
      <c r="E106" s="7" t="s">
        <v>29</v>
      </c>
      <c r="F106" s="7" t="s">
        <v>111</v>
      </c>
      <c r="G106" s="7">
        <v>2017</v>
      </c>
      <c r="H106" s="7" t="str">
        <f>CONCATENATE("14270156798")</f>
        <v>14270156798</v>
      </c>
      <c r="I106" s="7" t="s">
        <v>37</v>
      </c>
      <c r="J106" s="7" t="s">
        <v>31</v>
      </c>
      <c r="K106" s="7" t="str">
        <f>CONCATENATE("")</f>
        <v/>
      </c>
      <c r="L106" s="7" t="str">
        <f>CONCATENATE("21 21.1 2a")</f>
        <v>21 21.1 2a</v>
      </c>
      <c r="M106" s="7" t="str">
        <f>CONCATENATE("02495930410")</f>
        <v>02495930410</v>
      </c>
      <c r="N106" s="7" t="s">
        <v>192</v>
      </c>
      <c r="O106" s="7" t="s">
        <v>161</v>
      </c>
      <c r="P106" s="8">
        <v>44354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9">
        <v>7000</v>
      </c>
      <c r="W106" s="9">
        <v>3018.4</v>
      </c>
      <c r="X106" s="9">
        <v>2787.4</v>
      </c>
      <c r="Y106" s="7">
        <v>0</v>
      </c>
      <c r="Z106" s="9">
        <v>1194.2</v>
      </c>
    </row>
    <row r="107" spans="1:26" x14ac:dyDescent="0.35">
      <c r="A107" s="7" t="s">
        <v>27</v>
      </c>
      <c r="B107" s="7" t="s">
        <v>40</v>
      </c>
      <c r="C107" s="7" t="s">
        <v>44</v>
      </c>
      <c r="D107" s="7" t="s">
        <v>61</v>
      </c>
      <c r="E107" s="7" t="s">
        <v>38</v>
      </c>
      <c r="F107" s="7" t="s">
        <v>64</v>
      </c>
      <c r="G107" s="7">
        <v>2017</v>
      </c>
      <c r="H107" s="7" t="str">
        <f>CONCATENATE("14270156566")</f>
        <v>14270156566</v>
      </c>
      <c r="I107" s="7" t="s">
        <v>37</v>
      </c>
      <c r="J107" s="7" t="s">
        <v>31</v>
      </c>
      <c r="K107" s="7" t="str">
        <f>CONCATENATE("")</f>
        <v/>
      </c>
      <c r="L107" s="7" t="str">
        <f>CONCATENATE("21 21.1 2a")</f>
        <v>21 21.1 2a</v>
      </c>
      <c r="M107" s="7" t="str">
        <f>CONCATENATE("02182100442")</f>
        <v>02182100442</v>
      </c>
      <c r="N107" s="7" t="s">
        <v>193</v>
      </c>
      <c r="O107" s="7" t="s">
        <v>161</v>
      </c>
      <c r="P107" s="8">
        <v>44354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9">
        <v>7000</v>
      </c>
      <c r="W107" s="9">
        <v>3018.4</v>
      </c>
      <c r="X107" s="9">
        <v>2787.4</v>
      </c>
      <c r="Y107" s="7">
        <v>0</v>
      </c>
      <c r="Z107" s="9">
        <v>1194.2</v>
      </c>
    </row>
    <row r="108" spans="1:26" x14ac:dyDescent="0.35">
      <c r="A108" s="7" t="s">
        <v>27</v>
      </c>
      <c r="B108" s="7" t="s">
        <v>40</v>
      </c>
      <c r="C108" s="7" t="s">
        <v>44</v>
      </c>
      <c r="D108" s="7" t="s">
        <v>45</v>
      </c>
      <c r="E108" s="7" t="s">
        <v>36</v>
      </c>
      <c r="F108" s="7" t="s">
        <v>46</v>
      </c>
      <c r="G108" s="7">
        <v>2017</v>
      </c>
      <c r="H108" s="7" t="str">
        <f>CONCATENATE("14270156988")</f>
        <v>14270156988</v>
      </c>
      <c r="I108" s="7" t="s">
        <v>37</v>
      </c>
      <c r="J108" s="7" t="s">
        <v>31</v>
      </c>
      <c r="K108" s="7" t="str">
        <f>CONCATENATE("")</f>
        <v/>
      </c>
      <c r="L108" s="7" t="str">
        <f>CONCATENATE("6 6.1 2b")</f>
        <v>6 6.1 2b</v>
      </c>
      <c r="M108" s="7" t="str">
        <f>CONCATENATE("FRNKGM83E59Z129K")</f>
        <v>FRNKGM83E59Z129K</v>
      </c>
      <c r="N108" s="7" t="s">
        <v>47</v>
      </c>
      <c r="O108" s="7" t="s">
        <v>194</v>
      </c>
      <c r="P108" s="8">
        <v>44354</v>
      </c>
      <c r="Q108" s="7" t="s">
        <v>32</v>
      </c>
      <c r="R108" s="7" t="s">
        <v>42</v>
      </c>
      <c r="S108" s="7" t="s">
        <v>34</v>
      </c>
      <c r="T108" s="7"/>
      <c r="U108" s="7" t="s">
        <v>35</v>
      </c>
      <c r="V108" s="9">
        <v>28000</v>
      </c>
      <c r="W108" s="9">
        <v>12073.6</v>
      </c>
      <c r="X108" s="9">
        <v>11149.6</v>
      </c>
      <c r="Y108" s="7">
        <v>0</v>
      </c>
      <c r="Z108" s="9">
        <v>4776.8</v>
      </c>
    </row>
    <row r="109" spans="1:26" x14ac:dyDescent="0.35">
      <c r="A109" s="7" t="s">
        <v>27</v>
      </c>
      <c r="B109" s="7" t="s">
        <v>40</v>
      </c>
      <c r="C109" s="7" t="s">
        <v>44</v>
      </c>
      <c r="D109" s="7" t="s">
        <v>61</v>
      </c>
      <c r="E109" s="7" t="s">
        <v>36</v>
      </c>
      <c r="F109" s="7" t="s">
        <v>195</v>
      </c>
      <c r="G109" s="7">
        <v>2017</v>
      </c>
      <c r="H109" s="7" t="str">
        <f>CONCATENATE("14270151336")</f>
        <v>14270151336</v>
      </c>
      <c r="I109" s="7" t="s">
        <v>37</v>
      </c>
      <c r="J109" s="7" t="s">
        <v>31</v>
      </c>
      <c r="K109" s="7" t="str">
        <f>CONCATENATE("")</f>
        <v/>
      </c>
      <c r="L109" s="7" t="str">
        <f>CONCATENATE("21 21.1 2a")</f>
        <v>21 21.1 2a</v>
      </c>
      <c r="M109" s="7" t="str">
        <f>CONCATENATE("MRLMCL72B12I436X")</f>
        <v>MRLMCL72B12I436X</v>
      </c>
      <c r="N109" s="7" t="s">
        <v>196</v>
      </c>
      <c r="O109" s="7" t="s">
        <v>108</v>
      </c>
      <c r="P109" s="8">
        <v>44354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9">
        <v>1050</v>
      </c>
      <c r="W109" s="7">
        <v>452.76</v>
      </c>
      <c r="X109" s="7">
        <v>418.11</v>
      </c>
      <c r="Y109" s="7">
        <v>0</v>
      </c>
      <c r="Z109" s="7">
        <v>179.13</v>
      </c>
    </row>
    <row r="110" spans="1:26" x14ac:dyDescent="0.35">
      <c r="A110" s="7" t="s">
        <v>27</v>
      </c>
      <c r="B110" s="7" t="s">
        <v>28</v>
      </c>
      <c r="C110" s="7" t="s">
        <v>44</v>
      </c>
      <c r="D110" s="7" t="s">
        <v>61</v>
      </c>
      <c r="E110" s="7" t="s">
        <v>36</v>
      </c>
      <c r="F110" s="7" t="s">
        <v>109</v>
      </c>
      <c r="G110" s="7">
        <v>2020</v>
      </c>
      <c r="H110" s="7" t="str">
        <f>CONCATENATE("04210387116")</f>
        <v>04210387116</v>
      </c>
      <c r="I110" s="7" t="s">
        <v>30</v>
      </c>
      <c r="J110" s="7" t="s">
        <v>31</v>
      </c>
      <c r="K110" s="7" t="str">
        <f>CONCATENATE("")</f>
        <v/>
      </c>
      <c r="L110" s="7" t="str">
        <f>CONCATENATE("12 12.1 4a")</f>
        <v>12 12.1 4a</v>
      </c>
      <c r="M110" s="7" t="str">
        <f>CONCATENATE("RZOWTR88E06E783C")</f>
        <v>RZOWTR88E06E783C</v>
      </c>
      <c r="N110" s="7" t="s">
        <v>197</v>
      </c>
      <c r="O110" s="7" t="s">
        <v>198</v>
      </c>
      <c r="P110" s="8">
        <v>44354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7">
        <v>721.25</v>
      </c>
      <c r="W110" s="7">
        <v>311</v>
      </c>
      <c r="X110" s="7">
        <v>287.2</v>
      </c>
      <c r="Y110" s="7">
        <v>0</v>
      </c>
      <c r="Z110" s="7">
        <v>123.05</v>
      </c>
    </row>
    <row r="111" spans="1:26" x14ac:dyDescent="0.35">
      <c r="A111" s="7" t="s">
        <v>27</v>
      </c>
      <c r="B111" s="7" t="s">
        <v>40</v>
      </c>
      <c r="C111" s="7" t="s">
        <v>44</v>
      </c>
      <c r="D111" s="7" t="s">
        <v>58</v>
      </c>
      <c r="E111" s="7" t="s">
        <v>36</v>
      </c>
      <c r="F111" s="7" t="s">
        <v>199</v>
      </c>
      <c r="G111" s="7">
        <v>2017</v>
      </c>
      <c r="H111" s="7" t="str">
        <f>CONCATENATE("14270151187")</f>
        <v>14270151187</v>
      </c>
      <c r="I111" s="7" t="s">
        <v>37</v>
      </c>
      <c r="J111" s="7" t="s">
        <v>31</v>
      </c>
      <c r="K111" s="7" t="str">
        <f>CONCATENATE("")</f>
        <v/>
      </c>
      <c r="L111" s="7" t="str">
        <f>CONCATENATE("21 21.1 2a")</f>
        <v>21 21.1 2a</v>
      </c>
      <c r="M111" s="7" t="str">
        <f>CONCATENATE("LSAGBR56S19D007Q")</f>
        <v>LSAGBR56S19D007Q</v>
      </c>
      <c r="N111" s="7" t="s">
        <v>200</v>
      </c>
      <c r="O111" s="7" t="s">
        <v>108</v>
      </c>
      <c r="P111" s="8">
        <v>44354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5250</v>
      </c>
      <c r="W111" s="9">
        <v>2263.8000000000002</v>
      </c>
      <c r="X111" s="9">
        <v>2090.5500000000002</v>
      </c>
      <c r="Y111" s="7">
        <v>0</v>
      </c>
      <c r="Z111" s="7">
        <v>895.65</v>
      </c>
    </row>
    <row r="112" spans="1:26" x14ac:dyDescent="0.35">
      <c r="A112" s="7" t="s">
        <v>27</v>
      </c>
      <c r="B112" s="7" t="s">
        <v>40</v>
      </c>
      <c r="C112" s="7" t="s">
        <v>44</v>
      </c>
      <c r="D112" s="7" t="s">
        <v>49</v>
      </c>
      <c r="E112" s="7" t="s">
        <v>36</v>
      </c>
      <c r="F112" s="7" t="s">
        <v>201</v>
      </c>
      <c r="G112" s="7">
        <v>2017</v>
      </c>
      <c r="H112" s="7" t="str">
        <f>CONCATENATE("14270151468")</f>
        <v>14270151468</v>
      </c>
      <c r="I112" s="7" t="s">
        <v>37</v>
      </c>
      <c r="J112" s="7" t="s">
        <v>31</v>
      </c>
      <c r="K112" s="7" t="str">
        <f>CONCATENATE("")</f>
        <v/>
      </c>
      <c r="L112" s="7" t="str">
        <f>CONCATENATE("21 21.1 2a")</f>
        <v>21 21.1 2a</v>
      </c>
      <c r="M112" s="7" t="str">
        <f>CONCATENATE("01175550415")</f>
        <v>01175550415</v>
      </c>
      <c r="N112" s="7" t="s">
        <v>202</v>
      </c>
      <c r="O112" s="7" t="s">
        <v>108</v>
      </c>
      <c r="P112" s="8">
        <v>44354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9">
        <v>2940</v>
      </c>
      <c r="W112" s="9">
        <v>1267.73</v>
      </c>
      <c r="X112" s="9">
        <v>1170.71</v>
      </c>
      <c r="Y112" s="7">
        <v>0</v>
      </c>
      <c r="Z112" s="7">
        <v>501.56</v>
      </c>
    </row>
    <row r="113" spans="1:26" x14ac:dyDescent="0.35">
      <c r="A113" s="7" t="s">
        <v>27</v>
      </c>
      <c r="B113" s="7" t="s">
        <v>40</v>
      </c>
      <c r="C113" s="7" t="s">
        <v>44</v>
      </c>
      <c r="D113" s="7" t="s">
        <v>58</v>
      </c>
      <c r="E113" s="7" t="s">
        <v>36</v>
      </c>
      <c r="F113" s="7" t="s">
        <v>199</v>
      </c>
      <c r="G113" s="7">
        <v>2017</v>
      </c>
      <c r="H113" s="7" t="str">
        <f>CONCATENATE("14270151229")</f>
        <v>14270151229</v>
      </c>
      <c r="I113" s="7" t="s">
        <v>37</v>
      </c>
      <c r="J113" s="7" t="s">
        <v>31</v>
      </c>
      <c r="K113" s="7" t="str">
        <f>CONCATENATE("")</f>
        <v/>
      </c>
      <c r="L113" s="7" t="str">
        <f>CONCATENATE("21 21.1 2a")</f>
        <v>21 21.1 2a</v>
      </c>
      <c r="M113" s="7" t="str">
        <f>CONCATENATE("PTRFBA69D04F401L")</f>
        <v>PTRFBA69D04F401L</v>
      </c>
      <c r="N113" s="7" t="s">
        <v>203</v>
      </c>
      <c r="O113" s="7" t="s">
        <v>108</v>
      </c>
      <c r="P113" s="8">
        <v>44354</v>
      </c>
      <c r="Q113" s="7" t="s">
        <v>32</v>
      </c>
      <c r="R113" s="7" t="s">
        <v>33</v>
      </c>
      <c r="S113" s="7" t="s">
        <v>34</v>
      </c>
      <c r="T113" s="7"/>
      <c r="U113" s="7" t="s">
        <v>35</v>
      </c>
      <c r="V113" s="9">
        <v>2100</v>
      </c>
      <c r="W113" s="7">
        <v>905.52</v>
      </c>
      <c r="X113" s="7">
        <v>836.22</v>
      </c>
      <c r="Y113" s="7">
        <v>0</v>
      </c>
      <c r="Z113" s="7">
        <v>358.26</v>
      </c>
    </row>
    <row r="114" spans="1:26" x14ac:dyDescent="0.35">
      <c r="A114" s="7" t="s">
        <v>27</v>
      </c>
      <c r="B114" s="7" t="s">
        <v>40</v>
      </c>
      <c r="C114" s="7" t="s">
        <v>44</v>
      </c>
      <c r="D114" s="7" t="s">
        <v>49</v>
      </c>
      <c r="E114" s="7" t="s">
        <v>29</v>
      </c>
      <c r="F114" s="7" t="s">
        <v>95</v>
      </c>
      <c r="G114" s="7">
        <v>2017</v>
      </c>
      <c r="H114" s="7" t="str">
        <f>CONCATENATE("14270151351")</f>
        <v>14270151351</v>
      </c>
      <c r="I114" s="7" t="s">
        <v>30</v>
      </c>
      <c r="J114" s="7" t="s">
        <v>31</v>
      </c>
      <c r="K114" s="7" t="str">
        <f>CONCATENATE("")</f>
        <v/>
      </c>
      <c r="L114" s="7" t="str">
        <f>CONCATENATE("21 21.1 2a")</f>
        <v>21 21.1 2a</v>
      </c>
      <c r="M114" s="7" t="str">
        <f>CONCATENATE("02477900415")</f>
        <v>02477900415</v>
      </c>
      <c r="N114" s="7" t="s">
        <v>204</v>
      </c>
      <c r="O114" s="7" t="s">
        <v>108</v>
      </c>
      <c r="P114" s="8">
        <v>44354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9">
        <v>1050</v>
      </c>
      <c r="W114" s="7">
        <v>452.76</v>
      </c>
      <c r="X114" s="7">
        <v>418.11</v>
      </c>
      <c r="Y114" s="7">
        <v>0</v>
      </c>
      <c r="Z114" s="7">
        <v>179.13</v>
      </c>
    </row>
    <row r="115" spans="1:26" x14ac:dyDescent="0.35">
      <c r="A115" s="7" t="s">
        <v>27</v>
      </c>
      <c r="B115" s="7" t="s">
        <v>40</v>
      </c>
      <c r="C115" s="7" t="s">
        <v>44</v>
      </c>
      <c r="D115" s="7" t="s">
        <v>49</v>
      </c>
      <c r="E115" s="7" t="s">
        <v>36</v>
      </c>
      <c r="F115" s="7" t="s">
        <v>53</v>
      </c>
      <c r="G115" s="7">
        <v>2017</v>
      </c>
      <c r="H115" s="7" t="str">
        <f>CONCATENATE("14270151153")</f>
        <v>14270151153</v>
      </c>
      <c r="I115" s="7" t="s">
        <v>37</v>
      </c>
      <c r="J115" s="7" t="s">
        <v>31</v>
      </c>
      <c r="K115" s="7" t="str">
        <f>CONCATENATE("")</f>
        <v/>
      </c>
      <c r="L115" s="7" t="str">
        <f>CONCATENATE("21 21.1 2a")</f>
        <v>21 21.1 2a</v>
      </c>
      <c r="M115" s="7" t="str">
        <f>CONCATENATE("01438640417")</f>
        <v>01438640417</v>
      </c>
      <c r="N115" s="7" t="s">
        <v>205</v>
      </c>
      <c r="O115" s="7" t="s">
        <v>108</v>
      </c>
      <c r="P115" s="8">
        <v>44354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3840</v>
      </c>
      <c r="W115" s="9">
        <v>1655.81</v>
      </c>
      <c r="X115" s="9">
        <v>1529.09</v>
      </c>
      <c r="Y115" s="7">
        <v>0</v>
      </c>
      <c r="Z115" s="7">
        <v>655.1</v>
      </c>
    </row>
    <row r="116" spans="1:26" x14ac:dyDescent="0.35">
      <c r="A116" s="7" t="s">
        <v>27</v>
      </c>
      <c r="B116" s="7" t="s">
        <v>40</v>
      </c>
      <c r="C116" s="7" t="s">
        <v>44</v>
      </c>
      <c r="D116" s="7" t="s">
        <v>58</v>
      </c>
      <c r="E116" s="7" t="s">
        <v>36</v>
      </c>
      <c r="F116" s="7" t="s">
        <v>92</v>
      </c>
      <c r="G116" s="7">
        <v>2017</v>
      </c>
      <c r="H116" s="7" t="str">
        <f>CONCATENATE("14270151138")</f>
        <v>14270151138</v>
      </c>
      <c r="I116" s="7" t="s">
        <v>37</v>
      </c>
      <c r="J116" s="7" t="s">
        <v>31</v>
      </c>
      <c r="K116" s="7" t="str">
        <f>CONCATENATE("")</f>
        <v/>
      </c>
      <c r="L116" s="7" t="str">
        <f>CONCATENATE("21 21.1 2a")</f>
        <v>21 21.1 2a</v>
      </c>
      <c r="M116" s="7" t="str">
        <f>CONCATENATE("CRSMSM77C26D451D")</f>
        <v>CRSMSM77C26D451D</v>
      </c>
      <c r="N116" s="7" t="s">
        <v>206</v>
      </c>
      <c r="O116" s="7" t="s">
        <v>108</v>
      </c>
      <c r="P116" s="8">
        <v>44354</v>
      </c>
      <c r="Q116" s="7" t="s">
        <v>32</v>
      </c>
      <c r="R116" s="7" t="s">
        <v>33</v>
      </c>
      <c r="S116" s="7" t="s">
        <v>34</v>
      </c>
      <c r="T116" s="7"/>
      <c r="U116" s="7" t="s">
        <v>35</v>
      </c>
      <c r="V116" s="9">
        <v>1575</v>
      </c>
      <c r="W116" s="7">
        <v>679.14</v>
      </c>
      <c r="X116" s="7">
        <v>627.16999999999996</v>
      </c>
      <c r="Y116" s="7">
        <v>0</v>
      </c>
      <c r="Z116" s="7">
        <v>268.69</v>
      </c>
    </row>
    <row r="117" spans="1:26" x14ac:dyDescent="0.35">
      <c r="A117" s="7" t="s">
        <v>27</v>
      </c>
      <c r="B117" s="7" t="s">
        <v>40</v>
      </c>
      <c r="C117" s="7" t="s">
        <v>44</v>
      </c>
      <c r="D117" s="7" t="s">
        <v>49</v>
      </c>
      <c r="E117" s="7" t="s">
        <v>39</v>
      </c>
      <c r="F117" s="7" t="s">
        <v>207</v>
      </c>
      <c r="G117" s="7">
        <v>2017</v>
      </c>
      <c r="H117" s="7" t="str">
        <f>CONCATENATE("14270151260")</f>
        <v>14270151260</v>
      </c>
      <c r="I117" s="7" t="s">
        <v>37</v>
      </c>
      <c r="J117" s="7" t="s">
        <v>31</v>
      </c>
      <c r="K117" s="7" t="str">
        <f>CONCATENATE("")</f>
        <v/>
      </c>
      <c r="L117" s="7" t="str">
        <f>CONCATENATE("21 21.1 2a")</f>
        <v>21 21.1 2a</v>
      </c>
      <c r="M117" s="7" t="str">
        <f>CONCATENATE("02596840419")</f>
        <v>02596840419</v>
      </c>
      <c r="N117" s="7" t="s">
        <v>208</v>
      </c>
      <c r="O117" s="7" t="s">
        <v>108</v>
      </c>
      <c r="P117" s="8">
        <v>44354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9">
        <v>1575</v>
      </c>
      <c r="W117" s="7">
        <v>679.14</v>
      </c>
      <c r="X117" s="7">
        <v>627.16999999999996</v>
      </c>
      <c r="Y117" s="7">
        <v>0</v>
      </c>
      <c r="Z117" s="7">
        <v>268.69</v>
      </c>
    </row>
    <row r="118" spans="1:26" x14ac:dyDescent="0.35">
      <c r="A118" s="7" t="s">
        <v>27</v>
      </c>
      <c r="B118" s="7" t="s">
        <v>40</v>
      </c>
      <c r="C118" s="7" t="s">
        <v>44</v>
      </c>
      <c r="D118" s="7" t="s">
        <v>49</v>
      </c>
      <c r="E118" s="7" t="s">
        <v>36</v>
      </c>
      <c r="F118" s="7" t="s">
        <v>53</v>
      </c>
      <c r="G118" s="7">
        <v>2017</v>
      </c>
      <c r="H118" s="7" t="str">
        <f>CONCATENATE("14270156905")</f>
        <v>14270156905</v>
      </c>
      <c r="I118" s="7" t="s">
        <v>37</v>
      </c>
      <c r="J118" s="7" t="s">
        <v>31</v>
      </c>
      <c r="K118" s="7" t="str">
        <f>CONCATENATE("")</f>
        <v/>
      </c>
      <c r="L118" s="7" t="str">
        <f>CONCATENATE("21 21.1 2a")</f>
        <v>21 21.1 2a</v>
      </c>
      <c r="M118" s="7" t="str">
        <f>CONCATENATE("NNBLSN50A15G479K")</f>
        <v>NNBLSN50A15G479K</v>
      </c>
      <c r="N118" s="7" t="s">
        <v>209</v>
      </c>
      <c r="O118" s="7" t="s">
        <v>161</v>
      </c>
      <c r="P118" s="8">
        <v>44354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9">
        <v>7000</v>
      </c>
      <c r="W118" s="9">
        <v>3018.4</v>
      </c>
      <c r="X118" s="9">
        <v>2787.4</v>
      </c>
      <c r="Y118" s="7">
        <v>0</v>
      </c>
      <c r="Z118" s="9">
        <v>1194.2</v>
      </c>
    </row>
    <row r="119" spans="1:26" x14ac:dyDescent="0.35">
      <c r="A119" s="7" t="s">
        <v>27</v>
      </c>
      <c r="B119" s="7" t="s">
        <v>40</v>
      </c>
      <c r="C119" s="7" t="s">
        <v>44</v>
      </c>
      <c r="D119" s="7" t="s">
        <v>61</v>
      </c>
      <c r="E119" s="7" t="s">
        <v>36</v>
      </c>
      <c r="F119" s="7" t="s">
        <v>195</v>
      </c>
      <c r="G119" s="7">
        <v>2017</v>
      </c>
      <c r="H119" s="7" t="str">
        <f>CONCATENATE("14270156632")</f>
        <v>14270156632</v>
      </c>
      <c r="I119" s="7" t="s">
        <v>37</v>
      </c>
      <c r="J119" s="7" t="s">
        <v>31</v>
      </c>
      <c r="K119" s="7" t="str">
        <f>CONCATENATE("")</f>
        <v/>
      </c>
      <c r="L119" s="7" t="str">
        <f>CONCATENATE("21 21.1 2a")</f>
        <v>21 21.1 2a</v>
      </c>
      <c r="M119" s="7" t="str">
        <f>CONCATENATE("LMBDNL76T30H501H")</f>
        <v>LMBDNL76T30H501H</v>
      </c>
      <c r="N119" s="7" t="s">
        <v>210</v>
      </c>
      <c r="O119" s="7" t="s">
        <v>161</v>
      </c>
      <c r="P119" s="8">
        <v>44354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9">
        <v>7000</v>
      </c>
      <c r="W119" s="9">
        <v>3018.4</v>
      </c>
      <c r="X119" s="9">
        <v>2787.4</v>
      </c>
      <c r="Y119" s="7">
        <v>0</v>
      </c>
      <c r="Z119" s="9">
        <v>1194.2</v>
      </c>
    </row>
    <row r="120" spans="1:26" x14ac:dyDescent="0.35">
      <c r="A120" s="7" t="s">
        <v>27</v>
      </c>
      <c r="B120" s="7" t="s">
        <v>40</v>
      </c>
      <c r="C120" s="7" t="s">
        <v>44</v>
      </c>
      <c r="D120" s="7" t="s">
        <v>49</v>
      </c>
      <c r="E120" s="7" t="s">
        <v>36</v>
      </c>
      <c r="F120" s="7" t="s">
        <v>148</v>
      </c>
      <c r="G120" s="7">
        <v>2017</v>
      </c>
      <c r="H120" s="7" t="str">
        <f>CONCATENATE("14270156855")</f>
        <v>14270156855</v>
      </c>
      <c r="I120" s="7" t="s">
        <v>37</v>
      </c>
      <c r="J120" s="7" t="s">
        <v>31</v>
      </c>
      <c r="K120" s="7" t="str">
        <f>CONCATENATE("")</f>
        <v/>
      </c>
      <c r="L120" s="7" t="str">
        <f>CONCATENATE("21 21.1 2a")</f>
        <v>21 21.1 2a</v>
      </c>
      <c r="M120" s="7" t="str">
        <f>CONCATENATE("PGNSMN72A61D749T")</f>
        <v>PGNSMN72A61D749T</v>
      </c>
      <c r="N120" s="7" t="s">
        <v>211</v>
      </c>
      <c r="O120" s="7" t="s">
        <v>161</v>
      </c>
      <c r="P120" s="8">
        <v>44354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9">
        <v>7000</v>
      </c>
      <c r="W120" s="9">
        <v>3018.4</v>
      </c>
      <c r="X120" s="9">
        <v>2787.4</v>
      </c>
      <c r="Y120" s="7">
        <v>0</v>
      </c>
      <c r="Z120" s="9">
        <v>1194.2</v>
      </c>
    </row>
    <row r="121" spans="1:26" x14ac:dyDescent="0.35">
      <c r="A121" s="7" t="s">
        <v>27</v>
      </c>
      <c r="B121" s="7" t="s">
        <v>40</v>
      </c>
      <c r="C121" s="7" t="s">
        <v>44</v>
      </c>
      <c r="D121" s="7" t="s">
        <v>58</v>
      </c>
      <c r="E121" s="7" t="s">
        <v>36</v>
      </c>
      <c r="F121" s="7" t="s">
        <v>92</v>
      </c>
      <c r="G121" s="7">
        <v>2017</v>
      </c>
      <c r="H121" s="7" t="str">
        <f>CONCATENATE("14270156772")</f>
        <v>14270156772</v>
      </c>
      <c r="I121" s="7" t="s">
        <v>30</v>
      </c>
      <c r="J121" s="7" t="s">
        <v>31</v>
      </c>
      <c r="K121" s="7" t="str">
        <f>CONCATENATE("")</f>
        <v/>
      </c>
      <c r="L121" s="7" t="str">
        <f>CONCATENATE("21 21.1 2a")</f>
        <v>21 21.1 2a</v>
      </c>
      <c r="M121" s="7" t="str">
        <f>CONCATENATE("02398370425")</f>
        <v>02398370425</v>
      </c>
      <c r="N121" s="7" t="s">
        <v>212</v>
      </c>
      <c r="O121" s="7" t="s">
        <v>161</v>
      </c>
      <c r="P121" s="8">
        <v>44354</v>
      </c>
      <c r="Q121" s="7" t="s">
        <v>32</v>
      </c>
      <c r="R121" s="7" t="s">
        <v>33</v>
      </c>
      <c r="S121" s="7" t="s">
        <v>34</v>
      </c>
      <c r="T121" s="7"/>
      <c r="U121" s="7" t="s">
        <v>35</v>
      </c>
      <c r="V121" s="9">
        <v>7000</v>
      </c>
      <c r="W121" s="9">
        <v>3018.4</v>
      </c>
      <c r="X121" s="9">
        <v>2787.4</v>
      </c>
      <c r="Y121" s="7">
        <v>0</v>
      </c>
      <c r="Z121" s="9">
        <v>1194.2</v>
      </c>
    </row>
    <row r="122" spans="1:26" x14ac:dyDescent="0.35">
      <c r="A122" s="7" t="s">
        <v>27</v>
      </c>
      <c r="B122" s="7" t="s">
        <v>40</v>
      </c>
      <c r="C122" s="7" t="s">
        <v>44</v>
      </c>
      <c r="D122" s="7" t="s">
        <v>49</v>
      </c>
      <c r="E122" s="7" t="s">
        <v>36</v>
      </c>
      <c r="F122" s="7" t="s">
        <v>53</v>
      </c>
      <c r="G122" s="7">
        <v>2017</v>
      </c>
      <c r="H122" s="7" t="str">
        <f>CONCATENATE("14270156723")</f>
        <v>14270156723</v>
      </c>
      <c r="I122" s="7" t="s">
        <v>37</v>
      </c>
      <c r="J122" s="7" t="s">
        <v>31</v>
      </c>
      <c r="K122" s="7" t="str">
        <f>CONCATENATE("")</f>
        <v/>
      </c>
      <c r="L122" s="7" t="str">
        <f>CONCATENATE("21 21.1 2a")</f>
        <v>21 21.1 2a</v>
      </c>
      <c r="M122" s="7" t="str">
        <f>CONCATENATE("02207970415")</f>
        <v>02207970415</v>
      </c>
      <c r="N122" s="7" t="s">
        <v>213</v>
      </c>
      <c r="O122" s="7" t="s">
        <v>161</v>
      </c>
      <c r="P122" s="8">
        <v>44354</v>
      </c>
      <c r="Q122" s="7" t="s">
        <v>32</v>
      </c>
      <c r="R122" s="7" t="s">
        <v>33</v>
      </c>
      <c r="S122" s="7" t="s">
        <v>34</v>
      </c>
      <c r="T122" s="7"/>
      <c r="U122" s="7" t="s">
        <v>35</v>
      </c>
      <c r="V122" s="9">
        <v>7000</v>
      </c>
      <c r="W122" s="9">
        <v>3018.4</v>
      </c>
      <c r="X122" s="9">
        <v>2787.4</v>
      </c>
      <c r="Y122" s="7">
        <v>0</v>
      </c>
      <c r="Z122" s="9">
        <v>1194.2</v>
      </c>
    </row>
    <row r="123" spans="1:26" x14ac:dyDescent="0.35">
      <c r="A123" s="7" t="s">
        <v>27</v>
      </c>
      <c r="B123" s="7" t="s">
        <v>40</v>
      </c>
      <c r="C123" s="7" t="s">
        <v>44</v>
      </c>
      <c r="D123" s="7" t="s">
        <v>58</v>
      </c>
      <c r="E123" s="7" t="s">
        <v>36</v>
      </c>
      <c r="F123" s="7" t="s">
        <v>199</v>
      </c>
      <c r="G123" s="7">
        <v>2017</v>
      </c>
      <c r="H123" s="7" t="str">
        <f>CONCATENATE("14270156889")</f>
        <v>14270156889</v>
      </c>
      <c r="I123" s="7" t="s">
        <v>37</v>
      </c>
      <c r="J123" s="7" t="s">
        <v>31</v>
      </c>
      <c r="K123" s="7" t="str">
        <f>CONCATENATE("")</f>
        <v/>
      </c>
      <c r="L123" s="7" t="str">
        <f>CONCATENATE("21 21.1 2a")</f>
        <v>21 21.1 2a</v>
      </c>
      <c r="M123" s="7" t="str">
        <f>CONCATENATE("CNTMRZ63S10I608V")</f>
        <v>CNTMRZ63S10I608V</v>
      </c>
      <c r="N123" s="7" t="s">
        <v>214</v>
      </c>
      <c r="O123" s="7" t="s">
        <v>161</v>
      </c>
      <c r="P123" s="8">
        <v>44354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9">
        <v>7000</v>
      </c>
      <c r="W123" s="9">
        <v>3018.4</v>
      </c>
      <c r="X123" s="9">
        <v>2787.4</v>
      </c>
      <c r="Y123" s="7">
        <v>0</v>
      </c>
      <c r="Z123" s="9">
        <v>1194.2</v>
      </c>
    </row>
    <row r="124" spans="1:26" x14ac:dyDescent="0.35">
      <c r="A124" s="7" t="s">
        <v>27</v>
      </c>
      <c r="B124" s="7" t="s">
        <v>40</v>
      </c>
      <c r="C124" s="7" t="s">
        <v>44</v>
      </c>
      <c r="D124" s="7" t="s">
        <v>49</v>
      </c>
      <c r="E124" s="7" t="s">
        <v>36</v>
      </c>
      <c r="F124" s="7" t="s">
        <v>53</v>
      </c>
      <c r="G124" s="7">
        <v>2017</v>
      </c>
      <c r="H124" s="7" t="str">
        <f>CONCATENATE("14270156756")</f>
        <v>14270156756</v>
      </c>
      <c r="I124" s="7" t="s">
        <v>37</v>
      </c>
      <c r="J124" s="7" t="s">
        <v>31</v>
      </c>
      <c r="K124" s="7" t="str">
        <f>CONCATENATE("")</f>
        <v/>
      </c>
      <c r="L124" s="7" t="str">
        <f>CONCATENATE("21 21.1 2a")</f>
        <v>21 21.1 2a</v>
      </c>
      <c r="M124" s="7" t="str">
        <f>CONCATENATE("02534490418")</f>
        <v>02534490418</v>
      </c>
      <c r="N124" s="7" t="s">
        <v>215</v>
      </c>
      <c r="O124" s="7" t="s">
        <v>161</v>
      </c>
      <c r="P124" s="8">
        <v>44354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7000</v>
      </c>
      <c r="W124" s="9">
        <v>3018.4</v>
      </c>
      <c r="X124" s="9">
        <v>2787.4</v>
      </c>
      <c r="Y124" s="7">
        <v>0</v>
      </c>
      <c r="Z124" s="9">
        <v>1194.2</v>
      </c>
    </row>
    <row r="125" spans="1:26" x14ac:dyDescent="0.35">
      <c r="A125" s="7" t="s">
        <v>27</v>
      </c>
      <c r="B125" s="7" t="s">
        <v>40</v>
      </c>
      <c r="C125" s="7" t="s">
        <v>44</v>
      </c>
      <c r="D125" s="7" t="s">
        <v>49</v>
      </c>
      <c r="E125" s="7" t="s">
        <v>36</v>
      </c>
      <c r="F125" s="7" t="s">
        <v>148</v>
      </c>
      <c r="G125" s="7">
        <v>2017</v>
      </c>
      <c r="H125" s="7" t="str">
        <f>CONCATENATE("14270156681")</f>
        <v>14270156681</v>
      </c>
      <c r="I125" s="7" t="s">
        <v>37</v>
      </c>
      <c r="J125" s="7" t="s">
        <v>31</v>
      </c>
      <c r="K125" s="7" t="str">
        <f>CONCATENATE("")</f>
        <v/>
      </c>
      <c r="L125" s="7" t="str">
        <f>CONCATENATE("21 21.1 2a")</f>
        <v>21 21.1 2a</v>
      </c>
      <c r="M125" s="7" t="str">
        <f>CONCATENATE("RBRLSN59B07H809J")</f>
        <v>RBRLSN59B07H809J</v>
      </c>
      <c r="N125" s="7" t="s">
        <v>216</v>
      </c>
      <c r="O125" s="7" t="s">
        <v>161</v>
      </c>
      <c r="P125" s="8">
        <v>44354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9">
        <v>7000</v>
      </c>
      <c r="W125" s="9">
        <v>3018.4</v>
      </c>
      <c r="X125" s="9">
        <v>2787.4</v>
      </c>
      <c r="Y125" s="7">
        <v>0</v>
      </c>
      <c r="Z125" s="9">
        <v>1194.2</v>
      </c>
    </row>
    <row r="126" spans="1:26" x14ac:dyDescent="0.35">
      <c r="A126" s="7" t="s">
        <v>27</v>
      </c>
      <c r="B126" s="7" t="s">
        <v>40</v>
      </c>
      <c r="C126" s="7" t="s">
        <v>44</v>
      </c>
      <c r="D126" s="7" t="s">
        <v>58</v>
      </c>
      <c r="E126" s="7" t="s">
        <v>29</v>
      </c>
      <c r="F126" s="7" t="s">
        <v>103</v>
      </c>
      <c r="G126" s="7">
        <v>2017</v>
      </c>
      <c r="H126" s="7" t="str">
        <f>CONCATENATE("14270156848")</f>
        <v>14270156848</v>
      </c>
      <c r="I126" s="7" t="s">
        <v>30</v>
      </c>
      <c r="J126" s="7" t="s">
        <v>31</v>
      </c>
      <c r="K126" s="7" t="str">
        <f>CONCATENATE("")</f>
        <v/>
      </c>
      <c r="L126" s="7" t="str">
        <f>CONCATENATE("21 21.1 2a")</f>
        <v>21 21.1 2a</v>
      </c>
      <c r="M126" s="7" t="str">
        <f>CONCATENATE("02781250424")</f>
        <v>02781250424</v>
      </c>
      <c r="N126" s="7" t="s">
        <v>217</v>
      </c>
      <c r="O126" s="7" t="s">
        <v>161</v>
      </c>
      <c r="P126" s="8">
        <v>44354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9">
        <v>7000</v>
      </c>
      <c r="W126" s="9">
        <v>3018.4</v>
      </c>
      <c r="X126" s="9">
        <v>2787.4</v>
      </c>
      <c r="Y126" s="7">
        <v>0</v>
      </c>
      <c r="Z126" s="9">
        <v>1194.2</v>
      </c>
    </row>
    <row r="127" spans="1:26" x14ac:dyDescent="0.35">
      <c r="A127" s="7" t="s">
        <v>27</v>
      </c>
      <c r="B127" s="7" t="s">
        <v>40</v>
      </c>
      <c r="C127" s="7" t="s">
        <v>44</v>
      </c>
      <c r="D127" s="7" t="s">
        <v>49</v>
      </c>
      <c r="E127" s="7" t="s">
        <v>36</v>
      </c>
      <c r="F127" s="7" t="s">
        <v>148</v>
      </c>
      <c r="G127" s="7">
        <v>2017</v>
      </c>
      <c r="H127" s="7" t="str">
        <f>CONCATENATE("14270156814")</f>
        <v>14270156814</v>
      </c>
      <c r="I127" s="7" t="s">
        <v>37</v>
      </c>
      <c r="J127" s="7" t="s">
        <v>31</v>
      </c>
      <c r="K127" s="7" t="str">
        <f>CONCATENATE("")</f>
        <v/>
      </c>
      <c r="L127" s="7" t="str">
        <f>CONCATENATE("21 21.1 2a")</f>
        <v>21 21.1 2a</v>
      </c>
      <c r="M127" s="7" t="str">
        <f>CONCATENATE("02653260410")</f>
        <v>02653260410</v>
      </c>
      <c r="N127" s="7" t="s">
        <v>218</v>
      </c>
      <c r="O127" s="7" t="s">
        <v>161</v>
      </c>
      <c r="P127" s="8">
        <v>44354</v>
      </c>
      <c r="Q127" s="7" t="s">
        <v>32</v>
      </c>
      <c r="R127" s="7" t="s">
        <v>33</v>
      </c>
      <c r="S127" s="7" t="s">
        <v>34</v>
      </c>
      <c r="T127" s="7"/>
      <c r="U127" s="7" t="s">
        <v>35</v>
      </c>
      <c r="V127" s="9">
        <v>1000</v>
      </c>
      <c r="W127" s="7">
        <v>431.2</v>
      </c>
      <c r="X127" s="7">
        <v>398.2</v>
      </c>
      <c r="Y127" s="7">
        <v>0</v>
      </c>
      <c r="Z127" s="7">
        <v>170.6</v>
      </c>
    </row>
    <row r="128" spans="1:26" x14ac:dyDescent="0.35">
      <c r="A128" s="7" t="s">
        <v>27</v>
      </c>
      <c r="B128" s="7" t="s">
        <v>40</v>
      </c>
      <c r="C128" s="7" t="s">
        <v>44</v>
      </c>
      <c r="D128" s="7" t="s">
        <v>61</v>
      </c>
      <c r="E128" s="7" t="s">
        <v>36</v>
      </c>
      <c r="F128" s="7" t="s">
        <v>79</v>
      </c>
      <c r="G128" s="7">
        <v>2017</v>
      </c>
      <c r="H128" s="7" t="str">
        <f>CONCATENATE("14270156699")</f>
        <v>14270156699</v>
      </c>
      <c r="I128" s="7" t="s">
        <v>37</v>
      </c>
      <c r="J128" s="7" t="s">
        <v>31</v>
      </c>
      <c r="K128" s="7" t="str">
        <f>CONCATENATE("")</f>
        <v/>
      </c>
      <c r="L128" s="7" t="str">
        <f>CONCATENATE("21 21.1 2a")</f>
        <v>21 21.1 2a</v>
      </c>
      <c r="M128" s="7" t="str">
        <f>CONCATENATE("PCNRMR47L53F205C")</f>
        <v>PCNRMR47L53F205C</v>
      </c>
      <c r="N128" s="7" t="s">
        <v>219</v>
      </c>
      <c r="O128" s="7" t="s">
        <v>161</v>
      </c>
      <c r="P128" s="8">
        <v>44354</v>
      </c>
      <c r="Q128" s="7" t="s">
        <v>32</v>
      </c>
      <c r="R128" s="7" t="s">
        <v>33</v>
      </c>
      <c r="S128" s="7" t="s">
        <v>34</v>
      </c>
      <c r="T128" s="7"/>
      <c r="U128" s="7" t="s">
        <v>35</v>
      </c>
      <c r="V128" s="9">
        <v>7000</v>
      </c>
      <c r="W128" s="9">
        <v>3018.4</v>
      </c>
      <c r="X128" s="9">
        <v>2787.4</v>
      </c>
      <c r="Y128" s="7">
        <v>0</v>
      </c>
      <c r="Z128" s="9">
        <v>1194.2</v>
      </c>
    </row>
    <row r="129" spans="1:26" x14ac:dyDescent="0.35">
      <c r="A129" s="7" t="s">
        <v>27</v>
      </c>
      <c r="B129" s="7" t="s">
        <v>40</v>
      </c>
      <c r="C129" s="7" t="s">
        <v>44</v>
      </c>
      <c r="D129" s="7" t="s">
        <v>61</v>
      </c>
      <c r="E129" s="7" t="s">
        <v>43</v>
      </c>
      <c r="F129" s="7" t="s">
        <v>43</v>
      </c>
      <c r="G129" s="7">
        <v>2017</v>
      </c>
      <c r="H129" s="7" t="str">
        <f>CONCATENATE("04270233317")</f>
        <v>04270233317</v>
      </c>
      <c r="I129" s="7" t="s">
        <v>30</v>
      </c>
      <c r="J129" s="7" t="s">
        <v>31</v>
      </c>
      <c r="K129" s="7" t="str">
        <f>CONCATENATE("")</f>
        <v/>
      </c>
      <c r="L129" s="7" t="str">
        <f>CONCATENATE("4 4.1 2a")</f>
        <v>4 4.1 2a</v>
      </c>
      <c r="M129" s="7" t="str">
        <f>CONCATENATE("01987130430")</f>
        <v>01987130430</v>
      </c>
      <c r="N129" s="7" t="s">
        <v>220</v>
      </c>
      <c r="O129" s="7" t="s">
        <v>221</v>
      </c>
      <c r="P129" s="8">
        <v>44354</v>
      </c>
      <c r="Q129" s="7" t="s">
        <v>32</v>
      </c>
      <c r="R129" s="7" t="s">
        <v>33</v>
      </c>
      <c r="S129" s="7" t="s">
        <v>34</v>
      </c>
      <c r="T129" s="7"/>
      <c r="U129" s="7" t="s">
        <v>35</v>
      </c>
      <c r="V129" s="9">
        <v>300614.06</v>
      </c>
      <c r="W129" s="9">
        <v>129624.78</v>
      </c>
      <c r="X129" s="9">
        <v>119704.52</v>
      </c>
      <c r="Y129" s="7">
        <v>0</v>
      </c>
      <c r="Z129" s="9">
        <v>51284.76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3FC5A8023BE49846995DC55E203C1" ma:contentTypeVersion="7" ma:contentTypeDescription="Create a new document." ma:contentTypeScope="" ma:versionID="8a5266b454e96f386b6d41e2ed20a514">
  <xsd:schema xmlns:xsd="http://www.w3.org/2001/XMLSchema" xmlns:xs="http://www.w3.org/2001/XMLSchema" xmlns:p="http://schemas.microsoft.com/office/2006/metadata/properties" xmlns:ns3="4fc14afe-9df9-4cba-8aa4-680966ecc782" targetNamespace="http://schemas.microsoft.com/office/2006/metadata/properties" ma:root="true" ma:fieldsID="b64aec89db63335c91cef771e8d8815c" ns3:_="">
    <xsd:import namespace="4fc14afe-9df9-4cba-8aa4-680966ecc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14afe-9df9-4cba-8aa4-680966ecc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FCE232-A76C-4554-92CE-17AB0DB23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14afe-9df9-4cba-8aa4-680966ec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27495B-24D5-4210-9499-DAC8A35A3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29F54D-8723-43B5-AC71-2A891D890E4A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40983</vt:lpwstr>
  </property>
  <property fmtid="{D5CDD505-2E9C-101B-9397-08002B2CF9AE}" pid="4" name="OptimizationTime">
    <vt:lpwstr>20210615_1917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2021-06-15T16:37:06Z</dcterms:created>
  <dcterms:modified xsi:type="dcterms:W3CDTF">2021-06-15T16:37:53Z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0x010100D843FC5A8023BE49846995DC55E203C1</vt:lpwstr>
  </property>
</Properties>
</file>