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55/"/>
    </mc:Choice>
  </mc:AlternateContent>
  <xr:revisionPtr revIDLastSave="0" documentId="8_{6E6C662B-AFE6-4265-9703-015B5A60910E}" xr6:coauthVersionLast="45" xr6:coauthVersionMax="45" xr10:uidLastSave="{00000000-0000-0000-0000-000000000000}"/>
  <bookViews>
    <workbookView xWindow="-110" yWindow="-110" windowWidth="19420" windowHeight="10420" xr2:uid="{6B12C825-28F0-47BD-9C5A-4E711CEB8A2C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7" i="1" l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<sst xmlns="http://schemas.openxmlformats.org/spreadsheetml/2006/main" count="2603" uniqueCount="318">
  <si>
    <t>Dettaglio Domande Pagabili Decreto 455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</si>
  <si>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</si>
  <si>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</si>
  <si>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</si>
  <si>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</si>
  <si>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</si>
  <si>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</si>
  <si>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</si>
  <si>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</si>
  <si>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</si>
  <si>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</si>
  <si>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</si>
  <si>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</si>
  <si>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</si>
  <si>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</si>
  <si>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</si>
  <si>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</si>
  <si>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</si>
  <si>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</si>
  <si>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</si>
  <si>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</si>
  <si>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</si>
  <si>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</si>
  <si>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</si>
  <si>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</si>
  <si>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</si>
  <si>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</si>
  <si>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</si>
  <si>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</si>
  <si>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</si>
  <si>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</si>
  <si>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</si>
  <si>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</si>
  <si>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Anticipo</t>
  </si>
  <si>
    <t>Co-Finanziato</t>
  </si>
  <si>
    <t>Ordinario</t>
  </si>
  <si>
    <t>CAA Confagricoltura srl</t>
  </si>
  <si>
    <t>SI</t>
  </si>
  <si>
    <t>SAL</t>
  </si>
  <si>
    <t>CAA Coldiretti srl</t>
  </si>
  <si>
    <t>Saldo</t>
  </si>
  <si>
    <t>CAA CIA srl</t>
  </si>
  <si>
    <t>CAA-CAF AGRI S.R.L.</t>
  </si>
  <si>
    <t>Misure a Superficie</t>
  </si>
  <si>
    <t>CAA UNICAA srl</t>
  </si>
  <si>
    <t>CAA LiberiAgricoltori srl già CAA AGCI srl</t>
  </si>
  <si>
    <t>Trascinamenti</t>
  </si>
  <si>
    <t>CAA Liberi Professionisti srl</t>
  </si>
  <si>
    <t>MARCHE</t>
  </si>
  <si>
    <t>SERV. DEC. AGRICOLTURA E ALIM. - MACERATA</t>
  </si>
  <si>
    <t>CAA CAF AGRI - MACERATA - 226</t>
  </si>
  <si>
    <t>SANTORI MARISA</t>
  </si>
  <si>
    <t>AGEA.ASR.2021.0279231</t>
  </si>
  <si>
    <t>CAA Coldiretti - MACERATA - 007</t>
  </si>
  <si>
    <t>PENNESI GIUSEPPA</t>
  </si>
  <si>
    <t>SERV. DEC. AGRICOLTURA E ALIMENTAZIONE - ANCONA</t>
  </si>
  <si>
    <t>KRUSI STEFANIA CLAUDIA</t>
  </si>
  <si>
    <t>AGEA.ASR.2021.0680696</t>
  </si>
  <si>
    <t>CAA Coldiretti - MACERATA - 018</t>
  </si>
  <si>
    <t>SCARPECCIO GIANCARLO</t>
  </si>
  <si>
    <t>CAA CAF AGRI - MACERATA - 224</t>
  </si>
  <si>
    <t>PETRUCCI SUSANNA</t>
  </si>
  <si>
    <t>RAMADORI MARIO</t>
  </si>
  <si>
    <t>CAA UNICAA - MACERATA - 002</t>
  </si>
  <si>
    <t>SCIAMANNA SILVANA</t>
  </si>
  <si>
    <t>ROMAGNOLI NICOLINA</t>
  </si>
  <si>
    <t>CAA Coldiretti - MACERATA - 017</t>
  </si>
  <si>
    <t>PALLOTTI FABRIZIO</t>
  </si>
  <si>
    <t>CAPITANI GIORGIO</t>
  </si>
  <si>
    <t>AGEA.ASR.2021.0662077</t>
  </si>
  <si>
    <t>SOCIETA' AGRICOLA PISELLI PIETRO E C. SOC. SEMPLICE</t>
  </si>
  <si>
    <t>SOCIETA' AGRICOLA PASTORELLO DI CUPI DI CIAMMARUCHI ARCANGELO E C. S.S</t>
  </si>
  <si>
    <t>CAA LiberiAgricoltori - MACERATA - 001</t>
  </si>
  <si>
    <t>STIGLIANO SOCIETA' COOPERATIVA AGRICOLA</t>
  </si>
  <si>
    <t>CAA CIA - ANCONA - 002</t>
  </si>
  <si>
    <t>SOCIETA' AGRICOLA EREDI CESARONI SRL</t>
  </si>
  <si>
    <t>CAA Coldiretti - PERUGIA - 003</t>
  </si>
  <si>
    <t>TEZIO FARM SOCIETA' AGRICOLA S.R.L.</t>
  </si>
  <si>
    <t>SERV. DEC. AGRICOLTURA E ALIM. -ASCOLI PICENO</t>
  </si>
  <si>
    <t>CAA Coldiretti - ASCOLI PICENO - 010</t>
  </si>
  <si>
    <t>GALLI STEFANO</t>
  </si>
  <si>
    <t>MOGLIANI PINA</t>
  </si>
  <si>
    <t>SOCIETA' SEMPLICE AGRICOLA CERESOLANA DI CATUCCI DANILO ANTONIO E CURA</t>
  </si>
  <si>
    <t>CAA Coldiretti - ANCONA - 003</t>
  </si>
  <si>
    <t>GUERRI GIORGIO</t>
  </si>
  <si>
    <t>CAA LiberiAgricoltori - MACERATA - 006</t>
  </si>
  <si>
    <t>SOC. AGRICOLA SAN MARTINO DI VERDONI DAVIDE &amp; C. S.S.</t>
  </si>
  <si>
    <t>PANTANETTI ROSITA</t>
  </si>
  <si>
    <t>AGRIFILBIO SOCIETA' AGRICOLA SEMPLICE</t>
  </si>
  <si>
    <t>BARTOLUCCI MARCELLINO</t>
  </si>
  <si>
    <t>MASSUCCI GIAMMARIO</t>
  </si>
  <si>
    <t>AGEA.ASR.2021.0540985</t>
  </si>
  <si>
    <t>CAA CIA - MACERATA - 001</t>
  </si>
  <si>
    <t>MERLINI RENZO</t>
  </si>
  <si>
    <t>MARINUCCI EURO</t>
  </si>
  <si>
    <t>LUCI S.S. DI TACCONI ANTONELLA &amp; C. - SOCIETA' AGR</t>
  </si>
  <si>
    <t>CAA Coldiretti - MACERATA - 009</t>
  </si>
  <si>
    <t>SOCIETA' AGRICOLA VIVACE SNC</t>
  </si>
  <si>
    <t>STRAPPAVECCIA PAOLO</t>
  </si>
  <si>
    <t>MORELLI ANGELA</t>
  </si>
  <si>
    <t>CAA CAF AGRI - ANCONA - 225</t>
  </si>
  <si>
    <t>DE VITO CLAUDIO</t>
  </si>
  <si>
    <t>AGEA.ASR.2021.0659988</t>
  </si>
  <si>
    <t>CAA Copagri srl</t>
  </si>
  <si>
    <t>CAA Copagri - ANCONA - 502</t>
  </si>
  <si>
    <t>MILLETTI PIERLUCA</t>
  </si>
  <si>
    <t>CESARONI PAOLA</t>
  </si>
  <si>
    <t>CAA Confagricoltura - ANCONA - 001</t>
  </si>
  <si>
    <t>CENCI MARIA LUISA</t>
  </si>
  <si>
    <t>AGEA.ASR.2021.0680431</t>
  </si>
  <si>
    <t>PARIS CHRISTIAN</t>
  </si>
  <si>
    <t>SOC.AGR.VILLA LE CASE DI ARNAUTOVICI C.</t>
  </si>
  <si>
    <t>SOCIETA' AGRICOLA L'ORCHIDEA S.R.L.</t>
  </si>
  <si>
    <t>PONZI TERESA</t>
  </si>
  <si>
    <t>CAA LiberiAgricoltori - MACERATA - 003</t>
  </si>
  <si>
    <t>SOCIETA' AGRICOLA 'NZAPA' DI FARABOLLINI GIACOMO SOCIETA' SEMPLICE</t>
  </si>
  <si>
    <t>CAA Coldiretti - ASCOLI PICENO - 025</t>
  </si>
  <si>
    <t>PELLICCIA GIUSEPPE</t>
  </si>
  <si>
    <t>CALAMANTE GIORGIO</t>
  </si>
  <si>
    <t>CAA LiberiAgricoltori - MACERATA - 002</t>
  </si>
  <si>
    <t>SOCIETA AGRICOLA CONFORTI GIULIANO E GIORDANO S.S.</t>
  </si>
  <si>
    <t>CAA CAF AGRI - ASCOLI PICENO - 222</t>
  </si>
  <si>
    <t>DE SANTIS ANGELO</t>
  </si>
  <si>
    <t>COLLAMATI FRANCO</t>
  </si>
  <si>
    <t>CAA Coldiretti - FERMO - 001</t>
  </si>
  <si>
    <t>AGROBIOLOGICA FOGLINI LIVIA E AMURRI PIERINO BRUNO SOCIETA' AGRICOLA S</t>
  </si>
  <si>
    <t>AGOSTINI GIOVANNI</t>
  </si>
  <si>
    <t>SERV. DEC. AGRICOLTURA E ALIMENTAZIONE - PESARO</t>
  </si>
  <si>
    <t>GAMBINI-ROSSANO LUCA</t>
  </si>
  <si>
    <t>AGEA.ASR.2021.0675939</t>
  </si>
  <si>
    <t>CAA CAF AGRI - PESARO E URBINO - 221</t>
  </si>
  <si>
    <t>JANSTA SVATOPLUK</t>
  </si>
  <si>
    <t>CAA Coldiretti - ANCONA - 008</t>
  </si>
  <si>
    <t>FERMANI FABIO</t>
  </si>
  <si>
    <t>CAA Coldiretti - ANCONA - 005</t>
  </si>
  <si>
    <t>SEBASTIANELLI MORENO</t>
  </si>
  <si>
    <t>AGEA.ASR.2021.0681374</t>
  </si>
  <si>
    <t>AGEA.ASR.2021.0681373</t>
  </si>
  <si>
    <t>CAA UNICAA - ASCOLI PICENO - 004</t>
  </si>
  <si>
    <t>SOCIETA' AGRIC."SAN FILIPPO"S.S.</t>
  </si>
  <si>
    <t>AGEA.ASR.2021.0679295</t>
  </si>
  <si>
    <t>GRILLI GIULIA</t>
  </si>
  <si>
    <t>AGEA.ASR.2021.0679304</t>
  </si>
  <si>
    <t>CAA Coldiretti - ANCONA - 006</t>
  </si>
  <si>
    <t>MASSI RENATA</t>
  </si>
  <si>
    <t>SOCIETA' AGRICOLA DE SCRILLI RODOLFO &amp; C. SNC</t>
  </si>
  <si>
    <t>IMPRESA VERDE MARCHE SRL</t>
  </si>
  <si>
    <t>AGEA.ASR.2021.0681378</t>
  </si>
  <si>
    <t>SOCIETA' SEMPLICE AGRICOLA "LA COLLINA" DI BRACACCINI E CURSI</t>
  </si>
  <si>
    <t>AGEA.ASR.2021.0667913</t>
  </si>
  <si>
    <t>CAA Coldiretti - AREZZO - 008</t>
  </si>
  <si>
    <t>MONTINI TIZIANA</t>
  </si>
  <si>
    <t>GUIDO COCCI GRIFONI &amp; C.SRL</t>
  </si>
  <si>
    <t>AGEA.ASR.2021.0668123</t>
  </si>
  <si>
    <t>AGEA.ASR.2021.0680709</t>
  </si>
  <si>
    <t>RAMADORI MARIA</t>
  </si>
  <si>
    <t>AGEA.ASR.2021.0660004</t>
  </si>
  <si>
    <t>CAA CIA - ANCONA - 005</t>
  </si>
  <si>
    <t>MALATESTA ANNA ANTONIA</t>
  </si>
  <si>
    <t>AGEA.ASR.2021.0659957</t>
  </si>
  <si>
    <t>M.I. S.A.S. DI RODANO ORLANDO &amp; C.</t>
  </si>
  <si>
    <t>CAA CIA - ANCONA - 004</t>
  </si>
  <si>
    <t>SABBATINI STEFANIA</t>
  </si>
  <si>
    <t>PESARESI ELIO</t>
  </si>
  <si>
    <t>AGEA.ASR.2021.0681377</t>
  </si>
  <si>
    <t>TERRE D'ALBA BIO SOCIETA' SEMPLICE AGRICOLA DI PACENTI DEBORAH E PACEN</t>
  </si>
  <si>
    <t>SOCIETA' AGRICOLA FONDI E LAMBERTUCCI S.S.</t>
  </si>
  <si>
    <t>SOCIETA' AGRICOLA MANCINI MICHELE E C. S.S</t>
  </si>
  <si>
    <t>CAA Coldiretti - MACERATA - 010</t>
  </si>
  <si>
    <t>CIPRIANI MARISA</t>
  </si>
  <si>
    <t>CURI MAURIZIO</t>
  </si>
  <si>
    <t>SABBATINI ROSSETTI LUCA</t>
  </si>
  <si>
    <t>SOCIETA' AGRICOLA PULVISIA S.S.</t>
  </si>
  <si>
    <t>AGEA.ASR.2021.0681376</t>
  </si>
  <si>
    <t>CASALE DA' RO' SOCIETA' SEMPLICE AGRICOLA DI PACCUSSE ROBERTA E MARCHE</t>
  </si>
  <si>
    <t>SGALIPPA TOMMASO</t>
  </si>
  <si>
    <t>CAA Confagricoltura - FORLI' - CESENA - 001</t>
  </si>
  <si>
    <t>INIZIATIVE FORESTALI DI EMILIO MONTI E PAOLO RIGHI SOCIETA' SEMPLICE</t>
  </si>
  <si>
    <t>AGEA.ASR.2021.0279238</t>
  </si>
  <si>
    <t>CAPECCI SIMONE</t>
  </si>
  <si>
    <t>AGEA.ASR.2021.0642771</t>
  </si>
  <si>
    <t>CAA CIA - ANCONA - 006</t>
  </si>
  <si>
    <t>CASAGRANDE-CONTI SONIA</t>
  </si>
  <si>
    <t>AGEA.ASR.2021.0675704</t>
  </si>
  <si>
    <t>SINIGAGLIA ANNA</t>
  </si>
  <si>
    <t>CAA Coldiretti - ANCONA - 002</t>
  </si>
  <si>
    <t>MONTICELLI ODA</t>
  </si>
  <si>
    <t>SCORTICHINI EMILIA</t>
  </si>
  <si>
    <t>SOCIETA' AGRICOLA SALVATELLI MASSIMO-PATRIZIA E CIPOLLETTA ALBINA S.S.</t>
  </si>
  <si>
    <t>AGEA.ASR.2021.0659893</t>
  </si>
  <si>
    <t>CAA CAF AGRI - MACERATA - 223</t>
  </si>
  <si>
    <t>MOSCONI GIULIANO</t>
  </si>
  <si>
    <t>CAA CAF AGRI - MACERATA - 227</t>
  </si>
  <si>
    <t>PIERANTONELLI AMALIA</t>
  </si>
  <si>
    <t>MONTECCHIA ANDINO</t>
  </si>
  <si>
    <t>FAILONI ANTONIO</t>
  </si>
  <si>
    <t>BIAGGI FRANCO</t>
  </si>
  <si>
    <t>CAA Confagricoltura - MACERATA - 001</t>
  </si>
  <si>
    <t>GASPARETTI WALTER</t>
  </si>
  <si>
    <t>PASCUCCI LORENZO</t>
  </si>
  <si>
    <t>SAVORETTI MASSIMILIANO</t>
  </si>
  <si>
    <t>CAA CIA - ASCOLI PICENO - 004</t>
  </si>
  <si>
    <t>MARCELLI CLARA</t>
  </si>
  <si>
    <t>TEMPESTILLI PIERINO</t>
  </si>
  <si>
    <t>ALBERTO QUACQUARINI - SOCIETA' AGRICOLA SEMPLICE</t>
  </si>
  <si>
    <t>CAA Coldiretti - MACERATA - 008</t>
  </si>
  <si>
    <t>PASSARINI COSTANTINA</t>
  </si>
  <si>
    <t>SOCIETA' AGRICOLA FATTOBENE PAOLO E NUNZIO S.S.</t>
  </si>
  <si>
    <t>SINT SOLUZIONI INTEGRATE S.R.L.</t>
  </si>
  <si>
    <t>AGEA.ASR.2021.0681380</t>
  </si>
  <si>
    <t>MARCHESIDRO S.R.L. SEMPLIFICATA</t>
  </si>
  <si>
    <t>AGEA.ASR.2021.0680633</t>
  </si>
  <si>
    <t>TROBBIANI GIULIANO</t>
  </si>
  <si>
    <t>SBRICCOLI AMATILDO</t>
  </si>
  <si>
    <t>SOCIETA' AGRICOLA PRATOMAGNO S.S.</t>
  </si>
  <si>
    <t>AGEA.ASR.2021.0671328</t>
  </si>
  <si>
    <t>CONTI VIRGILIO</t>
  </si>
  <si>
    <t>AGEA.ASR.2021.0454353</t>
  </si>
  <si>
    <t>MENCARONI FEDERICO</t>
  </si>
  <si>
    <t>SISTI ALESSIO</t>
  </si>
  <si>
    <t>AGEA.ASR.2021.0680116</t>
  </si>
  <si>
    <t>MAGAGNINI FABRIZIO</t>
  </si>
  <si>
    <t>AGEA.ASR.2021.0279234</t>
  </si>
  <si>
    <t>GIOVANARDI GIANNI</t>
  </si>
  <si>
    <t>GAGGIOTTINI EMILIO</t>
  </si>
  <si>
    <t>CAA CAF AGRI - ANCONA - 226</t>
  </si>
  <si>
    <t>BENIGNI FRANCESCO</t>
  </si>
  <si>
    <t>COSTANTINI GIULIANO</t>
  </si>
  <si>
    <t>AGEA.ASR.2021.0667962</t>
  </si>
  <si>
    <t>CAA CAF AGRI - ANCONA - 221</t>
  </si>
  <si>
    <t>BENIGNI GIUSEPPE</t>
  </si>
  <si>
    <t>PRIORI ANDREA</t>
  </si>
  <si>
    <t>CARZEDDA LUCIA</t>
  </si>
  <si>
    <t>MANCINELLI MAURIZIO</t>
  </si>
  <si>
    <t>GIULIONI GIUDITTA</t>
  </si>
  <si>
    <t>JERA SRL SOCIETA AGRICOLA</t>
  </si>
  <si>
    <t>PERONI FABIANA</t>
  </si>
  <si>
    <t>SOCIETA' AGRICOLA CAMPO DI BOVE DI CAMILLETTI ENRICA - S.N.C.</t>
  </si>
  <si>
    <t>TAGLIAVENTI ELISA</t>
  </si>
  <si>
    <t>SOCIETA' AGRICOLA F.LLI BRAVI S.S.</t>
  </si>
  <si>
    <t>SOCIETA' AGRICOLA DI F.,C.,E.,A L., M. GIANGIACOMI S.S.</t>
  </si>
  <si>
    <t>SOCIETA' AGRICOLA DINDI S.S.</t>
  </si>
  <si>
    <t>DI COSMO CLAUDIA</t>
  </si>
  <si>
    <t>AGEA.ASR.2021.0680742</t>
  </si>
  <si>
    <t>AGEA.ASR.2021.0680852</t>
  </si>
  <si>
    <t>BEDETTA ALESSANDRO</t>
  </si>
  <si>
    <t>ROCCHETTI MIRANDA</t>
  </si>
  <si>
    <t>RICCI RENATO</t>
  </si>
  <si>
    <t>PANCOTTI A. E C. - S.S. SOC.AGR.</t>
  </si>
  <si>
    <t>C.B.M. SOCIETA' AGRICOLA A R.L.</t>
  </si>
  <si>
    <t>CERASA ANNA</t>
  </si>
  <si>
    <t>CAA CAF AGRI - ANCONA - 224</t>
  </si>
  <si>
    <t>SOCIETA' AGRICOLA PASQUINELLI ENNIO S.R.L.</t>
  </si>
  <si>
    <t>AGEA.ASR.2021.0660638</t>
  </si>
  <si>
    <t>SOCIETA' AGRICOLA IL MONTANARO SOCIETA' SEMPLICE</t>
  </si>
  <si>
    <t>BERRIA BARBARA</t>
  </si>
  <si>
    <t>CARDINALI BARBARA</t>
  </si>
  <si>
    <t>ORAZI WALTER</t>
  </si>
  <si>
    <t>VITALI MORENO</t>
  </si>
  <si>
    <t>AGEA.ASR.2021.0659935</t>
  </si>
  <si>
    <t>AGEA.ASR.2021.0454362</t>
  </si>
  <si>
    <t>CAA Coldiretti - PESARO E URBINO - 001</t>
  </si>
  <si>
    <t>BACCHIOCCHI NADIA</t>
  </si>
  <si>
    <t>AGEA.ASR.2021.0540993</t>
  </si>
  <si>
    <t>CAA CIA - PESARO E URBINO - 001</t>
  </si>
  <si>
    <t>FILIPPUCCI ANNA MARIA</t>
  </si>
  <si>
    <t>ANDRENELLI TIZIANA</t>
  </si>
  <si>
    <t>GUZZINI GABRIELA</t>
  </si>
  <si>
    <t>PALPACELLI ANNIBALE</t>
  </si>
  <si>
    <t>GIULIANI ENRICO EREDI &amp; C. SOCIETA' AGRICOLA SEMPLICE</t>
  </si>
  <si>
    <t>CAA LiberiAgricoltori - PESARO E URBINO - 001</t>
  </si>
  <si>
    <t>BRUSCOLI MARIANNA</t>
  </si>
  <si>
    <t>SCALPELLI SECONDO</t>
  </si>
  <si>
    <t>CAA Confagricoltura - PESARO E URBINO - 001</t>
  </si>
  <si>
    <t>BRUSCOLI NADIA</t>
  </si>
  <si>
    <t>CAA Liberi Prof.- PESARO E URBINO - 001</t>
  </si>
  <si>
    <t>LEARDINI EUGENIO</t>
  </si>
  <si>
    <t>CARBINI PATRIZIA</t>
  </si>
  <si>
    <t>AGEA.ASR.2021.0454343</t>
  </si>
  <si>
    <t>MONTALBINI ALINA</t>
  </si>
  <si>
    <t>CAA CAF AGRI - ANCONA - 227</t>
  </si>
  <si>
    <t>SANSEVERINATI ISIDORO</t>
  </si>
  <si>
    <t>MANCINI PAOLA</t>
  </si>
  <si>
    <t>AGEA.ASR.2021.0454381</t>
  </si>
  <si>
    <t>CAA Coldiretti - ANCONA - 004</t>
  </si>
  <si>
    <t>MANIZZA FEDERICA</t>
  </si>
  <si>
    <t>SEMPRONI ELENA</t>
  </si>
  <si>
    <t>AGEA.ASR.2021.0675923</t>
  </si>
  <si>
    <t>CAA UNICAA - ASCOLI PICENO - 003</t>
  </si>
  <si>
    <t>SPONZA SILVIA</t>
  </si>
  <si>
    <t>CAA Confagricoltura - ASCOLI PICENO - 001</t>
  </si>
  <si>
    <t>SIQUINI QUINTILIO</t>
  </si>
  <si>
    <t>VIOSA SOCIETA AGRICOLA SEMPLICE</t>
  </si>
  <si>
    <t>CAA CIA - ASCOLI PICENO - 001</t>
  </si>
  <si>
    <t>REMOLI PIER LUIGI</t>
  </si>
  <si>
    <t>AGEA.ASR.2021.0680159</t>
  </si>
  <si>
    <t>SOCIETA AGRICOLA BIOLOGICA ISOLA DELLA PIEVE S.S.</t>
  </si>
  <si>
    <t>SOCIETA AGRICOLA SAN PAOLO DI MANNOCCHI ALESSANDRO &amp; C. SOCIETA SEMPLI</t>
  </si>
  <si>
    <t>AZ.AGR. ROSSI DI ROSSI PIETRO E C. S.S.</t>
  </si>
  <si>
    <t>AGEA.ASR.2021.0643677</t>
  </si>
  <si>
    <t>SOCIETA' AGRICOLA MARILA S.S.</t>
  </si>
  <si>
    <t>AGEA.ASR.2021.0661985</t>
  </si>
  <si>
    <t>AGEA.ASR.2021.0659730</t>
  </si>
  <si>
    <t>CAA CIA - ASCOLI PICENO - 006</t>
  </si>
  <si>
    <t>KINDERMANN HELMUT FELIX</t>
  </si>
  <si>
    <t>CAA Coldiretti - ASCOLI PICENO - 040</t>
  </si>
  <si>
    <t>LIBERTI MATTEO</t>
  </si>
  <si>
    <t>CAA CAF AGRI - FERMO - 222</t>
  </si>
  <si>
    <t>MERIGGI ANTONELLA</t>
  </si>
  <si>
    <t>SOCIETA' AGRICOLA "SANA FRUX" DI ANTOGNOZZI S.S.</t>
  </si>
  <si>
    <t>TASSI FILOMENA</t>
  </si>
  <si>
    <t>AGEA.ASR.2021.0677408</t>
  </si>
  <si>
    <t>GEMINIANI PIERO E BASILIDE SOCIETA' SEMPLICE</t>
  </si>
  <si>
    <t>CAA CIA - ASCOLI PICENO - 002</t>
  </si>
  <si>
    <t>PERINI CRISTIANO</t>
  </si>
  <si>
    <t>BLASI GIORGIO</t>
  </si>
  <si>
    <t>BRUNI MARIA</t>
  </si>
  <si>
    <t>MILANI TONINO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</si>
</sst>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1F620-DB38-4945-BC54-D60FF6A29E50}">
  <dimension ref="A1:Z187"/>
  <sheetViews>
    <sheetView showGridLines="0" tabSelected="1" workbookViewId="0">
      <selection activeCell="F187" sqref="F187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43</v>
      </c>
      <c r="C4" s="7" t="s">
        <v>48</v>
      </c>
      <c r="D4" s="7" t="s">
        <v>49</v>
      </c>
      <c r="E4" s="7" t="s">
        <v>42</v>
      </c>
      <c r="F4" s="7" t="s">
        <v>50</v>
      </c>
      <c r="G4" s="7">
        <v>2020</v>
      </c>
      <c r="H4" s="7" t="str">
        <f>CONCATENATE("04780031003")</f>
        <v>04780031003</v>
      </c>
      <c r="I4" s="7" t="s">
        <v>30</v>
      </c>
      <c r="J4" s="7" t="s">
        <v>46</v>
      </c>
      <c r="K4" s="7" t="str">
        <f>CONCATENATE("221")</f>
        <v>221</v>
      </c>
      <c r="L4" s="7" t="str">
        <f>CONCATENATE("8 8.1 5e")</f>
        <v>8 8.1 5e</v>
      </c>
      <c r="M4" s="7" t="str">
        <f>CONCATENATE("SNTMRS51M53G920V")</f>
        <v>SNTMRS51M53G920V</v>
      </c>
      <c r="N4" s="7" t="s">
        <v>51</v>
      </c>
      <c r="O4" s="7" t="s">
        <v>52</v>
      </c>
      <c r="P4" s="8">
        <v>44340</v>
      </c>
      <c r="Q4" s="7" t="s">
        <v>32</v>
      </c>
      <c r="R4" s="7" t="s">
        <v>40</v>
      </c>
      <c r="S4" s="7" t="s">
        <v>34</v>
      </c>
      <c r="T4" s="7"/>
      <c r="U4" s="7" t="s">
        <v>35</v>
      </c>
      <c r="V4" s="9">
        <v>1242</v>
      </c>
      <c r="W4" s="7">
        <v>535.54999999999995</v>
      </c>
      <c r="X4" s="7">
        <v>494.56</v>
      </c>
      <c r="Y4" s="7">
        <v>0</v>
      </c>
      <c r="Z4" s="7">
        <v>211.89</v>
      </c>
    </row>
    <row r="5" spans="1:26" x14ac:dyDescent="0.35">
      <c r="A5" s="7" t="s">
        <v>27</v>
      </c>
      <c r="B5" s="7" t="s">
        <v>43</v>
      </c>
      <c r="C5" s="7" t="s">
        <v>48</v>
      </c>
      <c r="D5" s="7" t="s">
        <v>49</v>
      </c>
      <c r="E5" s="7" t="s">
        <v>39</v>
      </c>
      <c r="F5" s="7" t="s">
        <v>53</v>
      </c>
      <c r="G5" s="7">
        <v>2020</v>
      </c>
      <c r="H5" s="7" t="str">
        <f>CONCATENATE("04780045896")</f>
        <v>04780045896</v>
      </c>
      <c r="I5" s="7" t="s">
        <v>30</v>
      </c>
      <c r="J5" s="7" t="s">
        <v>46</v>
      </c>
      <c r="K5" s="7" t="str">
        <f>CONCATENATE("221")</f>
        <v>221</v>
      </c>
      <c r="L5" s="7" t="str">
        <f>CONCATENATE("8 8.1 5e")</f>
        <v>8 8.1 5e</v>
      </c>
      <c r="M5" s="7" t="str">
        <f>CONCATENATE("PNNGPP33C68I286G")</f>
        <v>PNNGPP33C68I286G</v>
      </c>
      <c r="N5" s="7" t="s">
        <v>54</v>
      </c>
      <c r="O5" s="7" t="s">
        <v>52</v>
      </c>
      <c r="P5" s="8">
        <v>44340</v>
      </c>
      <c r="Q5" s="7" t="s">
        <v>32</v>
      </c>
      <c r="R5" s="7" t="s">
        <v>40</v>
      </c>
      <c r="S5" s="7" t="s">
        <v>34</v>
      </c>
      <c r="T5" s="7"/>
      <c r="U5" s="7" t="s">
        <v>35</v>
      </c>
      <c r="V5" s="7">
        <v>314.94</v>
      </c>
      <c r="W5" s="7">
        <v>135.80000000000001</v>
      </c>
      <c r="X5" s="7">
        <v>125.41</v>
      </c>
      <c r="Y5" s="7">
        <v>0</v>
      </c>
      <c r="Z5" s="7">
        <v>53.73</v>
      </c>
    </row>
    <row r="6" spans="1:26" x14ac:dyDescent="0.35">
      <c r="A6" s="7" t="s">
        <v>27</v>
      </c>
      <c r="B6" s="7" t="s">
        <v>28</v>
      </c>
      <c r="C6" s="7" t="s">
        <v>48</v>
      </c>
      <c r="D6" s="7" t="s">
        <v>55</v>
      </c>
      <c r="E6" s="7" t="s">
        <v>29</v>
      </c>
      <c r="F6" s="7" t="s">
        <v>29</v>
      </c>
      <c r="G6" s="7">
        <v>2017</v>
      </c>
      <c r="H6" s="7" t="str">
        <f>CONCATENATE("04270233267")</f>
        <v>04270233267</v>
      </c>
      <c r="I6" s="7" t="s">
        <v>30</v>
      </c>
      <c r="J6" s="7" t="s">
        <v>31</v>
      </c>
      <c r="K6" s="7" t="str">
        <f>CONCATENATE("")</f>
        <v/>
      </c>
      <c r="L6" s="7" t="str">
        <f>CONCATENATE("6 6.4 2a")</f>
        <v>6 6.4 2a</v>
      </c>
      <c r="M6" s="7" t="str">
        <f>CONCATENATE("KRSSFN78C42Z133T")</f>
        <v>KRSSFN78C42Z133T</v>
      </c>
      <c r="N6" s="7" t="s">
        <v>56</v>
      </c>
      <c r="O6" s="7" t="s">
        <v>57</v>
      </c>
      <c r="P6" s="8">
        <v>44340</v>
      </c>
      <c r="Q6" s="7" t="s">
        <v>32</v>
      </c>
      <c r="R6" s="7" t="s">
        <v>40</v>
      </c>
      <c r="S6" s="7" t="s">
        <v>34</v>
      </c>
      <c r="T6" s="7"/>
      <c r="U6" s="7" t="s">
        <v>35</v>
      </c>
      <c r="V6" s="9">
        <v>38556.65</v>
      </c>
      <c r="W6" s="9">
        <v>16625.63</v>
      </c>
      <c r="X6" s="9">
        <v>15353.26</v>
      </c>
      <c r="Y6" s="7">
        <v>0</v>
      </c>
      <c r="Z6" s="9">
        <v>6577.76</v>
      </c>
    </row>
    <row r="7" spans="1:26" x14ac:dyDescent="0.35">
      <c r="A7" s="7" t="s">
        <v>27</v>
      </c>
      <c r="B7" s="7" t="s">
        <v>43</v>
      </c>
      <c r="C7" s="7" t="s">
        <v>48</v>
      </c>
      <c r="D7" s="7" t="s">
        <v>49</v>
      </c>
      <c r="E7" s="7" t="s">
        <v>39</v>
      </c>
      <c r="F7" s="7" t="s">
        <v>58</v>
      </c>
      <c r="G7" s="7">
        <v>2020</v>
      </c>
      <c r="H7" s="7" t="str">
        <f>CONCATENATE("04780034874")</f>
        <v>04780034874</v>
      </c>
      <c r="I7" s="7" t="s">
        <v>30</v>
      </c>
      <c r="J7" s="7" t="s">
        <v>46</v>
      </c>
      <c r="K7" s="7" t="str">
        <f>CONCATENATE("221")</f>
        <v>221</v>
      </c>
      <c r="L7" s="7" t="str">
        <f>CONCATENATE("8 8.1 5e")</f>
        <v>8 8.1 5e</v>
      </c>
      <c r="M7" s="7" t="str">
        <f>CONCATENATE("SCRGCR60P28F567A")</f>
        <v>SCRGCR60P28F567A</v>
      </c>
      <c r="N7" s="7" t="s">
        <v>59</v>
      </c>
      <c r="O7" s="7" t="s">
        <v>52</v>
      </c>
      <c r="P7" s="8">
        <v>44340</v>
      </c>
      <c r="Q7" s="7" t="s">
        <v>32</v>
      </c>
      <c r="R7" s="7" t="s">
        <v>40</v>
      </c>
      <c r="S7" s="7" t="s">
        <v>34</v>
      </c>
      <c r="T7" s="7"/>
      <c r="U7" s="7" t="s">
        <v>35</v>
      </c>
      <c r="V7" s="7">
        <v>186.43</v>
      </c>
      <c r="W7" s="7">
        <v>80.39</v>
      </c>
      <c r="X7" s="7">
        <v>74.239999999999995</v>
      </c>
      <c r="Y7" s="7">
        <v>0</v>
      </c>
      <c r="Z7" s="7">
        <v>31.8</v>
      </c>
    </row>
    <row r="8" spans="1:26" x14ac:dyDescent="0.35">
      <c r="A8" s="7" t="s">
        <v>27</v>
      </c>
      <c r="B8" s="7" t="s">
        <v>43</v>
      </c>
      <c r="C8" s="7" t="s">
        <v>48</v>
      </c>
      <c r="D8" s="7" t="s">
        <v>49</v>
      </c>
      <c r="E8" s="7" t="s">
        <v>42</v>
      </c>
      <c r="F8" s="7" t="s">
        <v>60</v>
      </c>
      <c r="G8" s="7">
        <v>2020</v>
      </c>
      <c r="H8" s="7" t="str">
        <f>CONCATENATE("04780022531")</f>
        <v>04780022531</v>
      </c>
      <c r="I8" s="7" t="s">
        <v>30</v>
      </c>
      <c r="J8" s="7" t="s">
        <v>46</v>
      </c>
      <c r="K8" s="7" t="str">
        <f>CONCATENATE("221")</f>
        <v>221</v>
      </c>
      <c r="L8" s="7" t="str">
        <f>CONCATENATE("8 8.1 5e")</f>
        <v>8 8.1 5e</v>
      </c>
      <c r="M8" s="7" t="str">
        <f>CONCATENATE("PTRSNN54L45E783Z")</f>
        <v>PTRSNN54L45E783Z</v>
      </c>
      <c r="N8" s="7" t="s">
        <v>61</v>
      </c>
      <c r="O8" s="7" t="s">
        <v>52</v>
      </c>
      <c r="P8" s="8">
        <v>44340</v>
      </c>
      <c r="Q8" s="7" t="s">
        <v>32</v>
      </c>
      <c r="R8" s="7" t="s">
        <v>40</v>
      </c>
      <c r="S8" s="7" t="s">
        <v>34</v>
      </c>
      <c r="T8" s="7"/>
      <c r="U8" s="7" t="s">
        <v>35</v>
      </c>
      <c r="V8" s="7">
        <v>615.4</v>
      </c>
      <c r="W8" s="7">
        <v>265.36</v>
      </c>
      <c r="X8" s="7">
        <v>245.05</v>
      </c>
      <c r="Y8" s="7">
        <v>0</v>
      </c>
      <c r="Z8" s="7">
        <v>104.99</v>
      </c>
    </row>
    <row r="9" spans="1:26" ht="17.5" x14ac:dyDescent="0.35">
      <c r="A9" s="7" t="s">
        <v>27</v>
      </c>
      <c r="B9" s="7" t="s">
        <v>43</v>
      </c>
      <c r="C9" s="7" t="s">
        <v>48</v>
      </c>
      <c r="D9" s="7" t="s">
        <v>49</v>
      </c>
      <c r="E9" s="7" t="s">
        <v>39</v>
      </c>
      <c r="F9" s="7" t="s">
        <v>58</v>
      </c>
      <c r="G9" s="7">
        <v>2020</v>
      </c>
      <c r="H9" s="7" t="str">
        <f>CONCATENATE("04780035178")</f>
        <v>04780035178</v>
      </c>
      <c r="I9" s="7" t="s">
        <v>30</v>
      </c>
      <c r="J9" s="7" t="s">
        <v>46</v>
      </c>
      <c r="K9" s="7" t="str">
        <f>CONCATENATE("221")</f>
        <v>221</v>
      </c>
      <c r="L9" s="7" t="str">
        <f>CONCATENATE("8 8.1 5e")</f>
        <v>8 8.1 5e</v>
      </c>
      <c r="M9" s="7" t="str">
        <f>CONCATENATE("RMDMRA66M03L501N")</f>
        <v>RMDMRA66M03L501N</v>
      </c>
      <c r="N9" s="7" t="s">
        <v>62</v>
      </c>
      <c r="O9" s="7" t="s">
        <v>52</v>
      </c>
      <c r="P9" s="8">
        <v>44340</v>
      </c>
      <c r="Q9" s="7" t="s">
        <v>32</v>
      </c>
      <c r="R9" s="7" t="s">
        <v>40</v>
      </c>
      <c r="S9" s="7" t="s">
        <v>34</v>
      </c>
      <c r="T9" s="7"/>
      <c r="U9" s="7" t="s">
        <v>35</v>
      </c>
      <c r="V9" s="7">
        <v>477.9</v>
      </c>
      <c r="W9" s="7">
        <v>206.07</v>
      </c>
      <c r="X9" s="7">
        <v>190.3</v>
      </c>
      <c r="Y9" s="7">
        <v>0</v>
      </c>
      <c r="Z9" s="7">
        <v>81.53</v>
      </c>
    </row>
    <row r="10" spans="1:26" x14ac:dyDescent="0.35">
      <c r="A10" s="7" t="s">
        <v>27</v>
      </c>
      <c r="B10" s="7" t="s">
        <v>43</v>
      </c>
      <c r="C10" s="7" t="s">
        <v>48</v>
      </c>
      <c r="D10" s="7" t="s">
        <v>49</v>
      </c>
      <c r="E10" s="7" t="s">
        <v>44</v>
      </c>
      <c r="F10" s="7" t="s">
        <v>63</v>
      </c>
      <c r="G10" s="7">
        <v>2020</v>
      </c>
      <c r="H10" s="7" t="str">
        <f>CONCATENATE("04780007151")</f>
        <v>04780007151</v>
      </c>
      <c r="I10" s="7" t="s">
        <v>30</v>
      </c>
      <c r="J10" s="7" t="s">
        <v>46</v>
      </c>
      <c r="K10" s="7" t="str">
        <f>CONCATENATE("221")</f>
        <v>221</v>
      </c>
      <c r="L10" s="7" t="str">
        <f>CONCATENATE("8 8.1 5e")</f>
        <v>8 8.1 5e</v>
      </c>
      <c r="M10" s="7" t="str">
        <f>CONCATENATE("SCMSVN57P45D652L")</f>
        <v>SCMSVN57P45D652L</v>
      </c>
      <c r="N10" s="7" t="s">
        <v>64</v>
      </c>
      <c r="O10" s="7" t="s">
        <v>52</v>
      </c>
      <c r="P10" s="8">
        <v>44340</v>
      </c>
      <c r="Q10" s="7" t="s">
        <v>32</v>
      </c>
      <c r="R10" s="7" t="s">
        <v>40</v>
      </c>
      <c r="S10" s="7" t="s">
        <v>34</v>
      </c>
      <c r="T10" s="7"/>
      <c r="U10" s="7" t="s">
        <v>35</v>
      </c>
      <c r="V10" s="7">
        <v>861.56</v>
      </c>
      <c r="W10" s="7">
        <v>371.5</v>
      </c>
      <c r="X10" s="7">
        <v>343.07</v>
      </c>
      <c r="Y10" s="7">
        <v>0</v>
      </c>
      <c r="Z10" s="7">
        <v>146.99</v>
      </c>
    </row>
    <row r="11" spans="1:26" x14ac:dyDescent="0.35">
      <c r="A11" s="7" t="s">
        <v>27</v>
      </c>
      <c r="B11" s="7" t="s">
        <v>43</v>
      </c>
      <c r="C11" s="7" t="s">
        <v>48</v>
      </c>
      <c r="D11" s="7" t="s">
        <v>49</v>
      </c>
      <c r="E11" s="7" t="s">
        <v>39</v>
      </c>
      <c r="F11" s="7" t="s">
        <v>53</v>
      </c>
      <c r="G11" s="7">
        <v>2020</v>
      </c>
      <c r="H11" s="7" t="str">
        <f>CONCATENATE("04780045623")</f>
        <v>04780045623</v>
      </c>
      <c r="I11" s="7" t="s">
        <v>30</v>
      </c>
      <c r="J11" s="7" t="s">
        <v>46</v>
      </c>
      <c r="K11" s="7" t="str">
        <f>CONCATENATE("221")</f>
        <v>221</v>
      </c>
      <c r="L11" s="7" t="str">
        <f>CONCATENATE("8 8.1 5e")</f>
        <v>8 8.1 5e</v>
      </c>
      <c r="M11" s="7" t="str">
        <f>CONCATENATE("RMGNLN36H42A252P")</f>
        <v>RMGNLN36H42A252P</v>
      </c>
      <c r="N11" s="7" t="s">
        <v>65</v>
      </c>
      <c r="O11" s="7" t="s">
        <v>52</v>
      </c>
      <c r="P11" s="8">
        <v>44340</v>
      </c>
      <c r="Q11" s="7" t="s">
        <v>32</v>
      </c>
      <c r="R11" s="7" t="s">
        <v>40</v>
      </c>
      <c r="S11" s="7" t="s">
        <v>34</v>
      </c>
      <c r="T11" s="7"/>
      <c r="U11" s="7" t="s">
        <v>35</v>
      </c>
      <c r="V11" s="7">
        <v>535</v>
      </c>
      <c r="W11" s="7">
        <v>230.69</v>
      </c>
      <c r="X11" s="7">
        <v>213.04</v>
      </c>
      <c r="Y11" s="7">
        <v>0</v>
      </c>
      <c r="Z11" s="7">
        <v>91.27</v>
      </c>
    </row>
    <row r="12" spans="1:26" x14ac:dyDescent="0.35">
      <c r="A12" s="7" t="s">
        <v>27</v>
      </c>
      <c r="B12" s="7" t="s">
        <v>43</v>
      </c>
      <c r="C12" s="7" t="s">
        <v>48</v>
      </c>
      <c r="D12" s="7" t="s">
        <v>49</v>
      </c>
      <c r="E12" s="7" t="s">
        <v>39</v>
      </c>
      <c r="F12" s="7" t="s">
        <v>66</v>
      </c>
      <c r="G12" s="7">
        <v>2020</v>
      </c>
      <c r="H12" s="7" t="str">
        <f>CONCATENATE("04780034783")</f>
        <v>04780034783</v>
      </c>
      <c r="I12" s="7" t="s">
        <v>30</v>
      </c>
      <c r="J12" s="7" t="s">
        <v>46</v>
      </c>
      <c r="K12" s="7" t="str">
        <f>CONCATENATE("221")</f>
        <v>221</v>
      </c>
      <c r="L12" s="7" t="str">
        <f>CONCATENATE("8 8.1 5e")</f>
        <v>8 8.1 5e</v>
      </c>
      <c r="M12" s="7" t="str">
        <f>CONCATENATE("PLLFRZ71M09F051U")</f>
        <v>PLLFRZ71M09F051U</v>
      </c>
      <c r="N12" s="7" t="s">
        <v>67</v>
      </c>
      <c r="O12" s="7" t="s">
        <v>52</v>
      </c>
      <c r="P12" s="8">
        <v>44340</v>
      </c>
      <c r="Q12" s="7" t="s">
        <v>32</v>
      </c>
      <c r="R12" s="7" t="s">
        <v>40</v>
      </c>
      <c r="S12" s="7" t="s">
        <v>34</v>
      </c>
      <c r="T12" s="7"/>
      <c r="U12" s="7" t="s">
        <v>35</v>
      </c>
      <c r="V12" s="7">
        <v>380</v>
      </c>
      <c r="W12" s="7">
        <v>163.86</v>
      </c>
      <c r="X12" s="7">
        <v>151.32</v>
      </c>
      <c r="Y12" s="7">
        <v>0</v>
      </c>
      <c r="Z12" s="7">
        <v>64.819999999999993</v>
      </c>
    </row>
    <row r="13" spans="1:26" x14ac:dyDescent="0.35">
      <c r="A13" s="7" t="s">
        <v>27</v>
      </c>
      <c r="B13" s="7" t="s">
        <v>43</v>
      </c>
      <c r="C13" s="7" t="s">
        <v>48</v>
      </c>
      <c r="D13" s="7" t="s">
        <v>49</v>
      </c>
      <c r="E13" s="7" t="s">
        <v>39</v>
      </c>
      <c r="F13" s="7" t="s">
        <v>66</v>
      </c>
      <c r="G13" s="7">
        <v>2020</v>
      </c>
      <c r="H13" s="7" t="str">
        <f>CONCATENATE("04240191348")</f>
        <v>04240191348</v>
      </c>
      <c r="I13" s="7" t="s">
        <v>30</v>
      </c>
      <c r="J13" s="7" t="s">
        <v>31</v>
      </c>
      <c r="K13" s="7" t="str">
        <f>CONCATENATE("")</f>
        <v/>
      </c>
      <c r="L13" s="7" t="str">
        <f>CONCATENATE("10 10.1 4a")</f>
        <v>10 10.1 4a</v>
      </c>
      <c r="M13" s="7" t="str">
        <f>CONCATENATE("CPTGRG77S13B474U")</f>
        <v>CPTGRG77S13B474U</v>
      </c>
      <c r="N13" s="7" t="s">
        <v>68</v>
      </c>
      <c r="O13" s="7" t="s">
        <v>69</v>
      </c>
      <c r="P13" s="8">
        <v>44336</v>
      </c>
      <c r="Q13" s="7" t="s">
        <v>32</v>
      </c>
      <c r="R13" s="7" t="s">
        <v>40</v>
      </c>
      <c r="S13" s="7" t="s">
        <v>34</v>
      </c>
      <c r="T13" s="7"/>
      <c r="U13" s="7" t="s">
        <v>35</v>
      </c>
      <c r="V13" s="9">
        <v>1430</v>
      </c>
      <c r="W13" s="7">
        <v>616.62</v>
      </c>
      <c r="X13" s="7">
        <v>569.42999999999995</v>
      </c>
      <c r="Y13" s="7">
        <v>0</v>
      </c>
      <c r="Z13" s="7">
        <v>243.95</v>
      </c>
    </row>
    <row r="14" spans="1:26" x14ac:dyDescent="0.35">
      <c r="A14" s="7" t="s">
        <v>27</v>
      </c>
      <c r="B14" s="7" t="s">
        <v>43</v>
      </c>
      <c r="C14" s="7" t="s">
        <v>48</v>
      </c>
      <c r="D14" s="7" t="s">
        <v>49</v>
      </c>
      <c r="E14" s="7" t="s">
        <v>39</v>
      </c>
      <c r="F14" s="7" t="s">
        <v>66</v>
      </c>
      <c r="G14" s="7">
        <v>2018</v>
      </c>
      <c r="H14" s="7" t="str">
        <f>CONCATENATE("84240499172")</f>
        <v>84240499172</v>
      </c>
      <c r="I14" s="7" t="s">
        <v>30</v>
      </c>
      <c r="J14" s="7" t="s">
        <v>31</v>
      </c>
      <c r="K14" s="7" t="str">
        <f>CONCATENATE("")</f>
        <v/>
      </c>
      <c r="L14" s="7" t="str">
        <f>CONCATENATE("10 10.1 4a")</f>
        <v>10 10.1 4a</v>
      </c>
      <c r="M14" s="7" t="str">
        <f>CONCATENATE("00395910433")</f>
        <v>00395910433</v>
      </c>
      <c r="N14" s="7" t="s">
        <v>70</v>
      </c>
      <c r="O14" s="7" t="s">
        <v>69</v>
      </c>
      <c r="P14" s="8">
        <v>44336</v>
      </c>
      <c r="Q14" s="7" t="s">
        <v>32</v>
      </c>
      <c r="R14" s="7" t="s">
        <v>40</v>
      </c>
      <c r="S14" s="7" t="s">
        <v>34</v>
      </c>
      <c r="T14" s="7"/>
      <c r="U14" s="7" t="s">
        <v>35</v>
      </c>
      <c r="V14" s="9">
        <v>5346.04</v>
      </c>
      <c r="W14" s="9">
        <v>2305.21</v>
      </c>
      <c r="X14" s="9">
        <v>2128.79</v>
      </c>
      <c r="Y14" s="7">
        <v>0</v>
      </c>
      <c r="Z14" s="7">
        <v>912.04</v>
      </c>
    </row>
    <row r="15" spans="1:26" ht="17.5" x14ac:dyDescent="0.35">
      <c r="A15" s="7" t="s">
        <v>27</v>
      </c>
      <c r="B15" s="7" t="s">
        <v>43</v>
      </c>
      <c r="C15" s="7" t="s">
        <v>48</v>
      </c>
      <c r="D15" s="7" t="s">
        <v>49</v>
      </c>
      <c r="E15" s="7" t="s">
        <v>39</v>
      </c>
      <c r="F15" s="7" t="s">
        <v>66</v>
      </c>
      <c r="G15" s="7">
        <v>2020</v>
      </c>
      <c r="H15" s="7" t="str">
        <f>CONCATENATE("04240345985")</f>
        <v>04240345985</v>
      </c>
      <c r="I15" s="7" t="s">
        <v>30</v>
      </c>
      <c r="J15" s="7" t="s">
        <v>31</v>
      </c>
      <c r="K15" s="7" t="str">
        <f>CONCATENATE("")</f>
        <v/>
      </c>
      <c r="L15" s="7" t="str">
        <f>CONCATENATE("10 10.1 4a")</f>
        <v>10 10.1 4a</v>
      </c>
      <c r="M15" s="7" t="str">
        <f>CONCATENATE("01710950435")</f>
        <v>01710950435</v>
      </c>
      <c r="N15" s="7" t="s">
        <v>71</v>
      </c>
      <c r="O15" s="7" t="s">
        <v>69</v>
      </c>
      <c r="P15" s="8">
        <v>44336</v>
      </c>
      <c r="Q15" s="7" t="s">
        <v>32</v>
      </c>
      <c r="R15" s="7" t="s">
        <v>40</v>
      </c>
      <c r="S15" s="7" t="s">
        <v>34</v>
      </c>
      <c r="T15" s="7"/>
      <c r="U15" s="7" t="s">
        <v>35</v>
      </c>
      <c r="V15" s="9">
        <v>26145.08</v>
      </c>
      <c r="W15" s="9">
        <v>11273.76</v>
      </c>
      <c r="X15" s="9">
        <v>10410.969999999999</v>
      </c>
      <c r="Y15" s="7">
        <v>0</v>
      </c>
      <c r="Z15" s="9">
        <v>4460.3500000000004</v>
      </c>
    </row>
    <row r="16" spans="1:26" x14ac:dyDescent="0.35">
      <c r="A16" s="7" t="s">
        <v>27</v>
      </c>
      <c r="B16" s="7" t="s">
        <v>43</v>
      </c>
      <c r="C16" s="7" t="s">
        <v>48</v>
      </c>
      <c r="D16" s="7" t="s">
        <v>49</v>
      </c>
      <c r="E16" s="7" t="s">
        <v>45</v>
      </c>
      <c r="F16" s="7" t="s">
        <v>72</v>
      </c>
      <c r="G16" s="7">
        <v>2020</v>
      </c>
      <c r="H16" s="7" t="str">
        <f>CONCATENATE("04241009721")</f>
        <v>04241009721</v>
      </c>
      <c r="I16" s="7" t="s">
        <v>30</v>
      </c>
      <c r="J16" s="7" t="s">
        <v>31</v>
      </c>
      <c r="K16" s="7" t="str">
        <f>CONCATENATE("")</f>
        <v/>
      </c>
      <c r="L16" s="7" t="str">
        <f>CONCATENATE("10 10.1 4a")</f>
        <v>10 10.1 4a</v>
      </c>
      <c r="M16" s="7" t="str">
        <f>CONCATENATE("00863530432")</f>
        <v>00863530432</v>
      </c>
      <c r="N16" s="7" t="s">
        <v>73</v>
      </c>
      <c r="O16" s="7" t="s">
        <v>69</v>
      </c>
      <c r="P16" s="8">
        <v>44336</v>
      </c>
      <c r="Q16" s="7" t="s">
        <v>32</v>
      </c>
      <c r="R16" s="7" t="s">
        <v>40</v>
      </c>
      <c r="S16" s="7" t="s">
        <v>34</v>
      </c>
      <c r="T16" s="7"/>
      <c r="U16" s="7" t="s">
        <v>35</v>
      </c>
      <c r="V16" s="9">
        <v>1182.74</v>
      </c>
      <c r="W16" s="7">
        <v>510</v>
      </c>
      <c r="X16" s="7">
        <v>470.97</v>
      </c>
      <c r="Y16" s="7">
        <v>0</v>
      </c>
      <c r="Z16" s="7">
        <v>201.77</v>
      </c>
    </row>
    <row r="17" spans="1:26" x14ac:dyDescent="0.35">
      <c r="A17" s="7" t="s">
        <v>27</v>
      </c>
      <c r="B17" s="7" t="s">
        <v>43</v>
      </c>
      <c r="C17" s="7" t="s">
        <v>48</v>
      </c>
      <c r="D17" s="7" t="s">
        <v>55</v>
      </c>
      <c r="E17" s="7" t="s">
        <v>41</v>
      </c>
      <c r="F17" s="7" t="s">
        <v>74</v>
      </c>
      <c r="G17" s="7">
        <v>2020</v>
      </c>
      <c r="H17" s="7" t="str">
        <f>CONCATENATE("04240211534")</f>
        <v>04240211534</v>
      </c>
      <c r="I17" s="7" t="s">
        <v>30</v>
      </c>
      <c r="J17" s="7" t="s">
        <v>31</v>
      </c>
      <c r="K17" s="7" t="str">
        <f>CONCATENATE("")</f>
        <v/>
      </c>
      <c r="L17" s="7" t="str">
        <f>CONCATENATE("10 10.1 4a")</f>
        <v>10 10.1 4a</v>
      </c>
      <c r="M17" s="7" t="str">
        <f>CONCATENATE("02761500426")</f>
        <v>02761500426</v>
      </c>
      <c r="N17" s="7" t="s">
        <v>75</v>
      </c>
      <c r="O17" s="7" t="s">
        <v>69</v>
      </c>
      <c r="P17" s="8">
        <v>44336</v>
      </c>
      <c r="Q17" s="7" t="s">
        <v>32</v>
      </c>
      <c r="R17" s="7" t="s">
        <v>40</v>
      </c>
      <c r="S17" s="7" t="s">
        <v>34</v>
      </c>
      <c r="T17" s="7"/>
      <c r="U17" s="7" t="s">
        <v>35</v>
      </c>
      <c r="V17" s="7">
        <v>121.44</v>
      </c>
      <c r="W17" s="7">
        <v>52.36</v>
      </c>
      <c r="X17" s="7">
        <v>48.36</v>
      </c>
      <c r="Y17" s="7">
        <v>0</v>
      </c>
      <c r="Z17" s="7">
        <v>20.72</v>
      </c>
    </row>
    <row r="18" spans="1:26" x14ac:dyDescent="0.35">
      <c r="A18" s="7" t="s">
        <v>27</v>
      </c>
      <c r="B18" s="7" t="s">
        <v>43</v>
      </c>
      <c r="C18" s="7" t="s">
        <v>48</v>
      </c>
      <c r="D18" s="7" t="s">
        <v>49</v>
      </c>
      <c r="E18" s="7" t="s">
        <v>39</v>
      </c>
      <c r="F18" s="7" t="s">
        <v>76</v>
      </c>
      <c r="G18" s="7">
        <v>2020</v>
      </c>
      <c r="H18" s="7" t="str">
        <f>CONCATENATE("04241000308")</f>
        <v>04241000308</v>
      </c>
      <c r="I18" s="7" t="s">
        <v>30</v>
      </c>
      <c r="J18" s="7" t="s">
        <v>31</v>
      </c>
      <c r="K18" s="7" t="str">
        <f>CONCATENATE("")</f>
        <v/>
      </c>
      <c r="L18" s="7" t="str">
        <f>CONCATENATE("10 10.1 4a")</f>
        <v>10 10.1 4a</v>
      </c>
      <c r="M18" s="7" t="str">
        <f>CONCATENATE("03589610546")</f>
        <v>03589610546</v>
      </c>
      <c r="N18" s="7" t="s">
        <v>77</v>
      </c>
      <c r="O18" s="7" t="s">
        <v>69</v>
      </c>
      <c r="P18" s="8">
        <v>44336</v>
      </c>
      <c r="Q18" s="7" t="s">
        <v>32</v>
      </c>
      <c r="R18" s="7" t="s">
        <v>40</v>
      </c>
      <c r="S18" s="7" t="s">
        <v>34</v>
      </c>
      <c r="T18" s="7"/>
      <c r="U18" s="7" t="s">
        <v>35</v>
      </c>
      <c r="V18" s="9">
        <v>17968.12</v>
      </c>
      <c r="W18" s="9">
        <v>7747.85</v>
      </c>
      <c r="X18" s="9">
        <v>7154.91</v>
      </c>
      <c r="Y18" s="7">
        <v>0</v>
      </c>
      <c r="Z18" s="9">
        <v>3065.36</v>
      </c>
    </row>
    <row r="19" spans="1:26" x14ac:dyDescent="0.35">
      <c r="A19" s="7" t="s">
        <v>27</v>
      </c>
      <c r="B19" s="7" t="s">
        <v>43</v>
      </c>
      <c r="C19" s="7" t="s">
        <v>48</v>
      </c>
      <c r="D19" s="7" t="s">
        <v>78</v>
      </c>
      <c r="E19" s="7" t="s">
        <v>39</v>
      </c>
      <c r="F19" s="7" t="s">
        <v>79</v>
      </c>
      <c r="G19" s="7">
        <v>2020</v>
      </c>
      <c r="H19" s="7" t="str">
        <f>CONCATENATE("04241089111")</f>
        <v>04241089111</v>
      </c>
      <c r="I19" s="7" t="s">
        <v>30</v>
      </c>
      <c r="J19" s="7" t="s">
        <v>31</v>
      </c>
      <c r="K19" s="7" t="str">
        <f>CONCATENATE("")</f>
        <v/>
      </c>
      <c r="L19" s="7" t="str">
        <f>CONCATENATE("10 10.1 4a")</f>
        <v>10 10.1 4a</v>
      </c>
      <c r="M19" s="7" t="str">
        <f>CONCATENATE("GLLSFN78C14A462E")</f>
        <v>GLLSFN78C14A462E</v>
      </c>
      <c r="N19" s="7" t="s">
        <v>80</v>
      </c>
      <c r="O19" s="7" t="s">
        <v>69</v>
      </c>
      <c r="P19" s="8">
        <v>44336</v>
      </c>
      <c r="Q19" s="7" t="s">
        <v>32</v>
      </c>
      <c r="R19" s="7" t="s">
        <v>40</v>
      </c>
      <c r="S19" s="7" t="s">
        <v>34</v>
      </c>
      <c r="T19" s="7"/>
      <c r="U19" s="7" t="s">
        <v>35</v>
      </c>
      <c r="V19" s="7">
        <v>686.72</v>
      </c>
      <c r="W19" s="7">
        <v>296.11</v>
      </c>
      <c r="X19" s="7">
        <v>273.45</v>
      </c>
      <c r="Y19" s="7">
        <v>0</v>
      </c>
      <c r="Z19" s="7">
        <v>117.16</v>
      </c>
    </row>
    <row r="20" spans="1:26" x14ac:dyDescent="0.35">
      <c r="A20" s="7" t="s">
        <v>27</v>
      </c>
      <c r="B20" s="7" t="s">
        <v>43</v>
      </c>
      <c r="C20" s="7" t="s">
        <v>48</v>
      </c>
      <c r="D20" s="7" t="s">
        <v>49</v>
      </c>
      <c r="E20" s="7" t="s">
        <v>39</v>
      </c>
      <c r="F20" s="7" t="s">
        <v>53</v>
      </c>
      <c r="G20" s="7">
        <v>2020</v>
      </c>
      <c r="H20" s="7" t="str">
        <f>CONCATENATE("04240613226")</f>
        <v>04240613226</v>
      </c>
      <c r="I20" s="7" t="s">
        <v>30</v>
      </c>
      <c r="J20" s="7" t="s">
        <v>31</v>
      </c>
      <c r="K20" s="7" t="str">
        <f>CONCATENATE("")</f>
        <v/>
      </c>
      <c r="L20" s="7" t="str">
        <f>CONCATENATE("10 10.1 4a")</f>
        <v>10 10.1 4a</v>
      </c>
      <c r="M20" s="7" t="str">
        <f>CONCATENATE("MGLPNI52L42E783F")</f>
        <v>MGLPNI52L42E783F</v>
      </c>
      <c r="N20" s="7" t="s">
        <v>81</v>
      </c>
      <c r="O20" s="7" t="s">
        <v>69</v>
      </c>
      <c r="P20" s="8">
        <v>44336</v>
      </c>
      <c r="Q20" s="7" t="s">
        <v>32</v>
      </c>
      <c r="R20" s="7" t="s">
        <v>40</v>
      </c>
      <c r="S20" s="7" t="s">
        <v>34</v>
      </c>
      <c r="T20" s="7"/>
      <c r="U20" s="7" t="s">
        <v>35</v>
      </c>
      <c r="V20" s="7">
        <v>329.82</v>
      </c>
      <c r="W20" s="7">
        <v>142.22</v>
      </c>
      <c r="X20" s="7">
        <v>131.33000000000001</v>
      </c>
      <c r="Y20" s="7">
        <v>0</v>
      </c>
      <c r="Z20" s="7">
        <v>56.27</v>
      </c>
    </row>
    <row r="21" spans="1:26" ht="17.5" x14ac:dyDescent="0.35">
      <c r="A21" s="7" t="s">
        <v>27</v>
      </c>
      <c r="B21" s="7" t="s">
        <v>43</v>
      </c>
      <c r="C21" s="7" t="s">
        <v>48</v>
      </c>
      <c r="D21" s="7" t="s">
        <v>55</v>
      </c>
      <c r="E21" s="7" t="s">
        <v>41</v>
      </c>
      <c r="F21" s="7" t="s">
        <v>74</v>
      </c>
      <c r="G21" s="7">
        <v>2020</v>
      </c>
      <c r="H21" s="7" t="str">
        <f>CONCATENATE("04240560088")</f>
        <v>04240560088</v>
      </c>
      <c r="I21" s="7" t="s">
        <v>30</v>
      </c>
      <c r="J21" s="7" t="s">
        <v>31</v>
      </c>
      <c r="K21" s="7" t="str">
        <f>CONCATENATE("")</f>
        <v/>
      </c>
      <c r="L21" s="7" t="str">
        <f>CONCATENATE("10 10.1 4a")</f>
        <v>10 10.1 4a</v>
      </c>
      <c r="M21" s="7" t="str">
        <f>CONCATENATE("02758090423")</f>
        <v>02758090423</v>
      </c>
      <c r="N21" s="7" t="s">
        <v>82</v>
      </c>
      <c r="O21" s="7" t="s">
        <v>69</v>
      </c>
      <c r="P21" s="8">
        <v>44336</v>
      </c>
      <c r="Q21" s="7" t="s">
        <v>32</v>
      </c>
      <c r="R21" s="7" t="s">
        <v>40</v>
      </c>
      <c r="S21" s="7" t="s">
        <v>34</v>
      </c>
      <c r="T21" s="7"/>
      <c r="U21" s="7" t="s">
        <v>35</v>
      </c>
      <c r="V21" s="7">
        <v>84.12</v>
      </c>
      <c r="W21" s="7">
        <v>36.270000000000003</v>
      </c>
      <c r="X21" s="7">
        <v>33.5</v>
      </c>
      <c r="Y21" s="7">
        <v>0</v>
      </c>
      <c r="Z21" s="7">
        <v>14.35</v>
      </c>
    </row>
    <row r="22" spans="1:26" x14ac:dyDescent="0.35">
      <c r="A22" s="7" t="s">
        <v>27</v>
      </c>
      <c r="B22" s="7" t="s">
        <v>43</v>
      </c>
      <c r="C22" s="7" t="s">
        <v>48</v>
      </c>
      <c r="D22" s="7" t="s">
        <v>55</v>
      </c>
      <c r="E22" s="7" t="s">
        <v>39</v>
      </c>
      <c r="F22" s="7" t="s">
        <v>83</v>
      </c>
      <c r="G22" s="7">
        <v>2020</v>
      </c>
      <c r="H22" s="7" t="str">
        <f>CONCATENATE("04240557019")</f>
        <v>04240557019</v>
      </c>
      <c r="I22" s="7" t="s">
        <v>30</v>
      </c>
      <c r="J22" s="7" t="s">
        <v>31</v>
      </c>
      <c r="K22" s="7" t="str">
        <f>CONCATENATE("")</f>
        <v/>
      </c>
      <c r="L22" s="7" t="str">
        <f>CONCATENATE("10 10.1 4a")</f>
        <v>10 10.1 4a</v>
      </c>
      <c r="M22" s="7" t="str">
        <f>CONCATENATE("GRRGRG67C13H979V")</f>
        <v>GRRGRG67C13H979V</v>
      </c>
      <c r="N22" s="7" t="s">
        <v>84</v>
      </c>
      <c r="O22" s="7" t="s">
        <v>69</v>
      </c>
      <c r="P22" s="8">
        <v>44336</v>
      </c>
      <c r="Q22" s="7" t="s">
        <v>32</v>
      </c>
      <c r="R22" s="7" t="s">
        <v>40</v>
      </c>
      <c r="S22" s="7" t="s">
        <v>34</v>
      </c>
      <c r="T22" s="7"/>
      <c r="U22" s="7" t="s">
        <v>35</v>
      </c>
      <c r="V22" s="7">
        <v>699.64</v>
      </c>
      <c r="W22" s="7">
        <v>301.68</v>
      </c>
      <c r="X22" s="7">
        <v>278.60000000000002</v>
      </c>
      <c r="Y22" s="7">
        <v>0</v>
      </c>
      <c r="Z22" s="7">
        <v>119.36</v>
      </c>
    </row>
    <row r="23" spans="1:26" x14ac:dyDescent="0.35">
      <c r="A23" s="7" t="s">
        <v>27</v>
      </c>
      <c r="B23" s="7" t="s">
        <v>43</v>
      </c>
      <c r="C23" s="7" t="s">
        <v>48</v>
      </c>
      <c r="D23" s="7" t="s">
        <v>49</v>
      </c>
      <c r="E23" s="7" t="s">
        <v>45</v>
      </c>
      <c r="F23" s="7" t="s">
        <v>85</v>
      </c>
      <c r="G23" s="7">
        <v>2020</v>
      </c>
      <c r="H23" s="7" t="str">
        <f>CONCATENATE("04780003879")</f>
        <v>04780003879</v>
      </c>
      <c r="I23" s="7" t="s">
        <v>30</v>
      </c>
      <c r="J23" s="7" t="s">
        <v>46</v>
      </c>
      <c r="K23" s="7" t="str">
        <f>CONCATENATE("221")</f>
        <v>221</v>
      </c>
      <c r="L23" s="7" t="str">
        <f>CONCATENATE("8 8.1 5e")</f>
        <v>8 8.1 5e</v>
      </c>
      <c r="M23" s="7" t="str">
        <f>CONCATENATE("01899080434")</f>
        <v>01899080434</v>
      </c>
      <c r="N23" s="7" t="s">
        <v>86</v>
      </c>
      <c r="O23" s="7" t="s">
        <v>52</v>
      </c>
      <c r="P23" s="8">
        <v>44340</v>
      </c>
      <c r="Q23" s="7" t="s">
        <v>32</v>
      </c>
      <c r="R23" s="7" t="s">
        <v>40</v>
      </c>
      <c r="S23" s="7" t="s">
        <v>34</v>
      </c>
      <c r="T23" s="7"/>
      <c r="U23" s="7" t="s">
        <v>35</v>
      </c>
      <c r="V23" s="7">
        <v>545.1</v>
      </c>
      <c r="W23" s="7">
        <v>235.05</v>
      </c>
      <c r="X23" s="7">
        <v>217.06</v>
      </c>
      <c r="Y23" s="7">
        <v>0</v>
      </c>
      <c r="Z23" s="7">
        <v>92.99</v>
      </c>
    </row>
    <row r="24" spans="1:26" x14ac:dyDescent="0.35">
      <c r="A24" s="7" t="s">
        <v>27</v>
      </c>
      <c r="B24" s="7" t="s">
        <v>43</v>
      </c>
      <c r="C24" s="7" t="s">
        <v>48</v>
      </c>
      <c r="D24" s="7" t="s">
        <v>49</v>
      </c>
      <c r="E24" s="7" t="s">
        <v>39</v>
      </c>
      <c r="F24" s="7" t="s">
        <v>58</v>
      </c>
      <c r="G24" s="7">
        <v>2020</v>
      </c>
      <c r="H24" s="7" t="str">
        <f>CONCATENATE("04780035095")</f>
        <v>04780035095</v>
      </c>
      <c r="I24" s="7" t="s">
        <v>30</v>
      </c>
      <c r="J24" s="7" t="s">
        <v>46</v>
      </c>
      <c r="K24" s="7" t="str">
        <f>CONCATENATE("221")</f>
        <v>221</v>
      </c>
      <c r="L24" s="7" t="str">
        <f>CONCATENATE("8 8.1 5e")</f>
        <v>8 8.1 5e</v>
      </c>
      <c r="M24" s="7" t="str">
        <f>CONCATENATE("PNTRST38C45F621H")</f>
        <v>PNTRST38C45F621H</v>
      </c>
      <c r="N24" s="7" t="s">
        <v>87</v>
      </c>
      <c r="O24" s="7" t="s">
        <v>52</v>
      </c>
      <c r="P24" s="8">
        <v>44340</v>
      </c>
      <c r="Q24" s="7" t="s">
        <v>32</v>
      </c>
      <c r="R24" s="7" t="s">
        <v>40</v>
      </c>
      <c r="S24" s="7" t="s">
        <v>34</v>
      </c>
      <c r="T24" s="7"/>
      <c r="U24" s="7" t="s">
        <v>35</v>
      </c>
      <c r="V24" s="7">
        <v>271.5</v>
      </c>
      <c r="W24" s="7">
        <v>117.07</v>
      </c>
      <c r="X24" s="7">
        <v>108.11</v>
      </c>
      <c r="Y24" s="7">
        <v>0</v>
      </c>
      <c r="Z24" s="7">
        <v>46.32</v>
      </c>
    </row>
    <row r="25" spans="1:26" x14ac:dyDescent="0.35">
      <c r="A25" s="7" t="s">
        <v>27</v>
      </c>
      <c r="B25" s="7" t="s">
        <v>43</v>
      </c>
      <c r="C25" s="7" t="s">
        <v>48</v>
      </c>
      <c r="D25" s="7" t="s">
        <v>78</v>
      </c>
      <c r="E25" s="7" t="s">
        <v>29</v>
      </c>
      <c r="F25" s="7" t="s">
        <v>29</v>
      </c>
      <c r="G25" s="7">
        <v>2020</v>
      </c>
      <c r="H25" s="7" t="str">
        <f>CONCATENATE("04241133935")</f>
        <v>04241133935</v>
      </c>
      <c r="I25" s="7" t="s">
        <v>30</v>
      </c>
      <c r="J25" s="7" t="s">
        <v>31</v>
      </c>
      <c r="K25" s="7" t="str">
        <f>CONCATENATE("")</f>
        <v/>
      </c>
      <c r="L25" s="7" t="str">
        <f>CONCATENATE("10 10.1 4a")</f>
        <v>10 10.1 4a</v>
      </c>
      <c r="M25" s="7" t="str">
        <f>CONCATENATE("01983810449")</f>
        <v>01983810449</v>
      </c>
      <c r="N25" s="7" t="s">
        <v>88</v>
      </c>
      <c r="O25" s="7" t="s">
        <v>69</v>
      </c>
      <c r="P25" s="8">
        <v>44336</v>
      </c>
      <c r="Q25" s="7" t="s">
        <v>32</v>
      </c>
      <c r="R25" s="7" t="s">
        <v>40</v>
      </c>
      <c r="S25" s="7" t="s">
        <v>34</v>
      </c>
      <c r="T25" s="7"/>
      <c r="U25" s="7" t="s">
        <v>35</v>
      </c>
      <c r="V25" s="9">
        <v>2949.52</v>
      </c>
      <c r="W25" s="9">
        <v>1271.83</v>
      </c>
      <c r="X25" s="9">
        <v>1174.5</v>
      </c>
      <c r="Y25" s="7">
        <v>0</v>
      </c>
      <c r="Z25" s="7">
        <v>503.19</v>
      </c>
    </row>
    <row r="26" spans="1:26" x14ac:dyDescent="0.35">
      <c r="A26" s="7" t="s">
        <v>27</v>
      </c>
      <c r="B26" s="7" t="s">
        <v>43</v>
      </c>
      <c r="C26" s="7" t="s">
        <v>48</v>
      </c>
      <c r="D26" s="7" t="s">
        <v>55</v>
      </c>
      <c r="E26" s="7" t="s">
        <v>39</v>
      </c>
      <c r="F26" s="7" t="s">
        <v>83</v>
      </c>
      <c r="G26" s="7">
        <v>2020</v>
      </c>
      <c r="H26" s="7" t="str">
        <f>CONCATENATE("04240047359")</f>
        <v>04240047359</v>
      </c>
      <c r="I26" s="7" t="s">
        <v>30</v>
      </c>
      <c r="J26" s="7" t="s">
        <v>31</v>
      </c>
      <c r="K26" s="7" t="str">
        <f>CONCATENATE("")</f>
        <v/>
      </c>
      <c r="L26" s="7" t="str">
        <f>CONCATENATE("10 10.1 4a")</f>
        <v>10 10.1 4a</v>
      </c>
      <c r="M26" s="7" t="str">
        <f>CONCATENATE("BRTMCL37D26E388F")</f>
        <v>BRTMCL37D26E388F</v>
      </c>
      <c r="N26" s="7" t="s">
        <v>89</v>
      </c>
      <c r="O26" s="7" t="s">
        <v>69</v>
      </c>
      <c r="P26" s="8">
        <v>44336</v>
      </c>
      <c r="Q26" s="7" t="s">
        <v>32</v>
      </c>
      <c r="R26" s="7" t="s">
        <v>40</v>
      </c>
      <c r="S26" s="7" t="s">
        <v>34</v>
      </c>
      <c r="T26" s="7"/>
      <c r="U26" s="7" t="s">
        <v>35</v>
      </c>
      <c r="V26" s="7">
        <v>272.10000000000002</v>
      </c>
      <c r="W26" s="7">
        <v>117.33</v>
      </c>
      <c r="X26" s="7">
        <v>108.35</v>
      </c>
      <c r="Y26" s="7">
        <v>0</v>
      </c>
      <c r="Z26" s="7">
        <v>46.42</v>
      </c>
    </row>
    <row r="27" spans="1:26" x14ac:dyDescent="0.35">
      <c r="A27" s="7" t="s">
        <v>27</v>
      </c>
      <c r="B27" s="7" t="s">
        <v>43</v>
      </c>
      <c r="C27" s="7" t="s">
        <v>48</v>
      </c>
      <c r="D27" s="7" t="s">
        <v>49</v>
      </c>
      <c r="E27" s="7" t="s">
        <v>39</v>
      </c>
      <c r="F27" s="7" t="s">
        <v>58</v>
      </c>
      <c r="G27" s="7">
        <v>2020</v>
      </c>
      <c r="H27" s="7" t="str">
        <f>CONCATENATE("04780030674")</f>
        <v>04780030674</v>
      </c>
      <c r="I27" s="7" t="s">
        <v>30</v>
      </c>
      <c r="J27" s="7" t="s">
        <v>46</v>
      </c>
      <c r="K27" s="7" t="str">
        <f>CONCATENATE("221")</f>
        <v>221</v>
      </c>
      <c r="L27" s="7" t="str">
        <f>CONCATENATE("8 8.1 5e")</f>
        <v>8 8.1 5e</v>
      </c>
      <c r="M27" s="7" t="str">
        <f>CONCATENATE("MSSGMR41E04H323K")</f>
        <v>MSSGMR41E04H323K</v>
      </c>
      <c r="N27" s="7" t="s">
        <v>90</v>
      </c>
      <c r="O27" s="7" t="s">
        <v>91</v>
      </c>
      <c r="P27" s="8">
        <v>44340</v>
      </c>
      <c r="Q27" s="7" t="s">
        <v>32</v>
      </c>
      <c r="R27" s="7" t="s">
        <v>40</v>
      </c>
      <c r="S27" s="7" t="s">
        <v>34</v>
      </c>
      <c r="T27" s="7"/>
      <c r="U27" s="7" t="s">
        <v>35</v>
      </c>
      <c r="V27" s="7">
        <v>224.44</v>
      </c>
      <c r="W27" s="7">
        <v>96.78</v>
      </c>
      <c r="X27" s="7">
        <v>89.37</v>
      </c>
      <c r="Y27" s="7">
        <v>0</v>
      </c>
      <c r="Z27" s="7">
        <v>38.29</v>
      </c>
    </row>
    <row r="28" spans="1:26" x14ac:dyDescent="0.35">
      <c r="A28" s="7" t="s">
        <v>27</v>
      </c>
      <c r="B28" s="7" t="s">
        <v>43</v>
      </c>
      <c r="C28" s="7" t="s">
        <v>48</v>
      </c>
      <c r="D28" s="7" t="s">
        <v>49</v>
      </c>
      <c r="E28" s="7" t="s">
        <v>41</v>
      </c>
      <c r="F28" s="7" t="s">
        <v>92</v>
      </c>
      <c r="G28" s="7">
        <v>2020</v>
      </c>
      <c r="H28" s="7" t="str">
        <f>CONCATENATE("04780018356")</f>
        <v>04780018356</v>
      </c>
      <c r="I28" s="7" t="s">
        <v>30</v>
      </c>
      <c r="J28" s="7" t="s">
        <v>46</v>
      </c>
      <c r="K28" s="7" t="str">
        <f>CONCATENATE("221")</f>
        <v>221</v>
      </c>
      <c r="L28" s="7" t="str">
        <f>CONCATENATE("8 8.1 5e")</f>
        <v>8 8.1 5e</v>
      </c>
      <c r="M28" s="7" t="str">
        <f>CONCATENATE("MRLRNZ59T20L366X")</f>
        <v>MRLRNZ59T20L366X</v>
      </c>
      <c r="N28" s="7" t="s">
        <v>93</v>
      </c>
      <c r="O28" s="7" t="s">
        <v>91</v>
      </c>
      <c r="P28" s="8">
        <v>44340</v>
      </c>
      <c r="Q28" s="7" t="s">
        <v>32</v>
      </c>
      <c r="R28" s="7" t="s">
        <v>40</v>
      </c>
      <c r="S28" s="7" t="s">
        <v>34</v>
      </c>
      <c r="T28" s="7"/>
      <c r="U28" s="7" t="s">
        <v>35</v>
      </c>
      <c r="V28" s="7">
        <v>481.46</v>
      </c>
      <c r="W28" s="7">
        <v>207.61</v>
      </c>
      <c r="X28" s="7">
        <v>191.72</v>
      </c>
      <c r="Y28" s="7">
        <v>0</v>
      </c>
      <c r="Z28" s="7">
        <v>82.13</v>
      </c>
    </row>
    <row r="29" spans="1:26" x14ac:dyDescent="0.35">
      <c r="A29" s="7" t="s">
        <v>27</v>
      </c>
      <c r="B29" s="7" t="s">
        <v>43</v>
      </c>
      <c r="C29" s="7" t="s">
        <v>48</v>
      </c>
      <c r="D29" s="7" t="s">
        <v>49</v>
      </c>
      <c r="E29" s="7" t="s">
        <v>42</v>
      </c>
      <c r="F29" s="7" t="s">
        <v>60</v>
      </c>
      <c r="G29" s="7">
        <v>2020</v>
      </c>
      <c r="H29" s="7" t="str">
        <f>CONCATENATE("04780022598")</f>
        <v>04780022598</v>
      </c>
      <c r="I29" s="7" t="s">
        <v>30</v>
      </c>
      <c r="J29" s="7" t="s">
        <v>46</v>
      </c>
      <c r="K29" s="7" t="str">
        <f>CONCATENATE("221")</f>
        <v>221</v>
      </c>
      <c r="L29" s="7" t="str">
        <f>CONCATENATE("8 8.1 5e")</f>
        <v>8 8.1 5e</v>
      </c>
      <c r="M29" s="7" t="str">
        <f>CONCATENATE("MRNREU59P15G516T")</f>
        <v>MRNREU59P15G516T</v>
      </c>
      <c r="N29" s="7" t="s">
        <v>94</v>
      </c>
      <c r="O29" s="7" t="s">
        <v>91</v>
      </c>
      <c r="P29" s="8">
        <v>44340</v>
      </c>
      <c r="Q29" s="7" t="s">
        <v>32</v>
      </c>
      <c r="R29" s="7" t="s">
        <v>40</v>
      </c>
      <c r="S29" s="7" t="s">
        <v>34</v>
      </c>
      <c r="T29" s="7"/>
      <c r="U29" s="7" t="s">
        <v>35</v>
      </c>
      <c r="V29" s="7">
        <v>86.88</v>
      </c>
      <c r="W29" s="7">
        <v>37.46</v>
      </c>
      <c r="X29" s="7">
        <v>34.6</v>
      </c>
      <c r="Y29" s="7">
        <v>0</v>
      </c>
      <c r="Z29" s="7">
        <v>14.82</v>
      </c>
    </row>
    <row r="30" spans="1:26" x14ac:dyDescent="0.35">
      <c r="A30" s="7" t="s">
        <v>27</v>
      </c>
      <c r="B30" s="7" t="s">
        <v>43</v>
      </c>
      <c r="C30" s="7" t="s">
        <v>48</v>
      </c>
      <c r="D30" s="7" t="s">
        <v>49</v>
      </c>
      <c r="E30" s="7" t="s">
        <v>45</v>
      </c>
      <c r="F30" s="7" t="s">
        <v>85</v>
      </c>
      <c r="G30" s="7">
        <v>2020</v>
      </c>
      <c r="H30" s="7" t="str">
        <f>CONCATENATE("04780007003")</f>
        <v>04780007003</v>
      </c>
      <c r="I30" s="7" t="s">
        <v>30</v>
      </c>
      <c r="J30" s="7" t="s">
        <v>46</v>
      </c>
      <c r="K30" s="7" t="str">
        <f>CONCATENATE("221")</f>
        <v>221</v>
      </c>
      <c r="L30" s="7" t="str">
        <f>CONCATENATE("8 8.1 5e")</f>
        <v>8 8.1 5e</v>
      </c>
      <c r="M30" s="7" t="str">
        <f>CONCATENATE("01704820438")</f>
        <v>01704820438</v>
      </c>
      <c r="N30" s="7" t="s">
        <v>95</v>
      </c>
      <c r="O30" s="7" t="s">
        <v>91</v>
      </c>
      <c r="P30" s="8">
        <v>44340</v>
      </c>
      <c r="Q30" s="7" t="s">
        <v>32</v>
      </c>
      <c r="R30" s="7" t="s">
        <v>40</v>
      </c>
      <c r="S30" s="7" t="s">
        <v>34</v>
      </c>
      <c r="T30" s="7"/>
      <c r="U30" s="7" t="s">
        <v>35</v>
      </c>
      <c r="V30" s="9">
        <v>1798.4</v>
      </c>
      <c r="W30" s="7">
        <v>775.47</v>
      </c>
      <c r="X30" s="7">
        <v>716.12</v>
      </c>
      <c r="Y30" s="7">
        <v>0</v>
      </c>
      <c r="Z30" s="7">
        <v>306.81</v>
      </c>
    </row>
    <row r="31" spans="1:26" x14ac:dyDescent="0.35">
      <c r="A31" s="7" t="s">
        <v>27</v>
      </c>
      <c r="B31" s="7" t="s">
        <v>43</v>
      </c>
      <c r="C31" s="7" t="s">
        <v>48</v>
      </c>
      <c r="D31" s="7" t="s">
        <v>49</v>
      </c>
      <c r="E31" s="7" t="s">
        <v>39</v>
      </c>
      <c r="F31" s="7" t="s">
        <v>96</v>
      </c>
      <c r="G31" s="7">
        <v>2020</v>
      </c>
      <c r="H31" s="7" t="str">
        <f>CONCATENATE("04780043636")</f>
        <v>04780043636</v>
      </c>
      <c r="I31" s="7" t="s">
        <v>30</v>
      </c>
      <c r="J31" s="7" t="s">
        <v>46</v>
      </c>
      <c r="K31" s="7" t="str">
        <f>CONCATENATE("221")</f>
        <v>221</v>
      </c>
      <c r="L31" s="7" t="str">
        <f>CONCATENATE("8 8.1 5e")</f>
        <v>8 8.1 5e</v>
      </c>
      <c r="M31" s="7" t="str">
        <f>CONCATENATE("01767750431")</f>
        <v>01767750431</v>
      </c>
      <c r="N31" s="7" t="s">
        <v>97</v>
      </c>
      <c r="O31" s="7" t="s">
        <v>91</v>
      </c>
      <c r="P31" s="8">
        <v>44340</v>
      </c>
      <c r="Q31" s="7" t="s">
        <v>32</v>
      </c>
      <c r="R31" s="7" t="s">
        <v>40</v>
      </c>
      <c r="S31" s="7" t="s">
        <v>34</v>
      </c>
      <c r="T31" s="7"/>
      <c r="U31" s="7" t="s">
        <v>35</v>
      </c>
      <c r="V31" s="7">
        <v>796.5</v>
      </c>
      <c r="W31" s="7">
        <v>343.45</v>
      </c>
      <c r="X31" s="7">
        <v>317.17</v>
      </c>
      <c r="Y31" s="7">
        <v>0</v>
      </c>
      <c r="Z31" s="7">
        <v>135.88</v>
      </c>
    </row>
    <row r="32" spans="1:26" x14ac:dyDescent="0.35">
      <c r="A32" s="7" t="s">
        <v>27</v>
      </c>
      <c r="B32" s="7" t="s">
        <v>43</v>
      </c>
      <c r="C32" s="7" t="s">
        <v>48</v>
      </c>
      <c r="D32" s="7" t="s">
        <v>49</v>
      </c>
      <c r="E32" s="7" t="s">
        <v>41</v>
      </c>
      <c r="F32" s="7" t="s">
        <v>92</v>
      </c>
      <c r="G32" s="7">
        <v>2020</v>
      </c>
      <c r="H32" s="7" t="str">
        <f>CONCATENATE("04780017515")</f>
        <v>04780017515</v>
      </c>
      <c r="I32" s="7" t="s">
        <v>30</v>
      </c>
      <c r="J32" s="7" t="s">
        <v>46</v>
      </c>
      <c r="K32" s="7" t="str">
        <f>CONCATENATE("221")</f>
        <v>221</v>
      </c>
      <c r="L32" s="7" t="str">
        <f>CONCATENATE("8 8.1 5e")</f>
        <v>8 8.1 5e</v>
      </c>
      <c r="M32" s="7" t="str">
        <f>CONCATENATE("STRPLA72M31B474U")</f>
        <v>STRPLA72M31B474U</v>
      </c>
      <c r="N32" s="7" t="s">
        <v>98</v>
      </c>
      <c r="O32" s="7" t="s">
        <v>91</v>
      </c>
      <c r="P32" s="8">
        <v>44340</v>
      </c>
      <c r="Q32" s="7" t="s">
        <v>32</v>
      </c>
      <c r="R32" s="7" t="s">
        <v>40</v>
      </c>
      <c r="S32" s="7" t="s">
        <v>34</v>
      </c>
      <c r="T32" s="7"/>
      <c r="U32" s="7" t="s">
        <v>35</v>
      </c>
      <c r="V32" s="7">
        <v>625.5</v>
      </c>
      <c r="W32" s="7">
        <v>269.72000000000003</v>
      </c>
      <c r="X32" s="7">
        <v>249.07</v>
      </c>
      <c r="Y32" s="7">
        <v>0</v>
      </c>
      <c r="Z32" s="7">
        <v>106.71</v>
      </c>
    </row>
    <row r="33" spans="1:26" x14ac:dyDescent="0.35">
      <c r="A33" s="7" t="s">
        <v>27</v>
      </c>
      <c r="B33" s="7" t="s">
        <v>43</v>
      </c>
      <c r="C33" s="7" t="s">
        <v>48</v>
      </c>
      <c r="D33" s="7" t="s">
        <v>49</v>
      </c>
      <c r="E33" s="7" t="s">
        <v>39</v>
      </c>
      <c r="F33" s="7" t="s">
        <v>53</v>
      </c>
      <c r="G33" s="7">
        <v>2020</v>
      </c>
      <c r="H33" s="7" t="str">
        <f>CONCATENATE("04780039873")</f>
        <v>04780039873</v>
      </c>
      <c r="I33" s="7" t="s">
        <v>30</v>
      </c>
      <c r="J33" s="7" t="s">
        <v>46</v>
      </c>
      <c r="K33" s="7" t="str">
        <f>CONCATENATE("221")</f>
        <v>221</v>
      </c>
      <c r="L33" s="7" t="str">
        <f>CONCATENATE("8 8.1 5e")</f>
        <v>8 8.1 5e</v>
      </c>
      <c r="M33" s="7" t="str">
        <f>CONCATENATE("MRLNGL88C67H501X")</f>
        <v>MRLNGL88C67H501X</v>
      </c>
      <c r="N33" s="7" t="s">
        <v>99</v>
      </c>
      <c r="O33" s="7" t="s">
        <v>91</v>
      </c>
      <c r="P33" s="8">
        <v>44340</v>
      </c>
      <c r="Q33" s="7" t="s">
        <v>32</v>
      </c>
      <c r="R33" s="7" t="s">
        <v>40</v>
      </c>
      <c r="S33" s="7" t="s">
        <v>34</v>
      </c>
      <c r="T33" s="7"/>
      <c r="U33" s="7" t="s">
        <v>35</v>
      </c>
      <c r="V33" s="7">
        <v>90.5</v>
      </c>
      <c r="W33" s="7">
        <v>39.020000000000003</v>
      </c>
      <c r="X33" s="7">
        <v>36.04</v>
      </c>
      <c r="Y33" s="7">
        <v>0</v>
      </c>
      <c r="Z33" s="7">
        <v>15.44</v>
      </c>
    </row>
    <row r="34" spans="1:26" x14ac:dyDescent="0.35">
      <c r="A34" s="7" t="s">
        <v>27</v>
      </c>
      <c r="B34" s="7" t="s">
        <v>43</v>
      </c>
      <c r="C34" s="7" t="s">
        <v>48</v>
      </c>
      <c r="D34" s="7" t="s">
        <v>55</v>
      </c>
      <c r="E34" s="7" t="s">
        <v>42</v>
      </c>
      <c r="F34" s="7" t="s">
        <v>100</v>
      </c>
      <c r="G34" s="7">
        <v>2013</v>
      </c>
      <c r="H34" s="7" t="str">
        <f>CONCATENATE("34730011482")</f>
        <v>34730011482</v>
      </c>
      <c r="I34" s="7" t="s">
        <v>30</v>
      </c>
      <c r="J34" s="7" t="s">
        <v>46</v>
      </c>
      <c r="K34" s="7" t="str">
        <f>CONCATENATE("221")</f>
        <v>221</v>
      </c>
      <c r="L34" s="7" t="str">
        <f>CONCATENATE("8 8.1 5e")</f>
        <v>8 8.1 5e</v>
      </c>
      <c r="M34" s="7" t="str">
        <f>CONCATENATE("DVTCLD59C08D965K")</f>
        <v>DVTCLD59C08D965K</v>
      </c>
      <c r="N34" s="7" t="s">
        <v>101</v>
      </c>
      <c r="O34" s="7" t="s">
        <v>102</v>
      </c>
      <c r="P34" s="8">
        <v>44340</v>
      </c>
      <c r="Q34" s="7" t="s">
        <v>32</v>
      </c>
      <c r="R34" s="7" t="s">
        <v>40</v>
      </c>
      <c r="S34" s="7" t="s">
        <v>34</v>
      </c>
      <c r="T34" s="7"/>
      <c r="U34" s="7" t="s">
        <v>35</v>
      </c>
      <c r="V34" s="7">
        <v>110.47</v>
      </c>
      <c r="W34" s="7">
        <v>47.63</v>
      </c>
      <c r="X34" s="7">
        <v>43.99</v>
      </c>
      <c r="Y34" s="7">
        <v>0</v>
      </c>
      <c r="Z34" s="7">
        <v>18.850000000000001</v>
      </c>
    </row>
    <row r="35" spans="1:26" x14ac:dyDescent="0.35">
      <c r="A35" s="7" t="s">
        <v>27</v>
      </c>
      <c r="B35" s="7" t="s">
        <v>43</v>
      </c>
      <c r="C35" s="7" t="s">
        <v>48</v>
      </c>
      <c r="D35" s="7" t="s">
        <v>55</v>
      </c>
      <c r="E35" s="7" t="s">
        <v>103</v>
      </c>
      <c r="F35" s="7" t="s">
        <v>104</v>
      </c>
      <c r="G35" s="7">
        <v>2013</v>
      </c>
      <c r="H35" s="7" t="str">
        <f>CONCATENATE("34730017190")</f>
        <v>34730017190</v>
      </c>
      <c r="I35" s="7" t="s">
        <v>37</v>
      </c>
      <c r="J35" s="7" t="s">
        <v>46</v>
      </c>
      <c r="K35" s="7" t="str">
        <f>CONCATENATE("221")</f>
        <v>221</v>
      </c>
      <c r="L35" s="7" t="str">
        <f>CONCATENATE("8 8.1 5e")</f>
        <v>8 8.1 5e</v>
      </c>
      <c r="M35" s="7" t="str">
        <f>CONCATENATE("MLLPLC61M17G771G")</f>
        <v>MLLPLC61M17G771G</v>
      </c>
      <c r="N35" s="7" t="s">
        <v>105</v>
      </c>
      <c r="O35" s="7" t="s">
        <v>102</v>
      </c>
      <c r="P35" s="8">
        <v>44340</v>
      </c>
      <c r="Q35" s="7" t="s">
        <v>32</v>
      </c>
      <c r="R35" s="7" t="s">
        <v>40</v>
      </c>
      <c r="S35" s="7" t="s">
        <v>34</v>
      </c>
      <c r="T35" s="7"/>
      <c r="U35" s="7" t="s">
        <v>35</v>
      </c>
      <c r="V35" s="7">
        <v>82.39</v>
      </c>
      <c r="W35" s="7">
        <v>35.53</v>
      </c>
      <c r="X35" s="7">
        <v>32.81</v>
      </c>
      <c r="Y35" s="7">
        <v>0</v>
      </c>
      <c r="Z35" s="7">
        <v>14.05</v>
      </c>
    </row>
    <row r="36" spans="1:26" x14ac:dyDescent="0.35">
      <c r="A36" s="7" t="s">
        <v>27</v>
      </c>
      <c r="B36" s="7" t="s">
        <v>43</v>
      </c>
      <c r="C36" s="7" t="s">
        <v>48</v>
      </c>
      <c r="D36" s="7" t="s">
        <v>55</v>
      </c>
      <c r="E36" s="7" t="s">
        <v>42</v>
      </c>
      <c r="F36" s="7" t="s">
        <v>100</v>
      </c>
      <c r="G36" s="7">
        <v>2013</v>
      </c>
      <c r="H36" s="7" t="str">
        <f>CONCATENATE("34730022877")</f>
        <v>34730022877</v>
      </c>
      <c r="I36" s="7" t="s">
        <v>30</v>
      </c>
      <c r="J36" s="7" t="s">
        <v>46</v>
      </c>
      <c r="K36" s="7" t="str">
        <f>CONCATENATE("221")</f>
        <v>221</v>
      </c>
      <c r="L36" s="7" t="str">
        <f>CONCATENATE("8 8.1 5e")</f>
        <v>8 8.1 5e</v>
      </c>
      <c r="M36" s="7" t="str">
        <f>CONCATENATE("CSRPLA84P44E388X")</f>
        <v>CSRPLA84P44E388X</v>
      </c>
      <c r="N36" s="7" t="s">
        <v>106</v>
      </c>
      <c r="O36" s="7" t="s">
        <v>102</v>
      </c>
      <c r="P36" s="8">
        <v>44340</v>
      </c>
      <c r="Q36" s="7" t="s">
        <v>32</v>
      </c>
      <c r="R36" s="7" t="s">
        <v>40</v>
      </c>
      <c r="S36" s="7" t="s">
        <v>34</v>
      </c>
      <c r="T36" s="7"/>
      <c r="U36" s="7" t="s">
        <v>35</v>
      </c>
      <c r="V36" s="7">
        <v>480</v>
      </c>
      <c r="W36" s="7">
        <v>206.98</v>
      </c>
      <c r="X36" s="7">
        <v>191.14</v>
      </c>
      <c r="Y36" s="7">
        <v>0</v>
      </c>
      <c r="Z36" s="7">
        <v>81.88</v>
      </c>
    </row>
    <row r="37" spans="1:26" x14ac:dyDescent="0.35">
      <c r="A37" s="7" t="s">
        <v>27</v>
      </c>
      <c r="B37" s="7" t="s">
        <v>43</v>
      </c>
      <c r="C37" s="7" t="s">
        <v>48</v>
      </c>
      <c r="D37" s="7" t="s">
        <v>55</v>
      </c>
      <c r="E37" s="7" t="s">
        <v>36</v>
      </c>
      <c r="F37" s="7" t="s">
        <v>107</v>
      </c>
      <c r="G37" s="7">
        <v>2013</v>
      </c>
      <c r="H37" s="7" t="str">
        <f>CONCATENATE("34730105995")</f>
        <v>34730105995</v>
      </c>
      <c r="I37" s="7" t="s">
        <v>37</v>
      </c>
      <c r="J37" s="7" t="s">
        <v>46</v>
      </c>
      <c r="K37" s="7" t="str">
        <f>CONCATENATE("221")</f>
        <v>221</v>
      </c>
      <c r="L37" s="7" t="str">
        <f>CONCATENATE("8 8.1 5e")</f>
        <v>8 8.1 5e</v>
      </c>
      <c r="M37" s="7" t="str">
        <f>CONCATENATE("CNCMLS61B60A366E")</f>
        <v>CNCMLS61B60A366E</v>
      </c>
      <c r="N37" s="7" t="s">
        <v>108</v>
      </c>
      <c r="O37" s="7" t="s">
        <v>102</v>
      </c>
      <c r="P37" s="8">
        <v>44340</v>
      </c>
      <c r="Q37" s="7" t="s">
        <v>32</v>
      </c>
      <c r="R37" s="7" t="s">
        <v>40</v>
      </c>
      <c r="S37" s="7" t="s">
        <v>34</v>
      </c>
      <c r="T37" s="7"/>
      <c r="U37" s="7" t="s">
        <v>35</v>
      </c>
      <c r="V37" s="7">
        <v>577.21</v>
      </c>
      <c r="W37" s="7">
        <v>248.89</v>
      </c>
      <c r="X37" s="7">
        <v>229.85</v>
      </c>
      <c r="Y37" s="7">
        <v>0</v>
      </c>
      <c r="Z37" s="7">
        <v>98.47</v>
      </c>
    </row>
    <row r="38" spans="1:26" x14ac:dyDescent="0.35">
      <c r="A38" s="7" t="s">
        <v>27</v>
      </c>
      <c r="B38" s="7" t="s">
        <v>28</v>
      </c>
      <c r="C38" s="7" t="s">
        <v>48</v>
      </c>
      <c r="D38" s="7" t="s">
        <v>55</v>
      </c>
      <c r="E38" s="7" t="s">
        <v>29</v>
      </c>
      <c r="F38" s="7" t="s">
        <v>29</v>
      </c>
      <c r="G38" s="7">
        <v>2017</v>
      </c>
      <c r="H38" s="7" t="str">
        <f>CONCATENATE("04270233275")</f>
        <v>04270233275</v>
      </c>
      <c r="I38" s="7" t="s">
        <v>30</v>
      </c>
      <c r="J38" s="7" t="s">
        <v>31</v>
      </c>
      <c r="K38" s="7" t="str">
        <f>CONCATENATE("")</f>
        <v/>
      </c>
      <c r="L38" s="7" t="str">
        <f>CONCATENATE("6 6.1 2b")</f>
        <v>6 6.1 2b</v>
      </c>
      <c r="M38" s="7" t="str">
        <f>CONCATENATE("KRSSFN78C42Z133T")</f>
        <v>KRSSFN78C42Z133T</v>
      </c>
      <c r="N38" s="7" t="s">
        <v>56</v>
      </c>
      <c r="O38" s="7" t="s">
        <v>109</v>
      </c>
      <c r="P38" s="8">
        <v>44340</v>
      </c>
      <c r="Q38" s="7" t="s">
        <v>32</v>
      </c>
      <c r="R38" s="7" t="s">
        <v>40</v>
      </c>
      <c r="S38" s="7" t="s">
        <v>34</v>
      </c>
      <c r="T38" s="7"/>
      <c r="U38" s="7" t="s">
        <v>35</v>
      </c>
      <c r="V38" s="9">
        <v>20370</v>
      </c>
      <c r="W38" s="9">
        <v>8783.5400000000009</v>
      </c>
      <c r="X38" s="9">
        <v>8111.33</v>
      </c>
      <c r="Y38" s="7">
        <v>0</v>
      </c>
      <c r="Z38" s="9">
        <v>3475.13</v>
      </c>
    </row>
    <row r="39" spans="1:26" x14ac:dyDescent="0.35">
      <c r="A39" s="7" t="s">
        <v>27</v>
      </c>
      <c r="B39" s="7" t="s">
        <v>28</v>
      </c>
      <c r="C39" s="7" t="s">
        <v>48</v>
      </c>
      <c r="D39" s="7" t="s">
        <v>55</v>
      </c>
      <c r="E39" s="7" t="s">
        <v>29</v>
      </c>
      <c r="F39" s="7" t="s">
        <v>29</v>
      </c>
      <c r="G39" s="7">
        <v>2017</v>
      </c>
      <c r="H39" s="7" t="str">
        <f>CONCATENATE("04270233259")</f>
        <v>04270233259</v>
      </c>
      <c r="I39" s="7" t="s">
        <v>30</v>
      </c>
      <c r="J39" s="7" t="s">
        <v>31</v>
      </c>
      <c r="K39" s="7" t="str">
        <f>CONCATENATE("")</f>
        <v/>
      </c>
      <c r="L39" s="7" t="str">
        <f>CONCATENATE("6 6.1 2b")</f>
        <v>6 6.1 2b</v>
      </c>
      <c r="M39" s="7" t="str">
        <f>CONCATENATE("PRSCRS92T30D451O")</f>
        <v>PRSCRS92T30D451O</v>
      </c>
      <c r="N39" s="7" t="s">
        <v>110</v>
      </c>
      <c r="O39" s="7" t="s">
        <v>109</v>
      </c>
      <c r="P39" s="8">
        <v>44340</v>
      </c>
      <c r="Q39" s="7" t="s">
        <v>32</v>
      </c>
      <c r="R39" s="7" t="s">
        <v>40</v>
      </c>
      <c r="S39" s="7" t="s">
        <v>34</v>
      </c>
      <c r="T39" s="7"/>
      <c r="U39" s="7" t="s">
        <v>35</v>
      </c>
      <c r="V39" s="9">
        <v>21000</v>
      </c>
      <c r="W39" s="9">
        <v>9055.2000000000007</v>
      </c>
      <c r="X39" s="9">
        <v>8362.2000000000007</v>
      </c>
      <c r="Y39" s="7">
        <v>0</v>
      </c>
      <c r="Z39" s="9">
        <v>3582.6</v>
      </c>
    </row>
    <row r="40" spans="1:26" x14ac:dyDescent="0.35">
      <c r="A40" s="7" t="s">
        <v>27</v>
      </c>
      <c r="B40" s="7" t="s">
        <v>43</v>
      </c>
      <c r="C40" s="7" t="s">
        <v>48</v>
      </c>
      <c r="D40" s="7" t="s">
        <v>49</v>
      </c>
      <c r="E40" s="7" t="s">
        <v>39</v>
      </c>
      <c r="F40" s="7" t="s">
        <v>53</v>
      </c>
      <c r="G40" s="7">
        <v>2020</v>
      </c>
      <c r="H40" s="7" t="str">
        <f>CONCATENATE("04780044196")</f>
        <v>04780044196</v>
      </c>
      <c r="I40" s="7" t="s">
        <v>30</v>
      </c>
      <c r="J40" s="7" t="s">
        <v>46</v>
      </c>
      <c r="K40" s="7" t="str">
        <f>CONCATENATE("221")</f>
        <v>221</v>
      </c>
      <c r="L40" s="7" t="str">
        <f>CONCATENATE("8 8.1 5e")</f>
        <v>8 8.1 5e</v>
      </c>
      <c r="M40" s="7" t="str">
        <f>CONCATENATE("01909520437")</f>
        <v>01909520437</v>
      </c>
      <c r="N40" s="7" t="s">
        <v>111</v>
      </c>
      <c r="O40" s="7" t="s">
        <v>52</v>
      </c>
      <c r="P40" s="8">
        <v>44340</v>
      </c>
      <c r="Q40" s="7" t="s">
        <v>32</v>
      </c>
      <c r="R40" s="7" t="s">
        <v>40</v>
      </c>
      <c r="S40" s="7" t="s">
        <v>34</v>
      </c>
      <c r="T40" s="7"/>
      <c r="U40" s="7" t="s">
        <v>35</v>
      </c>
      <c r="V40" s="7">
        <v>174.8</v>
      </c>
      <c r="W40" s="7">
        <v>75.37</v>
      </c>
      <c r="X40" s="7">
        <v>69.61</v>
      </c>
      <c r="Y40" s="7">
        <v>0</v>
      </c>
      <c r="Z40" s="7">
        <v>29.82</v>
      </c>
    </row>
    <row r="41" spans="1:26" x14ac:dyDescent="0.35">
      <c r="A41" s="7" t="s">
        <v>27</v>
      </c>
      <c r="B41" s="7" t="s">
        <v>43</v>
      </c>
      <c r="C41" s="7" t="s">
        <v>48</v>
      </c>
      <c r="D41" s="7" t="s">
        <v>49</v>
      </c>
      <c r="E41" s="7" t="s">
        <v>39</v>
      </c>
      <c r="F41" s="7" t="s">
        <v>66</v>
      </c>
      <c r="G41" s="7">
        <v>2020</v>
      </c>
      <c r="H41" s="7" t="str">
        <f>CONCATENATE("04780034908")</f>
        <v>04780034908</v>
      </c>
      <c r="I41" s="7" t="s">
        <v>30</v>
      </c>
      <c r="J41" s="7" t="s">
        <v>46</v>
      </c>
      <c r="K41" s="7" t="str">
        <f>CONCATENATE("221")</f>
        <v>221</v>
      </c>
      <c r="L41" s="7" t="str">
        <f>CONCATENATE("8 8.1 5e")</f>
        <v>8 8.1 5e</v>
      </c>
      <c r="M41" s="7" t="str">
        <f>CONCATENATE("01766390437")</f>
        <v>01766390437</v>
      </c>
      <c r="N41" s="7" t="s">
        <v>112</v>
      </c>
      <c r="O41" s="7" t="s">
        <v>52</v>
      </c>
      <c r="P41" s="8">
        <v>44340</v>
      </c>
      <c r="Q41" s="7" t="s">
        <v>32</v>
      </c>
      <c r="R41" s="7" t="s">
        <v>40</v>
      </c>
      <c r="S41" s="7" t="s">
        <v>34</v>
      </c>
      <c r="T41" s="7"/>
      <c r="U41" s="7" t="s">
        <v>35</v>
      </c>
      <c r="V41" s="7">
        <v>352</v>
      </c>
      <c r="W41" s="7">
        <v>151.78</v>
      </c>
      <c r="X41" s="7">
        <v>140.16999999999999</v>
      </c>
      <c r="Y41" s="7">
        <v>0</v>
      </c>
      <c r="Z41" s="7">
        <v>60.05</v>
      </c>
    </row>
    <row r="42" spans="1:26" x14ac:dyDescent="0.35">
      <c r="A42" s="7" t="s">
        <v>27</v>
      </c>
      <c r="B42" s="7" t="s">
        <v>43</v>
      </c>
      <c r="C42" s="7" t="s">
        <v>48</v>
      </c>
      <c r="D42" s="7" t="s">
        <v>49</v>
      </c>
      <c r="E42" s="7" t="s">
        <v>39</v>
      </c>
      <c r="F42" s="7" t="s">
        <v>96</v>
      </c>
      <c r="G42" s="7">
        <v>2020</v>
      </c>
      <c r="H42" s="7" t="str">
        <f>CONCATENATE("04780043560")</f>
        <v>04780043560</v>
      </c>
      <c r="I42" s="7" t="s">
        <v>30</v>
      </c>
      <c r="J42" s="7" t="s">
        <v>46</v>
      </c>
      <c r="K42" s="7" t="str">
        <f>CONCATENATE("221")</f>
        <v>221</v>
      </c>
      <c r="L42" s="7" t="str">
        <f>CONCATENATE("8 8.1 5e")</f>
        <v>8 8.1 5e</v>
      </c>
      <c r="M42" s="7" t="str">
        <f>CONCATENATE("PNZTRS46L61F839B")</f>
        <v>PNZTRS46L61F839B</v>
      </c>
      <c r="N42" s="7" t="s">
        <v>113</v>
      </c>
      <c r="O42" s="7" t="s">
        <v>52</v>
      </c>
      <c r="P42" s="8">
        <v>44340</v>
      </c>
      <c r="Q42" s="7" t="s">
        <v>32</v>
      </c>
      <c r="R42" s="7" t="s">
        <v>40</v>
      </c>
      <c r="S42" s="7" t="s">
        <v>34</v>
      </c>
      <c r="T42" s="7"/>
      <c r="U42" s="7" t="s">
        <v>35</v>
      </c>
      <c r="V42" s="7">
        <v>900</v>
      </c>
      <c r="W42" s="7">
        <v>388.08</v>
      </c>
      <c r="X42" s="7">
        <v>358.38</v>
      </c>
      <c r="Y42" s="7">
        <v>0</v>
      </c>
      <c r="Z42" s="7">
        <v>153.54</v>
      </c>
    </row>
    <row r="43" spans="1:26" ht="17.5" x14ac:dyDescent="0.35">
      <c r="A43" s="7" t="s">
        <v>27</v>
      </c>
      <c r="B43" s="7" t="s">
        <v>43</v>
      </c>
      <c r="C43" s="7" t="s">
        <v>48</v>
      </c>
      <c r="D43" s="7" t="s">
        <v>49</v>
      </c>
      <c r="E43" s="7" t="s">
        <v>45</v>
      </c>
      <c r="F43" s="7" t="s">
        <v>114</v>
      </c>
      <c r="G43" s="7">
        <v>2020</v>
      </c>
      <c r="H43" s="7" t="str">
        <f>CONCATENATE("04780017002")</f>
        <v>04780017002</v>
      </c>
      <c r="I43" s="7" t="s">
        <v>30</v>
      </c>
      <c r="J43" s="7" t="s">
        <v>46</v>
      </c>
      <c r="K43" s="7" t="str">
        <f>CONCATENATE("221")</f>
        <v>221</v>
      </c>
      <c r="L43" s="7" t="str">
        <f>CONCATENATE("8 8.1 5e")</f>
        <v>8 8.1 5e</v>
      </c>
      <c r="M43" s="7" t="str">
        <f>CONCATENATE("01961480439")</f>
        <v>01961480439</v>
      </c>
      <c r="N43" s="7" t="s">
        <v>115</v>
      </c>
      <c r="O43" s="7" t="s">
        <v>52</v>
      </c>
      <c r="P43" s="8">
        <v>44340</v>
      </c>
      <c r="Q43" s="7" t="s">
        <v>32</v>
      </c>
      <c r="R43" s="7" t="s">
        <v>40</v>
      </c>
      <c r="S43" s="7" t="s">
        <v>34</v>
      </c>
      <c r="T43" s="7"/>
      <c r="U43" s="7" t="s">
        <v>35</v>
      </c>
      <c r="V43" s="7">
        <v>104.98</v>
      </c>
      <c r="W43" s="7">
        <v>45.27</v>
      </c>
      <c r="X43" s="7">
        <v>41.8</v>
      </c>
      <c r="Y43" s="7">
        <v>0</v>
      </c>
      <c r="Z43" s="7">
        <v>17.91</v>
      </c>
    </row>
    <row r="44" spans="1:26" x14ac:dyDescent="0.35">
      <c r="A44" s="7" t="s">
        <v>27</v>
      </c>
      <c r="B44" s="7" t="s">
        <v>43</v>
      </c>
      <c r="C44" s="7" t="s">
        <v>48</v>
      </c>
      <c r="D44" s="7" t="s">
        <v>78</v>
      </c>
      <c r="E44" s="7" t="s">
        <v>39</v>
      </c>
      <c r="F44" s="7" t="s">
        <v>116</v>
      </c>
      <c r="G44" s="7">
        <v>2020</v>
      </c>
      <c r="H44" s="7" t="str">
        <f>CONCATENATE("04240987851")</f>
        <v>04240987851</v>
      </c>
      <c r="I44" s="7" t="s">
        <v>30</v>
      </c>
      <c r="J44" s="7" t="s">
        <v>31</v>
      </c>
      <c r="K44" s="7" t="str">
        <f>CONCATENATE("")</f>
        <v/>
      </c>
      <c r="L44" s="7" t="str">
        <f>CONCATENATE("10 10.1 4a")</f>
        <v>10 10.1 4a</v>
      </c>
      <c r="M44" s="7" t="str">
        <f>CONCATENATE("PLLGPP53R02F536D")</f>
        <v>PLLGPP53R02F536D</v>
      </c>
      <c r="N44" s="7" t="s">
        <v>117</v>
      </c>
      <c r="O44" s="7" t="s">
        <v>69</v>
      </c>
      <c r="P44" s="8">
        <v>44336</v>
      </c>
      <c r="Q44" s="7" t="s">
        <v>32</v>
      </c>
      <c r="R44" s="7" t="s">
        <v>40</v>
      </c>
      <c r="S44" s="7" t="s">
        <v>34</v>
      </c>
      <c r="T44" s="7"/>
      <c r="U44" s="7" t="s">
        <v>35</v>
      </c>
      <c r="V44" s="9">
        <v>2171</v>
      </c>
      <c r="W44" s="7">
        <v>936.14</v>
      </c>
      <c r="X44" s="7">
        <v>864.49</v>
      </c>
      <c r="Y44" s="7">
        <v>0</v>
      </c>
      <c r="Z44" s="7">
        <v>370.37</v>
      </c>
    </row>
    <row r="45" spans="1:26" x14ac:dyDescent="0.35">
      <c r="A45" s="7" t="s">
        <v>27</v>
      </c>
      <c r="B45" s="7" t="s">
        <v>43</v>
      </c>
      <c r="C45" s="7" t="s">
        <v>48</v>
      </c>
      <c r="D45" s="7" t="s">
        <v>55</v>
      </c>
      <c r="E45" s="7" t="s">
        <v>41</v>
      </c>
      <c r="F45" s="7" t="s">
        <v>74</v>
      </c>
      <c r="G45" s="7">
        <v>2020</v>
      </c>
      <c r="H45" s="7" t="str">
        <f>CONCATENATE("04240033177")</f>
        <v>04240033177</v>
      </c>
      <c r="I45" s="7" t="s">
        <v>30</v>
      </c>
      <c r="J45" s="7" t="s">
        <v>31</v>
      </c>
      <c r="K45" s="7" t="str">
        <f>CONCATENATE("")</f>
        <v/>
      </c>
      <c r="L45" s="7" t="str">
        <f>CONCATENATE("10 10.1 4a")</f>
        <v>10 10.1 4a</v>
      </c>
      <c r="M45" s="7" t="str">
        <f>CONCATENATE("CLMGRG83T18E388S")</f>
        <v>CLMGRG83T18E388S</v>
      </c>
      <c r="N45" s="7" t="s">
        <v>118</v>
      </c>
      <c r="O45" s="7" t="s">
        <v>69</v>
      </c>
      <c r="P45" s="8">
        <v>44336</v>
      </c>
      <c r="Q45" s="7" t="s">
        <v>32</v>
      </c>
      <c r="R45" s="7" t="s">
        <v>40</v>
      </c>
      <c r="S45" s="7" t="s">
        <v>34</v>
      </c>
      <c r="T45" s="7"/>
      <c r="U45" s="7" t="s">
        <v>35</v>
      </c>
      <c r="V45" s="7">
        <v>60.06</v>
      </c>
      <c r="W45" s="7">
        <v>25.9</v>
      </c>
      <c r="X45" s="7">
        <v>23.92</v>
      </c>
      <c r="Y45" s="7">
        <v>0</v>
      </c>
      <c r="Z45" s="7">
        <v>10.24</v>
      </c>
    </row>
    <row r="46" spans="1:26" x14ac:dyDescent="0.35">
      <c r="A46" s="7" t="s">
        <v>27</v>
      </c>
      <c r="B46" s="7" t="s">
        <v>43</v>
      </c>
      <c r="C46" s="7" t="s">
        <v>48</v>
      </c>
      <c r="D46" s="7" t="s">
        <v>49</v>
      </c>
      <c r="E46" s="7" t="s">
        <v>45</v>
      </c>
      <c r="F46" s="7" t="s">
        <v>119</v>
      </c>
      <c r="G46" s="7">
        <v>2020</v>
      </c>
      <c r="H46" s="7" t="str">
        <f>CONCATENATE("04240436800")</f>
        <v>04240436800</v>
      </c>
      <c r="I46" s="7" t="s">
        <v>30</v>
      </c>
      <c r="J46" s="7" t="s">
        <v>31</v>
      </c>
      <c r="K46" s="7" t="str">
        <f>CONCATENATE("")</f>
        <v/>
      </c>
      <c r="L46" s="7" t="str">
        <f>CONCATENATE("10 10.1 4a")</f>
        <v>10 10.1 4a</v>
      </c>
      <c r="M46" s="7" t="str">
        <f>CONCATENATE("02003040439")</f>
        <v>02003040439</v>
      </c>
      <c r="N46" s="7" t="s">
        <v>120</v>
      </c>
      <c r="O46" s="7" t="s">
        <v>69</v>
      </c>
      <c r="P46" s="8">
        <v>44336</v>
      </c>
      <c r="Q46" s="7" t="s">
        <v>32</v>
      </c>
      <c r="R46" s="7" t="s">
        <v>40</v>
      </c>
      <c r="S46" s="7" t="s">
        <v>34</v>
      </c>
      <c r="T46" s="7"/>
      <c r="U46" s="7" t="s">
        <v>35</v>
      </c>
      <c r="V46" s="9">
        <v>9777.0300000000007</v>
      </c>
      <c r="W46" s="9">
        <v>4215.8599999999997</v>
      </c>
      <c r="X46" s="9">
        <v>3893.21</v>
      </c>
      <c r="Y46" s="7">
        <v>0</v>
      </c>
      <c r="Z46" s="9">
        <v>1667.96</v>
      </c>
    </row>
    <row r="47" spans="1:26" x14ac:dyDescent="0.35">
      <c r="A47" s="7" t="s">
        <v>27</v>
      </c>
      <c r="B47" s="7" t="s">
        <v>43</v>
      </c>
      <c r="C47" s="7" t="s">
        <v>48</v>
      </c>
      <c r="D47" s="7" t="s">
        <v>78</v>
      </c>
      <c r="E47" s="7" t="s">
        <v>42</v>
      </c>
      <c r="F47" s="7" t="s">
        <v>121</v>
      </c>
      <c r="G47" s="7">
        <v>2020</v>
      </c>
      <c r="H47" s="7" t="str">
        <f>CONCATENATE("04240666034")</f>
        <v>04240666034</v>
      </c>
      <c r="I47" s="7" t="s">
        <v>30</v>
      </c>
      <c r="J47" s="7" t="s">
        <v>31</v>
      </c>
      <c r="K47" s="7" t="str">
        <f>CONCATENATE("")</f>
        <v/>
      </c>
      <c r="L47" s="7" t="str">
        <f>CONCATENATE("10 10.1 4a")</f>
        <v>10 10.1 4a</v>
      </c>
      <c r="M47" s="7" t="str">
        <f>CONCATENATE("DSNNGL56A16F570Q")</f>
        <v>DSNNGL56A16F570Q</v>
      </c>
      <c r="N47" s="7" t="s">
        <v>122</v>
      </c>
      <c r="O47" s="7" t="s">
        <v>69</v>
      </c>
      <c r="P47" s="8">
        <v>44336</v>
      </c>
      <c r="Q47" s="7" t="s">
        <v>32</v>
      </c>
      <c r="R47" s="7" t="s">
        <v>40</v>
      </c>
      <c r="S47" s="7" t="s">
        <v>34</v>
      </c>
      <c r="T47" s="7"/>
      <c r="U47" s="7" t="s">
        <v>35</v>
      </c>
      <c r="V47" s="7">
        <v>400</v>
      </c>
      <c r="W47" s="7">
        <v>172.48</v>
      </c>
      <c r="X47" s="7">
        <v>159.28</v>
      </c>
      <c r="Y47" s="7">
        <v>0</v>
      </c>
      <c r="Z47" s="7">
        <v>68.239999999999995</v>
      </c>
    </row>
    <row r="48" spans="1:26" x14ac:dyDescent="0.35">
      <c r="A48" s="7" t="s">
        <v>27</v>
      </c>
      <c r="B48" s="7" t="s">
        <v>43</v>
      </c>
      <c r="C48" s="7" t="s">
        <v>48</v>
      </c>
      <c r="D48" s="7" t="s">
        <v>55</v>
      </c>
      <c r="E48" s="7" t="s">
        <v>39</v>
      </c>
      <c r="F48" s="7" t="s">
        <v>83</v>
      </c>
      <c r="G48" s="7">
        <v>2020</v>
      </c>
      <c r="H48" s="7" t="str">
        <f>CONCATENATE("04240202095")</f>
        <v>04240202095</v>
      </c>
      <c r="I48" s="7" t="s">
        <v>30</v>
      </c>
      <c r="J48" s="7" t="s">
        <v>31</v>
      </c>
      <c r="K48" s="7" t="str">
        <f>CONCATENATE("")</f>
        <v/>
      </c>
      <c r="L48" s="7" t="str">
        <f>CONCATENATE("10 10.1 4a")</f>
        <v>10 10.1 4a</v>
      </c>
      <c r="M48" s="7" t="str">
        <f>CONCATENATE("CLLFNC40C16H979D")</f>
        <v>CLLFNC40C16H979D</v>
      </c>
      <c r="N48" s="7" t="s">
        <v>123</v>
      </c>
      <c r="O48" s="7" t="s">
        <v>69</v>
      </c>
      <c r="P48" s="8">
        <v>44336</v>
      </c>
      <c r="Q48" s="7" t="s">
        <v>32</v>
      </c>
      <c r="R48" s="7" t="s">
        <v>40</v>
      </c>
      <c r="S48" s="7" t="s">
        <v>34</v>
      </c>
      <c r="T48" s="7"/>
      <c r="U48" s="7" t="s">
        <v>35</v>
      </c>
      <c r="V48" s="7">
        <v>370.92</v>
      </c>
      <c r="W48" s="7">
        <v>159.94</v>
      </c>
      <c r="X48" s="7">
        <v>147.69999999999999</v>
      </c>
      <c r="Y48" s="7">
        <v>0</v>
      </c>
      <c r="Z48" s="7">
        <v>63.28</v>
      </c>
    </row>
    <row r="49" spans="1:26" ht="17.5" x14ac:dyDescent="0.35">
      <c r="A49" s="7" t="s">
        <v>27</v>
      </c>
      <c r="B49" s="7" t="s">
        <v>43</v>
      </c>
      <c r="C49" s="7" t="s">
        <v>48</v>
      </c>
      <c r="D49" s="7" t="s">
        <v>78</v>
      </c>
      <c r="E49" s="7" t="s">
        <v>39</v>
      </c>
      <c r="F49" s="7" t="s">
        <v>124</v>
      </c>
      <c r="G49" s="7">
        <v>2020</v>
      </c>
      <c r="H49" s="7" t="str">
        <f>CONCATENATE("04240894305")</f>
        <v>04240894305</v>
      </c>
      <c r="I49" s="7" t="s">
        <v>30</v>
      </c>
      <c r="J49" s="7" t="s">
        <v>31</v>
      </c>
      <c r="K49" s="7" t="str">
        <f>CONCATENATE("")</f>
        <v/>
      </c>
      <c r="L49" s="7" t="str">
        <f>CONCATENATE("10 10.1 4a")</f>
        <v>10 10.1 4a</v>
      </c>
      <c r="M49" s="7" t="str">
        <f>CONCATENATE("00938480449")</f>
        <v>00938480449</v>
      </c>
      <c r="N49" s="7" t="s">
        <v>125</v>
      </c>
      <c r="O49" s="7" t="s">
        <v>69</v>
      </c>
      <c r="P49" s="8">
        <v>44336</v>
      </c>
      <c r="Q49" s="7" t="s">
        <v>32</v>
      </c>
      <c r="R49" s="7" t="s">
        <v>40</v>
      </c>
      <c r="S49" s="7" t="s">
        <v>34</v>
      </c>
      <c r="T49" s="7"/>
      <c r="U49" s="7" t="s">
        <v>35</v>
      </c>
      <c r="V49" s="7">
        <v>667.04</v>
      </c>
      <c r="W49" s="7">
        <v>287.63</v>
      </c>
      <c r="X49" s="7">
        <v>265.62</v>
      </c>
      <c r="Y49" s="7">
        <v>0</v>
      </c>
      <c r="Z49" s="7">
        <v>113.79</v>
      </c>
    </row>
    <row r="50" spans="1:26" x14ac:dyDescent="0.35">
      <c r="A50" s="7" t="s">
        <v>27</v>
      </c>
      <c r="B50" s="7" t="s">
        <v>43</v>
      </c>
      <c r="C50" s="7" t="s">
        <v>48</v>
      </c>
      <c r="D50" s="7" t="s">
        <v>49</v>
      </c>
      <c r="E50" s="7" t="s">
        <v>39</v>
      </c>
      <c r="F50" s="7" t="s">
        <v>53</v>
      </c>
      <c r="G50" s="7">
        <v>2020</v>
      </c>
      <c r="H50" s="7" t="str">
        <f>CONCATENATE("04240948614")</f>
        <v>04240948614</v>
      </c>
      <c r="I50" s="7" t="s">
        <v>30</v>
      </c>
      <c r="J50" s="7" t="s">
        <v>31</v>
      </c>
      <c r="K50" s="7" t="str">
        <f>CONCATENATE("")</f>
        <v/>
      </c>
      <c r="L50" s="7" t="str">
        <f>CONCATENATE("10 10.1 4a")</f>
        <v>10 10.1 4a</v>
      </c>
      <c r="M50" s="7" t="str">
        <f>CONCATENATE("GSTGNN34H23F552V")</f>
        <v>GSTGNN34H23F552V</v>
      </c>
      <c r="N50" s="7" t="s">
        <v>126</v>
      </c>
      <c r="O50" s="7" t="s">
        <v>69</v>
      </c>
      <c r="P50" s="8">
        <v>44336</v>
      </c>
      <c r="Q50" s="7" t="s">
        <v>32</v>
      </c>
      <c r="R50" s="7" t="s">
        <v>40</v>
      </c>
      <c r="S50" s="7" t="s">
        <v>34</v>
      </c>
      <c r="T50" s="7"/>
      <c r="U50" s="7" t="s">
        <v>35</v>
      </c>
      <c r="V50" s="7">
        <v>911.76</v>
      </c>
      <c r="W50" s="7">
        <v>393.15</v>
      </c>
      <c r="X50" s="7">
        <v>363.06</v>
      </c>
      <c r="Y50" s="7">
        <v>0</v>
      </c>
      <c r="Z50" s="7">
        <v>155.55000000000001</v>
      </c>
    </row>
    <row r="51" spans="1:26" x14ac:dyDescent="0.35">
      <c r="A51" s="7" t="s">
        <v>27</v>
      </c>
      <c r="B51" s="7" t="s">
        <v>43</v>
      </c>
      <c r="C51" s="7" t="s">
        <v>48</v>
      </c>
      <c r="D51" s="7" t="s">
        <v>127</v>
      </c>
      <c r="E51" s="7" t="s">
        <v>39</v>
      </c>
      <c r="F51" s="7" t="s">
        <v>83</v>
      </c>
      <c r="G51" s="7">
        <v>2017</v>
      </c>
      <c r="H51" s="7" t="str">
        <f>CONCATENATE("74240574587")</f>
        <v>74240574587</v>
      </c>
      <c r="I51" s="7" t="s">
        <v>30</v>
      </c>
      <c r="J51" s="7" t="s">
        <v>31</v>
      </c>
      <c r="K51" s="7" t="str">
        <f>CONCATENATE("")</f>
        <v/>
      </c>
      <c r="L51" s="7" t="str">
        <f>CONCATENATE("11 11.2 4b")</f>
        <v>11 11.2 4b</v>
      </c>
      <c r="M51" s="7" t="str">
        <f>CONCATENATE("GMBLCU73P12H501I")</f>
        <v>GMBLCU73P12H501I</v>
      </c>
      <c r="N51" s="7" t="s">
        <v>128</v>
      </c>
      <c r="O51" s="7" t="s">
        <v>129</v>
      </c>
      <c r="P51" s="8">
        <v>44337</v>
      </c>
      <c r="Q51" s="7" t="s">
        <v>32</v>
      </c>
      <c r="R51" s="7" t="s">
        <v>40</v>
      </c>
      <c r="S51" s="7" t="s">
        <v>34</v>
      </c>
      <c r="T51" s="7"/>
      <c r="U51" s="7" t="s">
        <v>35</v>
      </c>
      <c r="V51" s="9">
        <v>6182.4</v>
      </c>
      <c r="W51" s="9">
        <v>2665.85</v>
      </c>
      <c r="X51" s="9">
        <v>2461.83</v>
      </c>
      <c r="Y51" s="7">
        <v>0</v>
      </c>
      <c r="Z51" s="9">
        <v>1054.72</v>
      </c>
    </row>
    <row r="52" spans="1:26" x14ac:dyDescent="0.35">
      <c r="A52" s="7" t="s">
        <v>27</v>
      </c>
      <c r="B52" s="7" t="s">
        <v>43</v>
      </c>
      <c r="C52" s="7" t="s">
        <v>48</v>
      </c>
      <c r="D52" s="7" t="s">
        <v>127</v>
      </c>
      <c r="E52" s="7" t="s">
        <v>39</v>
      </c>
      <c r="F52" s="7" t="s">
        <v>83</v>
      </c>
      <c r="G52" s="7">
        <v>2020</v>
      </c>
      <c r="H52" s="7" t="str">
        <f>CONCATENATE("04240117616")</f>
        <v>04240117616</v>
      </c>
      <c r="I52" s="7" t="s">
        <v>30</v>
      </c>
      <c r="J52" s="7" t="s">
        <v>31</v>
      </c>
      <c r="K52" s="7" t="str">
        <f>CONCATENATE("")</f>
        <v/>
      </c>
      <c r="L52" s="7" t="str">
        <f>CONCATENATE("11 11.2 4b")</f>
        <v>11 11.2 4b</v>
      </c>
      <c r="M52" s="7" t="str">
        <f>CONCATENATE("GMBLCU73P12H501I")</f>
        <v>GMBLCU73P12H501I</v>
      </c>
      <c r="N52" s="7" t="s">
        <v>128</v>
      </c>
      <c r="O52" s="7" t="s">
        <v>129</v>
      </c>
      <c r="P52" s="8">
        <v>44337</v>
      </c>
      <c r="Q52" s="7" t="s">
        <v>32</v>
      </c>
      <c r="R52" s="7" t="s">
        <v>40</v>
      </c>
      <c r="S52" s="7" t="s">
        <v>34</v>
      </c>
      <c r="T52" s="7"/>
      <c r="U52" s="7" t="s">
        <v>35</v>
      </c>
      <c r="V52" s="9">
        <v>2797.23</v>
      </c>
      <c r="W52" s="9">
        <v>1206.17</v>
      </c>
      <c r="X52" s="9">
        <v>1113.8599999999999</v>
      </c>
      <c r="Y52" s="7">
        <v>0</v>
      </c>
      <c r="Z52" s="7">
        <v>477.2</v>
      </c>
    </row>
    <row r="53" spans="1:26" x14ac:dyDescent="0.35">
      <c r="A53" s="7" t="s">
        <v>27</v>
      </c>
      <c r="B53" s="7" t="s">
        <v>43</v>
      </c>
      <c r="C53" s="7" t="s">
        <v>48</v>
      </c>
      <c r="D53" s="7" t="s">
        <v>127</v>
      </c>
      <c r="E53" s="7" t="s">
        <v>39</v>
      </c>
      <c r="F53" s="7" t="s">
        <v>83</v>
      </c>
      <c r="G53" s="7">
        <v>2018</v>
      </c>
      <c r="H53" s="7" t="str">
        <f>CONCATENATE("84240724280")</f>
        <v>84240724280</v>
      </c>
      <c r="I53" s="7" t="s">
        <v>30</v>
      </c>
      <c r="J53" s="7" t="s">
        <v>31</v>
      </c>
      <c r="K53" s="7" t="str">
        <f>CONCATENATE("")</f>
        <v/>
      </c>
      <c r="L53" s="7" t="str">
        <f>CONCATENATE("11 11.2 4b")</f>
        <v>11 11.2 4b</v>
      </c>
      <c r="M53" s="7" t="str">
        <f>CONCATENATE("GMBLCU73P12H501I")</f>
        <v>GMBLCU73P12H501I</v>
      </c>
      <c r="N53" s="7" t="s">
        <v>128</v>
      </c>
      <c r="O53" s="7" t="s">
        <v>129</v>
      </c>
      <c r="P53" s="8">
        <v>44337</v>
      </c>
      <c r="Q53" s="7" t="s">
        <v>32</v>
      </c>
      <c r="R53" s="7" t="s">
        <v>40</v>
      </c>
      <c r="S53" s="7" t="s">
        <v>34</v>
      </c>
      <c r="T53" s="7"/>
      <c r="U53" s="7" t="s">
        <v>35</v>
      </c>
      <c r="V53" s="9">
        <v>3100.64</v>
      </c>
      <c r="W53" s="9">
        <v>1337</v>
      </c>
      <c r="X53" s="9">
        <v>1234.67</v>
      </c>
      <c r="Y53" s="7">
        <v>0</v>
      </c>
      <c r="Z53" s="7">
        <v>528.97</v>
      </c>
    </row>
    <row r="54" spans="1:26" x14ac:dyDescent="0.35">
      <c r="A54" s="7" t="s">
        <v>27</v>
      </c>
      <c r="B54" s="7" t="s">
        <v>43</v>
      </c>
      <c r="C54" s="7" t="s">
        <v>48</v>
      </c>
      <c r="D54" s="7" t="s">
        <v>127</v>
      </c>
      <c r="E54" s="7" t="s">
        <v>42</v>
      </c>
      <c r="F54" s="7" t="s">
        <v>130</v>
      </c>
      <c r="G54" s="7">
        <v>2020</v>
      </c>
      <c r="H54" s="7" t="str">
        <f>CONCATENATE("04780043909")</f>
        <v>04780043909</v>
      </c>
      <c r="I54" s="7" t="s">
        <v>37</v>
      </c>
      <c r="J54" s="7" t="s">
        <v>46</v>
      </c>
      <c r="K54" s="7" t="str">
        <f>CONCATENATE("221")</f>
        <v>221</v>
      </c>
      <c r="L54" s="7" t="str">
        <f>CONCATENATE("8 8.1 5e")</f>
        <v>8 8.1 5e</v>
      </c>
      <c r="M54" s="7" t="str">
        <f>CONCATENATE("JNSSTP79E17Z105C")</f>
        <v>JNSSTP79E17Z105C</v>
      </c>
      <c r="N54" s="7" t="s">
        <v>131</v>
      </c>
      <c r="O54" s="7" t="s">
        <v>91</v>
      </c>
      <c r="P54" s="8">
        <v>44340</v>
      </c>
      <c r="Q54" s="7" t="s">
        <v>32</v>
      </c>
      <c r="R54" s="7" t="s">
        <v>40</v>
      </c>
      <c r="S54" s="7" t="s">
        <v>34</v>
      </c>
      <c r="T54" s="7"/>
      <c r="U54" s="7" t="s">
        <v>35</v>
      </c>
      <c r="V54" s="7">
        <v>340.7</v>
      </c>
      <c r="W54" s="7">
        <v>146.91</v>
      </c>
      <c r="X54" s="7">
        <v>135.66999999999999</v>
      </c>
      <c r="Y54" s="7">
        <v>0</v>
      </c>
      <c r="Z54" s="7">
        <v>58.12</v>
      </c>
    </row>
    <row r="55" spans="1:26" x14ac:dyDescent="0.35">
      <c r="A55" s="7" t="s">
        <v>27</v>
      </c>
      <c r="B55" s="7" t="s">
        <v>43</v>
      </c>
      <c r="C55" s="7" t="s">
        <v>48</v>
      </c>
      <c r="D55" s="7" t="s">
        <v>55</v>
      </c>
      <c r="E55" s="7" t="s">
        <v>39</v>
      </c>
      <c r="F55" s="7" t="s">
        <v>132</v>
      </c>
      <c r="G55" s="7">
        <v>2013</v>
      </c>
      <c r="H55" s="7" t="str">
        <f>CONCATENATE("34730066387")</f>
        <v>34730066387</v>
      </c>
      <c r="I55" s="7" t="s">
        <v>30</v>
      </c>
      <c r="J55" s="7" t="s">
        <v>46</v>
      </c>
      <c r="K55" s="7" t="str">
        <f>CONCATENATE("221")</f>
        <v>221</v>
      </c>
      <c r="L55" s="7" t="str">
        <f>CONCATENATE("8 8.1 5e")</f>
        <v>8 8.1 5e</v>
      </c>
      <c r="M55" s="7" t="str">
        <f>CONCATENATE("FRMFBA40L13A271I")</f>
        <v>FRMFBA40L13A271I</v>
      </c>
      <c r="N55" s="7" t="s">
        <v>133</v>
      </c>
      <c r="O55" s="7" t="s">
        <v>102</v>
      </c>
      <c r="P55" s="8">
        <v>44340</v>
      </c>
      <c r="Q55" s="7" t="s">
        <v>32</v>
      </c>
      <c r="R55" s="7" t="s">
        <v>40</v>
      </c>
      <c r="S55" s="7" t="s">
        <v>34</v>
      </c>
      <c r="T55" s="7"/>
      <c r="U55" s="7" t="s">
        <v>35</v>
      </c>
      <c r="V55" s="7">
        <v>631.79999999999995</v>
      </c>
      <c r="W55" s="7">
        <v>272.43</v>
      </c>
      <c r="X55" s="7">
        <v>251.58</v>
      </c>
      <c r="Y55" s="7">
        <v>0</v>
      </c>
      <c r="Z55" s="7">
        <v>107.79</v>
      </c>
    </row>
    <row r="56" spans="1:26" x14ac:dyDescent="0.35">
      <c r="A56" s="7" t="s">
        <v>27</v>
      </c>
      <c r="B56" s="7" t="s">
        <v>28</v>
      </c>
      <c r="C56" s="7" t="s">
        <v>48</v>
      </c>
      <c r="D56" s="7" t="s">
        <v>55</v>
      </c>
      <c r="E56" s="7" t="s">
        <v>39</v>
      </c>
      <c r="F56" s="7" t="s">
        <v>134</v>
      </c>
      <c r="G56" s="7">
        <v>2017</v>
      </c>
      <c r="H56" s="7" t="str">
        <f>CONCATENATE("14270137665")</f>
        <v>14270137665</v>
      </c>
      <c r="I56" s="7" t="s">
        <v>30</v>
      </c>
      <c r="J56" s="7" t="s">
        <v>31</v>
      </c>
      <c r="K56" s="7" t="str">
        <f>CONCATENATE("")</f>
        <v/>
      </c>
      <c r="L56" s="7" t="str">
        <f>CONCATENATE("4 4.1 2a")</f>
        <v>4 4.1 2a</v>
      </c>
      <c r="M56" s="7" t="str">
        <f>CONCATENATE("SBSMRN81R21A366M")</f>
        <v>SBSMRN81R21A366M</v>
      </c>
      <c r="N56" s="7" t="s">
        <v>135</v>
      </c>
      <c r="O56" s="7" t="s">
        <v>136</v>
      </c>
      <c r="P56" s="8">
        <v>44340</v>
      </c>
      <c r="Q56" s="7" t="s">
        <v>32</v>
      </c>
      <c r="R56" s="7" t="s">
        <v>40</v>
      </c>
      <c r="S56" s="7" t="s">
        <v>34</v>
      </c>
      <c r="T56" s="7"/>
      <c r="U56" s="7" t="s">
        <v>35</v>
      </c>
      <c r="V56" s="9">
        <v>112318.96</v>
      </c>
      <c r="W56" s="9">
        <v>48431.94</v>
      </c>
      <c r="X56" s="9">
        <v>44725.41</v>
      </c>
      <c r="Y56" s="7">
        <v>0</v>
      </c>
      <c r="Z56" s="9">
        <v>19161.61</v>
      </c>
    </row>
    <row r="57" spans="1:26" x14ac:dyDescent="0.35">
      <c r="A57" s="7" t="s">
        <v>27</v>
      </c>
      <c r="B57" s="7" t="s">
        <v>28</v>
      </c>
      <c r="C57" s="7" t="s">
        <v>48</v>
      </c>
      <c r="D57" s="7" t="s">
        <v>55</v>
      </c>
      <c r="E57" s="7" t="s">
        <v>39</v>
      </c>
      <c r="F57" s="7" t="s">
        <v>134</v>
      </c>
      <c r="G57" s="7">
        <v>2017</v>
      </c>
      <c r="H57" s="7" t="str">
        <f>CONCATENATE("14270137640")</f>
        <v>14270137640</v>
      </c>
      <c r="I57" s="7" t="s">
        <v>30</v>
      </c>
      <c r="J57" s="7" t="s">
        <v>31</v>
      </c>
      <c r="K57" s="7" t="str">
        <f>CONCATENATE("")</f>
        <v/>
      </c>
      <c r="L57" s="7" t="str">
        <f>CONCATENATE("6 6.1 2b")</f>
        <v>6 6.1 2b</v>
      </c>
      <c r="M57" s="7" t="str">
        <f>CONCATENATE("SBSMRN81R21A366M")</f>
        <v>SBSMRN81R21A366M</v>
      </c>
      <c r="N57" s="7" t="s">
        <v>135</v>
      </c>
      <c r="O57" s="7" t="s">
        <v>137</v>
      </c>
      <c r="P57" s="8">
        <v>44340</v>
      </c>
      <c r="Q57" s="7" t="s">
        <v>32</v>
      </c>
      <c r="R57" s="7" t="s">
        <v>40</v>
      </c>
      <c r="S57" s="7" t="s">
        <v>34</v>
      </c>
      <c r="T57" s="7"/>
      <c r="U57" s="7" t="s">
        <v>35</v>
      </c>
      <c r="V57" s="9">
        <v>15000</v>
      </c>
      <c r="W57" s="9">
        <v>6468</v>
      </c>
      <c r="X57" s="9">
        <v>5973</v>
      </c>
      <c r="Y57" s="7">
        <v>0</v>
      </c>
      <c r="Z57" s="9">
        <v>2559</v>
      </c>
    </row>
    <row r="58" spans="1:26" x14ac:dyDescent="0.35">
      <c r="A58" s="7" t="s">
        <v>27</v>
      </c>
      <c r="B58" s="7" t="s">
        <v>28</v>
      </c>
      <c r="C58" s="7" t="s">
        <v>48</v>
      </c>
      <c r="D58" s="7" t="s">
        <v>78</v>
      </c>
      <c r="E58" s="7" t="s">
        <v>44</v>
      </c>
      <c r="F58" s="7" t="s">
        <v>138</v>
      </c>
      <c r="G58" s="7">
        <v>2017</v>
      </c>
      <c r="H58" s="7" t="str">
        <f>CONCATENATE("14270148258")</f>
        <v>14270148258</v>
      </c>
      <c r="I58" s="7" t="s">
        <v>30</v>
      </c>
      <c r="J58" s="7" t="s">
        <v>31</v>
      </c>
      <c r="K58" s="7" t="str">
        <f>CONCATENATE("")</f>
        <v/>
      </c>
      <c r="L58" s="7" t="str">
        <f>CONCATENATE("4 4.1 2a")</f>
        <v>4 4.1 2a</v>
      </c>
      <c r="M58" s="7" t="str">
        <f>CONCATENATE("01604640449")</f>
        <v>01604640449</v>
      </c>
      <c r="N58" s="7" t="s">
        <v>139</v>
      </c>
      <c r="O58" s="7" t="s">
        <v>140</v>
      </c>
      <c r="P58" s="8">
        <v>44337</v>
      </c>
      <c r="Q58" s="7" t="s">
        <v>32</v>
      </c>
      <c r="R58" s="7" t="s">
        <v>38</v>
      </c>
      <c r="S58" s="7" t="s">
        <v>34</v>
      </c>
      <c r="T58" s="7"/>
      <c r="U58" s="7" t="s">
        <v>35</v>
      </c>
      <c r="V58" s="9">
        <v>194620.98</v>
      </c>
      <c r="W58" s="9">
        <v>83920.57</v>
      </c>
      <c r="X58" s="9">
        <v>77498.070000000007</v>
      </c>
      <c r="Y58" s="7">
        <v>0</v>
      </c>
      <c r="Z58" s="9">
        <v>33202.339999999997</v>
      </c>
    </row>
    <row r="59" spans="1:26" x14ac:dyDescent="0.35">
      <c r="A59" s="7" t="s">
        <v>27</v>
      </c>
      <c r="B59" s="7" t="s">
        <v>28</v>
      </c>
      <c r="C59" s="7" t="s">
        <v>48</v>
      </c>
      <c r="D59" s="7" t="s">
        <v>55</v>
      </c>
      <c r="E59" s="7" t="s">
        <v>29</v>
      </c>
      <c r="F59" s="7" t="s">
        <v>29</v>
      </c>
      <c r="G59" s="7">
        <v>2017</v>
      </c>
      <c r="H59" s="7" t="str">
        <f>CONCATENATE("14270148233")</f>
        <v>14270148233</v>
      </c>
      <c r="I59" s="7" t="s">
        <v>30</v>
      </c>
      <c r="J59" s="7" t="s">
        <v>31</v>
      </c>
      <c r="K59" s="7" t="str">
        <f>CONCATENATE("")</f>
        <v/>
      </c>
      <c r="L59" s="7" t="str">
        <f>CONCATENATE("4 4.1 2a")</f>
        <v>4 4.1 2a</v>
      </c>
      <c r="M59" s="7" t="str">
        <f>CONCATENATE("GRLGLI88M42E388Q")</f>
        <v>GRLGLI88M42E388Q</v>
      </c>
      <c r="N59" s="7" t="s">
        <v>141</v>
      </c>
      <c r="O59" s="7" t="s">
        <v>142</v>
      </c>
      <c r="P59" s="8">
        <v>44337</v>
      </c>
      <c r="Q59" s="7" t="s">
        <v>32</v>
      </c>
      <c r="R59" s="7" t="s">
        <v>40</v>
      </c>
      <c r="S59" s="7" t="s">
        <v>34</v>
      </c>
      <c r="T59" s="7"/>
      <c r="U59" s="7" t="s">
        <v>35</v>
      </c>
      <c r="V59" s="9">
        <v>8798.93</v>
      </c>
      <c r="W59" s="9">
        <v>3794.1</v>
      </c>
      <c r="X59" s="9">
        <v>3503.73</v>
      </c>
      <c r="Y59" s="7">
        <v>0</v>
      </c>
      <c r="Z59" s="9">
        <v>1501.1</v>
      </c>
    </row>
    <row r="60" spans="1:26" x14ac:dyDescent="0.35">
      <c r="A60" s="7" t="s">
        <v>27</v>
      </c>
      <c r="B60" s="7" t="s">
        <v>28</v>
      </c>
      <c r="C60" s="7" t="s">
        <v>48</v>
      </c>
      <c r="D60" s="7" t="s">
        <v>55</v>
      </c>
      <c r="E60" s="7" t="s">
        <v>39</v>
      </c>
      <c r="F60" s="7" t="s">
        <v>143</v>
      </c>
      <c r="G60" s="7">
        <v>2017</v>
      </c>
      <c r="H60" s="7" t="str">
        <f>CONCATENATE("14270148266")</f>
        <v>14270148266</v>
      </c>
      <c r="I60" s="7" t="s">
        <v>30</v>
      </c>
      <c r="J60" s="7" t="s">
        <v>31</v>
      </c>
      <c r="K60" s="7" t="str">
        <f>CONCATENATE("")</f>
        <v/>
      </c>
      <c r="L60" s="7" t="str">
        <f>CONCATENATE("4 4.1 2a")</f>
        <v>4 4.1 2a</v>
      </c>
      <c r="M60" s="7" t="str">
        <f>CONCATENATE("MSSRNT53S58F581A")</f>
        <v>MSSRNT53S58F581A</v>
      </c>
      <c r="N60" s="7" t="s">
        <v>144</v>
      </c>
      <c r="O60" s="7" t="s">
        <v>142</v>
      </c>
      <c r="P60" s="8">
        <v>44337</v>
      </c>
      <c r="Q60" s="7" t="s">
        <v>32</v>
      </c>
      <c r="R60" s="7" t="s">
        <v>40</v>
      </c>
      <c r="S60" s="7" t="s">
        <v>34</v>
      </c>
      <c r="T60" s="7"/>
      <c r="U60" s="7" t="s">
        <v>35</v>
      </c>
      <c r="V60" s="9">
        <v>7709.65</v>
      </c>
      <c r="W60" s="9">
        <v>3324.4</v>
      </c>
      <c r="X60" s="9">
        <v>3069.98</v>
      </c>
      <c r="Y60" s="7">
        <v>0</v>
      </c>
      <c r="Z60" s="9">
        <v>1315.27</v>
      </c>
    </row>
    <row r="61" spans="1:26" x14ac:dyDescent="0.35">
      <c r="A61" s="7" t="s">
        <v>27</v>
      </c>
      <c r="B61" s="7" t="s">
        <v>28</v>
      </c>
      <c r="C61" s="7" t="s">
        <v>48</v>
      </c>
      <c r="D61" s="7" t="s">
        <v>127</v>
      </c>
      <c r="E61" s="7" t="s">
        <v>29</v>
      </c>
      <c r="F61" s="7" t="s">
        <v>29</v>
      </c>
      <c r="G61" s="7">
        <v>2017</v>
      </c>
      <c r="H61" s="7" t="str">
        <f>CONCATENATE("14270148225")</f>
        <v>14270148225</v>
      </c>
      <c r="I61" s="7" t="s">
        <v>30</v>
      </c>
      <c r="J61" s="7" t="s">
        <v>31</v>
      </c>
      <c r="K61" s="7" t="str">
        <f>CONCATENATE("")</f>
        <v/>
      </c>
      <c r="L61" s="7" t="str">
        <f>CONCATENATE("4 4.1 2a")</f>
        <v>4 4.1 2a</v>
      </c>
      <c r="M61" s="7" t="str">
        <f>CONCATENATE("00978740413")</f>
        <v>00978740413</v>
      </c>
      <c r="N61" s="7" t="s">
        <v>145</v>
      </c>
      <c r="O61" s="7" t="s">
        <v>142</v>
      </c>
      <c r="P61" s="8">
        <v>44337</v>
      </c>
      <c r="Q61" s="7" t="s">
        <v>32</v>
      </c>
      <c r="R61" s="7" t="s">
        <v>40</v>
      </c>
      <c r="S61" s="7" t="s">
        <v>34</v>
      </c>
      <c r="T61" s="7"/>
      <c r="U61" s="7" t="s">
        <v>35</v>
      </c>
      <c r="V61" s="9">
        <v>29678.95</v>
      </c>
      <c r="W61" s="9">
        <v>12797.56</v>
      </c>
      <c r="X61" s="9">
        <v>11818.16</v>
      </c>
      <c r="Y61" s="7">
        <v>0</v>
      </c>
      <c r="Z61" s="9">
        <v>5063.2299999999996</v>
      </c>
    </row>
    <row r="62" spans="1:26" x14ac:dyDescent="0.35">
      <c r="A62" s="7" t="s">
        <v>27</v>
      </c>
      <c r="B62" s="7" t="s">
        <v>28</v>
      </c>
      <c r="C62" s="7" t="s">
        <v>48</v>
      </c>
      <c r="D62" s="7" t="s">
        <v>55</v>
      </c>
      <c r="E62" s="7" t="s">
        <v>29</v>
      </c>
      <c r="F62" s="7" t="s">
        <v>29</v>
      </c>
      <c r="G62" s="7">
        <v>2017</v>
      </c>
      <c r="H62" s="7" t="str">
        <f>CONCATENATE("04270233234")</f>
        <v>04270233234</v>
      </c>
      <c r="I62" s="7" t="s">
        <v>30</v>
      </c>
      <c r="J62" s="7" t="s">
        <v>31</v>
      </c>
      <c r="K62" s="7" t="str">
        <f>CONCATENATE("")</f>
        <v/>
      </c>
      <c r="L62" s="7" t="str">
        <f>CONCATENATE("1 1.1 2a")</f>
        <v>1 1.1 2a</v>
      </c>
      <c r="M62" s="7" t="str">
        <f>CONCATENATE("02051370423")</f>
        <v>02051370423</v>
      </c>
      <c r="N62" s="7" t="s">
        <v>146</v>
      </c>
      <c r="O62" s="7" t="s">
        <v>147</v>
      </c>
      <c r="P62" s="8">
        <v>44337</v>
      </c>
      <c r="Q62" s="7" t="s">
        <v>32</v>
      </c>
      <c r="R62" s="7" t="s">
        <v>40</v>
      </c>
      <c r="S62" s="7" t="s">
        <v>34</v>
      </c>
      <c r="T62" s="7"/>
      <c r="U62" s="7" t="s">
        <v>35</v>
      </c>
      <c r="V62" s="9">
        <v>1320</v>
      </c>
      <c r="W62" s="7">
        <v>569.17999999999995</v>
      </c>
      <c r="X62" s="7">
        <v>525.62</v>
      </c>
      <c r="Y62" s="7">
        <v>0</v>
      </c>
      <c r="Z62" s="7">
        <v>225.2</v>
      </c>
    </row>
    <row r="63" spans="1:26" x14ac:dyDescent="0.35">
      <c r="A63" s="7" t="s">
        <v>27</v>
      </c>
      <c r="B63" s="7" t="s">
        <v>43</v>
      </c>
      <c r="C63" s="7" t="s">
        <v>48</v>
      </c>
      <c r="D63" s="7" t="s">
        <v>55</v>
      </c>
      <c r="E63" s="7" t="s">
        <v>39</v>
      </c>
      <c r="F63" s="7" t="s">
        <v>83</v>
      </c>
      <c r="G63" s="7">
        <v>2015</v>
      </c>
      <c r="H63" s="7" t="str">
        <f>CONCATENATE("54735095132")</f>
        <v>54735095132</v>
      </c>
      <c r="I63" s="7" t="s">
        <v>30</v>
      </c>
      <c r="J63" s="7" t="s">
        <v>46</v>
      </c>
      <c r="K63" s="7" t="str">
        <f>CONCATENATE("221")</f>
        <v>221</v>
      </c>
      <c r="L63" s="7" t="str">
        <f>CONCATENATE("8 8.1 5e")</f>
        <v>8 8.1 5e</v>
      </c>
      <c r="M63" s="7" t="str">
        <f>CONCATENATE("02372530424")</f>
        <v>02372530424</v>
      </c>
      <c r="N63" s="7" t="s">
        <v>148</v>
      </c>
      <c r="O63" s="7" t="s">
        <v>149</v>
      </c>
      <c r="P63" s="8">
        <v>44340</v>
      </c>
      <c r="Q63" s="7" t="s">
        <v>32</v>
      </c>
      <c r="R63" s="7" t="s">
        <v>40</v>
      </c>
      <c r="S63" s="7" t="s">
        <v>34</v>
      </c>
      <c r="T63" s="7"/>
      <c r="U63" s="7" t="s">
        <v>35</v>
      </c>
      <c r="V63" s="9">
        <v>2430.6999999999998</v>
      </c>
      <c r="W63" s="9">
        <v>1048.1199999999999</v>
      </c>
      <c r="X63" s="7">
        <v>967.9</v>
      </c>
      <c r="Y63" s="7">
        <v>0</v>
      </c>
      <c r="Z63" s="7">
        <v>414.68</v>
      </c>
    </row>
    <row r="64" spans="1:26" x14ac:dyDescent="0.35">
      <c r="A64" s="7" t="s">
        <v>27</v>
      </c>
      <c r="B64" s="7" t="s">
        <v>43</v>
      </c>
      <c r="C64" s="7" t="s">
        <v>48</v>
      </c>
      <c r="D64" s="7" t="s">
        <v>127</v>
      </c>
      <c r="E64" s="7" t="s">
        <v>39</v>
      </c>
      <c r="F64" s="7" t="s">
        <v>150</v>
      </c>
      <c r="G64" s="7">
        <v>2020</v>
      </c>
      <c r="H64" s="7" t="str">
        <f>CONCATENATE("04241098104")</f>
        <v>04241098104</v>
      </c>
      <c r="I64" s="7" t="s">
        <v>30</v>
      </c>
      <c r="J64" s="7" t="s">
        <v>31</v>
      </c>
      <c r="K64" s="7" t="str">
        <f>CONCATENATE("")</f>
        <v/>
      </c>
      <c r="L64" s="7" t="str">
        <f>CONCATENATE("11 11.2 4b")</f>
        <v>11 11.2 4b</v>
      </c>
      <c r="M64" s="7" t="str">
        <f>CONCATENATE("MNTTZN57E66I681Z")</f>
        <v>MNTTZN57E66I681Z</v>
      </c>
      <c r="N64" s="7" t="s">
        <v>151</v>
      </c>
      <c r="O64" s="7" t="s">
        <v>129</v>
      </c>
      <c r="P64" s="8">
        <v>44337</v>
      </c>
      <c r="Q64" s="7" t="s">
        <v>32</v>
      </c>
      <c r="R64" s="7" t="s">
        <v>40</v>
      </c>
      <c r="S64" s="7" t="s">
        <v>34</v>
      </c>
      <c r="T64" s="7"/>
      <c r="U64" s="7" t="s">
        <v>35</v>
      </c>
      <c r="V64" s="9">
        <v>1978.27</v>
      </c>
      <c r="W64" s="7">
        <v>853.03</v>
      </c>
      <c r="X64" s="7">
        <v>787.75</v>
      </c>
      <c r="Y64" s="7">
        <v>0</v>
      </c>
      <c r="Z64" s="7">
        <v>337.49</v>
      </c>
    </row>
    <row r="65" spans="1:26" x14ac:dyDescent="0.35">
      <c r="A65" s="7" t="s">
        <v>27</v>
      </c>
      <c r="B65" s="7" t="s">
        <v>28</v>
      </c>
      <c r="C65" s="7" t="s">
        <v>48</v>
      </c>
      <c r="D65" s="7" t="s">
        <v>78</v>
      </c>
      <c r="E65" s="7" t="s">
        <v>44</v>
      </c>
      <c r="F65" s="7" t="s">
        <v>138</v>
      </c>
      <c r="G65" s="7">
        <v>2017</v>
      </c>
      <c r="H65" s="7" t="str">
        <f>CONCATENATE("14270137657")</f>
        <v>14270137657</v>
      </c>
      <c r="I65" s="7" t="s">
        <v>30</v>
      </c>
      <c r="J65" s="7" t="s">
        <v>31</v>
      </c>
      <c r="K65" s="7" t="str">
        <f>CONCATENATE("")</f>
        <v/>
      </c>
      <c r="L65" s="7" t="str">
        <f>CONCATENATE("4 4.1 2a")</f>
        <v>4 4.1 2a</v>
      </c>
      <c r="M65" s="7" t="str">
        <f>CONCATENATE("01961800446")</f>
        <v>01961800446</v>
      </c>
      <c r="N65" s="7" t="s">
        <v>152</v>
      </c>
      <c r="O65" s="7" t="s">
        <v>153</v>
      </c>
      <c r="P65" s="8">
        <v>44336</v>
      </c>
      <c r="Q65" s="7" t="s">
        <v>32</v>
      </c>
      <c r="R65" s="7" t="s">
        <v>40</v>
      </c>
      <c r="S65" s="7" t="s">
        <v>34</v>
      </c>
      <c r="T65" s="7"/>
      <c r="U65" s="7" t="s">
        <v>35</v>
      </c>
      <c r="V65" s="9">
        <v>65801.399999999994</v>
      </c>
      <c r="W65" s="9">
        <v>28373.56</v>
      </c>
      <c r="X65" s="9">
        <v>26202.12</v>
      </c>
      <c r="Y65" s="7">
        <v>0</v>
      </c>
      <c r="Z65" s="9">
        <v>11225.72</v>
      </c>
    </row>
    <row r="66" spans="1:26" x14ac:dyDescent="0.35">
      <c r="A66" s="7" t="s">
        <v>27</v>
      </c>
      <c r="B66" s="7" t="s">
        <v>28</v>
      </c>
      <c r="C66" s="7" t="s">
        <v>48</v>
      </c>
      <c r="D66" s="7" t="s">
        <v>55</v>
      </c>
      <c r="E66" s="7" t="s">
        <v>29</v>
      </c>
      <c r="F66" s="7" t="s">
        <v>29</v>
      </c>
      <c r="G66" s="7">
        <v>2017</v>
      </c>
      <c r="H66" s="7" t="str">
        <f>CONCATENATE("04270233283")</f>
        <v>04270233283</v>
      </c>
      <c r="I66" s="7" t="s">
        <v>30</v>
      </c>
      <c r="J66" s="7" t="s">
        <v>31</v>
      </c>
      <c r="K66" s="7" t="str">
        <f>CONCATENATE("")</f>
        <v/>
      </c>
      <c r="L66" s="7" t="str">
        <f>CONCATENATE("4 4.1 2a")</f>
        <v>4 4.1 2a</v>
      </c>
      <c r="M66" s="7" t="str">
        <f>CONCATENATE("PRSCRS92T30D451O")</f>
        <v>PRSCRS92T30D451O</v>
      </c>
      <c r="N66" s="7" t="s">
        <v>110</v>
      </c>
      <c r="O66" s="7" t="s">
        <v>154</v>
      </c>
      <c r="P66" s="8">
        <v>44340</v>
      </c>
      <c r="Q66" s="7" t="s">
        <v>32</v>
      </c>
      <c r="R66" s="7" t="s">
        <v>40</v>
      </c>
      <c r="S66" s="7" t="s">
        <v>34</v>
      </c>
      <c r="T66" s="7"/>
      <c r="U66" s="7" t="s">
        <v>35</v>
      </c>
      <c r="V66" s="9">
        <v>211862.42</v>
      </c>
      <c r="W66" s="9">
        <v>91355.08</v>
      </c>
      <c r="X66" s="9">
        <v>84363.62</v>
      </c>
      <c r="Y66" s="7">
        <v>0</v>
      </c>
      <c r="Z66" s="9">
        <v>36143.72</v>
      </c>
    </row>
    <row r="67" spans="1:26" ht="17.5" x14ac:dyDescent="0.35">
      <c r="A67" s="7" t="s">
        <v>27</v>
      </c>
      <c r="B67" s="7" t="s">
        <v>43</v>
      </c>
      <c r="C67" s="7" t="s">
        <v>48</v>
      </c>
      <c r="D67" s="7" t="s">
        <v>49</v>
      </c>
      <c r="E67" s="7" t="s">
        <v>45</v>
      </c>
      <c r="F67" s="7" t="s">
        <v>119</v>
      </c>
      <c r="G67" s="7">
        <v>2016</v>
      </c>
      <c r="H67" s="7" t="str">
        <f>CONCATENATE("64780033938")</f>
        <v>64780033938</v>
      </c>
      <c r="I67" s="7" t="s">
        <v>30</v>
      </c>
      <c r="J67" s="7" t="s">
        <v>46</v>
      </c>
      <c r="K67" s="7" t="str">
        <f>CONCATENATE("221")</f>
        <v>221</v>
      </c>
      <c r="L67" s="7" t="str">
        <f>CONCATENATE("8 8.1 5e")</f>
        <v>8 8.1 5e</v>
      </c>
      <c r="M67" s="7" t="str">
        <f>CONCATENATE("RMDMRA54C45D564N")</f>
        <v>RMDMRA54C45D564N</v>
      </c>
      <c r="N67" s="7" t="s">
        <v>155</v>
      </c>
      <c r="O67" s="7" t="s">
        <v>156</v>
      </c>
      <c r="P67" s="8">
        <v>44340</v>
      </c>
      <c r="Q67" s="7" t="s">
        <v>32</v>
      </c>
      <c r="R67" s="7" t="s">
        <v>40</v>
      </c>
      <c r="S67" s="7" t="s">
        <v>34</v>
      </c>
      <c r="T67" s="7"/>
      <c r="U67" s="7" t="s">
        <v>35</v>
      </c>
      <c r="V67" s="9">
        <v>5255.12</v>
      </c>
      <c r="W67" s="9">
        <v>2266.0100000000002</v>
      </c>
      <c r="X67" s="9">
        <v>2092.59</v>
      </c>
      <c r="Y67" s="7">
        <v>0</v>
      </c>
      <c r="Z67" s="7">
        <v>896.52</v>
      </c>
    </row>
    <row r="68" spans="1:26" x14ac:dyDescent="0.35">
      <c r="A68" s="7" t="s">
        <v>27</v>
      </c>
      <c r="B68" s="7" t="s">
        <v>43</v>
      </c>
      <c r="C68" s="7" t="s">
        <v>48</v>
      </c>
      <c r="D68" s="7" t="s">
        <v>55</v>
      </c>
      <c r="E68" s="7" t="s">
        <v>41</v>
      </c>
      <c r="F68" s="7" t="s">
        <v>157</v>
      </c>
      <c r="G68" s="7">
        <v>2017</v>
      </c>
      <c r="H68" s="7" t="str">
        <f>CONCATENATE("74780056326")</f>
        <v>74780056326</v>
      </c>
      <c r="I68" s="7" t="s">
        <v>37</v>
      </c>
      <c r="J68" s="7" t="s">
        <v>46</v>
      </c>
      <c r="K68" s="7" t="str">
        <f>CONCATENATE("221")</f>
        <v>221</v>
      </c>
      <c r="L68" s="7" t="str">
        <f>CONCATENATE("8 8.1 5e")</f>
        <v>8 8.1 5e</v>
      </c>
      <c r="M68" s="7" t="str">
        <f>CONCATENATE("MLTNNT40H53F205A")</f>
        <v>MLTNNT40H53F205A</v>
      </c>
      <c r="N68" s="7" t="s">
        <v>158</v>
      </c>
      <c r="O68" s="7" t="s">
        <v>159</v>
      </c>
      <c r="P68" s="8">
        <v>44340</v>
      </c>
      <c r="Q68" s="7" t="s">
        <v>32</v>
      </c>
      <c r="R68" s="7" t="s">
        <v>40</v>
      </c>
      <c r="S68" s="7" t="s">
        <v>34</v>
      </c>
      <c r="T68" s="7"/>
      <c r="U68" s="7" t="s">
        <v>35</v>
      </c>
      <c r="V68" s="7">
        <v>362.2</v>
      </c>
      <c r="W68" s="7">
        <v>156.18</v>
      </c>
      <c r="X68" s="7">
        <v>144.22999999999999</v>
      </c>
      <c r="Y68" s="7">
        <v>0</v>
      </c>
      <c r="Z68" s="7">
        <v>61.79</v>
      </c>
    </row>
    <row r="69" spans="1:26" x14ac:dyDescent="0.35">
      <c r="A69" s="7" t="s">
        <v>27</v>
      </c>
      <c r="B69" s="7" t="s">
        <v>43</v>
      </c>
      <c r="C69" s="7" t="s">
        <v>48</v>
      </c>
      <c r="D69" s="7" t="s">
        <v>55</v>
      </c>
      <c r="E69" s="7" t="s">
        <v>36</v>
      </c>
      <c r="F69" s="7" t="s">
        <v>107</v>
      </c>
      <c r="G69" s="7">
        <v>2017</v>
      </c>
      <c r="H69" s="7" t="str">
        <f>CONCATENATE("74780057969")</f>
        <v>74780057969</v>
      </c>
      <c r="I69" s="7" t="s">
        <v>37</v>
      </c>
      <c r="J69" s="7" t="s">
        <v>46</v>
      </c>
      <c r="K69" s="7" t="str">
        <f>CONCATENATE("221")</f>
        <v>221</v>
      </c>
      <c r="L69" s="7" t="str">
        <f>CONCATENATE("8 8.1 5e")</f>
        <v>8 8.1 5e</v>
      </c>
      <c r="M69" s="7" t="str">
        <f>CONCATENATE("80137830586")</f>
        <v>80137830586</v>
      </c>
      <c r="N69" s="7" t="s">
        <v>160</v>
      </c>
      <c r="O69" s="7" t="s">
        <v>159</v>
      </c>
      <c r="P69" s="8">
        <v>44340</v>
      </c>
      <c r="Q69" s="7" t="s">
        <v>32</v>
      </c>
      <c r="R69" s="7" t="s">
        <v>40</v>
      </c>
      <c r="S69" s="7" t="s">
        <v>34</v>
      </c>
      <c r="T69" s="7"/>
      <c r="U69" s="7" t="s">
        <v>35</v>
      </c>
      <c r="V69" s="7">
        <v>814.95</v>
      </c>
      <c r="W69" s="7">
        <v>351.41</v>
      </c>
      <c r="X69" s="7">
        <v>324.51</v>
      </c>
      <c r="Y69" s="7">
        <v>0</v>
      </c>
      <c r="Z69" s="7">
        <v>139.03</v>
      </c>
    </row>
    <row r="70" spans="1:26" x14ac:dyDescent="0.35">
      <c r="A70" s="7" t="s">
        <v>27</v>
      </c>
      <c r="B70" s="7" t="s">
        <v>43</v>
      </c>
      <c r="C70" s="7" t="s">
        <v>48</v>
      </c>
      <c r="D70" s="7" t="s">
        <v>55</v>
      </c>
      <c r="E70" s="7" t="s">
        <v>41</v>
      </c>
      <c r="F70" s="7" t="s">
        <v>161</v>
      </c>
      <c r="G70" s="7">
        <v>2017</v>
      </c>
      <c r="H70" s="7" t="str">
        <f>CONCATENATE("74780073214")</f>
        <v>74780073214</v>
      </c>
      <c r="I70" s="7" t="s">
        <v>37</v>
      </c>
      <c r="J70" s="7" t="s">
        <v>46</v>
      </c>
      <c r="K70" s="7" t="str">
        <f>CONCATENATE("221")</f>
        <v>221</v>
      </c>
      <c r="L70" s="7" t="str">
        <f>CONCATENATE("8 8.1 5e")</f>
        <v>8 8.1 5e</v>
      </c>
      <c r="M70" s="7" t="str">
        <f>CONCATENATE("SBBSFN65B65D007N")</f>
        <v>SBBSFN65B65D007N</v>
      </c>
      <c r="N70" s="7" t="s">
        <v>162</v>
      </c>
      <c r="O70" s="7" t="s">
        <v>159</v>
      </c>
      <c r="P70" s="8">
        <v>44340</v>
      </c>
      <c r="Q70" s="7" t="s">
        <v>32</v>
      </c>
      <c r="R70" s="7" t="s">
        <v>40</v>
      </c>
      <c r="S70" s="7" t="s">
        <v>34</v>
      </c>
      <c r="T70" s="7"/>
      <c r="U70" s="7" t="s">
        <v>35</v>
      </c>
      <c r="V70" s="9">
        <v>2572.8000000000002</v>
      </c>
      <c r="W70" s="9">
        <v>1109.3900000000001</v>
      </c>
      <c r="X70" s="9">
        <v>1024.49</v>
      </c>
      <c r="Y70" s="7">
        <v>0</v>
      </c>
      <c r="Z70" s="7">
        <v>438.92</v>
      </c>
    </row>
    <row r="71" spans="1:26" x14ac:dyDescent="0.35">
      <c r="A71" s="7" t="s">
        <v>27</v>
      </c>
      <c r="B71" s="7" t="s">
        <v>43</v>
      </c>
      <c r="C71" s="7" t="s">
        <v>48</v>
      </c>
      <c r="D71" s="7" t="s">
        <v>55</v>
      </c>
      <c r="E71" s="7" t="s">
        <v>41</v>
      </c>
      <c r="F71" s="7" t="s">
        <v>161</v>
      </c>
      <c r="G71" s="7">
        <v>2017</v>
      </c>
      <c r="H71" s="7" t="str">
        <f>CONCATENATE("74780073537")</f>
        <v>74780073537</v>
      </c>
      <c r="I71" s="7" t="s">
        <v>37</v>
      </c>
      <c r="J71" s="7" t="s">
        <v>46</v>
      </c>
      <c r="K71" s="7" t="str">
        <f>CONCATENATE("221")</f>
        <v>221</v>
      </c>
      <c r="L71" s="7" t="str">
        <f>CONCATENATE("8 8.1 5e")</f>
        <v>8 8.1 5e</v>
      </c>
      <c r="M71" s="7" t="str">
        <f>CONCATENATE("PSRLEI28D13I608X")</f>
        <v>PSRLEI28D13I608X</v>
      </c>
      <c r="N71" s="7" t="s">
        <v>163</v>
      </c>
      <c r="O71" s="7" t="s">
        <v>159</v>
      </c>
      <c r="P71" s="8">
        <v>44340</v>
      </c>
      <c r="Q71" s="7" t="s">
        <v>32</v>
      </c>
      <c r="R71" s="7" t="s">
        <v>40</v>
      </c>
      <c r="S71" s="7" t="s">
        <v>34</v>
      </c>
      <c r="T71" s="7"/>
      <c r="U71" s="7" t="s">
        <v>35</v>
      </c>
      <c r="V71" s="9">
        <v>2366.35</v>
      </c>
      <c r="W71" s="9">
        <v>1020.37</v>
      </c>
      <c r="X71" s="7">
        <v>942.28</v>
      </c>
      <c r="Y71" s="7">
        <v>0</v>
      </c>
      <c r="Z71" s="7">
        <v>403.7</v>
      </c>
    </row>
    <row r="72" spans="1:26" x14ac:dyDescent="0.35">
      <c r="A72" s="7" t="s">
        <v>27</v>
      </c>
      <c r="B72" s="7" t="s">
        <v>28</v>
      </c>
      <c r="C72" s="7" t="s">
        <v>48</v>
      </c>
      <c r="D72" s="7" t="s">
        <v>55</v>
      </c>
      <c r="E72" s="7" t="s">
        <v>29</v>
      </c>
      <c r="F72" s="7" t="s">
        <v>29</v>
      </c>
      <c r="G72" s="7">
        <v>2017</v>
      </c>
      <c r="H72" s="7" t="str">
        <f>CONCATENATE("04270233226")</f>
        <v>04270233226</v>
      </c>
      <c r="I72" s="7" t="s">
        <v>30</v>
      </c>
      <c r="J72" s="7" t="s">
        <v>31</v>
      </c>
      <c r="K72" s="7" t="str">
        <f>CONCATENATE("")</f>
        <v/>
      </c>
      <c r="L72" s="7" t="str">
        <f>CONCATENATE("1 1.1 2a")</f>
        <v>1 1.1 2a</v>
      </c>
      <c r="M72" s="7" t="str">
        <f>CONCATENATE("02051370423")</f>
        <v>02051370423</v>
      </c>
      <c r="N72" s="7" t="s">
        <v>146</v>
      </c>
      <c r="O72" s="7" t="s">
        <v>164</v>
      </c>
      <c r="P72" s="8">
        <v>44337</v>
      </c>
      <c r="Q72" s="7" t="s">
        <v>32</v>
      </c>
      <c r="R72" s="7" t="s">
        <v>40</v>
      </c>
      <c r="S72" s="7" t="s">
        <v>34</v>
      </c>
      <c r="T72" s="7"/>
      <c r="U72" s="7" t="s">
        <v>35</v>
      </c>
      <c r="V72" s="9">
        <v>1584</v>
      </c>
      <c r="W72" s="7">
        <v>683.02</v>
      </c>
      <c r="X72" s="7">
        <v>630.75</v>
      </c>
      <c r="Y72" s="7">
        <v>0</v>
      </c>
      <c r="Z72" s="7">
        <v>270.23</v>
      </c>
    </row>
    <row r="73" spans="1:26" x14ac:dyDescent="0.35">
      <c r="A73" s="7" t="s">
        <v>27</v>
      </c>
      <c r="B73" s="7" t="s">
        <v>28</v>
      </c>
      <c r="C73" s="7" t="s">
        <v>48</v>
      </c>
      <c r="D73" s="7" t="s">
        <v>55</v>
      </c>
      <c r="E73" s="7" t="s">
        <v>29</v>
      </c>
      <c r="F73" s="7" t="s">
        <v>29</v>
      </c>
      <c r="G73" s="7">
        <v>2017</v>
      </c>
      <c r="H73" s="7" t="str">
        <f>CONCATENATE("04270233242")</f>
        <v>04270233242</v>
      </c>
      <c r="I73" s="7" t="s">
        <v>30</v>
      </c>
      <c r="J73" s="7" t="s">
        <v>31</v>
      </c>
      <c r="K73" s="7" t="str">
        <f>CONCATENATE("")</f>
        <v/>
      </c>
      <c r="L73" s="7" t="str">
        <f>CONCATENATE("1 1.1 2a")</f>
        <v>1 1.1 2a</v>
      </c>
      <c r="M73" s="7" t="str">
        <f>CONCATENATE("02051370423")</f>
        <v>02051370423</v>
      </c>
      <c r="N73" s="7" t="s">
        <v>146</v>
      </c>
      <c r="O73" s="7" t="s">
        <v>164</v>
      </c>
      <c r="P73" s="8">
        <v>44337</v>
      </c>
      <c r="Q73" s="7" t="s">
        <v>32</v>
      </c>
      <c r="R73" s="7" t="s">
        <v>40</v>
      </c>
      <c r="S73" s="7" t="s">
        <v>34</v>
      </c>
      <c r="T73" s="7"/>
      <c r="U73" s="7" t="s">
        <v>35</v>
      </c>
      <c r="V73" s="9">
        <v>1584</v>
      </c>
      <c r="W73" s="7">
        <v>683.02</v>
      </c>
      <c r="X73" s="7">
        <v>630.75</v>
      </c>
      <c r="Y73" s="7">
        <v>0</v>
      </c>
      <c r="Z73" s="7">
        <v>270.23</v>
      </c>
    </row>
    <row r="74" spans="1:26" ht="17.5" x14ac:dyDescent="0.35">
      <c r="A74" s="7" t="s">
        <v>27</v>
      </c>
      <c r="B74" s="7" t="s">
        <v>43</v>
      </c>
      <c r="C74" s="7" t="s">
        <v>48</v>
      </c>
      <c r="D74" s="7" t="s">
        <v>55</v>
      </c>
      <c r="E74" s="7" t="s">
        <v>41</v>
      </c>
      <c r="F74" s="7" t="s">
        <v>74</v>
      </c>
      <c r="G74" s="7">
        <v>2020</v>
      </c>
      <c r="H74" s="7" t="str">
        <f>CONCATENATE("04240257636")</f>
        <v>04240257636</v>
      </c>
      <c r="I74" s="7" t="s">
        <v>30</v>
      </c>
      <c r="J74" s="7" t="s">
        <v>31</v>
      </c>
      <c r="K74" s="7" t="str">
        <f>CONCATENATE("")</f>
        <v/>
      </c>
      <c r="L74" s="7" t="str">
        <f>CONCATENATE("10 10.1 4a")</f>
        <v>10 10.1 4a</v>
      </c>
      <c r="M74" s="7" t="str">
        <f>CONCATENATE("02706580426")</f>
        <v>02706580426</v>
      </c>
      <c r="N74" s="7" t="s">
        <v>165</v>
      </c>
      <c r="O74" s="7" t="s">
        <v>69</v>
      </c>
      <c r="P74" s="8">
        <v>44336</v>
      </c>
      <c r="Q74" s="7" t="s">
        <v>32</v>
      </c>
      <c r="R74" s="7" t="s">
        <v>40</v>
      </c>
      <c r="S74" s="7" t="s">
        <v>34</v>
      </c>
      <c r="T74" s="7"/>
      <c r="U74" s="7" t="s">
        <v>35</v>
      </c>
      <c r="V74" s="7">
        <v>300</v>
      </c>
      <c r="W74" s="7">
        <v>129.36000000000001</v>
      </c>
      <c r="X74" s="7">
        <v>119.46</v>
      </c>
      <c r="Y74" s="7">
        <v>0</v>
      </c>
      <c r="Z74" s="7">
        <v>51.18</v>
      </c>
    </row>
    <row r="75" spans="1:26" x14ac:dyDescent="0.35">
      <c r="A75" s="7" t="s">
        <v>27</v>
      </c>
      <c r="B75" s="7" t="s">
        <v>43</v>
      </c>
      <c r="C75" s="7" t="s">
        <v>48</v>
      </c>
      <c r="D75" s="7" t="s">
        <v>49</v>
      </c>
      <c r="E75" s="7" t="s">
        <v>39</v>
      </c>
      <c r="F75" s="7" t="s">
        <v>66</v>
      </c>
      <c r="G75" s="7">
        <v>2020</v>
      </c>
      <c r="H75" s="7" t="str">
        <f>CONCATENATE("04240203945")</f>
        <v>04240203945</v>
      </c>
      <c r="I75" s="7" t="s">
        <v>30</v>
      </c>
      <c r="J75" s="7" t="s">
        <v>31</v>
      </c>
      <c r="K75" s="7" t="str">
        <f>CONCATENATE("")</f>
        <v/>
      </c>
      <c r="L75" s="7" t="str">
        <f>CONCATENATE("10 10.1 4a")</f>
        <v>10 10.1 4a</v>
      </c>
      <c r="M75" s="7" t="str">
        <f>CONCATENATE("00735960437")</f>
        <v>00735960437</v>
      </c>
      <c r="N75" s="7" t="s">
        <v>166</v>
      </c>
      <c r="O75" s="7" t="s">
        <v>69</v>
      </c>
      <c r="P75" s="8">
        <v>44336</v>
      </c>
      <c r="Q75" s="7" t="s">
        <v>32</v>
      </c>
      <c r="R75" s="7" t="s">
        <v>40</v>
      </c>
      <c r="S75" s="7" t="s">
        <v>34</v>
      </c>
      <c r="T75" s="7"/>
      <c r="U75" s="7" t="s">
        <v>35</v>
      </c>
      <c r="V75" s="7">
        <v>54.55</v>
      </c>
      <c r="W75" s="7">
        <v>23.52</v>
      </c>
      <c r="X75" s="7">
        <v>21.72</v>
      </c>
      <c r="Y75" s="7">
        <v>0</v>
      </c>
      <c r="Z75" s="7">
        <v>9.31</v>
      </c>
    </row>
    <row r="76" spans="1:26" x14ac:dyDescent="0.35">
      <c r="A76" s="7" t="s">
        <v>27</v>
      </c>
      <c r="B76" s="7" t="s">
        <v>43</v>
      </c>
      <c r="C76" s="7" t="s">
        <v>48</v>
      </c>
      <c r="D76" s="7" t="s">
        <v>49</v>
      </c>
      <c r="E76" s="7" t="s">
        <v>39</v>
      </c>
      <c r="F76" s="7" t="s">
        <v>53</v>
      </c>
      <c r="G76" s="7">
        <v>2020</v>
      </c>
      <c r="H76" s="7" t="str">
        <f>CONCATENATE("04240351561")</f>
        <v>04240351561</v>
      </c>
      <c r="I76" s="7" t="s">
        <v>30</v>
      </c>
      <c r="J76" s="7" t="s">
        <v>31</v>
      </c>
      <c r="K76" s="7" t="str">
        <f>CONCATENATE("")</f>
        <v/>
      </c>
      <c r="L76" s="7" t="str">
        <f>CONCATENATE("10 10.1 4a")</f>
        <v>10 10.1 4a</v>
      </c>
      <c r="M76" s="7" t="str">
        <f>CONCATENATE("01914550437")</f>
        <v>01914550437</v>
      </c>
      <c r="N76" s="7" t="s">
        <v>167</v>
      </c>
      <c r="O76" s="7" t="s">
        <v>69</v>
      </c>
      <c r="P76" s="8">
        <v>44336</v>
      </c>
      <c r="Q76" s="7" t="s">
        <v>32</v>
      </c>
      <c r="R76" s="7" t="s">
        <v>40</v>
      </c>
      <c r="S76" s="7" t="s">
        <v>34</v>
      </c>
      <c r="T76" s="7"/>
      <c r="U76" s="7" t="s">
        <v>35</v>
      </c>
      <c r="V76" s="9">
        <v>11744.54</v>
      </c>
      <c r="W76" s="9">
        <v>5064.25</v>
      </c>
      <c r="X76" s="9">
        <v>4676.68</v>
      </c>
      <c r="Y76" s="7">
        <v>0</v>
      </c>
      <c r="Z76" s="9">
        <v>2003.61</v>
      </c>
    </row>
    <row r="77" spans="1:26" x14ac:dyDescent="0.35">
      <c r="A77" s="7" t="s">
        <v>27</v>
      </c>
      <c r="B77" s="7" t="s">
        <v>43</v>
      </c>
      <c r="C77" s="7" t="s">
        <v>48</v>
      </c>
      <c r="D77" s="7" t="s">
        <v>49</v>
      </c>
      <c r="E77" s="7" t="s">
        <v>39</v>
      </c>
      <c r="F77" s="7" t="s">
        <v>168</v>
      </c>
      <c r="G77" s="7">
        <v>2020</v>
      </c>
      <c r="H77" s="7" t="str">
        <f>CONCATENATE("04240944431")</f>
        <v>04240944431</v>
      </c>
      <c r="I77" s="7" t="s">
        <v>30</v>
      </c>
      <c r="J77" s="7" t="s">
        <v>31</v>
      </c>
      <c r="K77" s="7" t="str">
        <f>CONCATENATE("")</f>
        <v/>
      </c>
      <c r="L77" s="7" t="str">
        <f>CONCATENATE("10 10.1 4a")</f>
        <v>10 10.1 4a</v>
      </c>
      <c r="M77" s="7" t="str">
        <f>CONCATENATE("CPRMRS64T59F552X")</f>
        <v>CPRMRS64T59F552X</v>
      </c>
      <c r="N77" s="7" t="s">
        <v>169</v>
      </c>
      <c r="O77" s="7" t="s">
        <v>69</v>
      </c>
      <c r="P77" s="8">
        <v>44336</v>
      </c>
      <c r="Q77" s="7" t="s">
        <v>32</v>
      </c>
      <c r="R77" s="7" t="s">
        <v>40</v>
      </c>
      <c r="S77" s="7" t="s">
        <v>34</v>
      </c>
      <c r="T77" s="7"/>
      <c r="U77" s="7" t="s">
        <v>35</v>
      </c>
      <c r="V77" s="7">
        <v>730.32</v>
      </c>
      <c r="W77" s="7">
        <v>314.91000000000003</v>
      </c>
      <c r="X77" s="7">
        <v>290.81</v>
      </c>
      <c r="Y77" s="7">
        <v>0</v>
      </c>
      <c r="Z77" s="7">
        <v>124.6</v>
      </c>
    </row>
    <row r="78" spans="1:26" x14ac:dyDescent="0.35">
      <c r="A78" s="7" t="s">
        <v>27</v>
      </c>
      <c r="B78" s="7" t="s">
        <v>43</v>
      </c>
      <c r="C78" s="7" t="s">
        <v>48</v>
      </c>
      <c r="D78" s="7" t="s">
        <v>78</v>
      </c>
      <c r="E78" s="7" t="s">
        <v>39</v>
      </c>
      <c r="F78" s="7" t="s">
        <v>124</v>
      </c>
      <c r="G78" s="7">
        <v>2020</v>
      </c>
      <c r="H78" s="7" t="str">
        <f>CONCATENATE("04240730699")</f>
        <v>04240730699</v>
      </c>
      <c r="I78" s="7" t="s">
        <v>30</v>
      </c>
      <c r="J78" s="7" t="s">
        <v>31</v>
      </c>
      <c r="K78" s="7" t="str">
        <f>CONCATENATE("")</f>
        <v/>
      </c>
      <c r="L78" s="7" t="str">
        <f>CONCATENATE("10 10.1 4a")</f>
        <v>10 10.1 4a</v>
      </c>
      <c r="M78" s="7" t="str">
        <f>CONCATENATE("CRUMRZ74E14G516C")</f>
        <v>CRUMRZ74E14G516C</v>
      </c>
      <c r="N78" s="7" t="s">
        <v>170</v>
      </c>
      <c r="O78" s="7" t="s">
        <v>69</v>
      </c>
      <c r="P78" s="8">
        <v>44336</v>
      </c>
      <c r="Q78" s="7" t="s">
        <v>32</v>
      </c>
      <c r="R78" s="7" t="s">
        <v>40</v>
      </c>
      <c r="S78" s="7" t="s">
        <v>34</v>
      </c>
      <c r="T78" s="7"/>
      <c r="U78" s="7" t="s">
        <v>35</v>
      </c>
      <c r="V78" s="9">
        <v>1762.87</v>
      </c>
      <c r="W78" s="7">
        <v>760.15</v>
      </c>
      <c r="X78" s="7">
        <v>701.97</v>
      </c>
      <c r="Y78" s="7">
        <v>0</v>
      </c>
      <c r="Z78" s="7">
        <v>300.75</v>
      </c>
    </row>
    <row r="79" spans="1:26" x14ac:dyDescent="0.35">
      <c r="A79" s="7" t="s">
        <v>27</v>
      </c>
      <c r="B79" s="7" t="s">
        <v>43</v>
      </c>
      <c r="C79" s="7" t="s">
        <v>48</v>
      </c>
      <c r="D79" s="7" t="s">
        <v>55</v>
      </c>
      <c r="E79" s="7" t="s">
        <v>39</v>
      </c>
      <c r="F79" s="7" t="s">
        <v>83</v>
      </c>
      <c r="G79" s="7">
        <v>2020</v>
      </c>
      <c r="H79" s="7" t="str">
        <f>CONCATENATE("04241317348")</f>
        <v>04241317348</v>
      </c>
      <c r="I79" s="7" t="s">
        <v>30</v>
      </c>
      <c r="J79" s="7" t="s">
        <v>31</v>
      </c>
      <c r="K79" s="7" t="str">
        <f>CONCATENATE("")</f>
        <v/>
      </c>
      <c r="L79" s="7" t="str">
        <f>CONCATENATE("10 10.1 4a")</f>
        <v>10 10.1 4a</v>
      </c>
      <c r="M79" s="7" t="str">
        <f>CONCATENATE("SBBLCU79L21E388P")</f>
        <v>SBBLCU79L21E388P</v>
      </c>
      <c r="N79" s="7" t="s">
        <v>171</v>
      </c>
      <c r="O79" s="7" t="s">
        <v>69</v>
      </c>
      <c r="P79" s="8">
        <v>44336</v>
      </c>
      <c r="Q79" s="7" t="s">
        <v>32</v>
      </c>
      <c r="R79" s="7" t="s">
        <v>40</v>
      </c>
      <c r="S79" s="7" t="s">
        <v>34</v>
      </c>
      <c r="T79" s="7"/>
      <c r="U79" s="7" t="s">
        <v>35</v>
      </c>
      <c r="V79" s="9">
        <v>1772.32</v>
      </c>
      <c r="W79" s="7">
        <v>764.22</v>
      </c>
      <c r="X79" s="7">
        <v>705.74</v>
      </c>
      <c r="Y79" s="7">
        <v>0</v>
      </c>
      <c r="Z79" s="7">
        <v>302.36</v>
      </c>
    </row>
    <row r="80" spans="1:26" x14ac:dyDescent="0.35">
      <c r="A80" s="7" t="s">
        <v>27</v>
      </c>
      <c r="B80" s="7" t="s">
        <v>43</v>
      </c>
      <c r="C80" s="7" t="s">
        <v>48</v>
      </c>
      <c r="D80" s="7" t="s">
        <v>55</v>
      </c>
      <c r="E80" s="7" t="s">
        <v>39</v>
      </c>
      <c r="F80" s="7" t="s">
        <v>83</v>
      </c>
      <c r="G80" s="7">
        <v>2020</v>
      </c>
      <c r="H80" s="7" t="str">
        <f>CONCATENATE("04241317330")</f>
        <v>04241317330</v>
      </c>
      <c r="I80" s="7" t="s">
        <v>30</v>
      </c>
      <c r="J80" s="7" t="s">
        <v>31</v>
      </c>
      <c r="K80" s="7" t="str">
        <f>CONCATENATE("")</f>
        <v/>
      </c>
      <c r="L80" s="7" t="str">
        <f>CONCATENATE("10 10.1 4a")</f>
        <v>10 10.1 4a</v>
      </c>
      <c r="M80" s="7" t="str">
        <f>CONCATENATE("SBBLCU79L21E388P")</f>
        <v>SBBLCU79L21E388P</v>
      </c>
      <c r="N80" s="7" t="s">
        <v>171</v>
      </c>
      <c r="O80" s="7" t="s">
        <v>69</v>
      </c>
      <c r="P80" s="8">
        <v>44336</v>
      </c>
      <c r="Q80" s="7" t="s">
        <v>32</v>
      </c>
      <c r="R80" s="7" t="s">
        <v>40</v>
      </c>
      <c r="S80" s="7" t="s">
        <v>34</v>
      </c>
      <c r="T80" s="7"/>
      <c r="U80" s="7" t="s">
        <v>35</v>
      </c>
      <c r="V80" s="9">
        <v>3055.88</v>
      </c>
      <c r="W80" s="9">
        <v>1317.7</v>
      </c>
      <c r="X80" s="9">
        <v>1216.8499999999999</v>
      </c>
      <c r="Y80" s="7">
        <v>0</v>
      </c>
      <c r="Z80" s="7">
        <v>521.33000000000004</v>
      </c>
    </row>
    <row r="81" spans="1:26" x14ac:dyDescent="0.35">
      <c r="A81" s="7" t="s">
        <v>27</v>
      </c>
      <c r="B81" s="7" t="s">
        <v>28</v>
      </c>
      <c r="C81" s="7" t="s">
        <v>48</v>
      </c>
      <c r="D81" s="7" t="s">
        <v>55</v>
      </c>
      <c r="E81" s="7" t="s">
        <v>29</v>
      </c>
      <c r="F81" s="7" t="s">
        <v>29</v>
      </c>
      <c r="G81" s="7">
        <v>2017</v>
      </c>
      <c r="H81" s="7" t="str">
        <f>CONCATENATE("14270142574")</f>
        <v>14270142574</v>
      </c>
      <c r="I81" s="7" t="s">
        <v>30</v>
      </c>
      <c r="J81" s="7" t="s">
        <v>31</v>
      </c>
      <c r="K81" s="7" t="str">
        <f>CONCATENATE("")</f>
        <v/>
      </c>
      <c r="L81" s="7" t="str">
        <f>CONCATENATE("6 6.4 2a")</f>
        <v>6 6.4 2a</v>
      </c>
      <c r="M81" s="7" t="str">
        <f>CONCATENATE("02709490425")</f>
        <v>02709490425</v>
      </c>
      <c r="N81" s="7" t="s">
        <v>172</v>
      </c>
      <c r="O81" s="7" t="s">
        <v>173</v>
      </c>
      <c r="P81" s="8">
        <v>44337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84817.79</v>
      </c>
      <c r="W81" s="9">
        <v>36573.43</v>
      </c>
      <c r="X81" s="9">
        <v>33774.44</v>
      </c>
      <c r="Y81" s="7">
        <v>0</v>
      </c>
      <c r="Z81" s="9">
        <v>14469.92</v>
      </c>
    </row>
    <row r="82" spans="1:26" ht="17.5" x14ac:dyDescent="0.35">
      <c r="A82" s="7" t="s">
        <v>27</v>
      </c>
      <c r="B82" s="7" t="s">
        <v>28</v>
      </c>
      <c r="C82" s="7" t="s">
        <v>48</v>
      </c>
      <c r="D82" s="7" t="s">
        <v>55</v>
      </c>
      <c r="E82" s="7" t="s">
        <v>41</v>
      </c>
      <c r="F82" s="7" t="s">
        <v>74</v>
      </c>
      <c r="G82" s="7">
        <v>2017</v>
      </c>
      <c r="H82" s="7" t="str">
        <f>CONCATENATE("14270148241")</f>
        <v>14270148241</v>
      </c>
      <c r="I82" s="7" t="s">
        <v>30</v>
      </c>
      <c r="J82" s="7" t="s">
        <v>31</v>
      </c>
      <c r="K82" s="7" t="str">
        <f>CONCATENATE("")</f>
        <v/>
      </c>
      <c r="L82" s="7" t="str">
        <f>CONCATENATE("4 4.1 2a")</f>
        <v>4 4.1 2a</v>
      </c>
      <c r="M82" s="7" t="str">
        <f>CONCATENATE("02707770422")</f>
        <v>02707770422</v>
      </c>
      <c r="N82" s="7" t="s">
        <v>174</v>
      </c>
      <c r="O82" s="7" t="s">
        <v>142</v>
      </c>
      <c r="P82" s="8">
        <v>44337</v>
      </c>
      <c r="Q82" s="7" t="s">
        <v>32</v>
      </c>
      <c r="R82" s="7" t="s">
        <v>40</v>
      </c>
      <c r="S82" s="7" t="s">
        <v>34</v>
      </c>
      <c r="T82" s="7"/>
      <c r="U82" s="7" t="s">
        <v>35</v>
      </c>
      <c r="V82" s="9">
        <v>9700.69</v>
      </c>
      <c r="W82" s="9">
        <v>4182.9399999999996</v>
      </c>
      <c r="X82" s="9">
        <v>3862.81</v>
      </c>
      <c r="Y82" s="7">
        <v>0</v>
      </c>
      <c r="Z82" s="9">
        <v>1654.94</v>
      </c>
    </row>
    <row r="83" spans="1:26" x14ac:dyDescent="0.35">
      <c r="A83" s="7" t="s">
        <v>27</v>
      </c>
      <c r="B83" s="7" t="s">
        <v>28</v>
      </c>
      <c r="C83" s="7" t="s">
        <v>48</v>
      </c>
      <c r="D83" s="7" t="s">
        <v>78</v>
      </c>
      <c r="E83" s="7" t="s">
        <v>39</v>
      </c>
      <c r="F83" s="7" t="s">
        <v>124</v>
      </c>
      <c r="G83" s="7">
        <v>2017</v>
      </c>
      <c r="H83" s="7" t="str">
        <f>CONCATENATE("14270148274")</f>
        <v>14270148274</v>
      </c>
      <c r="I83" s="7" t="s">
        <v>30</v>
      </c>
      <c r="J83" s="7" t="s">
        <v>31</v>
      </c>
      <c r="K83" s="7" t="str">
        <f>CONCATENATE("")</f>
        <v/>
      </c>
      <c r="L83" s="7" t="str">
        <f>CONCATENATE("4 4.1 2a")</f>
        <v>4 4.1 2a</v>
      </c>
      <c r="M83" s="7" t="str">
        <f>CONCATENATE("SGLTMS65L14G516Q")</f>
        <v>SGLTMS65L14G516Q</v>
      </c>
      <c r="N83" s="7" t="s">
        <v>175</v>
      </c>
      <c r="O83" s="7" t="s">
        <v>142</v>
      </c>
      <c r="P83" s="8">
        <v>44337</v>
      </c>
      <c r="Q83" s="7" t="s">
        <v>32</v>
      </c>
      <c r="R83" s="7" t="s">
        <v>40</v>
      </c>
      <c r="S83" s="7" t="s">
        <v>34</v>
      </c>
      <c r="T83" s="7"/>
      <c r="U83" s="7" t="s">
        <v>35</v>
      </c>
      <c r="V83" s="9">
        <v>16134</v>
      </c>
      <c r="W83" s="9">
        <v>6956.98</v>
      </c>
      <c r="X83" s="9">
        <v>6424.56</v>
      </c>
      <c r="Y83" s="7">
        <v>0</v>
      </c>
      <c r="Z83" s="9">
        <v>2752.46</v>
      </c>
    </row>
    <row r="84" spans="1:26" ht="17.5" x14ac:dyDescent="0.35">
      <c r="A84" s="7" t="s">
        <v>27</v>
      </c>
      <c r="B84" s="7" t="s">
        <v>43</v>
      </c>
      <c r="C84" s="7" t="s">
        <v>48</v>
      </c>
      <c r="D84" s="7" t="s">
        <v>49</v>
      </c>
      <c r="E84" s="7" t="s">
        <v>36</v>
      </c>
      <c r="F84" s="7" t="s">
        <v>176</v>
      </c>
      <c r="G84" s="7">
        <v>2018</v>
      </c>
      <c r="H84" s="7" t="str">
        <f>CONCATENATE("84780067983")</f>
        <v>84780067983</v>
      </c>
      <c r="I84" s="7" t="s">
        <v>30</v>
      </c>
      <c r="J84" s="7" t="s">
        <v>46</v>
      </c>
      <c r="K84" s="7" t="str">
        <f>CONCATENATE("221")</f>
        <v>221</v>
      </c>
      <c r="L84" s="7" t="str">
        <f>CONCATENATE("8 8.1 5e")</f>
        <v>8 8.1 5e</v>
      </c>
      <c r="M84" s="7" t="str">
        <f>CONCATENATE("02635350404")</f>
        <v>02635350404</v>
      </c>
      <c r="N84" s="7" t="s">
        <v>177</v>
      </c>
      <c r="O84" s="7" t="s">
        <v>178</v>
      </c>
      <c r="P84" s="8">
        <v>44340</v>
      </c>
      <c r="Q84" s="7" t="s">
        <v>32</v>
      </c>
      <c r="R84" s="7" t="s">
        <v>40</v>
      </c>
      <c r="S84" s="7" t="s">
        <v>34</v>
      </c>
      <c r="T84" s="7"/>
      <c r="U84" s="7" t="s">
        <v>35</v>
      </c>
      <c r="V84" s="9">
        <v>10406.030000000001</v>
      </c>
      <c r="W84" s="9">
        <v>4487.08</v>
      </c>
      <c r="X84" s="9">
        <v>4143.68</v>
      </c>
      <c r="Y84" s="7">
        <v>0</v>
      </c>
      <c r="Z84" s="9">
        <v>1775.27</v>
      </c>
    </row>
    <row r="85" spans="1:26" x14ac:dyDescent="0.35">
      <c r="A85" s="7" t="s">
        <v>27</v>
      </c>
      <c r="B85" s="7" t="s">
        <v>28</v>
      </c>
      <c r="C85" s="7" t="s">
        <v>48</v>
      </c>
      <c r="D85" s="7" t="s">
        <v>78</v>
      </c>
      <c r="E85" s="7" t="s">
        <v>44</v>
      </c>
      <c r="F85" s="7" t="s">
        <v>138</v>
      </c>
      <c r="G85" s="7">
        <v>2017</v>
      </c>
      <c r="H85" s="7" t="str">
        <f>CONCATENATE("14270141766")</f>
        <v>14270141766</v>
      </c>
      <c r="I85" s="7" t="s">
        <v>30</v>
      </c>
      <c r="J85" s="7" t="s">
        <v>31</v>
      </c>
      <c r="K85" s="7" t="str">
        <f>CONCATENATE("")</f>
        <v/>
      </c>
      <c r="L85" s="7" t="str">
        <f>CONCATENATE("4 4.1 2a")</f>
        <v>4 4.1 2a</v>
      </c>
      <c r="M85" s="7" t="str">
        <f>CONCATENATE("CPCSMN71L23H769A")</f>
        <v>CPCSMN71L23H769A</v>
      </c>
      <c r="N85" s="7" t="s">
        <v>179</v>
      </c>
      <c r="O85" s="7" t="s">
        <v>180</v>
      </c>
      <c r="P85" s="8">
        <v>44336</v>
      </c>
      <c r="Q85" s="7" t="s">
        <v>32</v>
      </c>
      <c r="R85" s="7" t="s">
        <v>40</v>
      </c>
      <c r="S85" s="7" t="s">
        <v>34</v>
      </c>
      <c r="T85" s="7"/>
      <c r="U85" s="7" t="s">
        <v>35</v>
      </c>
      <c r="V85" s="9">
        <v>69059.820000000007</v>
      </c>
      <c r="W85" s="9">
        <v>29778.59</v>
      </c>
      <c r="X85" s="9">
        <v>27499.62</v>
      </c>
      <c r="Y85" s="7">
        <v>0</v>
      </c>
      <c r="Z85" s="9">
        <v>11781.61</v>
      </c>
    </row>
    <row r="86" spans="1:26" x14ac:dyDescent="0.35">
      <c r="A86" s="7" t="s">
        <v>27</v>
      </c>
      <c r="B86" s="7" t="s">
        <v>28</v>
      </c>
      <c r="C86" s="7" t="s">
        <v>48</v>
      </c>
      <c r="D86" s="7" t="s">
        <v>55</v>
      </c>
      <c r="E86" s="7" t="s">
        <v>41</v>
      </c>
      <c r="F86" s="7" t="s">
        <v>181</v>
      </c>
      <c r="G86" s="7">
        <v>2017</v>
      </c>
      <c r="H86" s="7" t="str">
        <f>CONCATENATE("94270174785")</f>
        <v>94270174785</v>
      </c>
      <c r="I86" s="7" t="s">
        <v>30</v>
      </c>
      <c r="J86" s="7" t="s">
        <v>31</v>
      </c>
      <c r="K86" s="7" t="str">
        <f>CONCATENATE("")</f>
        <v/>
      </c>
      <c r="L86" s="7" t="str">
        <f>CONCATENATE("6 6.4 2a")</f>
        <v>6 6.4 2a</v>
      </c>
      <c r="M86" s="7" t="str">
        <f>CONCATENATE("CSGSNO96T49D451R")</f>
        <v>CSGSNO96T49D451R</v>
      </c>
      <c r="N86" s="7" t="s">
        <v>182</v>
      </c>
      <c r="O86" s="7" t="s">
        <v>183</v>
      </c>
      <c r="P86" s="8">
        <v>44337</v>
      </c>
      <c r="Q86" s="7" t="s">
        <v>32</v>
      </c>
      <c r="R86" s="7" t="s">
        <v>40</v>
      </c>
      <c r="S86" s="7" t="s">
        <v>34</v>
      </c>
      <c r="T86" s="7"/>
      <c r="U86" s="7" t="s">
        <v>35</v>
      </c>
      <c r="V86" s="9">
        <v>48432.28</v>
      </c>
      <c r="W86" s="9">
        <v>20884</v>
      </c>
      <c r="X86" s="9">
        <v>19285.73</v>
      </c>
      <c r="Y86" s="7">
        <v>0</v>
      </c>
      <c r="Z86" s="9">
        <v>8262.5499999999993</v>
      </c>
    </row>
    <row r="87" spans="1:26" x14ac:dyDescent="0.35">
      <c r="A87" s="7" t="s">
        <v>27</v>
      </c>
      <c r="B87" s="7" t="s">
        <v>43</v>
      </c>
      <c r="C87" s="7" t="s">
        <v>48</v>
      </c>
      <c r="D87" s="7" t="s">
        <v>55</v>
      </c>
      <c r="E87" s="7" t="s">
        <v>41</v>
      </c>
      <c r="F87" s="7" t="s">
        <v>161</v>
      </c>
      <c r="G87" s="7">
        <v>2017</v>
      </c>
      <c r="H87" s="7" t="str">
        <f>CONCATENATE("74780059171")</f>
        <v>74780059171</v>
      </c>
      <c r="I87" s="7" t="s">
        <v>37</v>
      </c>
      <c r="J87" s="7" t="s">
        <v>46</v>
      </c>
      <c r="K87" s="7" t="str">
        <f>CONCATENATE("221")</f>
        <v>221</v>
      </c>
      <c r="L87" s="7" t="str">
        <f>CONCATENATE("8 8.1 5e")</f>
        <v>8 8.1 5e</v>
      </c>
      <c r="M87" s="7" t="str">
        <f>CONCATENATE("SNGNNA45M46I608K")</f>
        <v>SNGNNA45M46I608K</v>
      </c>
      <c r="N87" s="7" t="s">
        <v>184</v>
      </c>
      <c r="O87" s="7" t="s">
        <v>159</v>
      </c>
      <c r="P87" s="8">
        <v>44340</v>
      </c>
      <c r="Q87" s="7" t="s">
        <v>32</v>
      </c>
      <c r="R87" s="7" t="s">
        <v>40</v>
      </c>
      <c r="S87" s="7" t="s">
        <v>34</v>
      </c>
      <c r="T87" s="7"/>
      <c r="U87" s="7" t="s">
        <v>35</v>
      </c>
      <c r="V87" s="7">
        <v>634.79999999999995</v>
      </c>
      <c r="W87" s="7">
        <v>273.73</v>
      </c>
      <c r="X87" s="7">
        <v>252.78</v>
      </c>
      <c r="Y87" s="7">
        <v>0</v>
      </c>
      <c r="Z87" s="7">
        <v>108.29</v>
      </c>
    </row>
    <row r="88" spans="1:26" x14ac:dyDescent="0.35">
      <c r="A88" s="7" t="s">
        <v>27</v>
      </c>
      <c r="B88" s="7" t="s">
        <v>43</v>
      </c>
      <c r="C88" s="7" t="s">
        <v>48</v>
      </c>
      <c r="D88" s="7" t="s">
        <v>55</v>
      </c>
      <c r="E88" s="7" t="s">
        <v>39</v>
      </c>
      <c r="F88" s="7" t="s">
        <v>185</v>
      </c>
      <c r="G88" s="7">
        <v>2017</v>
      </c>
      <c r="H88" s="7" t="str">
        <f>CONCATENATE("74780068297")</f>
        <v>74780068297</v>
      </c>
      <c r="I88" s="7" t="s">
        <v>30</v>
      </c>
      <c r="J88" s="7" t="s">
        <v>46</v>
      </c>
      <c r="K88" s="7" t="str">
        <f>CONCATENATE("221")</f>
        <v>221</v>
      </c>
      <c r="L88" s="7" t="str">
        <f>CONCATENATE("8 8.1 5e")</f>
        <v>8 8.1 5e</v>
      </c>
      <c r="M88" s="7" t="str">
        <f>CONCATENATE("MNTDOA54D64B474U")</f>
        <v>MNTDOA54D64B474U</v>
      </c>
      <c r="N88" s="7" t="s">
        <v>186</v>
      </c>
      <c r="O88" s="7" t="s">
        <v>159</v>
      </c>
      <c r="P88" s="8">
        <v>44340</v>
      </c>
      <c r="Q88" s="7" t="s">
        <v>32</v>
      </c>
      <c r="R88" s="7" t="s">
        <v>40</v>
      </c>
      <c r="S88" s="7" t="s">
        <v>34</v>
      </c>
      <c r="T88" s="7"/>
      <c r="U88" s="7" t="s">
        <v>35</v>
      </c>
      <c r="V88" s="7">
        <v>283.5</v>
      </c>
      <c r="W88" s="7">
        <v>122.25</v>
      </c>
      <c r="X88" s="7">
        <v>112.89</v>
      </c>
      <c r="Y88" s="7">
        <v>0</v>
      </c>
      <c r="Z88" s="7">
        <v>48.36</v>
      </c>
    </row>
    <row r="89" spans="1:26" x14ac:dyDescent="0.35">
      <c r="A89" s="7" t="s">
        <v>27</v>
      </c>
      <c r="B89" s="7" t="s">
        <v>43</v>
      </c>
      <c r="C89" s="7" t="s">
        <v>48</v>
      </c>
      <c r="D89" s="7" t="s">
        <v>55</v>
      </c>
      <c r="E89" s="7" t="s">
        <v>39</v>
      </c>
      <c r="F89" s="7" t="s">
        <v>185</v>
      </c>
      <c r="G89" s="7">
        <v>2017</v>
      </c>
      <c r="H89" s="7" t="str">
        <f>CONCATENATE("74780066044")</f>
        <v>74780066044</v>
      </c>
      <c r="I89" s="7" t="s">
        <v>30</v>
      </c>
      <c r="J89" s="7" t="s">
        <v>46</v>
      </c>
      <c r="K89" s="7" t="str">
        <f>CONCATENATE("221")</f>
        <v>221</v>
      </c>
      <c r="L89" s="7" t="str">
        <f>CONCATENATE("8 8.1 5e")</f>
        <v>8 8.1 5e</v>
      </c>
      <c r="M89" s="7" t="str">
        <f>CONCATENATE("SCRMLE63B66I653M")</f>
        <v>SCRMLE63B66I653M</v>
      </c>
      <c r="N89" s="7" t="s">
        <v>187</v>
      </c>
      <c r="O89" s="7" t="s">
        <v>159</v>
      </c>
      <c r="P89" s="8">
        <v>44340</v>
      </c>
      <c r="Q89" s="7" t="s">
        <v>32</v>
      </c>
      <c r="R89" s="7" t="s">
        <v>40</v>
      </c>
      <c r="S89" s="7" t="s">
        <v>34</v>
      </c>
      <c r="T89" s="7"/>
      <c r="U89" s="7" t="s">
        <v>35</v>
      </c>
      <c r="V89" s="7">
        <v>95.98</v>
      </c>
      <c r="W89" s="7">
        <v>41.39</v>
      </c>
      <c r="X89" s="7">
        <v>38.22</v>
      </c>
      <c r="Y89" s="7">
        <v>0</v>
      </c>
      <c r="Z89" s="7">
        <v>16.37</v>
      </c>
    </row>
    <row r="90" spans="1:26" ht="17.5" x14ac:dyDescent="0.35">
      <c r="A90" s="7" t="s">
        <v>27</v>
      </c>
      <c r="B90" s="7" t="s">
        <v>43</v>
      </c>
      <c r="C90" s="7" t="s">
        <v>48</v>
      </c>
      <c r="D90" s="7" t="s">
        <v>49</v>
      </c>
      <c r="E90" s="7" t="s">
        <v>39</v>
      </c>
      <c r="F90" s="7" t="s">
        <v>168</v>
      </c>
      <c r="G90" s="7">
        <v>2020</v>
      </c>
      <c r="H90" s="7" t="str">
        <f>CONCATENATE("04780029528")</f>
        <v>04780029528</v>
      </c>
      <c r="I90" s="7" t="s">
        <v>30</v>
      </c>
      <c r="J90" s="7" t="s">
        <v>46</v>
      </c>
      <c r="K90" s="7" t="str">
        <f>CONCATENATE("221")</f>
        <v>221</v>
      </c>
      <c r="L90" s="7" t="str">
        <f>CONCATENATE("8 8.1 5e")</f>
        <v>8 8.1 5e</v>
      </c>
      <c r="M90" s="7" t="str">
        <f>CONCATENATE("01222480434")</f>
        <v>01222480434</v>
      </c>
      <c r="N90" s="7" t="s">
        <v>188</v>
      </c>
      <c r="O90" s="7" t="s">
        <v>189</v>
      </c>
      <c r="P90" s="8">
        <v>44340</v>
      </c>
      <c r="Q90" s="7" t="s">
        <v>32</v>
      </c>
      <c r="R90" s="7" t="s">
        <v>40</v>
      </c>
      <c r="S90" s="7" t="s">
        <v>34</v>
      </c>
      <c r="T90" s="7"/>
      <c r="U90" s="7" t="s">
        <v>35</v>
      </c>
      <c r="V90" s="7">
        <v>39</v>
      </c>
      <c r="W90" s="7">
        <v>16.82</v>
      </c>
      <c r="X90" s="7">
        <v>15.53</v>
      </c>
      <c r="Y90" s="7">
        <v>0</v>
      </c>
      <c r="Z90" s="7">
        <v>6.65</v>
      </c>
    </row>
    <row r="91" spans="1:26" x14ac:dyDescent="0.35">
      <c r="A91" s="7" t="s">
        <v>27</v>
      </c>
      <c r="B91" s="7" t="s">
        <v>43</v>
      </c>
      <c r="C91" s="7" t="s">
        <v>48</v>
      </c>
      <c r="D91" s="7" t="s">
        <v>49</v>
      </c>
      <c r="E91" s="7" t="s">
        <v>42</v>
      </c>
      <c r="F91" s="7" t="s">
        <v>190</v>
      </c>
      <c r="G91" s="7">
        <v>2020</v>
      </c>
      <c r="H91" s="7" t="str">
        <f>CONCATENATE("04780035699")</f>
        <v>04780035699</v>
      </c>
      <c r="I91" s="7" t="s">
        <v>30</v>
      </c>
      <c r="J91" s="7" t="s">
        <v>46</v>
      </c>
      <c r="K91" s="7" t="str">
        <f>CONCATENATE("221")</f>
        <v>221</v>
      </c>
      <c r="L91" s="7" t="str">
        <f>CONCATENATE("8 8.1 5e")</f>
        <v>8 8.1 5e</v>
      </c>
      <c r="M91" s="7" t="str">
        <f>CONCATENATE("MSCGLN58T29I156U")</f>
        <v>MSCGLN58T29I156U</v>
      </c>
      <c r="N91" s="7" t="s">
        <v>191</v>
      </c>
      <c r="O91" s="7" t="s">
        <v>189</v>
      </c>
      <c r="P91" s="8">
        <v>44340</v>
      </c>
      <c r="Q91" s="7" t="s">
        <v>32</v>
      </c>
      <c r="R91" s="7" t="s">
        <v>40</v>
      </c>
      <c r="S91" s="7" t="s">
        <v>34</v>
      </c>
      <c r="T91" s="7"/>
      <c r="U91" s="7" t="s">
        <v>35</v>
      </c>
      <c r="V91" s="7">
        <v>124.88</v>
      </c>
      <c r="W91" s="7">
        <v>53.85</v>
      </c>
      <c r="X91" s="7">
        <v>49.73</v>
      </c>
      <c r="Y91" s="7">
        <v>0</v>
      </c>
      <c r="Z91" s="7">
        <v>21.3</v>
      </c>
    </row>
    <row r="92" spans="1:26" x14ac:dyDescent="0.35">
      <c r="A92" s="7" t="s">
        <v>27</v>
      </c>
      <c r="B92" s="7" t="s">
        <v>43</v>
      </c>
      <c r="C92" s="7" t="s">
        <v>48</v>
      </c>
      <c r="D92" s="7" t="s">
        <v>49</v>
      </c>
      <c r="E92" s="7" t="s">
        <v>42</v>
      </c>
      <c r="F92" s="7" t="s">
        <v>192</v>
      </c>
      <c r="G92" s="7">
        <v>2020</v>
      </c>
      <c r="H92" s="7" t="str">
        <f>CONCATENATE("04780044337")</f>
        <v>04780044337</v>
      </c>
      <c r="I92" s="7" t="s">
        <v>30</v>
      </c>
      <c r="J92" s="7" t="s">
        <v>46</v>
      </c>
      <c r="K92" s="7" t="str">
        <f>CONCATENATE("221")</f>
        <v>221</v>
      </c>
      <c r="L92" s="7" t="str">
        <f>CONCATENATE("8 8.1 5e")</f>
        <v>8 8.1 5e</v>
      </c>
      <c r="M92" s="7" t="str">
        <f>CONCATENATE("PRNMLA35P60C704C")</f>
        <v>PRNMLA35P60C704C</v>
      </c>
      <c r="N92" s="7" t="s">
        <v>193</v>
      </c>
      <c r="O92" s="7" t="s">
        <v>189</v>
      </c>
      <c r="P92" s="8">
        <v>44340</v>
      </c>
      <c r="Q92" s="7" t="s">
        <v>32</v>
      </c>
      <c r="R92" s="7" t="s">
        <v>40</v>
      </c>
      <c r="S92" s="7" t="s">
        <v>34</v>
      </c>
      <c r="T92" s="7"/>
      <c r="U92" s="7" t="s">
        <v>35</v>
      </c>
      <c r="V92" s="9">
        <v>1129.5999999999999</v>
      </c>
      <c r="W92" s="7">
        <v>487.08</v>
      </c>
      <c r="X92" s="7">
        <v>449.81</v>
      </c>
      <c r="Y92" s="7">
        <v>0</v>
      </c>
      <c r="Z92" s="7">
        <v>192.71</v>
      </c>
    </row>
    <row r="93" spans="1:26" x14ac:dyDescent="0.35">
      <c r="A93" s="7" t="s">
        <v>27</v>
      </c>
      <c r="B93" s="7" t="s">
        <v>43</v>
      </c>
      <c r="C93" s="7" t="s">
        <v>48</v>
      </c>
      <c r="D93" s="7" t="s">
        <v>49</v>
      </c>
      <c r="E93" s="7" t="s">
        <v>42</v>
      </c>
      <c r="F93" s="7" t="s">
        <v>190</v>
      </c>
      <c r="G93" s="7">
        <v>2020</v>
      </c>
      <c r="H93" s="7" t="str">
        <f>CONCATENATE("04780045268")</f>
        <v>04780045268</v>
      </c>
      <c r="I93" s="7" t="s">
        <v>30</v>
      </c>
      <c r="J93" s="7" t="s">
        <v>46</v>
      </c>
      <c r="K93" s="7" t="str">
        <f>CONCATENATE("221")</f>
        <v>221</v>
      </c>
      <c r="L93" s="7" t="str">
        <f>CONCATENATE("8 8.1 5e")</f>
        <v>8 8.1 5e</v>
      </c>
      <c r="M93" s="7" t="str">
        <f>CONCATENATE("MNTNDN44M15I156V")</f>
        <v>MNTNDN44M15I156V</v>
      </c>
      <c r="N93" s="7" t="s">
        <v>194</v>
      </c>
      <c r="O93" s="7" t="s">
        <v>189</v>
      </c>
      <c r="P93" s="8">
        <v>44340</v>
      </c>
      <c r="Q93" s="7" t="s">
        <v>32</v>
      </c>
      <c r="R93" s="7" t="s">
        <v>40</v>
      </c>
      <c r="S93" s="7" t="s">
        <v>34</v>
      </c>
      <c r="T93" s="7"/>
      <c r="U93" s="7" t="s">
        <v>35</v>
      </c>
      <c r="V93" s="7">
        <v>106.5</v>
      </c>
      <c r="W93" s="7">
        <v>45.92</v>
      </c>
      <c r="X93" s="7">
        <v>42.41</v>
      </c>
      <c r="Y93" s="7">
        <v>0</v>
      </c>
      <c r="Z93" s="7">
        <v>18.170000000000002</v>
      </c>
    </row>
    <row r="94" spans="1:26" x14ac:dyDescent="0.35">
      <c r="A94" s="7" t="s">
        <v>27</v>
      </c>
      <c r="B94" s="7" t="s">
        <v>43</v>
      </c>
      <c r="C94" s="7" t="s">
        <v>48</v>
      </c>
      <c r="D94" s="7" t="s">
        <v>55</v>
      </c>
      <c r="E94" s="7" t="s">
        <v>42</v>
      </c>
      <c r="F94" s="7" t="s">
        <v>100</v>
      </c>
      <c r="G94" s="7">
        <v>2020</v>
      </c>
      <c r="H94" s="7" t="str">
        <f>CONCATENATE("04780045367")</f>
        <v>04780045367</v>
      </c>
      <c r="I94" s="7" t="s">
        <v>30</v>
      </c>
      <c r="J94" s="7" t="s">
        <v>46</v>
      </c>
      <c r="K94" s="7" t="str">
        <f>CONCATENATE("221")</f>
        <v>221</v>
      </c>
      <c r="L94" s="7" t="str">
        <f>CONCATENATE("8 8.1 5e")</f>
        <v>8 8.1 5e</v>
      </c>
      <c r="M94" s="7" t="str">
        <f>CONCATENATE("FLNNTN65C22L174N")</f>
        <v>FLNNTN65C22L174N</v>
      </c>
      <c r="N94" s="7" t="s">
        <v>195</v>
      </c>
      <c r="O94" s="7" t="s">
        <v>189</v>
      </c>
      <c r="P94" s="8">
        <v>44340</v>
      </c>
      <c r="Q94" s="7" t="s">
        <v>32</v>
      </c>
      <c r="R94" s="7" t="s">
        <v>40</v>
      </c>
      <c r="S94" s="7" t="s">
        <v>34</v>
      </c>
      <c r="T94" s="7"/>
      <c r="U94" s="7" t="s">
        <v>35</v>
      </c>
      <c r="V94" s="9">
        <v>1255.5</v>
      </c>
      <c r="W94" s="7">
        <v>541.37</v>
      </c>
      <c r="X94" s="7">
        <v>499.94</v>
      </c>
      <c r="Y94" s="7">
        <v>0</v>
      </c>
      <c r="Z94" s="7">
        <v>214.19</v>
      </c>
    </row>
    <row r="95" spans="1:26" x14ac:dyDescent="0.35">
      <c r="A95" s="7" t="s">
        <v>27</v>
      </c>
      <c r="B95" s="7" t="s">
        <v>43</v>
      </c>
      <c r="C95" s="7" t="s">
        <v>48</v>
      </c>
      <c r="D95" s="7" t="s">
        <v>49</v>
      </c>
      <c r="E95" s="7" t="s">
        <v>42</v>
      </c>
      <c r="F95" s="7" t="s">
        <v>60</v>
      </c>
      <c r="G95" s="7">
        <v>2020</v>
      </c>
      <c r="H95" s="7" t="str">
        <f>CONCATENATE("04780022549")</f>
        <v>04780022549</v>
      </c>
      <c r="I95" s="7" t="s">
        <v>30</v>
      </c>
      <c r="J95" s="7" t="s">
        <v>46</v>
      </c>
      <c r="K95" s="7" t="str">
        <f>CONCATENATE("221")</f>
        <v>221</v>
      </c>
      <c r="L95" s="7" t="str">
        <f>CONCATENATE("8 8.1 5e")</f>
        <v>8 8.1 5e</v>
      </c>
      <c r="M95" s="7" t="str">
        <f>CONCATENATE("BGGFNC56L05H876C")</f>
        <v>BGGFNC56L05H876C</v>
      </c>
      <c r="N95" s="7" t="s">
        <v>196</v>
      </c>
      <c r="O95" s="7" t="s">
        <v>189</v>
      </c>
      <c r="P95" s="8">
        <v>44340</v>
      </c>
      <c r="Q95" s="7" t="s">
        <v>32</v>
      </c>
      <c r="R95" s="7" t="s">
        <v>40</v>
      </c>
      <c r="S95" s="7" t="s">
        <v>34</v>
      </c>
      <c r="T95" s="7"/>
      <c r="U95" s="7" t="s">
        <v>35</v>
      </c>
      <c r="V95" s="7">
        <v>659.95</v>
      </c>
      <c r="W95" s="7">
        <v>284.57</v>
      </c>
      <c r="X95" s="7">
        <v>262.79000000000002</v>
      </c>
      <c r="Y95" s="7">
        <v>0</v>
      </c>
      <c r="Z95" s="7">
        <v>112.59</v>
      </c>
    </row>
    <row r="96" spans="1:26" x14ac:dyDescent="0.35">
      <c r="A96" s="7" t="s">
        <v>27</v>
      </c>
      <c r="B96" s="7" t="s">
        <v>43</v>
      </c>
      <c r="C96" s="7" t="s">
        <v>48</v>
      </c>
      <c r="D96" s="7" t="s">
        <v>49</v>
      </c>
      <c r="E96" s="7" t="s">
        <v>36</v>
      </c>
      <c r="F96" s="7" t="s">
        <v>197</v>
      </c>
      <c r="G96" s="7">
        <v>2020</v>
      </c>
      <c r="H96" s="7" t="str">
        <f>CONCATENATE("04780024511")</f>
        <v>04780024511</v>
      </c>
      <c r="I96" s="7" t="s">
        <v>30</v>
      </c>
      <c r="J96" s="7" t="s">
        <v>46</v>
      </c>
      <c r="K96" s="7" t="str">
        <f>CONCATENATE("221")</f>
        <v>221</v>
      </c>
      <c r="L96" s="7" t="str">
        <f>CONCATENATE("8 8.1 5e")</f>
        <v>8 8.1 5e</v>
      </c>
      <c r="M96" s="7" t="str">
        <f>CONCATENATE("GSPWTR51R09C100F")</f>
        <v>GSPWTR51R09C100F</v>
      </c>
      <c r="N96" s="7" t="s">
        <v>198</v>
      </c>
      <c r="O96" s="7" t="s">
        <v>189</v>
      </c>
      <c r="P96" s="8">
        <v>44340</v>
      </c>
      <c r="Q96" s="7" t="s">
        <v>32</v>
      </c>
      <c r="R96" s="7" t="s">
        <v>40</v>
      </c>
      <c r="S96" s="7" t="s">
        <v>34</v>
      </c>
      <c r="T96" s="7"/>
      <c r="U96" s="7" t="s">
        <v>35</v>
      </c>
      <c r="V96" s="7">
        <v>300</v>
      </c>
      <c r="W96" s="7">
        <v>129.36000000000001</v>
      </c>
      <c r="X96" s="7">
        <v>119.46</v>
      </c>
      <c r="Y96" s="7">
        <v>0</v>
      </c>
      <c r="Z96" s="7">
        <v>51.18</v>
      </c>
    </row>
    <row r="97" spans="1:26" x14ac:dyDescent="0.35">
      <c r="A97" s="7" t="s">
        <v>27</v>
      </c>
      <c r="B97" s="7" t="s">
        <v>43</v>
      </c>
      <c r="C97" s="7" t="s">
        <v>48</v>
      </c>
      <c r="D97" s="7" t="s">
        <v>49</v>
      </c>
      <c r="E97" s="7" t="s">
        <v>45</v>
      </c>
      <c r="F97" s="7" t="s">
        <v>114</v>
      </c>
      <c r="G97" s="7">
        <v>2020</v>
      </c>
      <c r="H97" s="7" t="str">
        <f>CONCATENATE("04780017028")</f>
        <v>04780017028</v>
      </c>
      <c r="I97" s="7" t="s">
        <v>30</v>
      </c>
      <c r="J97" s="7" t="s">
        <v>46</v>
      </c>
      <c r="K97" s="7" t="str">
        <f>CONCATENATE("221")</f>
        <v>221</v>
      </c>
      <c r="L97" s="7" t="str">
        <f>CONCATENATE("8 8.1 5e")</f>
        <v>8 8.1 5e</v>
      </c>
      <c r="M97" s="7" t="str">
        <f>CONCATENATE("PSCLNZ92D23I156T")</f>
        <v>PSCLNZ92D23I156T</v>
      </c>
      <c r="N97" s="7" t="s">
        <v>199</v>
      </c>
      <c r="O97" s="7" t="s">
        <v>189</v>
      </c>
      <c r="P97" s="8">
        <v>44340</v>
      </c>
      <c r="Q97" s="7" t="s">
        <v>32</v>
      </c>
      <c r="R97" s="7" t="s">
        <v>40</v>
      </c>
      <c r="S97" s="7" t="s">
        <v>34</v>
      </c>
      <c r="T97" s="7"/>
      <c r="U97" s="7" t="s">
        <v>35</v>
      </c>
      <c r="V97" s="7">
        <v>106.5</v>
      </c>
      <c r="W97" s="7">
        <v>45.92</v>
      </c>
      <c r="X97" s="7">
        <v>42.41</v>
      </c>
      <c r="Y97" s="7">
        <v>0</v>
      </c>
      <c r="Z97" s="7">
        <v>18.170000000000002</v>
      </c>
    </row>
    <row r="98" spans="1:26" x14ac:dyDescent="0.35">
      <c r="A98" s="7" t="s">
        <v>27</v>
      </c>
      <c r="B98" s="7" t="s">
        <v>43</v>
      </c>
      <c r="C98" s="7" t="s">
        <v>48</v>
      </c>
      <c r="D98" s="7" t="s">
        <v>49</v>
      </c>
      <c r="E98" s="7" t="s">
        <v>36</v>
      </c>
      <c r="F98" s="7" t="s">
        <v>107</v>
      </c>
      <c r="G98" s="7">
        <v>2020</v>
      </c>
      <c r="H98" s="7" t="str">
        <f>CONCATENATE("04780037703")</f>
        <v>04780037703</v>
      </c>
      <c r="I98" s="7" t="s">
        <v>30</v>
      </c>
      <c r="J98" s="7" t="s">
        <v>46</v>
      </c>
      <c r="K98" s="7" t="str">
        <f>CONCATENATE("221")</f>
        <v>221</v>
      </c>
      <c r="L98" s="7" t="str">
        <f>CONCATENATE("8 8.1 5e")</f>
        <v>8 8.1 5e</v>
      </c>
      <c r="M98" s="7" t="str">
        <f>CONCATENATE("SVRMSM77L04E690N")</f>
        <v>SVRMSM77L04E690N</v>
      </c>
      <c r="N98" s="7" t="s">
        <v>200</v>
      </c>
      <c r="O98" s="7" t="s">
        <v>189</v>
      </c>
      <c r="P98" s="8">
        <v>44340</v>
      </c>
      <c r="Q98" s="7" t="s">
        <v>32</v>
      </c>
      <c r="R98" s="7" t="s">
        <v>40</v>
      </c>
      <c r="S98" s="7" t="s">
        <v>34</v>
      </c>
      <c r="T98" s="7"/>
      <c r="U98" s="7" t="s">
        <v>35</v>
      </c>
      <c r="V98" s="7">
        <v>510</v>
      </c>
      <c r="W98" s="7">
        <v>219.91</v>
      </c>
      <c r="X98" s="7">
        <v>203.08</v>
      </c>
      <c r="Y98" s="7">
        <v>0</v>
      </c>
      <c r="Z98" s="7">
        <v>87.01</v>
      </c>
    </row>
    <row r="99" spans="1:26" x14ac:dyDescent="0.35">
      <c r="A99" s="7" t="s">
        <v>27</v>
      </c>
      <c r="B99" s="7" t="s">
        <v>43</v>
      </c>
      <c r="C99" s="7" t="s">
        <v>48</v>
      </c>
      <c r="D99" s="7" t="s">
        <v>78</v>
      </c>
      <c r="E99" s="7" t="s">
        <v>41</v>
      </c>
      <c r="F99" s="7" t="s">
        <v>201</v>
      </c>
      <c r="G99" s="7">
        <v>2020</v>
      </c>
      <c r="H99" s="7" t="str">
        <f>CONCATENATE("04780020121")</f>
        <v>04780020121</v>
      </c>
      <c r="I99" s="7" t="s">
        <v>30</v>
      </c>
      <c r="J99" s="7" t="s">
        <v>46</v>
      </c>
      <c r="K99" s="7" t="str">
        <f>CONCATENATE("221")</f>
        <v>221</v>
      </c>
      <c r="L99" s="7" t="str">
        <f>CONCATENATE("8 8.1 5e")</f>
        <v>8 8.1 5e</v>
      </c>
      <c r="M99" s="7" t="str">
        <f>CONCATENATE("MRCCLR53A62C331Z")</f>
        <v>MRCCLR53A62C331Z</v>
      </c>
      <c r="N99" s="7" t="s">
        <v>202</v>
      </c>
      <c r="O99" s="7" t="s">
        <v>189</v>
      </c>
      <c r="P99" s="8">
        <v>44340</v>
      </c>
      <c r="Q99" s="7" t="s">
        <v>32</v>
      </c>
      <c r="R99" s="7" t="s">
        <v>40</v>
      </c>
      <c r="S99" s="7" t="s">
        <v>34</v>
      </c>
      <c r="T99" s="7"/>
      <c r="U99" s="7" t="s">
        <v>35</v>
      </c>
      <c r="V99" s="7">
        <v>312</v>
      </c>
      <c r="W99" s="7">
        <v>134.53</v>
      </c>
      <c r="X99" s="7">
        <v>124.24</v>
      </c>
      <c r="Y99" s="7">
        <v>0</v>
      </c>
      <c r="Z99" s="7">
        <v>53.23</v>
      </c>
    </row>
    <row r="100" spans="1:26" x14ac:dyDescent="0.35">
      <c r="A100" s="7" t="s">
        <v>27</v>
      </c>
      <c r="B100" s="7" t="s">
        <v>43</v>
      </c>
      <c r="C100" s="7" t="s">
        <v>48</v>
      </c>
      <c r="D100" s="7" t="s">
        <v>78</v>
      </c>
      <c r="E100" s="7" t="s">
        <v>39</v>
      </c>
      <c r="F100" s="7" t="s">
        <v>124</v>
      </c>
      <c r="G100" s="7">
        <v>2020</v>
      </c>
      <c r="H100" s="7" t="str">
        <f>CONCATENATE("04780043719")</f>
        <v>04780043719</v>
      </c>
      <c r="I100" s="7" t="s">
        <v>30</v>
      </c>
      <c r="J100" s="7" t="s">
        <v>46</v>
      </c>
      <c r="K100" s="7" t="str">
        <f>CONCATENATE("221")</f>
        <v>221</v>
      </c>
      <c r="L100" s="7" t="str">
        <f>CONCATENATE("8 8.1 5e")</f>
        <v>8 8.1 5e</v>
      </c>
      <c r="M100" s="7" t="str">
        <f>CONCATENATE("TMPPRN47S26F549X")</f>
        <v>TMPPRN47S26F549X</v>
      </c>
      <c r="N100" s="7" t="s">
        <v>203</v>
      </c>
      <c r="O100" s="7" t="s">
        <v>189</v>
      </c>
      <c r="P100" s="8">
        <v>44340</v>
      </c>
      <c r="Q100" s="7" t="s">
        <v>32</v>
      </c>
      <c r="R100" s="7" t="s">
        <v>40</v>
      </c>
      <c r="S100" s="7" t="s">
        <v>34</v>
      </c>
      <c r="T100" s="7"/>
      <c r="U100" s="7" t="s">
        <v>35</v>
      </c>
      <c r="V100" s="7">
        <v>151.5</v>
      </c>
      <c r="W100" s="7">
        <v>65.33</v>
      </c>
      <c r="X100" s="7">
        <v>60.33</v>
      </c>
      <c r="Y100" s="7">
        <v>0</v>
      </c>
      <c r="Z100" s="7">
        <v>25.84</v>
      </c>
    </row>
    <row r="101" spans="1:26" x14ac:dyDescent="0.35">
      <c r="A101" s="7" t="s">
        <v>27</v>
      </c>
      <c r="B101" s="7" t="s">
        <v>43</v>
      </c>
      <c r="C101" s="7" t="s">
        <v>48</v>
      </c>
      <c r="D101" s="7" t="s">
        <v>49</v>
      </c>
      <c r="E101" s="7" t="s">
        <v>39</v>
      </c>
      <c r="F101" s="7" t="s">
        <v>96</v>
      </c>
      <c r="G101" s="7">
        <v>2020</v>
      </c>
      <c r="H101" s="7" t="str">
        <f>CONCATENATE("04780043115")</f>
        <v>04780043115</v>
      </c>
      <c r="I101" s="7" t="s">
        <v>30</v>
      </c>
      <c r="J101" s="7" t="s">
        <v>46</v>
      </c>
      <c r="K101" s="7" t="str">
        <f>CONCATENATE("221")</f>
        <v>221</v>
      </c>
      <c r="L101" s="7" t="str">
        <f>CONCATENATE("8 8.1 5e")</f>
        <v>8 8.1 5e</v>
      </c>
      <c r="M101" s="7" t="str">
        <f>CONCATENATE("01593570433")</f>
        <v>01593570433</v>
      </c>
      <c r="N101" s="7" t="s">
        <v>204</v>
      </c>
      <c r="O101" s="7" t="s">
        <v>189</v>
      </c>
      <c r="P101" s="8">
        <v>44340</v>
      </c>
      <c r="Q101" s="7" t="s">
        <v>32</v>
      </c>
      <c r="R101" s="7" t="s">
        <v>40</v>
      </c>
      <c r="S101" s="7" t="s">
        <v>34</v>
      </c>
      <c r="T101" s="7"/>
      <c r="U101" s="7" t="s">
        <v>35</v>
      </c>
      <c r="V101" s="7">
        <v>868.5</v>
      </c>
      <c r="W101" s="7">
        <v>374.5</v>
      </c>
      <c r="X101" s="7">
        <v>345.84</v>
      </c>
      <c r="Y101" s="7">
        <v>0</v>
      </c>
      <c r="Z101" s="7">
        <v>148.16</v>
      </c>
    </row>
    <row r="102" spans="1:26" x14ac:dyDescent="0.35">
      <c r="A102" s="7" t="s">
        <v>27</v>
      </c>
      <c r="B102" s="7" t="s">
        <v>43</v>
      </c>
      <c r="C102" s="7" t="s">
        <v>48</v>
      </c>
      <c r="D102" s="7" t="s">
        <v>49</v>
      </c>
      <c r="E102" s="7" t="s">
        <v>39</v>
      </c>
      <c r="F102" s="7" t="s">
        <v>205</v>
      </c>
      <c r="G102" s="7">
        <v>2020</v>
      </c>
      <c r="H102" s="7" t="str">
        <f>CONCATENATE("04780021780")</f>
        <v>04780021780</v>
      </c>
      <c r="I102" s="7" t="s">
        <v>30</v>
      </c>
      <c r="J102" s="7" t="s">
        <v>46</v>
      </c>
      <c r="K102" s="7" t="str">
        <f>CONCATENATE("221")</f>
        <v>221</v>
      </c>
      <c r="L102" s="7" t="str">
        <f>CONCATENATE("8 8.1 5e")</f>
        <v>8 8.1 5e</v>
      </c>
      <c r="M102" s="7" t="str">
        <f>CONCATENATE("PSSCTN33C70I156J")</f>
        <v>PSSCTN33C70I156J</v>
      </c>
      <c r="N102" s="7" t="s">
        <v>206</v>
      </c>
      <c r="O102" s="7" t="s">
        <v>189</v>
      </c>
      <c r="P102" s="8">
        <v>44340</v>
      </c>
      <c r="Q102" s="7" t="s">
        <v>32</v>
      </c>
      <c r="R102" s="7" t="s">
        <v>40</v>
      </c>
      <c r="S102" s="7" t="s">
        <v>34</v>
      </c>
      <c r="T102" s="7"/>
      <c r="U102" s="7" t="s">
        <v>35</v>
      </c>
      <c r="V102" s="7">
        <v>76.5</v>
      </c>
      <c r="W102" s="7">
        <v>32.99</v>
      </c>
      <c r="X102" s="7">
        <v>30.46</v>
      </c>
      <c r="Y102" s="7">
        <v>0</v>
      </c>
      <c r="Z102" s="7">
        <v>13.05</v>
      </c>
    </row>
    <row r="103" spans="1:26" x14ac:dyDescent="0.35">
      <c r="A103" s="7" t="s">
        <v>27</v>
      </c>
      <c r="B103" s="7" t="s">
        <v>43</v>
      </c>
      <c r="C103" s="7" t="s">
        <v>48</v>
      </c>
      <c r="D103" s="7" t="s">
        <v>49</v>
      </c>
      <c r="E103" s="7" t="s">
        <v>39</v>
      </c>
      <c r="F103" s="7" t="s">
        <v>205</v>
      </c>
      <c r="G103" s="7">
        <v>2020</v>
      </c>
      <c r="H103" s="7" t="str">
        <f>CONCATENATE("04780021822")</f>
        <v>04780021822</v>
      </c>
      <c r="I103" s="7" t="s">
        <v>37</v>
      </c>
      <c r="J103" s="7" t="s">
        <v>46</v>
      </c>
      <c r="K103" s="7" t="str">
        <f>CONCATENATE("221")</f>
        <v>221</v>
      </c>
      <c r="L103" s="7" t="str">
        <f>CONCATENATE("8 8.1 5e")</f>
        <v>8 8.1 5e</v>
      </c>
      <c r="M103" s="7" t="str">
        <f>CONCATENATE("00904950433")</f>
        <v>00904950433</v>
      </c>
      <c r="N103" s="7" t="s">
        <v>207</v>
      </c>
      <c r="O103" s="7" t="s">
        <v>189</v>
      </c>
      <c r="P103" s="8">
        <v>44340</v>
      </c>
      <c r="Q103" s="7" t="s">
        <v>32</v>
      </c>
      <c r="R103" s="7" t="s">
        <v>40</v>
      </c>
      <c r="S103" s="7" t="s">
        <v>34</v>
      </c>
      <c r="T103" s="7"/>
      <c r="U103" s="7" t="s">
        <v>35</v>
      </c>
      <c r="V103" s="9">
        <v>2056.9499999999998</v>
      </c>
      <c r="W103" s="7">
        <v>886.96</v>
      </c>
      <c r="X103" s="7">
        <v>819.08</v>
      </c>
      <c r="Y103" s="7">
        <v>0</v>
      </c>
      <c r="Z103" s="7">
        <v>350.91</v>
      </c>
    </row>
    <row r="104" spans="1:26" x14ac:dyDescent="0.35">
      <c r="A104" s="7" t="s">
        <v>27</v>
      </c>
      <c r="B104" s="7" t="s">
        <v>28</v>
      </c>
      <c r="C104" s="7" t="s">
        <v>48</v>
      </c>
      <c r="D104" s="7" t="s">
        <v>55</v>
      </c>
      <c r="E104" s="7" t="s">
        <v>29</v>
      </c>
      <c r="F104" s="7" t="s">
        <v>29</v>
      </c>
      <c r="G104" s="7">
        <v>2017</v>
      </c>
      <c r="H104" s="7" t="str">
        <f>CONCATENATE("04270233218")</f>
        <v>04270233218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CONCATENATE("1 1.1 2a")</f>
        <v>1 1.1 2a</v>
      </c>
      <c r="M104" s="7" t="str">
        <f>CONCATENATE("01493050429")</f>
        <v>01493050429</v>
      </c>
      <c r="N104" s="7" t="s">
        <v>208</v>
      </c>
      <c r="O104" s="7" t="s">
        <v>209</v>
      </c>
      <c r="P104" s="8">
        <v>44337</v>
      </c>
      <c r="Q104" s="7" t="s">
        <v>32</v>
      </c>
      <c r="R104" s="7" t="s">
        <v>40</v>
      </c>
      <c r="S104" s="7" t="s">
        <v>34</v>
      </c>
      <c r="T104" s="7"/>
      <c r="U104" s="7" t="s">
        <v>35</v>
      </c>
      <c r="V104" s="9">
        <v>13356</v>
      </c>
      <c r="W104" s="9">
        <v>5759.11</v>
      </c>
      <c r="X104" s="9">
        <v>5318.36</v>
      </c>
      <c r="Y104" s="7">
        <v>0</v>
      </c>
      <c r="Z104" s="9">
        <v>2278.5300000000002</v>
      </c>
    </row>
    <row r="105" spans="1:26" x14ac:dyDescent="0.35">
      <c r="A105" s="7" t="s">
        <v>27</v>
      </c>
      <c r="B105" s="7" t="s">
        <v>28</v>
      </c>
      <c r="C105" s="7" t="s">
        <v>48</v>
      </c>
      <c r="D105" s="7" t="s">
        <v>55</v>
      </c>
      <c r="E105" s="7" t="s">
        <v>29</v>
      </c>
      <c r="F105" s="7" t="s">
        <v>29</v>
      </c>
      <c r="G105" s="7">
        <v>2017</v>
      </c>
      <c r="H105" s="7" t="str">
        <f>CONCATENATE("04270233200")</f>
        <v>04270233200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 1.1 2a")</f>
        <v>1 1.1 2a</v>
      </c>
      <c r="M105" s="7" t="str">
        <f>CONCATENATE("01493050429")</f>
        <v>01493050429</v>
      </c>
      <c r="N105" s="7" t="s">
        <v>208</v>
      </c>
      <c r="O105" s="7" t="s">
        <v>209</v>
      </c>
      <c r="P105" s="8">
        <v>44337</v>
      </c>
      <c r="Q105" s="7" t="s">
        <v>32</v>
      </c>
      <c r="R105" s="7" t="s">
        <v>40</v>
      </c>
      <c r="S105" s="7" t="s">
        <v>34</v>
      </c>
      <c r="T105" s="7"/>
      <c r="U105" s="7" t="s">
        <v>35</v>
      </c>
      <c r="V105" s="9">
        <v>13356</v>
      </c>
      <c r="W105" s="9">
        <v>5759.11</v>
      </c>
      <c r="X105" s="9">
        <v>5318.36</v>
      </c>
      <c r="Y105" s="7">
        <v>0</v>
      </c>
      <c r="Z105" s="9">
        <v>2278.5300000000002</v>
      </c>
    </row>
    <row r="106" spans="1:26" x14ac:dyDescent="0.35">
      <c r="A106" s="7" t="s">
        <v>27</v>
      </c>
      <c r="B106" s="7" t="s">
        <v>28</v>
      </c>
      <c r="C106" s="7" t="s">
        <v>48</v>
      </c>
      <c r="D106" s="7" t="s">
        <v>48</v>
      </c>
      <c r="E106" s="7" t="s">
        <v>29</v>
      </c>
      <c r="F106" s="7" t="s">
        <v>29</v>
      </c>
      <c r="G106" s="7">
        <v>2017</v>
      </c>
      <c r="H106" s="7" t="str">
        <f>CONCATENATE("04270233291")</f>
        <v>04270233291</v>
      </c>
      <c r="I106" s="7" t="s">
        <v>37</v>
      </c>
      <c r="J106" s="7" t="s">
        <v>31</v>
      </c>
      <c r="K106" s="7" t="str">
        <f>CONCATENATE("")</f>
        <v/>
      </c>
      <c r="L106" s="7" t="str">
        <f>CONCATENATE("19 19.2 6b")</f>
        <v>19 19.2 6b</v>
      </c>
      <c r="M106" s="7" t="str">
        <f>CONCATENATE("02384010449")</f>
        <v>02384010449</v>
      </c>
      <c r="N106" s="7" t="s">
        <v>210</v>
      </c>
      <c r="O106" s="7" t="s">
        <v>211</v>
      </c>
      <c r="P106" s="8">
        <v>44337</v>
      </c>
      <c r="Q106" s="7" t="s">
        <v>32</v>
      </c>
      <c r="R106" s="7" t="s">
        <v>40</v>
      </c>
      <c r="S106" s="7" t="s">
        <v>34</v>
      </c>
      <c r="T106" s="7"/>
      <c r="U106" s="7" t="s">
        <v>35</v>
      </c>
      <c r="V106" s="9">
        <v>20000</v>
      </c>
      <c r="W106" s="9">
        <v>8624</v>
      </c>
      <c r="X106" s="9">
        <v>7964</v>
      </c>
      <c r="Y106" s="7">
        <v>0</v>
      </c>
      <c r="Z106" s="9">
        <v>3412</v>
      </c>
    </row>
    <row r="107" spans="1:26" x14ac:dyDescent="0.35">
      <c r="A107" s="7" t="s">
        <v>27</v>
      </c>
      <c r="B107" s="7" t="s">
        <v>43</v>
      </c>
      <c r="C107" s="7" t="s">
        <v>48</v>
      </c>
      <c r="D107" s="7" t="s">
        <v>78</v>
      </c>
      <c r="E107" s="7" t="s">
        <v>42</v>
      </c>
      <c r="F107" s="7" t="s">
        <v>121</v>
      </c>
      <c r="G107" s="7">
        <v>2020</v>
      </c>
      <c r="H107" s="7" t="str">
        <f>CONCATENATE("04780043222")</f>
        <v>04780043222</v>
      </c>
      <c r="I107" s="7" t="s">
        <v>37</v>
      </c>
      <c r="J107" s="7" t="s">
        <v>46</v>
      </c>
      <c r="K107" s="7" t="str">
        <f>CONCATENATE("221")</f>
        <v>221</v>
      </c>
      <c r="L107" s="7" t="str">
        <f>CONCATENATE("8 8.1 5e")</f>
        <v>8 8.1 5e</v>
      </c>
      <c r="M107" s="7" t="str">
        <f>CONCATENATE("TRBGLN69A19A252M")</f>
        <v>TRBGLN69A19A252M</v>
      </c>
      <c r="N107" s="7" t="s">
        <v>212</v>
      </c>
      <c r="O107" s="7" t="s">
        <v>189</v>
      </c>
      <c r="P107" s="8">
        <v>44340</v>
      </c>
      <c r="Q107" s="7" t="s">
        <v>32</v>
      </c>
      <c r="R107" s="7" t="s">
        <v>40</v>
      </c>
      <c r="S107" s="7" t="s">
        <v>34</v>
      </c>
      <c r="T107" s="7"/>
      <c r="U107" s="7" t="s">
        <v>35</v>
      </c>
      <c r="V107" s="7">
        <v>432.37</v>
      </c>
      <c r="W107" s="7">
        <v>186.44</v>
      </c>
      <c r="X107" s="7">
        <v>172.17</v>
      </c>
      <c r="Y107" s="7">
        <v>0</v>
      </c>
      <c r="Z107" s="7">
        <v>73.760000000000005</v>
      </c>
    </row>
    <row r="108" spans="1:26" x14ac:dyDescent="0.35">
      <c r="A108" s="7" t="s">
        <v>27</v>
      </c>
      <c r="B108" s="7" t="s">
        <v>43</v>
      </c>
      <c r="C108" s="7" t="s">
        <v>48</v>
      </c>
      <c r="D108" s="7" t="s">
        <v>49</v>
      </c>
      <c r="E108" s="7" t="s">
        <v>39</v>
      </c>
      <c r="F108" s="7" t="s">
        <v>66</v>
      </c>
      <c r="G108" s="7">
        <v>2020</v>
      </c>
      <c r="H108" s="7" t="str">
        <f>CONCATENATE("04780034692")</f>
        <v>04780034692</v>
      </c>
      <c r="I108" s="7" t="s">
        <v>30</v>
      </c>
      <c r="J108" s="7" t="s">
        <v>46</v>
      </c>
      <c r="K108" s="7" t="str">
        <f>CONCATENATE("221")</f>
        <v>221</v>
      </c>
      <c r="L108" s="7" t="str">
        <f>CONCATENATE("8 8.1 5e")</f>
        <v>8 8.1 5e</v>
      </c>
      <c r="M108" s="7" t="str">
        <f>CONCATENATE("SBRMLD64L21B474N")</f>
        <v>SBRMLD64L21B474N</v>
      </c>
      <c r="N108" s="7" t="s">
        <v>213</v>
      </c>
      <c r="O108" s="7" t="s">
        <v>189</v>
      </c>
      <c r="P108" s="8">
        <v>44340</v>
      </c>
      <c r="Q108" s="7" t="s">
        <v>32</v>
      </c>
      <c r="R108" s="7" t="s">
        <v>40</v>
      </c>
      <c r="S108" s="7" t="s">
        <v>34</v>
      </c>
      <c r="T108" s="7"/>
      <c r="U108" s="7" t="s">
        <v>35</v>
      </c>
      <c r="V108" s="7">
        <v>145.5</v>
      </c>
      <c r="W108" s="7">
        <v>62.74</v>
      </c>
      <c r="X108" s="7">
        <v>57.94</v>
      </c>
      <c r="Y108" s="7">
        <v>0</v>
      </c>
      <c r="Z108" s="7">
        <v>24.82</v>
      </c>
    </row>
    <row r="109" spans="1:26" x14ac:dyDescent="0.35">
      <c r="A109" s="7" t="s">
        <v>27</v>
      </c>
      <c r="B109" s="7" t="s">
        <v>43</v>
      </c>
      <c r="C109" s="7" t="s">
        <v>48</v>
      </c>
      <c r="D109" s="7" t="s">
        <v>55</v>
      </c>
      <c r="E109" s="7" t="s">
        <v>36</v>
      </c>
      <c r="F109" s="7" t="s">
        <v>107</v>
      </c>
      <c r="G109" s="7">
        <v>2020</v>
      </c>
      <c r="H109" s="7" t="str">
        <f>CONCATENATE("04210839389")</f>
        <v>04210839389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CONCATENATE("12 12.1 4a")</f>
        <v>12 12.1 4a</v>
      </c>
      <c r="M109" s="7" t="str">
        <f>CONCATENATE("02486560408")</f>
        <v>02486560408</v>
      </c>
      <c r="N109" s="7" t="s">
        <v>214</v>
      </c>
      <c r="O109" s="7" t="s">
        <v>215</v>
      </c>
      <c r="P109" s="8">
        <v>44337</v>
      </c>
      <c r="Q109" s="7" t="s">
        <v>32</v>
      </c>
      <c r="R109" s="7" t="s">
        <v>40</v>
      </c>
      <c r="S109" s="7" t="s">
        <v>34</v>
      </c>
      <c r="T109" s="7"/>
      <c r="U109" s="7" t="s">
        <v>35</v>
      </c>
      <c r="V109" s="9">
        <v>3673</v>
      </c>
      <c r="W109" s="9">
        <v>1583.8</v>
      </c>
      <c r="X109" s="9">
        <v>1462.59</v>
      </c>
      <c r="Y109" s="7">
        <v>0</v>
      </c>
      <c r="Z109" s="7">
        <v>626.61</v>
      </c>
    </row>
    <row r="110" spans="1:26" x14ac:dyDescent="0.35">
      <c r="A110" s="7" t="s">
        <v>27</v>
      </c>
      <c r="B110" s="7" t="s">
        <v>43</v>
      </c>
      <c r="C110" s="7" t="s">
        <v>48</v>
      </c>
      <c r="D110" s="7" t="s">
        <v>55</v>
      </c>
      <c r="E110" s="7" t="s">
        <v>41</v>
      </c>
      <c r="F110" s="7" t="s">
        <v>157</v>
      </c>
      <c r="G110" s="7">
        <v>2018</v>
      </c>
      <c r="H110" s="7" t="str">
        <f>CONCATENATE("84780029835")</f>
        <v>84780029835</v>
      </c>
      <c r="I110" s="7" t="s">
        <v>30</v>
      </c>
      <c r="J110" s="7" t="s">
        <v>46</v>
      </c>
      <c r="K110" s="7" t="str">
        <f>CONCATENATE("221")</f>
        <v>221</v>
      </c>
      <c r="L110" s="7" t="str">
        <f>CONCATENATE("8 8.1 5e")</f>
        <v>8 8.1 5e</v>
      </c>
      <c r="M110" s="7" t="str">
        <f>CONCATENATE("CNTVGL64R26D007O")</f>
        <v>CNTVGL64R26D007O</v>
      </c>
      <c r="N110" s="7" t="s">
        <v>216</v>
      </c>
      <c r="O110" s="7" t="s">
        <v>217</v>
      </c>
      <c r="P110" s="8">
        <v>44340</v>
      </c>
      <c r="Q110" s="7" t="s">
        <v>32</v>
      </c>
      <c r="R110" s="7" t="s">
        <v>40</v>
      </c>
      <c r="S110" s="7" t="s">
        <v>34</v>
      </c>
      <c r="T110" s="7"/>
      <c r="U110" s="7" t="s">
        <v>35</v>
      </c>
      <c r="V110" s="7">
        <v>607.5</v>
      </c>
      <c r="W110" s="7">
        <v>261.95</v>
      </c>
      <c r="X110" s="7">
        <v>241.91</v>
      </c>
      <c r="Y110" s="7">
        <v>0</v>
      </c>
      <c r="Z110" s="7">
        <v>103.64</v>
      </c>
    </row>
    <row r="111" spans="1:26" x14ac:dyDescent="0.35">
      <c r="A111" s="7" t="s">
        <v>27</v>
      </c>
      <c r="B111" s="7" t="s">
        <v>43</v>
      </c>
      <c r="C111" s="7" t="s">
        <v>48</v>
      </c>
      <c r="D111" s="7" t="s">
        <v>55</v>
      </c>
      <c r="E111" s="7" t="s">
        <v>39</v>
      </c>
      <c r="F111" s="7" t="s">
        <v>143</v>
      </c>
      <c r="G111" s="7">
        <v>2018</v>
      </c>
      <c r="H111" s="7" t="str">
        <f>CONCATENATE("84780024810")</f>
        <v>84780024810</v>
      </c>
      <c r="I111" s="7" t="s">
        <v>30</v>
      </c>
      <c r="J111" s="7" t="s">
        <v>46</v>
      </c>
      <c r="K111" s="7" t="str">
        <f>CONCATENATE("221")</f>
        <v>221</v>
      </c>
      <c r="L111" s="7" t="str">
        <f>CONCATENATE("8 8.1 5e")</f>
        <v>8 8.1 5e</v>
      </c>
      <c r="M111" s="7" t="str">
        <f>CONCATENATE("MNCFRC76R14D007J")</f>
        <v>MNCFRC76R14D007J</v>
      </c>
      <c r="N111" s="7" t="s">
        <v>218</v>
      </c>
      <c r="O111" s="7" t="s">
        <v>217</v>
      </c>
      <c r="P111" s="8">
        <v>44340</v>
      </c>
      <c r="Q111" s="7" t="s">
        <v>32</v>
      </c>
      <c r="R111" s="7" t="s">
        <v>40</v>
      </c>
      <c r="S111" s="7" t="s">
        <v>34</v>
      </c>
      <c r="T111" s="7"/>
      <c r="U111" s="7" t="s">
        <v>35</v>
      </c>
      <c r="V111" s="7">
        <v>364.8</v>
      </c>
      <c r="W111" s="7">
        <v>157.30000000000001</v>
      </c>
      <c r="X111" s="7">
        <v>145.26</v>
      </c>
      <c r="Y111" s="7">
        <v>0</v>
      </c>
      <c r="Z111" s="7">
        <v>62.24</v>
      </c>
    </row>
    <row r="112" spans="1:26" x14ac:dyDescent="0.35">
      <c r="A112" s="7" t="s">
        <v>27</v>
      </c>
      <c r="B112" s="7" t="s">
        <v>43</v>
      </c>
      <c r="C112" s="7" t="s">
        <v>48</v>
      </c>
      <c r="D112" s="7" t="s">
        <v>55</v>
      </c>
      <c r="E112" s="7" t="s">
        <v>41</v>
      </c>
      <c r="F112" s="7" t="s">
        <v>161</v>
      </c>
      <c r="G112" s="7">
        <v>2018</v>
      </c>
      <c r="H112" s="7" t="str">
        <f>CONCATENATE("84780033852")</f>
        <v>84780033852</v>
      </c>
      <c r="I112" s="7" t="s">
        <v>30</v>
      </c>
      <c r="J112" s="7" t="s">
        <v>46</v>
      </c>
      <c r="K112" s="7" t="str">
        <f>CONCATENATE("221")</f>
        <v>221</v>
      </c>
      <c r="L112" s="7" t="str">
        <f>CONCATENATE("8 8.1 5e")</f>
        <v>8 8.1 5e</v>
      </c>
      <c r="M112" s="7" t="str">
        <f>CONCATENATE("PSRLEI28D13I608X")</f>
        <v>PSRLEI28D13I608X</v>
      </c>
      <c r="N112" s="7" t="s">
        <v>163</v>
      </c>
      <c r="O112" s="7" t="s">
        <v>217</v>
      </c>
      <c r="P112" s="8">
        <v>44340</v>
      </c>
      <c r="Q112" s="7" t="s">
        <v>32</v>
      </c>
      <c r="R112" s="7" t="s">
        <v>40</v>
      </c>
      <c r="S112" s="7" t="s">
        <v>34</v>
      </c>
      <c r="T112" s="7"/>
      <c r="U112" s="7" t="s">
        <v>35</v>
      </c>
      <c r="V112" s="9">
        <v>3018</v>
      </c>
      <c r="W112" s="9">
        <v>1301.3599999999999</v>
      </c>
      <c r="X112" s="9">
        <v>1201.77</v>
      </c>
      <c r="Y112" s="7">
        <v>0</v>
      </c>
      <c r="Z112" s="7">
        <v>514.87</v>
      </c>
    </row>
    <row r="113" spans="1:26" x14ac:dyDescent="0.35">
      <c r="A113" s="7" t="s">
        <v>27</v>
      </c>
      <c r="B113" s="7" t="s">
        <v>28</v>
      </c>
      <c r="C113" s="7" t="s">
        <v>48</v>
      </c>
      <c r="D113" s="7" t="s">
        <v>78</v>
      </c>
      <c r="E113" s="7" t="s">
        <v>39</v>
      </c>
      <c r="F113" s="7" t="s">
        <v>79</v>
      </c>
      <c r="G113" s="7">
        <v>2017</v>
      </c>
      <c r="H113" s="7" t="str">
        <f>CONCATENATE("14270148290")</f>
        <v>14270148290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CONCATENATE("4 4.1 2a")</f>
        <v>4 4.1 2a</v>
      </c>
      <c r="M113" s="7" t="str">
        <f>CONCATENATE("SSTLSS94A02A462G")</f>
        <v>SSTLSS94A02A462G</v>
      </c>
      <c r="N113" s="7" t="s">
        <v>219</v>
      </c>
      <c r="O113" s="7" t="s">
        <v>220</v>
      </c>
      <c r="P113" s="8">
        <v>44340</v>
      </c>
      <c r="Q113" s="7" t="s">
        <v>32</v>
      </c>
      <c r="R113" s="7" t="s">
        <v>38</v>
      </c>
      <c r="S113" s="7" t="s">
        <v>34</v>
      </c>
      <c r="T113" s="7"/>
      <c r="U113" s="7" t="s">
        <v>35</v>
      </c>
      <c r="V113" s="9">
        <v>39400</v>
      </c>
      <c r="W113" s="9">
        <v>16989.28</v>
      </c>
      <c r="X113" s="9">
        <v>15689.08</v>
      </c>
      <c r="Y113" s="7">
        <v>0</v>
      </c>
      <c r="Z113" s="9">
        <v>6721.64</v>
      </c>
    </row>
    <row r="114" spans="1:26" x14ac:dyDescent="0.35">
      <c r="A114" s="7" t="s">
        <v>27</v>
      </c>
      <c r="B114" s="7" t="s">
        <v>43</v>
      </c>
      <c r="C114" s="7" t="s">
        <v>48</v>
      </c>
      <c r="D114" s="7" t="s">
        <v>55</v>
      </c>
      <c r="E114" s="7" t="s">
        <v>39</v>
      </c>
      <c r="F114" s="7" t="s">
        <v>134</v>
      </c>
      <c r="G114" s="7">
        <v>2020</v>
      </c>
      <c r="H114" s="7" t="str">
        <f>CONCATENATE("04780011443")</f>
        <v>04780011443</v>
      </c>
      <c r="I114" s="7" t="s">
        <v>30</v>
      </c>
      <c r="J114" s="7" t="s">
        <v>46</v>
      </c>
      <c r="K114" s="7" t="str">
        <f>CONCATENATE("221")</f>
        <v>221</v>
      </c>
      <c r="L114" s="7" t="str">
        <f>CONCATENATE("8 8.1 5e")</f>
        <v>8 8.1 5e</v>
      </c>
      <c r="M114" s="7" t="str">
        <f>CONCATENATE("MGGFRZ72H26I461X")</f>
        <v>MGGFRZ72H26I461X</v>
      </c>
      <c r="N114" s="7" t="s">
        <v>221</v>
      </c>
      <c r="O114" s="7" t="s">
        <v>222</v>
      </c>
      <c r="P114" s="8">
        <v>44340</v>
      </c>
      <c r="Q114" s="7" t="s">
        <v>32</v>
      </c>
      <c r="R114" s="7" t="s">
        <v>40</v>
      </c>
      <c r="S114" s="7" t="s">
        <v>34</v>
      </c>
      <c r="T114" s="7"/>
      <c r="U114" s="7" t="s">
        <v>35</v>
      </c>
      <c r="V114" s="7">
        <v>90</v>
      </c>
      <c r="W114" s="7">
        <v>38.81</v>
      </c>
      <c r="X114" s="7">
        <v>35.840000000000003</v>
      </c>
      <c r="Y114" s="7">
        <v>0</v>
      </c>
      <c r="Z114" s="7">
        <v>15.35</v>
      </c>
    </row>
    <row r="115" spans="1:26" x14ac:dyDescent="0.35">
      <c r="A115" s="7" t="s">
        <v>27</v>
      </c>
      <c r="B115" s="7" t="s">
        <v>43</v>
      </c>
      <c r="C115" s="7" t="s">
        <v>48</v>
      </c>
      <c r="D115" s="7" t="s">
        <v>55</v>
      </c>
      <c r="E115" s="7" t="s">
        <v>39</v>
      </c>
      <c r="F115" s="7" t="s">
        <v>83</v>
      </c>
      <c r="G115" s="7">
        <v>2020</v>
      </c>
      <c r="H115" s="7" t="str">
        <f>CONCATENATE("04780029486")</f>
        <v>04780029486</v>
      </c>
      <c r="I115" s="7" t="s">
        <v>30</v>
      </c>
      <c r="J115" s="7" t="s">
        <v>46</v>
      </c>
      <c r="K115" s="7" t="str">
        <f>CONCATENATE("221")</f>
        <v>221</v>
      </c>
      <c r="L115" s="7" t="str">
        <f>CONCATENATE("8 8.1 5e")</f>
        <v>8 8.1 5e</v>
      </c>
      <c r="M115" s="7" t="str">
        <f>CONCATENATE("02372530424")</f>
        <v>02372530424</v>
      </c>
      <c r="N115" s="7" t="s">
        <v>148</v>
      </c>
      <c r="O115" s="7" t="s">
        <v>222</v>
      </c>
      <c r="P115" s="8">
        <v>44340</v>
      </c>
      <c r="Q115" s="7" t="s">
        <v>32</v>
      </c>
      <c r="R115" s="7" t="s">
        <v>40</v>
      </c>
      <c r="S115" s="7" t="s">
        <v>34</v>
      </c>
      <c r="T115" s="7"/>
      <c r="U115" s="7" t="s">
        <v>35</v>
      </c>
      <c r="V115" s="9">
        <v>1003.5</v>
      </c>
      <c r="W115" s="7">
        <v>432.71</v>
      </c>
      <c r="X115" s="7">
        <v>399.59</v>
      </c>
      <c r="Y115" s="7">
        <v>0</v>
      </c>
      <c r="Z115" s="7">
        <v>171.2</v>
      </c>
    </row>
    <row r="116" spans="1:26" x14ac:dyDescent="0.35">
      <c r="A116" s="7" t="s">
        <v>27</v>
      </c>
      <c r="B116" s="7" t="s">
        <v>43</v>
      </c>
      <c r="C116" s="7" t="s">
        <v>48</v>
      </c>
      <c r="D116" s="7" t="s">
        <v>55</v>
      </c>
      <c r="E116" s="7" t="s">
        <v>39</v>
      </c>
      <c r="F116" s="7" t="s">
        <v>83</v>
      </c>
      <c r="G116" s="7">
        <v>2020</v>
      </c>
      <c r="H116" s="7" t="str">
        <f>CONCATENATE("04780029643")</f>
        <v>04780029643</v>
      </c>
      <c r="I116" s="7" t="s">
        <v>30</v>
      </c>
      <c r="J116" s="7" t="s">
        <v>46</v>
      </c>
      <c r="K116" s="7" t="str">
        <f>CONCATENATE("221")</f>
        <v>221</v>
      </c>
      <c r="L116" s="7" t="str">
        <f>CONCATENATE("8 8.1 5e")</f>
        <v>8 8.1 5e</v>
      </c>
      <c r="M116" s="7" t="str">
        <f>CONCATENATE("GVNGNN35M21A944F")</f>
        <v>GVNGNN35M21A944F</v>
      </c>
      <c r="N116" s="7" t="s">
        <v>223</v>
      </c>
      <c r="O116" s="7" t="s">
        <v>222</v>
      </c>
      <c r="P116" s="8">
        <v>44340</v>
      </c>
      <c r="Q116" s="7" t="s">
        <v>32</v>
      </c>
      <c r="R116" s="7" t="s">
        <v>40</v>
      </c>
      <c r="S116" s="7" t="s">
        <v>34</v>
      </c>
      <c r="T116" s="7"/>
      <c r="U116" s="7" t="s">
        <v>35</v>
      </c>
      <c r="V116" s="7">
        <v>300</v>
      </c>
      <c r="W116" s="7">
        <v>129.36000000000001</v>
      </c>
      <c r="X116" s="7">
        <v>119.46</v>
      </c>
      <c r="Y116" s="7">
        <v>0</v>
      </c>
      <c r="Z116" s="7">
        <v>51.18</v>
      </c>
    </row>
    <row r="117" spans="1:26" x14ac:dyDescent="0.35">
      <c r="A117" s="7" t="s">
        <v>27</v>
      </c>
      <c r="B117" s="7" t="s">
        <v>43</v>
      </c>
      <c r="C117" s="7" t="s">
        <v>48</v>
      </c>
      <c r="D117" s="7" t="s">
        <v>55</v>
      </c>
      <c r="E117" s="7" t="s">
        <v>41</v>
      </c>
      <c r="F117" s="7" t="s">
        <v>161</v>
      </c>
      <c r="G117" s="7">
        <v>2020</v>
      </c>
      <c r="H117" s="7" t="str">
        <f>CONCATENATE("04780013522")</f>
        <v>04780013522</v>
      </c>
      <c r="I117" s="7" t="s">
        <v>30</v>
      </c>
      <c r="J117" s="7" t="s">
        <v>46</v>
      </c>
      <c r="K117" s="7" t="str">
        <f>CONCATENATE("221")</f>
        <v>221</v>
      </c>
      <c r="L117" s="7" t="str">
        <f>CONCATENATE("8 8.1 5e")</f>
        <v>8 8.1 5e</v>
      </c>
      <c r="M117" s="7" t="str">
        <f>CONCATENATE("GGGMLE89B03I608D")</f>
        <v>GGGMLE89B03I608D</v>
      </c>
      <c r="N117" s="7" t="s">
        <v>224</v>
      </c>
      <c r="O117" s="7" t="s">
        <v>222</v>
      </c>
      <c r="P117" s="8">
        <v>44340</v>
      </c>
      <c r="Q117" s="7" t="s">
        <v>32</v>
      </c>
      <c r="R117" s="7" t="s">
        <v>40</v>
      </c>
      <c r="S117" s="7" t="s">
        <v>34</v>
      </c>
      <c r="T117" s="7"/>
      <c r="U117" s="7" t="s">
        <v>35</v>
      </c>
      <c r="V117" s="7">
        <v>387.6</v>
      </c>
      <c r="W117" s="7">
        <v>167.13</v>
      </c>
      <c r="X117" s="7">
        <v>154.34</v>
      </c>
      <c r="Y117" s="7">
        <v>0</v>
      </c>
      <c r="Z117" s="7">
        <v>66.13</v>
      </c>
    </row>
    <row r="118" spans="1:26" x14ac:dyDescent="0.35">
      <c r="A118" s="7" t="s">
        <v>27</v>
      </c>
      <c r="B118" s="7" t="s">
        <v>43</v>
      </c>
      <c r="C118" s="7" t="s">
        <v>48</v>
      </c>
      <c r="D118" s="7" t="s">
        <v>55</v>
      </c>
      <c r="E118" s="7" t="s">
        <v>42</v>
      </c>
      <c r="F118" s="7" t="s">
        <v>225</v>
      </c>
      <c r="G118" s="7">
        <v>2020</v>
      </c>
      <c r="H118" s="7" t="str">
        <f>CONCATENATE("04780019560")</f>
        <v>04780019560</v>
      </c>
      <c r="I118" s="7" t="s">
        <v>30</v>
      </c>
      <c r="J118" s="7" t="s">
        <v>46</v>
      </c>
      <c r="K118" s="7" t="str">
        <f>CONCATENATE("221")</f>
        <v>221</v>
      </c>
      <c r="L118" s="7" t="str">
        <f>CONCATENATE("8 8.1 5e")</f>
        <v>8 8.1 5e</v>
      </c>
      <c r="M118" s="7" t="str">
        <f>CONCATENATE("BNGFNC75M01A271D")</f>
        <v>BNGFNC75M01A271D</v>
      </c>
      <c r="N118" s="7" t="s">
        <v>226</v>
      </c>
      <c r="O118" s="7" t="s">
        <v>222</v>
      </c>
      <c r="P118" s="8">
        <v>44340</v>
      </c>
      <c r="Q118" s="7" t="s">
        <v>32</v>
      </c>
      <c r="R118" s="7" t="s">
        <v>40</v>
      </c>
      <c r="S118" s="7" t="s">
        <v>34</v>
      </c>
      <c r="T118" s="7"/>
      <c r="U118" s="7" t="s">
        <v>35</v>
      </c>
      <c r="V118" s="7">
        <v>142.5</v>
      </c>
      <c r="W118" s="7">
        <v>61.45</v>
      </c>
      <c r="X118" s="7">
        <v>56.74</v>
      </c>
      <c r="Y118" s="7">
        <v>0</v>
      </c>
      <c r="Z118" s="7">
        <v>24.31</v>
      </c>
    </row>
    <row r="119" spans="1:26" x14ac:dyDescent="0.35">
      <c r="A119" s="7" t="s">
        <v>27</v>
      </c>
      <c r="B119" s="7" t="s">
        <v>43</v>
      </c>
      <c r="C119" s="7" t="s">
        <v>48</v>
      </c>
      <c r="D119" s="7" t="s">
        <v>55</v>
      </c>
      <c r="E119" s="7" t="s">
        <v>41</v>
      </c>
      <c r="F119" s="7" t="s">
        <v>161</v>
      </c>
      <c r="G119" s="7">
        <v>2016</v>
      </c>
      <c r="H119" s="7" t="str">
        <f>CONCATENATE("64780041741")</f>
        <v>64780041741</v>
      </c>
      <c r="I119" s="7" t="s">
        <v>30</v>
      </c>
      <c r="J119" s="7" t="s">
        <v>46</v>
      </c>
      <c r="K119" s="7" t="str">
        <f>CONCATENATE("221")</f>
        <v>221</v>
      </c>
      <c r="L119" s="7" t="str">
        <f>CONCATENATE("8 8.1 5e")</f>
        <v>8 8.1 5e</v>
      </c>
      <c r="M119" s="7" t="str">
        <f>CONCATENATE("CSTGLN45T17F589X")</f>
        <v>CSTGLN45T17F589X</v>
      </c>
      <c r="N119" s="7" t="s">
        <v>227</v>
      </c>
      <c r="O119" s="7" t="s">
        <v>228</v>
      </c>
      <c r="P119" s="8">
        <v>44340</v>
      </c>
      <c r="Q119" s="7" t="s">
        <v>32</v>
      </c>
      <c r="R119" s="7" t="s">
        <v>40</v>
      </c>
      <c r="S119" s="7" t="s">
        <v>34</v>
      </c>
      <c r="T119" s="7"/>
      <c r="U119" s="7" t="s">
        <v>35</v>
      </c>
      <c r="V119" s="7">
        <v>397.65</v>
      </c>
      <c r="W119" s="7">
        <v>171.47</v>
      </c>
      <c r="X119" s="7">
        <v>158.34</v>
      </c>
      <c r="Y119" s="7">
        <v>0</v>
      </c>
      <c r="Z119" s="7">
        <v>67.84</v>
      </c>
    </row>
    <row r="120" spans="1:26" x14ac:dyDescent="0.35">
      <c r="A120" s="7" t="s">
        <v>27</v>
      </c>
      <c r="B120" s="7" t="s">
        <v>43</v>
      </c>
      <c r="C120" s="7" t="s">
        <v>48</v>
      </c>
      <c r="D120" s="7" t="s">
        <v>55</v>
      </c>
      <c r="E120" s="7" t="s">
        <v>42</v>
      </c>
      <c r="F120" s="7" t="s">
        <v>229</v>
      </c>
      <c r="G120" s="7">
        <v>2020</v>
      </c>
      <c r="H120" s="7" t="str">
        <f>CONCATENATE("04780019578")</f>
        <v>04780019578</v>
      </c>
      <c r="I120" s="7" t="s">
        <v>30</v>
      </c>
      <c r="J120" s="7" t="s">
        <v>46</v>
      </c>
      <c r="K120" s="7" t="str">
        <f>CONCATENATE("221")</f>
        <v>221</v>
      </c>
      <c r="L120" s="7" t="str">
        <f>CONCATENATE("8 8.1 5e")</f>
        <v>8 8.1 5e</v>
      </c>
      <c r="M120" s="7" t="str">
        <f>CONCATENATE("BNGGPP48D05G157N")</f>
        <v>BNGGPP48D05G157N</v>
      </c>
      <c r="N120" s="7" t="s">
        <v>230</v>
      </c>
      <c r="O120" s="7" t="s">
        <v>222</v>
      </c>
      <c r="P120" s="8">
        <v>44340</v>
      </c>
      <c r="Q120" s="7" t="s">
        <v>32</v>
      </c>
      <c r="R120" s="7" t="s">
        <v>40</v>
      </c>
      <c r="S120" s="7" t="s">
        <v>34</v>
      </c>
      <c r="T120" s="7"/>
      <c r="U120" s="7" t="s">
        <v>35</v>
      </c>
      <c r="V120" s="7">
        <v>953.6</v>
      </c>
      <c r="W120" s="7">
        <v>411.19</v>
      </c>
      <c r="X120" s="7">
        <v>379.72</v>
      </c>
      <c r="Y120" s="7">
        <v>0</v>
      </c>
      <c r="Z120" s="7">
        <v>162.69</v>
      </c>
    </row>
    <row r="121" spans="1:26" x14ac:dyDescent="0.35">
      <c r="A121" s="7" t="s">
        <v>27</v>
      </c>
      <c r="B121" s="7" t="s">
        <v>43</v>
      </c>
      <c r="C121" s="7" t="s">
        <v>48</v>
      </c>
      <c r="D121" s="7" t="s">
        <v>55</v>
      </c>
      <c r="E121" s="7" t="s">
        <v>41</v>
      </c>
      <c r="F121" s="7" t="s">
        <v>157</v>
      </c>
      <c r="G121" s="7">
        <v>2018</v>
      </c>
      <c r="H121" s="7" t="str">
        <f>CONCATENATE("84780029868")</f>
        <v>84780029868</v>
      </c>
      <c r="I121" s="7" t="s">
        <v>30</v>
      </c>
      <c r="J121" s="7" t="s">
        <v>46</v>
      </c>
      <c r="K121" s="7" t="str">
        <f>CONCATENATE("221")</f>
        <v>221</v>
      </c>
      <c r="L121" s="7" t="str">
        <f>CONCATENATE("8 8.1 5e")</f>
        <v>8 8.1 5e</v>
      </c>
      <c r="M121" s="7" t="str">
        <f>CONCATENATE("PRRNDR86B03E388F")</f>
        <v>PRRNDR86B03E388F</v>
      </c>
      <c r="N121" s="7" t="s">
        <v>231</v>
      </c>
      <c r="O121" s="7" t="s">
        <v>217</v>
      </c>
      <c r="P121" s="8">
        <v>44340</v>
      </c>
      <c r="Q121" s="7" t="s">
        <v>32</v>
      </c>
      <c r="R121" s="7" t="s">
        <v>40</v>
      </c>
      <c r="S121" s="7" t="s">
        <v>34</v>
      </c>
      <c r="T121" s="7"/>
      <c r="U121" s="7" t="s">
        <v>35</v>
      </c>
      <c r="V121" s="7">
        <v>295.19</v>
      </c>
      <c r="W121" s="7">
        <v>127.29</v>
      </c>
      <c r="X121" s="7">
        <v>117.54</v>
      </c>
      <c r="Y121" s="7">
        <v>0</v>
      </c>
      <c r="Z121" s="7">
        <v>50.36</v>
      </c>
    </row>
    <row r="122" spans="1:26" x14ac:dyDescent="0.35">
      <c r="A122" s="7" t="s">
        <v>27</v>
      </c>
      <c r="B122" s="7" t="s">
        <v>43</v>
      </c>
      <c r="C122" s="7" t="s">
        <v>48</v>
      </c>
      <c r="D122" s="7" t="s">
        <v>55</v>
      </c>
      <c r="E122" s="7" t="s">
        <v>42</v>
      </c>
      <c r="F122" s="7" t="s">
        <v>100</v>
      </c>
      <c r="G122" s="7">
        <v>2018</v>
      </c>
      <c r="H122" s="7" t="str">
        <f>CONCATENATE("84780012914")</f>
        <v>84780012914</v>
      </c>
      <c r="I122" s="7" t="s">
        <v>30</v>
      </c>
      <c r="J122" s="7" t="s">
        <v>46</v>
      </c>
      <c r="K122" s="7" t="str">
        <f>CONCATENATE("221")</f>
        <v>221</v>
      </c>
      <c r="L122" s="7" t="str">
        <f>CONCATENATE("8 8.1 5e")</f>
        <v>8 8.1 5e</v>
      </c>
      <c r="M122" s="7" t="str">
        <f>CONCATENATE("CRZLCU47L50A895S")</f>
        <v>CRZLCU47L50A895S</v>
      </c>
      <c r="N122" s="7" t="s">
        <v>232</v>
      </c>
      <c r="O122" s="7" t="s">
        <v>217</v>
      </c>
      <c r="P122" s="8">
        <v>44340</v>
      </c>
      <c r="Q122" s="7" t="s">
        <v>32</v>
      </c>
      <c r="R122" s="7" t="s">
        <v>40</v>
      </c>
      <c r="S122" s="7" t="s">
        <v>34</v>
      </c>
      <c r="T122" s="7"/>
      <c r="U122" s="7" t="s">
        <v>35</v>
      </c>
      <c r="V122" s="9">
        <v>5445.06</v>
      </c>
      <c r="W122" s="9">
        <v>2347.91</v>
      </c>
      <c r="X122" s="9">
        <v>2168.2199999999998</v>
      </c>
      <c r="Y122" s="7">
        <v>0</v>
      </c>
      <c r="Z122" s="7">
        <v>928.93</v>
      </c>
    </row>
    <row r="123" spans="1:26" x14ac:dyDescent="0.35">
      <c r="A123" s="7" t="s">
        <v>27</v>
      </c>
      <c r="B123" s="7" t="s">
        <v>43</v>
      </c>
      <c r="C123" s="7" t="s">
        <v>48</v>
      </c>
      <c r="D123" s="7" t="s">
        <v>55</v>
      </c>
      <c r="E123" s="7" t="s">
        <v>36</v>
      </c>
      <c r="F123" s="7" t="s">
        <v>107</v>
      </c>
      <c r="G123" s="7">
        <v>2018</v>
      </c>
      <c r="H123" s="7" t="str">
        <f>CONCATENATE("84780029124")</f>
        <v>84780029124</v>
      </c>
      <c r="I123" s="7" t="s">
        <v>30</v>
      </c>
      <c r="J123" s="7" t="s">
        <v>46</v>
      </c>
      <c r="K123" s="7" t="str">
        <f>CONCATENATE("221")</f>
        <v>221</v>
      </c>
      <c r="L123" s="7" t="str">
        <f>CONCATENATE("8 8.1 5e")</f>
        <v>8 8.1 5e</v>
      </c>
      <c r="M123" s="7" t="str">
        <f>CONCATENATE("MNCMRZ53E28A271J")</f>
        <v>MNCMRZ53E28A271J</v>
      </c>
      <c r="N123" s="7" t="s">
        <v>233</v>
      </c>
      <c r="O123" s="7" t="s">
        <v>217</v>
      </c>
      <c r="P123" s="8">
        <v>44340</v>
      </c>
      <c r="Q123" s="7" t="s">
        <v>32</v>
      </c>
      <c r="R123" s="7" t="s">
        <v>40</v>
      </c>
      <c r="S123" s="7" t="s">
        <v>34</v>
      </c>
      <c r="T123" s="7"/>
      <c r="U123" s="7" t="s">
        <v>35</v>
      </c>
      <c r="V123" s="9">
        <v>1028</v>
      </c>
      <c r="W123" s="7">
        <v>443.27</v>
      </c>
      <c r="X123" s="7">
        <v>409.35</v>
      </c>
      <c r="Y123" s="7">
        <v>0</v>
      </c>
      <c r="Z123" s="7">
        <v>175.38</v>
      </c>
    </row>
    <row r="124" spans="1:26" x14ac:dyDescent="0.35">
      <c r="A124" s="7" t="s">
        <v>27</v>
      </c>
      <c r="B124" s="7" t="s">
        <v>43</v>
      </c>
      <c r="C124" s="7" t="s">
        <v>48</v>
      </c>
      <c r="D124" s="7" t="s">
        <v>55</v>
      </c>
      <c r="E124" s="7" t="s">
        <v>36</v>
      </c>
      <c r="F124" s="7" t="s">
        <v>107</v>
      </c>
      <c r="G124" s="7">
        <v>2018</v>
      </c>
      <c r="H124" s="7" t="str">
        <f>CONCATENATE("84780042051")</f>
        <v>84780042051</v>
      </c>
      <c r="I124" s="7" t="s">
        <v>30</v>
      </c>
      <c r="J124" s="7" t="s">
        <v>46</v>
      </c>
      <c r="K124" s="7" t="str">
        <f>CONCATENATE("221")</f>
        <v>221</v>
      </c>
      <c r="L124" s="7" t="str">
        <f>CONCATENATE("8 8.1 5e")</f>
        <v>8 8.1 5e</v>
      </c>
      <c r="M124" s="7" t="str">
        <f>CONCATENATE("GLNGTT37E44D597H")</f>
        <v>GLNGTT37E44D597H</v>
      </c>
      <c r="N124" s="7" t="s">
        <v>234</v>
      </c>
      <c r="O124" s="7" t="s">
        <v>217</v>
      </c>
      <c r="P124" s="8">
        <v>44340</v>
      </c>
      <c r="Q124" s="7" t="s">
        <v>32</v>
      </c>
      <c r="R124" s="7" t="s">
        <v>40</v>
      </c>
      <c r="S124" s="7" t="s">
        <v>34</v>
      </c>
      <c r="T124" s="7"/>
      <c r="U124" s="7" t="s">
        <v>35</v>
      </c>
      <c r="V124" s="7">
        <v>280.7</v>
      </c>
      <c r="W124" s="7">
        <v>121.04</v>
      </c>
      <c r="X124" s="7">
        <v>111.77</v>
      </c>
      <c r="Y124" s="7">
        <v>0</v>
      </c>
      <c r="Z124" s="7">
        <v>47.89</v>
      </c>
    </row>
    <row r="125" spans="1:26" x14ac:dyDescent="0.35">
      <c r="A125" s="7" t="s">
        <v>27</v>
      </c>
      <c r="B125" s="7" t="s">
        <v>43</v>
      </c>
      <c r="C125" s="7" t="s">
        <v>48</v>
      </c>
      <c r="D125" s="7" t="s">
        <v>55</v>
      </c>
      <c r="E125" s="7" t="s">
        <v>41</v>
      </c>
      <c r="F125" s="7" t="s">
        <v>161</v>
      </c>
      <c r="G125" s="7">
        <v>2018</v>
      </c>
      <c r="H125" s="7" t="str">
        <f>CONCATENATE("84780033738")</f>
        <v>84780033738</v>
      </c>
      <c r="I125" s="7" t="s">
        <v>30</v>
      </c>
      <c r="J125" s="7" t="s">
        <v>46</v>
      </c>
      <c r="K125" s="7" t="str">
        <f>CONCATENATE("221")</f>
        <v>221</v>
      </c>
      <c r="L125" s="7" t="str">
        <f>CONCATENATE("8 8.1 5e")</f>
        <v>8 8.1 5e</v>
      </c>
      <c r="M125" s="7" t="str">
        <f>CONCATENATE("02621480421")</f>
        <v>02621480421</v>
      </c>
      <c r="N125" s="7" t="s">
        <v>235</v>
      </c>
      <c r="O125" s="7" t="s">
        <v>217</v>
      </c>
      <c r="P125" s="8">
        <v>44340</v>
      </c>
      <c r="Q125" s="7" t="s">
        <v>32</v>
      </c>
      <c r="R125" s="7" t="s">
        <v>40</v>
      </c>
      <c r="S125" s="7" t="s">
        <v>34</v>
      </c>
      <c r="T125" s="7"/>
      <c r="U125" s="7" t="s">
        <v>35</v>
      </c>
      <c r="V125" s="7">
        <v>148.5</v>
      </c>
      <c r="W125" s="7">
        <v>64.03</v>
      </c>
      <c r="X125" s="7">
        <v>59.13</v>
      </c>
      <c r="Y125" s="7">
        <v>0</v>
      </c>
      <c r="Z125" s="7">
        <v>25.34</v>
      </c>
    </row>
    <row r="126" spans="1:26" x14ac:dyDescent="0.35">
      <c r="A126" s="7" t="s">
        <v>27</v>
      </c>
      <c r="B126" s="7" t="s">
        <v>43</v>
      </c>
      <c r="C126" s="7" t="s">
        <v>48</v>
      </c>
      <c r="D126" s="7" t="s">
        <v>55</v>
      </c>
      <c r="E126" s="7" t="s">
        <v>39</v>
      </c>
      <c r="F126" s="7" t="s">
        <v>185</v>
      </c>
      <c r="G126" s="7">
        <v>2018</v>
      </c>
      <c r="H126" s="7" t="str">
        <f>CONCATENATE("84780070458")</f>
        <v>84780070458</v>
      </c>
      <c r="I126" s="7" t="s">
        <v>30</v>
      </c>
      <c r="J126" s="7" t="s">
        <v>46</v>
      </c>
      <c r="K126" s="7" t="str">
        <f>CONCATENATE("221")</f>
        <v>221</v>
      </c>
      <c r="L126" s="7" t="str">
        <f>CONCATENATE("8 8.1 5e")</f>
        <v>8 8.1 5e</v>
      </c>
      <c r="M126" s="7" t="str">
        <f>CONCATENATE("PRNFBN76E66E388T")</f>
        <v>PRNFBN76E66E388T</v>
      </c>
      <c r="N126" s="7" t="s">
        <v>236</v>
      </c>
      <c r="O126" s="7" t="s">
        <v>217</v>
      </c>
      <c r="P126" s="8">
        <v>44340</v>
      </c>
      <c r="Q126" s="7" t="s">
        <v>32</v>
      </c>
      <c r="R126" s="7" t="s">
        <v>40</v>
      </c>
      <c r="S126" s="7" t="s">
        <v>34</v>
      </c>
      <c r="T126" s="7"/>
      <c r="U126" s="7" t="s">
        <v>35</v>
      </c>
      <c r="V126" s="9">
        <v>1750.5</v>
      </c>
      <c r="W126" s="7">
        <v>754.82</v>
      </c>
      <c r="X126" s="7">
        <v>697.05</v>
      </c>
      <c r="Y126" s="7">
        <v>0</v>
      </c>
      <c r="Z126" s="7">
        <v>298.63</v>
      </c>
    </row>
    <row r="127" spans="1:26" x14ac:dyDescent="0.35">
      <c r="A127" s="7" t="s">
        <v>27</v>
      </c>
      <c r="B127" s="7" t="s">
        <v>43</v>
      </c>
      <c r="C127" s="7" t="s">
        <v>48</v>
      </c>
      <c r="D127" s="7" t="s">
        <v>55</v>
      </c>
      <c r="E127" s="7" t="s">
        <v>36</v>
      </c>
      <c r="F127" s="7" t="s">
        <v>197</v>
      </c>
      <c r="G127" s="7">
        <v>2018</v>
      </c>
      <c r="H127" s="7" t="str">
        <f>CONCATENATE("84780026815")</f>
        <v>84780026815</v>
      </c>
      <c r="I127" s="7" t="s">
        <v>30</v>
      </c>
      <c r="J127" s="7" t="s">
        <v>46</v>
      </c>
      <c r="K127" s="7" t="str">
        <f>CONCATENATE("221")</f>
        <v>221</v>
      </c>
      <c r="L127" s="7" t="str">
        <f>CONCATENATE("8 8.1 5e")</f>
        <v>8 8.1 5e</v>
      </c>
      <c r="M127" s="7" t="str">
        <f>CONCATENATE("01574900427")</f>
        <v>01574900427</v>
      </c>
      <c r="N127" s="7" t="s">
        <v>237</v>
      </c>
      <c r="O127" s="7" t="s">
        <v>217</v>
      </c>
      <c r="P127" s="8">
        <v>44340</v>
      </c>
      <c r="Q127" s="7" t="s">
        <v>32</v>
      </c>
      <c r="R127" s="7" t="s">
        <v>40</v>
      </c>
      <c r="S127" s="7" t="s">
        <v>34</v>
      </c>
      <c r="T127" s="7"/>
      <c r="U127" s="7" t="s">
        <v>35</v>
      </c>
      <c r="V127" s="7">
        <v>364</v>
      </c>
      <c r="W127" s="7">
        <v>156.96</v>
      </c>
      <c r="X127" s="7">
        <v>144.94</v>
      </c>
      <c r="Y127" s="7">
        <v>0</v>
      </c>
      <c r="Z127" s="7">
        <v>62.1</v>
      </c>
    </row>
    <row r="128" spans="1:26" x14ac:dyDescent="0.35">
      <c r="A128" s="7" t="s">
        <v>27</v>
      </c>
      <c r="B128" s="7" t="s">
        <v>43</v>
      </c>
      <c r="C128" s="7" t="s">
        <v>48</v>
      </c>
      <c r="D128" s="7" t="s">
        <v>55</v>
      </c>
      <c r="E128" s="7" t="s">
        <v>36</v>
      </c>
      <c r="F128" s="7" t="s">
        <v>107</v>
      </c>
      <c r="G128" s="7">
        <v>2018</v>
      </c>
      <c r="H128" s="7" t="str">
        <f>CONCATENATE("84780029033")</f>
        <v>84780029033</v>
      </c>
      <c r="I128" s="7" t="s">
        <v>30</v>
      </c>
      <c r="J128" s="7" t="s">
        <v>46</v>
      </c>
      <c r="K128" s="7" t="str">
        <f>CONCATENATE("221")</f>
        <v>221</v>
      </c>
      <c r="L128" s="7" t="str">
        <f>CONCATENATE("8 8.1 5e")</f>
        <v>8 8.1 5e</v>
      </c>
      <c r="M128" s="7" t="str">
        <f>CONCATENATE("TGLLSE33R61D211G")</f>
        <v>TGLLSE33R61D211G</v>
      </c>
      <c r="N128" s="7" t="s">
        <v>238</v>
      </c>
      <c r="O128" s="7" t="s">
        <v>217</v>
      </c>
      <c r="P128" s="8">
        <v>44340</v>
      </c>
      <c r="Q128" s="7" t="s">
        <v>32</v>
      </c>
      <c r="R128" s="7" t="s">
        <v>40</v>
      </c>
      <c r="S128" s="7" t="s">
        <v>34</v>
      </c>
      <c r="T128" s="7"/>
      <c r="U128" s="7" t="s">
        <v>35</v>
      </c>
      <c r="V128" s="7">
        <v>622.98</v>
      </c>
      <c r="W128" s="7">
        <v>268.63</v>
      </c>
      <c r="X128" s="7">
        <v>248.07</v>
      </c>
      <c r="Y128" s="7">
        <v>0</v>
      </c>
      <c r="Z128" s="7">
        <v>106.28</v>
      </c>
    </row>
    <row r="129" spans="1:26" x14ac:dyDescent="0.35">
      <c r="A129" s="7" t="s">
        <v>27</v>
      </c>
      <c r="B129" s="7" t="s">
        <v>43</v>
      </c>
      <c r="C129" s="7" t="s">
        <v>48</v>
      </c>
      <c r="D129" s="7" t="s">
        <v>55</v>
      </c>
      <c r="E129" s="7" t="s">
        <v>39</v>
      </c>
      <c r="F129" s="7" t="s">
        <v>83</v>
      </c>
      <c r="G129" s="7">
        <v>2018</v>
      </c>
      <c r="H129" s="7" t="str">
        <f>CONCATENATE("84780049718")</f>
        <v>84780049718</v>
      </c>
      <c r="I129" s="7" t="s">
        <v>30</v>
      </c>
      <c r="J129" s="7" t="s">
        <v>46</v>
      </c>
      <c r="K129" s="7" t="str">
        <f>CONCATENATE("221")</f>
        <v>221</v>
      </c>
      <c r="L129" s="7" t="str">
        <f>CONCATENATE("8 8.1 5e")</f>
        <v>8 8.1 5e</v>
      </c>
      <c r="M129" s="7" t="str">
        <f>CONCATENATE("02754810428")</f>
        <v>02754810428</v>
      </c>
      <c r="N129" s="7" t="s">
        <v>239</v>
      </c>
      <c r="O129" s="7" t="s">
        <v>217</v>
      </c>
      <c r="P129" s="8">
        <v>44340</v>
      </c>
      <c r="Q129" s="7" t="s">
        <v>32</v>
      </c>
      <c r="R129" s="7" t="s">
        <v>40</v>
      </c>
      <c r="S129" s="7" t="s">
        <v>34</v>
      </c>
      <c r="T129" s="7"/>
      <c r="U129" s="7" t="s">
        <v>35</v>
      </c>
      <c r="V129" s="7">
        <v>479</v>
      </c>
      <c r="W129" s="7">
        <v>206.54</v>
      </c>
      <c r="X129" s="7">
        <v>190.74</v>
      </c>
      <c r="Y129" s="7">
        <v>0</v>
      </c>
      <c r="Z129" s="7">
        <v>81.72</v>
      </c>
    </row>
    <row r="130" spans="1:26" x14ac:dyDescent="0.35">
      <c r="A130" s="7" t="s">
        <v>27</v>
      </c>
      <c r="B130" s="7" t="s">
        <v>43</v>
      </c>
      <c r="C130" s="7" t="s">
        <v>48</v>
      </c>
      <c r="D130" s="7" t="s">
        <v>55</v>
      </c>
      <c r="E130" s="7" t="s">
        <v>36</v>
      </c>
      <c r="F130" s="7" t="s">
        <v>107</v>
      </c>
      <c r="G130" s="7">
        <v>2018</v>
      </c>
      <c r="H130" s="7" t="str">
        <f>CONCATENATE("84780055996")</f>
        <v>84780055996</v>
      </c>
      <c r="I130" s="7" t="s">
        <v>30</v>
      </c>
      <c r="J130" s="7" t="s">
        <v>46</v>
      </c>
      <c r="K130" s="7" t="str">
        <f>CONCATENATE("221")</f>
        <v>221</v>
      </c>
      <c r="L130" s="7" t="str">
        <f>CONCATENATE("8 8.1 5e")</f>
        <v>8 8.1 5e</v>
      </c>
      <c r="M130" s="7" t="str">
        <f>CONCATENATE("02414770426")</f>
        <v>02414770426</v>
      </c>
      <c r="N130" s="7" t="s">
        <v>240</v>
      </c>
      <c r="O130" s="7" t="s">
        <v>217</v>
      </c>
      <c r="P130" s="8">
        <v>44340</v>
      </c>
      <c r="Q130" s="7" t="s">
        <v>32</v>
      </c>
      <c r="R130" s="7" t="s">
        <v>40</v>
      </c>
      <c r="S130" s="7" t="s">
        <v>34</v>
      </c>
      <c r="T130" s="7"/>
      <c r="U130" s="7" t="s">
        <v>35</v>
      </c>
      <c r="V130" s="7">
        <v>195.16</v>
      </c>
      <c r="W130" s="7">
        <v>84.15</v>
      </c>
      <c r="X130" s="7">
        <v>77.709999999999994</v>
      </c>
      <c r="Y130" s="7">
        <v>0</v>
      </c>
      <c r="Z130" s="7">
        <v>33.299999999999997</v>
      </c>
    </row>
    <row r="131" spans="1:26" x14ac:dyDescent="0.35">
      <c r="A131" s="7" t="s">
        <v>27</v>
      </c>
      <c r="B131" s="7" t="s">
        <v>43</v>
      </c>
      <c r="C131" s="7" t="s">
        <v>48</v>
      </c>
      <c r="D131" s="7" t="s">
        <v>55</v>
      </c>
      <c r="E131" s="7" t="s">
        <v>36</v>
      </c>
      <c r="F131" s="7" t="s">
        <v>107</v>
      </c>
      <c r="G131" s="7">
        <v>2018</v>
      </c>
      <c r="H131" s="7" t="str">
        <f>CONCATENATE("84780029017")</f>
        <v>84780029017</v>
      </c>
      <c r="I131" s="7" t="s">
        <v>30</v>
      </c>
      <c r="J131" s="7" t="s">
        <v>46</v>
      </c>
      <c r="K131" s="7" t="str">
        <f>CONCATENATE("221")</f>
        <v>221</v>
      </c>
      <c r="L131" s="7" t="str">
        <f>CONCATENATE("8 8.1 5e")</f>
        <v>8 8.1 5e</v>
      </c>
      <c r="M131" s="7" t="str">
        <f>CONCATENATE("02591160425")</f>
        <v>02591160425</v>
      </c>
      <c r="N131" s="7" t="s">
        <v>241</v>
      </c>
      <c r="O131" s="7" t="s">
        <v>217</v>
      </c>
      <c r="P131" s="8">
        <v>44340</v>
      </c>
      <c r="Q131" s="7" t="s">
        <v>32</v>
      </c>
      <c r="R131" s="7" t="s">
        <v>40</v>
      </c>
      <c r="S131" s="7" t="s">
        <v>34</v>
      </c>
      <c r="T131" s="7"/>
      <c r="U131" s="7" t="s">
        <v>35</v>
      </c>
      <c r="V131" s="7">
        <v>374.87</v>
      </c>
      <c r="W131" s="7">
        <v>161.63999999999999</v>
      </c>
      <c r="X131" s="7">
        <v>149.27000000000001</v>
      </c>
      <c r="Y131" s="7">
        <v>0</v>
      </c>
      <c r="Z131" s="7">
        <v>63.96</v>
      </c>
    </row>
    <row r="132" spans="1:26" x14ac:dyDescent="0.35">
      <c r="A132" s="7" t="s">
        <v>27</v>
      </c>
      <c r="B132" s="7" t="s">
        <v>28</v>
      </c>
      <c r="C132" s="7" t="s">
        <v>48</v>
      </c>
      <c r="D132" s="7" t="s">
        <v>78</v>
      </c>
      <c r="E132" s="7" t="s">
        <v>39</v>
      </c>
      <c r="F132" s="7" t="s">
        <v>79</v>
      </c>
      <c r="G132" s="7">
        <v>2017</v>
      </c>
      <c r="H132" s="7" t="str">
        <f>CONCATENATE("14270143697")</f>
        <v>14270143697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CONCATENATE("6 6.1 2b")</f>
        <v>6 6.1 2b</v>
      </c>
      <c r="M132" s="7" t="str">
        <f>CONCATENATE("DCSCLD86E47A258K")</f>
        <v>DCSCLD86E47A258K</v>
      </c>
      <c r="N132" s="7" t="s">
        <v>242</v>
      </c>
      <c r="O132" s="7" t="s">
        <v>243</v>
      </c>
      <c r="P132" s="8">
        <v>44340</v>
      </c>
      <c r="Q132" s="7" t="s">
        <v>32</v>
      </c>
      <c r="R132" s="7" t="s">
        <v>40</v>
      </c>
      <c r="S132" s="7" t="s">
        <v>34</v>
      </c>
      <c r="T132" s="7"/>
      <c r="U132" s="7" t="s">
        <v>35</v>
      </c>
      <c r="V132" s="9">
        <v>15000</v>
      </c>
      <c r="W132" s="9">
        <v>6468</v>
      </c>
      <c r="X132" s="9">
        <v>5973</v>
      </c>
      <c r="Y132" s="7">
        <v>0</v>
      </c>
      <c r="Z132" s="9">
        <v>2559</v>
      </c>
    </row>
    <row r="133" spans="1:26" x14ac:dyDescent="0.35">
      <c r="A133" s="7" t="s">
        <v>27</v>
      </c>
      <c r="B133" s="7" t="s">
        <v>28</v>
      </c>
      <c r="C133" s="7" t="s">
        <v>48</v>
      </c>
      <c r="D133" s="7" t="s">
        <v>78</v>
      </c>
      <c r="E133" s="7" t="s">
        <v>39</v>
      </c>
      <c r="F133" s="7" t="s">
        <v>79</v>
      </c>
      <c r="G133" s="7">
        <v>2017</v>
      </c>
      <c r="H133" s="7" t="str">
        <f>CONCATENATE("14270143705")</f>
        <v>14270143705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CONCATENATE("4 4.1 2a")</f>
        <v>4 4.1 2a</v>
      </c>
      <c r="M133" s="7" t="str">
        <f>CONCATENATE("DCSCLD86E47A258K")</f>
        <v>DCSCLD86E47A258K</v>
      </c>
      <c r="N133" s="7" t="s">
        <v>242</v>
      </c>
      <c r="O133" s="7" t="s">
        <v>244</v>
      </c>
      <c r="P133" s="8">
        <v>44340</v>
      </c>
      <c r="Q133" s="7" t="s">
        <v>32</v>
      </c>
      <c r="R133" s="7" t="s">
        <v>40</v>
      </c>
      <c r="S133" s="7" t="s">
        <v>34</v>
      </c>
      <c r="T133" s="7"/>
      <c r="U133" s="7" t="s">
        <v>35</v>
      </c>
      <c r="V133" s="9">
        <v>29089.79</v>
      </c>
      <c r="W133" s="9">
        <v>12543.52</v>
      </c>
      <c r="X133" s="9">
        <v>11583.55</v>
      </c>
      <c r="Y133" s="7">
        <v>0</v>
      </c>
      <c r="Z133" s="9">
        <v>4962.72</v>
      </c>
    </row>
    <row r="134" spans="1:26" x14ac:dyDescent="0.35">
      <c r="A134" s="7" t="s">
        <v>27</v>
      </c>
      <c r="B134" s="7" t="s">
        <v>43</v>
      </c>
      <c r="C134" s="7" t="s">
        <v>48</v>
      </c>
      <c r="D134" s="7" t="s">
        <v>55</v>
      </c>
      <c r="E134" s="7" t="s">
        <v>41</v>
      </c>
      <c r="F134" s="7" t="s">
        <v>161</v>
      </c>
      <c r="G134" s="7">
        <v>2020</v>
      </c>
      <c r="H134" s="7" t="str">
        <f>CONCATENATE("04780013449")</f>
        <v>04780013449</v>
      </c>
      <c r="I134" s="7" t="s">
        <v>30</v>
      </c>
      <c r="J134" s="7" t="s">
        <v>46</v>
      </c>
      <c r="K134" s="7" t="str">
        <f>CONCATENATE("221")</f>
        <v>221</v>
      </c>
      <c r="L134" s="7" t="str">
        <f>CONCATENATE("8 8.1 5e")</f>
        <v>8 8.1 5e</v>
      </c>
      <c r="M134" s="7" t="str">
        <f>CONCATENATE("BDTLSN70M28I608V")</f>
        <v>BDTLSN70M28I608V</v>
      </c>
      <c r="N134" s="7" t="s">
        <v>245</v>
      </c>
      <c r="O134" s="7" t="s">
        <v>222</v>
      </c>
      <c r="P134" s="8">
        <v>44340</v>
      </c>
      <c r="Q134" s="7" t="s">
        <v>32</v>
      </c>
      <c r="R134" s="7" t="s">
        <v>40</v>
      </c>
      <c r="S134" s="7" t="s">
        <v>34</v>
      </c>
      <c r="T134" s="7"/>
      <c r="U134" s="7" t="s">
        <v>35</v>
      </c>
      <c r="V134" s="9">
        <v>1626.9</v>
      </c>
      <c r="W134" s="7">
        <v>701.52</v>
      </c>
      <c r="X134" s="7">
        <v>647.83000000000004</v>
      </c>
      <c r="Y134" s="7">
        <v>0</v>
      </c>
      <c r="Z134" s="7">
        <v>277.55</v>
      </c>
    </row>
    <row r="135" spans="1:26" x14ac:dyDescent="0.35">
      <c r="A135" s="7" t="s">
        <v>27</v>
      </c>
      <c r="B135" s="7" t="s">
        <v>43</v>
      </c>
      <c r="C135" s="7" t="s">
        <v>48</v>
      </c>
      <c r="D135" s="7" t="s">
        <v>55</v>
      </c>
      <c r="E135" s="7" t="s">
        <v>41</v>
      </c>
      <c r="F135" s="7" t="s">
        <v>161</v>
      </c>
      <c r="G135" s="7">
        <v>2016</v>
      </c>
      <c r="H135" s="7" t="str">
        <f>CONCATENATE("64780041865")</f>
        <v>64780041865</v>
      </c>
      <c r="I135" s="7" t="s">
        <v>30</v>
      </c>
      <c r="J135" s="7" t="s">
        <v>46</v>
      </c>
      <c r="K135" s="7" t="str">
        <f>CONCATENATE("221")</f>
        <v>221</v>
      </c>
      <c r="L135" s="7" t="str">
        <f>CONCATENATE("8 8.1 5e")</f>
        <v>8 8.1 5e</v>
      </c>
      <c r="M135" s="7" t="str">
        <f>CONCATENATE("BDTLSN70M28I608V")</f>
        <v>BDTLSN70M28I608V</v>
      </c>
      <c r="N135" s="7" t="s">
        <v>245</v>
      </c>
      <c r="O135" s="7" t="s">
        <v>228</v>
      </c>
      <c r="P135" s="8">
        <v>44340</v>
      </c>
      <c r="Q135" s="7" t="s">
        <v>32</v>
      </c>
      <c r="R135" s="7" t="s">
        <v>40</v>
      </c>
      <c r="S135" s="7" t="s">
        <v>34</v>
      </c>
      <c r="T135" s="7"/>
      <c r="U135" s="7" t="s">
        <v>35</v>
      </c>
      <c r="V135" s="9">
        <v>2876</v>
      </c>
      <c r="W135" s="9">
        <v>1240.1300000000001</v>
      </c>
      <c r="X135" s="9">
        <v>1145.22</v>
      </c>
      <c r="Y135" s="7">
        <v>0</v>
      </c>
      <c r="Z135" s="7">
        <v>490.65</v>
      </c>
    </row>
    <row r="136" spans="1:26" x14ac:dyDescent="0.35">
      <c r="A136" s="7" t="s">
        <v>27</v>
      </c>
      <c r="B136" s="7" t="s">
        <v>43</v>
      </c>
      <c r="C136" s="7" t="s">
        <v>48</v>
      </c>
      <c r="D136" s="7" t="s">
        <v>55</v>
      </c>
      <c r="E136" s="7" t="s">
        <v>42</v>
      </c>
      <c r="F136" s="7" t="s">
        <v>100</v>
      </c>
      <c r="G136" s="7">
        <v>2020</v>
      </c>
      <c r="H136" s="7" t="str">
        <f>CONCATENATE("04780045177")</f>
        <v>04780045177</v>
      </c>
      <c r="I136" s="7" t="s">
        <v>30</v>
      </c>
      <c r="J136" s="7" t="s">
        <v>46</v>
      </c>
      <c r="K136" s="7" t="str">
        <f>CONCATENATE("221")</f>
        <v>221</v>
      </c>
      <c r="L136" s="7" t="str">
        <f>CONCATENATE("8 8.1 5e")</f>
        <v>8 8.1 5e</v>
      </c>
      <c r="M136" s="7" t="str">
        <f>CONCATENATE("RCCMND51R66E388B")</f>
        <v>RCCMND51R66E388B</v>
      </c>
      <c r="N136" s="7" t="s">
        <v>246</v>
      </c>
      <c r="O136" s="7" t="s">
        <v>222</v>
      </c>
      <c r="P136" s="8">
        <v>44340</v>
      </c>
      <c r="Q136" s="7" t="s">
        <v>32</v>
      </c>
      <c r="R136" s="7" t="s">
        <v>40</v>
      </c>
      <c r="S136" s="7" t="s">
        <v>34</v>
      </c>
      <c r="T136" s="7"/>
      <c r="U136" s="7" t="s">
        <v>35</v>
      </c>
      <c r="V136" s="7">
        <v>150</v>
      </c>
      <c r="W136" s="7">
        <v>64.680000000000007</v>
      </c>
      <c r="X136" s="7">
        <v>59.73</v>
      </c>
      <c r="Y136" s="7">
        <v>0</v>
      </c>
      <c r="Z136" s="7">
        <v>25.59</v>
      </c>
    </row>
    <row r="137" spans="1:26" x14ac:dyDescent="0.35">
      <c r="A137" s="7" t="s">
        <v>27</v>
      </c>
      <c r="B137" s="7" t="s">
        <v>43</v>
      </c>
      <c r="C137" s="7" t="s">
        <v>48</v>
      </c>
      <c r="D137" s="7" t="s">
        <v>55</v>
      </c>
      <c r="E137" s="7" t="s">
        <v>42</v>
      </c>
      <c r="F137" s="7" t="s">
        <v>100</v>
      </c>
      <c r="G137" s="7">
        <v>2020</v>
      </c>
      <c r="H137" s="7" t="str">
        <f>CONCATENATE("04780045201")</f>
        <v>04780045201</v>
      </c>
      <c r="I137" s="7" t="s">
        <v>30</v>
      </c>
      <c r="J137" s="7" t="s">
        <v>46</v>
      </c>
      <c r="K137" s="7" t="str">
        <f>CONCATENATE("221")</f>
        <v>221</v>
      </c>
      <c r="L137" s="7" t="str">
        <f>CONCATENATE("8 8.1 5e")</f>
        <v>8 8.1 5e</v>
      </c>
      <c r="M137" s="7" t="str">
        <f>CONCATENATE("RCCRNT48C28I461H")</f>
        <v>RCCRNT48C28I461H</v>
      </c>
      <c r="N137" s="7" t="s">
        <v>247</v>
      </c>
      <c r="O137" s="7" t="s">
        <v>222</v>
      </c>
      <c r="P137" s="8">
        <v>44340</v>
      </c>
      <c r="Q137" s="7" t="s">
        <v>32</v>
      </c>
      <c r="R137" s="7" t="s">
        <v>40</v>
      </c>
      <c r="S137" s="7" t="s">
        <v>34</v>
      </c>
      <c r="T137" s="7"/>
      <c r="U137" s="7" t="s">
        <v>35</v>
      </c>
      <c r="V137" s="7">
        <v>78</v>
      </c>
      <c r="W137" s="7">
        <v>33.630000000000003</v>
      </c>
      <c r="X137" s="7">
        <v>31.06</v>
      </c>
      <c r="Y137" s="7">
        <v>0</v>
      </c>
      <c r="Z137" s="7">
        <v>13.31</v>
      </c>
    </row>
    <row r="138" spans="1:26" x14ac:dyDescent="0.35">
      <c r="A138" s="7" t="s">
        <v>27</v>
      </c>
      <c r="B138" s="7" t="s">
        <v>43</v>
      </c>
      <c r="C138" s="7" t="s">
        <v>48</v>
      </c>
      <c r="D138" s="7" t="s">
        <v>55</v>
      </c>
      <c r="E138" s="7" t="s">
        <v>36</v>
      </c>
      <c r="F138" s="7" t="s">
        <v>107</v>
      </c>
      <c r="G138" s="7">
        <v>2020</v>
      </c>
      <c r="H138" s="7" t="str">
        <f>CONCATENATE("04780037646")</f>
        <v>04780037646</v>
      </c>
      <c r="I138" s="7" t="s">
        <v>30</v>
      </c>
      <c r="J138" s="7" t="s">
        <v>46</v>
      </c>
      <c r="K138" s="7" t="str">
        <f>CONCATENATE("221")</f>
        <v>221</v>
      </c>
      <c r="L138" s="7" t="str">
        <f>CONCATENATE("8 8.1 5e")</f>
        <v>8 8.1 5e</v>
      </c>
      <c r="M138" s="7" t="str">
        <f>CONCATENATE("01068740420")</f>
        <v>01068740420</v>
      </c>
      <c r="N138" s="7" t="s">
        <v>248</v>
      </c>
      <c r="O138" s="7" t="s">
        <v>222</v>
      </c>
      <c r="P138" s="8">
        <v>44340</v>
      </c>
      <c r="Q138" s="7" t="s">
        <v>32</v>
      </c>
      <c r="R138" s="7" t="s">
        <v>40</v>
      </c>
      <c r="S138" s="7" t="s">
        <v>34</v>
      </c>
      <c r="T138" s="7"/>
      <c r="U138" s="7" t="s">
        <v>35</v>
      </c>
      <c r="V138" s="7">
        <v>240</v>
      </c>
      <c r="W138" s="7">
        <v>103.49</v>
      </c>
      <c r="X138" s="7">
        <v>95.57</v>
      </c>
      <c r="Y138" s="7">
        <v>0</v>
      </c>
      <c r="Z138" s="7">
        <v>40.94</v>
      </c>
    </row>
    <row r="139" spans="1:26" x14ac:dyDescent="0.35">
      <c r="A139" s="7" t="s">
        <v>27</v>
      </c>
      <c r="B139" s="7" t="s">
        <v>43</v>
      </c>
      <c r="C139" s="7" t="s">
        <v>48</v>
      </c>
      <c r="D139" s="7" t="s">
        <v>55</v>
      </c>
      <c r="E139" s="7" t="s">
        <v>36</v>
      </c>
      <c r="F139" s="7" t="s">
        <v>107</v>
      </c>
      <c r="G139" s="7">
        <v>2020</v>
      </c>
      <c r="H139" s="7" t="str">
        <f>CONCATENATE("04780037679")</f>
        <v>04780037679</v>
      </c>
      <c r="I139" s="7" t="s">
        <v>30</v>
      </c>
      <c r="J139" s="7" t="s">
        <v>46</v>
      </c>
      <c r="K139" s="7" t="str">
        <f>CONCATENATE("221")</f>
        <v>221</v>
      </c>
      <c r="L139" s="7" t="str">
        <f>CONCATENATE("8 8.1 5e")</f>
        <v>8 8.1 5e</v>
      </c>
      <c r="M139" s="7" t="str">
        <f>CONCATENATE("01332400421")</f>
        <v>01332400421</v>
      </c>
      <c r="N139" s="7" t="s">
        <v>249</v>
      </c>
      <c r="O139" s="7" t="s">
        <v>222</v>
      </c>
      <c r="P139" s="8">
        <v>44340</v>
      </c>
      <c r="Q139" s="7" t="s">
        <v>32</v>
      </c>
      <c r="R139" s="7" t="s">
        <v>40</v>
      </c>
      <c r="S139" s="7" t="s">
        <v>34</v>
      </c>
      <c r="T139" s="7"/>
      <c r="U139" s="7" t="s">
        <v>35</v>
      </c>
      <c r="V139" s="9">
        <v>1930.5</v>
      </c>
      <c r="W139" s="7">
        <v>832.43</v>
      </c>
      <c r="X139" s="7">
        <v>768.73</v>
      </c>
      <c r="Y139" s="7">
        <v>0</v>
      </c>
      <c r="Z139" s="7">
        <v>329.34</v>
      </c>
    </row>
    <row r="140" spans="1:26" x14ac:dyDescent="0.35">
      <c r="A140" s="7" t="s">
        <v>27</v>
      </c>
      <c r="B140" s="7" t="s">
        <v>43</v>
      </c>
      <c r="C140" s="7" t="s">
        <v>48</v>
      </c>
      <c r="D140" s="7" t="s">
        <v>55</v>
      </c>
      <c r="E140" s="7" t="s">
        <v>39</v>
      </c>
      <c r="F140" s="7" t="s">
        <v>83</v>
      </c>
      <c r="G140" s="7">
        <v>2020</v>
      </c>
      <c r="H140" s="7" t="str">
        <f>CONCATENATE("04780036192")</f>
        <v>04780036192</v>
      </c>
      <c r="I140" s="7" t="s">
        <v>30</v>
      </c>
      <c r="J140" s="7" t="s">
        <v>46</v>
      </c>
      <c r="K140" s="7" t="str">
        <f>CONCATENATE("221")</f>
        <v>221</v>
      </c>
      <c r="L140" s="7" t="str">
        <f>CONCATENATE("8 8.1 5e")</f>
        <v>8 8.1 5e</v>
      </c>
      <c r="M140" s="7" t="str">
        <f>CONCATENATE("CRSNNA48E42E388K")</f>
        <v>CRSNNA48E42E388K</v>
      </c>
      <c r="N140" s="7" t="s">
        <v>250</v>
      </c>
      <c r="O140" s="7" t="s">
        <v>222</v>
      </c>
      <c r="P140" s="8">
        <v>44340</v>
      </c>
      <c r="Q140" s="7" t="s">
        <v>32</v>
      </c>
      <c r="R140" s="7" t="s">
        <v>40</v>
      </c>
      <c r="S140" s="7" t="s">
        <v>34</v>
      </c>
      <c r="T140" s="7"/>
      <c r="U140" s="7" t="s">
        <v>35</v>
      </c>
      <c r="V140" s="7">
        <v>414</v>
      </c>
      <c r="W140" s="7">
        <v>178.52</v>
      </c>
      <c r="X140" s="7">
        <v>164.85</v>
      </c>
      <c r="Y140" s="7">
        <v>0</v>
      </c>
      <c r="Z140" s="7">
        <v>70.63</v>
      </c>
    </row>
    <row r="141" spans="1:26" x14ac:dyDescent="0.35">
      <c r="A141" s="7" t="s">
        <v>27</v>
      </c>
      <c r="B141" s="7" t="s">
        <v>43</v>
      </c>
      <c r="C141" s="7" t="s">
        <v>48</v>
      </c>
      <c r="D141" s="7" t="s">
        <v>49</v>
      </c>
      <c r="E141" s="7" t="s">
        <v>42</v>
      </c>
      <c r="F141" s="7" t="s">
        <v>251</v>
      </c>
      <c r="G141" s="7">
        <v>2020</v>
      </c>
      <c r="H141" s="7" t="str">
        <f>CONCATENATE("04240833261")</f>
        <v>04240833261</v>
      </c>
      <c r="I141" s="7" t="s">
        <v>37</v>
      </c>
      <c r="J141" s="7" t="s">
        <v>31</v>
      </c>
      <c r="K141" s="7" t="str">
        <f>CONCATENATE("")</f>
        <v/>
      </c>
      <c r="L141" s="7" t="str">
        <f>CONCATENATE("14 14.1 3a")</f>
        <v>14 14.1 3a</v>
      </c>
      <c r="M141" s="7" t="str">
        <f>CONCATENATE("82001310422")</f>
        <v>82001310422</v>
      </c>
      <c r="N141" s="7" t="s">
        <v>252</v>
      </c>
      <c r="O141" s="7" t="s">
        <v>253</v>
      </c>
      <c r="P141" s="8">
        <v>44337</v>
      </c>
      <c r="Q141" s="7" t="s">
        <v>32</v>
      </c>
      <c r="R141" s="7" t="s">
        <v>40</v>
      </c>
      <c r="S141" s="7" t="s">
        <v>34</v>
      </c>
      <c r="T141" s="7"/>
      <c r="U141" s="7" t="s">
        <v>35</v>
      </c>
      <c r="V141" s="9">
        <v>1083.5999999999999</v>
      </c>
      <c r="W141" s="7">
        <v>467.25</v>
      </c>
      <c r="X141" s="7">
        <v>431.49</v>
      </c>
      <c r="Y141" s="7">
        <v>0</v>
      </c>
      <c r="Z141" s="7">
        <v>184.86</v>
      </c>
    </row>
    <row r="142" spans="1:26" x14ac:dyDescent="0.35">
      <c r="A142" s="7" t="s">
        <v>27</v>
      </c>
      <c r="B142" s="7" t="s">
        <v>43</v>
      </c>
      <c r="C142" s="7" t="s">
        <v>48</v>
      </c>
      <c r="D142" s="7" t="s">
        <v>49</v>
      </c>
      <c r="E142" s="7" t="s">
        <v>45</v>
      </c>
      <c r="F142" s="7" t="s">
        <v>72</v>
      </c>
      <c r="G142" s="7">
        <v>2020</v>
      </c>
      <c r="H142" s="7" t="str">
        <f>CONCATENATE("04241064965")</f>
        <v>04241064965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CONCATENATE("14 14.1 3a")</f>
        <v>14 14.1 3a</v>
      </c>
      <c r="M142" s="7" t="str">
        <f>CONCATENATE("01626490435")</f>
        <v>01626490435</v>
      </c>
      <c r="N142" s="7" t="s">
        <v>254</v>
      </c>
      <c r="O142" s="7" t="s">
        <v>253</v>
      </c>
      <c r="P142" s="8">
        <v>44337</v>
      </c>
      <c r="Q142" s="7" t="s">
        <v>32</v>
      </c>
      <c r="R142" s="7" t="s">
        <v>40</v>
      </c>
      <c r="S142" s="7" t="s">
        <v>34</v>
      </c>
      <c r="T142" s="7"/>
      <c r="U142" s="7" t="s">
        <v>35</v>
      </c>
      <c r="V142" s="9">
        <v>5400</v>
      </c>
      <c r="W142" s="9">
        <v>2328.48</v>
      </c>
      <c r="X142" s="9">
        <v>2150.2800000000002</v>
      </c>
      <c r="Y142" s="7">
        <v>0</v>
      </c>
      <c r="Z142" s="7">
        <v>921.24</v>
      </c>
    </row>
    <row r="143" spans="1:26" x14ac:dyDescent="0.35">
      <c r="A143" s="7" t="s">
        <v>27</v>
      </c>
      <c r="B143" s="7" t="s">
        <v>43</v>
      </c>
      <c r="C143" s="7" t="s">
        <v>48</v>
      </c>
      <c r="D143" s="7" t="s">
        <v>49</v>
      </c>
      <c r="E143" s="7" t="s">
        <v>39</v>
      </c>
      <c r="F143" s="7" t="s">
        <v>205</v>
      </c>
      <c r="G143" s="7">
        <v>2020</v>
      </c>
      <c r="H143" s="7" t="str">
        <f>CONCATENATE("04240503971")</f>
        <v>04240503971</v>
      </c>
      <c r="I143" s="7" t="s">
        <v>37</v>
      </c>
      <c r="J143" s="7" t="s">
        <v>31</v>
      </c>
      <c r="K143" s="7" t="str">
        <f>CONCATENATE("")</f>
        <v/>
      </c>
      <c r="L143" s="7" t="str">
        <f>CONCATENATE("14 14.1 3a")</f>
        <v>14 14.1 3a</v>
      </c>
      <c r="M143" s="7" t="str">
        <f>CONCATENATE("BRRBBR88T69I156J")</f>
        <v>BRRBBR88T69I156J</v>
      </c>
      <c r="N143" s="7" t="s">
        <v>255</v>
      </c>
      <c r="O143" s="7" t="s">
        <v>253</v>
      </c>
      <c r="P143" s="8">
        <v>44337</v>
      </c>
      <c r="Q143" s="7" t="s">
        <v>32</v>
      </c>
      <c r="R143" s="7" t="s">
        <v>40</v>
      </c>
      <c r="S143" s="7" t="s">
        <v>34</v>
      </c>
      <c r="T143" s="7"/>
      <c r="U143" s="7" t="s">
        <v>35</v>
      </c>
      <c r="V143" s="9">
        <v>3249</v>
      </c>
      <c r="W143" s="9">
        <v>1400.97</v>
      </c>
      <c r="X143" s="9">
        <v>1293.75</v>
      </c>
      <c r="Y143" s="7">
        <v>0</v>
      </c>
      <c r="Z143" s="7">
        <v>554.28</v>
      </c>
    </row>
    <row r="144" spans="1:26" x14ac:dyDescent="0.35">
      <c r="A144" s="7" t="s">
        <v>27</v>
      </c>
      <c r="B144" s="7" t="s">
        <v>43</v>
      </c>
      <c r="C144" s="7" t="s">
        <v>48</v>
      </c>
      <c r="D144" s="7" t="s">
        <v>49</v>
      </c>
      <c r="E144" s="7" t="s">
        <v>39</v>
      </c>
      <c r="F144" s="7" t="s">
        <v>53</v>
      </c>
      <c r="G144" s="7">
        <v>2020</v>
      </c>
      <c r="H144" s="7" t="str">
        <f>CONCATENATE("04240422446")</f>
        <v>04240422446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CONCATENATE("14 14.1 3a")</f>
        <v>14 14.1 3a</v>
      </c>
      <c r="M144" s="7" t="str">
        <f>CONCATENATE("CRDBBR75P63E783R")</f>
        <v>CRDBBR75P63E783R</v>
      </c>
      <c r="N144" s="7" t="s">
        <v>256</v>
      </c>
      <c r="O144" s="7" t="s">
        <v>253</v>
      </c>
      <c r="P144" s="8">
        <v>44337</v>
      </c>
      <c r="Q144" s="7" t="s">
        <v>32</v>
      </c>
      <c r="R144" s="7" t="s">
        <v>40</v>
      </c>
      <c r="S144" s="7" t="s">
        <v>34</v>
      </c>
      <c r="T144" s="7"/>
      <c r="U144" s="7" t="s">
        <v>35</v>
      </c>
      <c r="V144" s="9">
        <v>3600</v>
      </c>
      <c r="W144" s="9">
        <v>1552.32</v>
      </c>
      <c r="X144" s="9">
        <v>1433.52</v>
      </c>
      <c r="Y144" s="7">
        <v>0</v>
      </c>
      <c r="Z144" s="7">
        <v>614.16</v>
      </c>
    </row>
    <row r="145" spans="1:26" x14ac:dyDescent="0.35">
      <c r="A145" s="7" t="s">
        <v>27</v>
      </c>
      <c r="B145" s="7" t="s">
        <v>43</v>
      </c>
      <c r="C145" s="7" t="s">
        <v>48</v>
      </c>
      <c r="D145" s="7" t="s">
        <v>49</v>
      </c>
      <c r="E145" s="7" t="s">
        <v>39</v>
      </c>
      <c r="F145" s="7" t="s">
        <v>58</v>
      </c>
      <c r="G145" s="7">
        <v>2020</v>
      </c>
      <c r="H145" s="7" t="str">
        <f>CONCATENATE("04240365736")</f>
        <v>04240365736</v>
      </c>
      <c r="I145" s="7" t="s">
        <v>37</v>
      </c>
      <c r="J145" s="7" t="s">
        <v>31</v>
      </c>
      <c r="K145" s="7" t="str">
        <f>CONCATENATE("")</f>
        <v/>
      </c>
      <c r="L145" s="7" t="str">
        <f>CONCATENATE("14 14.1 3a")</f>
        <v>14 14.1 3a</v>
      </c>
      <c r="M145" s="7" t="str">
        <f>CONCATENATE("RZOWTR88E06E783C")</f>
        <v>RZOWTR88E06E783C</v>
      </c>
      <c r="N145" s="7" t="s">
        <v>257</v>
      </c>
      <c r="O145" s="7" t="s">
        <v>253</v>
      </c>
      <c r="P145" s="8">
        <v>44337</v>
      </c>
      <c r="Q145" s="7" t="s">
        <v>32</v>
      </c>
      <c r="R145" s="7" t="s">
        <v>40</v>
      </c>
      <c r="S145" s="7" t="s">
        <v>34</v>
      </c>
      <c r="T145" s="7"/>
      <c r="U145" s="7" t="s">
        <v>35</v>
      </c>
      <c r="V145" s="9">
        <v>5160</v>
      </c>
      <c r="W145" s="9">
        <v>2224.9899999999998</v>
      </c>
      <c r="X145" s="9">
        <v>2054.71</v>
      </c>
      <c r="Y145" s="7">
        <v>0</v>
      </c>
      <c r="Z145" s="7">
        <v>880.3</v>
      </c>
    </row>
    <row r="146" spans="1:26" x14ac:dyDescent="0.35">
      <c r="A146" s="7" t="s">
        <v>27</v>
      </c>
      <c r="B146" s="7" t="s">
        <v>43</v>
      </c>
      <c r="C146" s="7" t="s">
        <v>48</v>
      </c>
      <c r="D146" s="7" t="s">
        <v>55</v>
      </c>
      <c r="E146" s="7" t="s">
        <v>39</v>
      </c>
      <c r="F146" s="7" t="s">
        <v>143</v>
      </c>
      <c r="G146" s="7">
        <v>2018</v>
      </c>
      <c r="H146" s="7" t="str">
        <f>CONCATENATE("84780024901")</f>
        <v>84780024901</v>
      </c>
      <c r="I146" s="7" t="s">
        <v>30</v>
      </c>
      <c r="J146" s="7" t="s">
        <v>46</v>
      </c>
      <c r="K146" s="7" t="str">
        <f>CONCATENATE("221")</f>
        <v>221</v>
      </c>
      <c r="L146" s="7" t="str">
        <f>CONCATENATE("8 8.1 5e")</f>
        <v>8 8.1 5e</v>
      </c>
      <c r="M146" s="7" t="str">
        <f>CONCATENATE("VTLMRN52D30D211X")</f>
        <v>VTLMRN52D30D211X</v>
      </c>
      <c r="N146" s="7" t="s">
        <v>258</v>
      </c>
      <c r="O146" s="7" t="s">
        <v>259</v>
      </c>
      <c r="P146" s="8">
        <v>44340</v>
      </c>
      <c r="Q146" s="7" t="s">
        <v>32</v>
      </c>
      <c r="R146" s="7" t="s">
        <v>40</v>
      </c>
      <c r="S146" s="7" t="s">
        <v>34</v>
      </c>
      <c r="T146" s="7"/>
      <c r="U146" s="7" t="s">
        <v>35</v>
      </c>
      <c r="V146" s="7">
        <v>384</v>
      </c>
      <c r="W146" s="7">
        <v>165.58</v>
      </c>
      <c r="X146" s="7">
        <v>152.91</v>
      </c>
      <c r="Y146" s="7">
        <v>0</v>
      </c>
      <c r="Z146" s="7">
        <v>65.510000000000005</v>
      </c>
    </row>
    <row r="147" spans="1:26" x14ac:dyDescent="0.35">
      <c r="A147" s="7" t="s">
        <v>27</v>
      </c>
      <c r="B147" s="7" t="s">
        <v>43</v>
      </c>
      <c r="C147" s="7" t="s">
        <v>48</v>
      </c>
      <c r="D147" s="7" t="s">
        <v>55</v>
      </c>
      <c r="E147" s="7" t="s">
        <v>39</v>
      </c>
      <c r="F147" s="7" t="s">
        <v>143</v>
      </c>
      <c r="G147" s="7">
        <v>2018</v>
      </c>
      <c r="H147" s="7" t="str">
        <f>CONCATENATE("84780024943")</f>
        <v>84780024943</v>
      </c>
      <c r="I147" s="7" t="s">
        <v>30</v>
      </c>
      <c r="J147" s="7" t="s">
        <v>46</v>
      </c>
      <c r="K147" s="7" t="str">
        <f>CONCATENATE("221")</f>
        <v>221</v>
      </c>
      <c r="L147" s="7" t="str">
        <f>CONCATENATE("8 8.1 5e")</f>
        <v>8 8.1 5e</v>
      </c>
      <c r="M147" s="7" t="str">
        <f>CONCATENATE("VTLMRN52D30D211X")</f>
        <v>VTLMRN52D30D211X</v>
      </c>
      <c r="N147" s="7" t="s">
        <v>258</v>
      </c>
      <c r="O147" s="7" t="s">
        <v>259</v>
      </c>
      <c r="P147" s="8">
        <v>44340</v>
      </c>
      <c r="Q147" s="7" t="s">
        <v>32</v>
      </c>
      <c r="R147" s="7" t="s">
        <v>40</v>
      </c>
      <c r="S147" s="7" t="s">
        <v>34</v>
      </c>
      <c r="T147" s="7"/>
      <c r="U147" s="7" t="s">
        <v>35</v>
      </c>
      <c r="V147" s="7">
        <v>484</v>
      </c>
      <c r="W147" s="7">
        <v>208.7</v>
      </c>
      <c r="X147" s="7">
        <v>192.73</v>
      </c>
      <c r="Y147" s="7">
        <v>0</v>
      </c>
      <c r="Z147" s="7">
        <v>82.57</v>
      </c>
    </row>
    <row r="148" spans="1:26" x14ac:dyDescent="0.35">
      <c r="A148" s="7" t="s">
        <v>27</v>
      </c>
      <c r="B148" s="7" t="s">
        <v>43</v>
      </c>
      <c r="C148" s="7" t="s">
        <v>48</v>
      </c>
      <c r="D148" s="7" t="s">
        <v>55</v>
      </c>
      <c r="E148" s="7" t="s">
        <v>41</v>
      </c>
      <c r="F148" s="7" t="s">
        <v>161</v>
      </c>
      <c r="G148" s="7">
        <v>2020</v>
      </c>
      <c r="H148" s="7" t="str">
        <f>CONCATENATE("04780013498")</f>
        <v>04780013498</v>
      </c>
      <c r="I148" s="7" t="s">
        <v>30</v>
      </c>
      <c r="J148" s="7" t="s">
        <v>46</v>
      </c>
      <c r="K148" s="7" t="str">
        <f>CONCATENATE("221")</f>
        <v>221</v>
      </c>
      <c r="L148" s="7" t="str">
        <f>CONCATENATE("8 8.1 5e")</f>
        <v>8 8.1 5e</v>
      </c>
      <c r="M148" s="7" t="str">
        <f>CONCATENATE("CSTGLN45T17F589X")</f>
        <v>CSTGLN45T17F589X</v>
      </c>
      <c r="N148" s="7" t="s">
        <v>227</v>
      </c>
      <c r="O148" s="7" t="s">
        <v>260</v>
      </c>
      <c r="P148" s="8">
        <v>44340</v>
      </c>
      <c r="Q148" s="7" t="s">
        <v>32</v>
      </c>
      <c r="R148" s="7" t="s">
        <v>40</v>
      </c>
      <c r="S148" s="7" t="s">
        <v>34</v>
      </c>
      <c r="T148" s="7"/>
      <c r="U148" s="7" t="s">
        <v>35</v>
      </c>
      <c r="V148" s="7">
        <v>102</v>
      </c>
      <c r="W148" s="7">
        <v>43.98</v>
      </c>
      <c r="X148" s="7">
        <v>40.619999999999997</v>
      </c>
      <c r="Y148" s="7">
        <v>0</v>
      </c>
      <c r="Z148" s="7">
        <v>17.399999999999999</v>
      </c>
    </row>
    <row r="149" spans="1:26" x14ac:dyDescent="0.35">
      <c r="A149" s="7" t="s">
        <v>27</v>
      </c>
      <c r="B149" s="7" t="s">
        <v>43</v>
      </c>
      <c r="C149" s="7" t="s">
        <v>48</v>
      </c>
      <c r="D149" s="7" t="s">
        <v>127</v>
      </c>
      <c r="E149" s="7" t="s">
        <v>39</v>
      </c>
      <c r="F149" s="7" t="s">
        <v>261</v>
      </c>
      <c r="G149" s="7">
        <v>2020</v>
      </c>
      <c r="H149" s="7" t="str">
        <f>CONCATENATE("04780043503")</f>
        <v>04780043503</v>
      </c>
      <c r="I149" s="7" t="s">
        <v>30</v>
      </c>
      <c r="J149" s="7" t="s">
        <v>46</v>
      </c>
      <c r="K149" s="7" t="str">
        <f>CONCATENATE("221")</f>
        <v>221</v>
      </c>
      <c r="L149" s="7" t="str">
        <f>CONCATENATE("8 8.1 5e")</f>
        <v>8 8.1 5e</v>
      </c>
      <c r="M149" s="7" t="str">
        <f>CONCATENATE("BCCNDA53L53D488U")</f>
        <v>BCCNDA53L53D488U</v>
      </c>
      <c r="N149" s="7" t="s">
        <v>262</v>
      </c>
      <c r="O149" s="7" t="s">
        <v>263</v>
      </c>
      <c r="P149" s="8">
        <v>44340</v>
      </c>
      <c r="Q149" s="7" t="s">
        <v>32</v>
      </c>
      <c r="R149" s="7" t="s">
        <v>40</v>
      </c>
      <c r="S149" s="7" t="s">
        <v>34</v>
      </c>
      <c r="T149" s="7"/>
      <c r="U149" s="7" t="s">
        <v>35</v>
      </c>
      <c r="V149" s="7">
        <v>974.3</v>
      </c>
      <c r="W149" s="7">
        <v>420.12</v>
      </c>
      <c r="X149" s="7">
        <v>387.97</v>
      </c>
      <c r="Y149" s="7">
        <v>0</v>
      </c>
      <c r="Z149" s="7">
        <v>166.21</v>
      </c>
    </row>
    <row r="150" spans="1:26" x14ac:dyDescent="0.35">
      <c r="A150" s="7" t="s">
        <v>27</v>
      </c>
      <c r="B150" s="7" t="s">
        <v>43</v>
      </c>
      <c r="C150" s="7" t="s">
        <v>48</v>
      </c>
      <c r="D150" s="7" t="s">
        <v>127</v>
      </c>
      <c r="E150" s="7" t="s">
        <v>41</v>
      </c>
      <c r="F150" s="7" t="s">
        <v>264</v>
      </c>
      <c r="G150" s="7">
        <v>2020</v>
      </c>
      <c r="H150" s="7" t="str">
        <f>CONCATENATE("04780009850")</f>
        <v>04780009850</v>
      </c>
      <c r="I150" s="7" t="s">
        <v>30</v>
      </c>
      <c r="J150" s="7" t="s">
        <v>46</v>
      </c>
      <c r="K150" s="7" t="str">
        <f>CONCATENATE("221")</f>
        <v>221</v>
      </c>
      <c r="L150" s="7" t="str">
        <f>CONCATENATE("8 8.1 5e")</f>
        <v>8 8.1 5e</v>
      </c>
      <c r="M150" s="7" t="str">
        <f>CONCATENATE("FLPNMR46M51G479A")</f>
        <v>FLPNMR46M51G479A</v>
      </c>
      <c r="N150" s="7" t="s">
        <v>265</v>
      </c>
      <c r="O150" s="7" t="s">
        <v>263</v>
      </c>
      <c r="P150" s="8">
        <v>44340</v>
      </c>
      <c r="Q150" s="7" t="s">
        <v>32</v>
      </c>
      <c r="R150" s="7" t="s">
        <v>40</v>
      </c>
      <c r="S150" s="7" t="s">
        <v>34</v>
      </c>
      <c r="T150" s="7"/>
      <c r="U150" s="7" t="s">
        <v>35</v>
      </c>
      <c r="V150" s="7">
        <v>459.78</v>
      </c>
      <c r="W150" s="7">
        <v>198.26</v>
      </c>
      <c r="X150" s="7">
        <v>183.08</v>
      </c>
      <c r="Y150" s="7">
        <v>0</v>
      </c>
      <c r="Z150" s="7">
        <v>78.44</v>
      </c>
    </row>
    <row r="151" spans="1:26" x14ac:dyDescent="0.35">
      <c r="A151" s="7" t="s">
        <v>27</v>
      </c>
      <c r="B151" s="7" t="s">
        <v>43</v>
      </c>
      <c r="C151" s="7" t="s">
        <v>48</v>
      </c>
      <c r="D151" s="7" t="s">
        <v>49</v>
      </c>
      <c r="E151" s="7" t="s">
        <v>39</v>
      </c>
      <c r="F151" s="7" t="s">
        <v>168</v>
      </c>
      <c r="G151" s="7">
        <v>2020</v>
      </c>
      <c r="H151" s="7" t="str">
        <f>CONCATENATE("04780036036")</f>
        <v>04780036036</v>
      </c>
      <c r="I151" s="7" t="s">
        <v>30</v>
      </c>
      <c r="J151" s="7" t="s">
        <v>46</v>
      </c>
      <c r="K151" s="7" t="str">
        <f>CONCATENATE("221")</f>
        <v>221</v>
      </c>
      <c r="L151" s="7" t="str">
        <f>CONCATENATE("8 8.1 5e")</f>
        <v>8 8.1 5e</v>
      </c>
      <c r="M151" s="7" t="str">
        <f>CONCATENATE("NDRTZN59T65E783V")</f>
        <v>NDRTZN59T65E783V</v>
      </c>
      <c r="N151" s="7" t="s">
        <v>266</v>
      </c>
      <c r="O151" s="7" t="s">
        <v>263</v>
      </c>
      <c r="P151" s="8">
        <v>44340</v>
      </c>
      <c r="Q151" s="7" t="s">
        <v>32</v>
      </c>
      <c r="R151" s="7" t="s">
        <v>40</v>
      </c>
      <c r="S151" s="7" t="s">
        <v>34</v>
      </c>
      <c r="T151" s="7"/>
      <c r="U151" s="7" t="s">
        <v>35</v>
      </c>
      <c r="V151" s="7">
        <v>111.75</v>
      </c>
      <c r="W151" s="7">
        <v>48.19</v>
      </c>
      <c r="X151" s="7">
        <v>44.5</v>
      </c>
      <c r="Y151" s="7">
        <v>0</v>
      </c>
      <c r="Z151" s="7">
        <v>19.059999999999999</v>
      </c>
    </row>
    <row r="152" spans="1:26" x14ac:dyDescent="0.35">
      <c r="A152" s="7" t="s">
        <v>27</v>
      </c>
      <c r="B152" s="7" t="s">
        <v>43</v>
      </c>
      <c r="C152" s="7" t="s">
        <v>48</v>
      </c>
      <c r="D152" s="7" t="s">
        <v>49</v>
      </c>
      <c r="E152" s="7" t="s">
        <v>36</v>
      </c>
      <c r="F152" s="7" t="s">
        <v>197</v>
      </c>
      <c r="G152" s="7">
        <v>2020</v>
      </c>
      <c r="H152" s="7" t="str">
        <f>CONCATENATE("04780024487")</f>
        <v>04780024487</v>
      </c>
      <c r="I152" s="7" t="s">
        <v>30</v>
      </c>
      <c r="J152" s="7" t="s">
        <v>46</v>
      </c>
      <c r="K152" s="7" t="str">
        <f>CONCATENATE("221")</f>
        <v>221</v>
      </c>
      <c r="L152" s="7" t="str">
        <f>CONCATENATE("8 8.1 5e")</f>
        <v>8 8.1 5e</v>
      </c>
      <c r="M152" s="7" t="str">
        <f>CONCATENATE("GZZGRL68D64H211Q")</f>
        <v>GZZGRL68D64H211Q</v>
      </c>
      <c r="N152" s="7" t="s">
        <v>267</v>
      </c>
      <c r="O152" s="7" t="s">
        <v>263</v>
      </c>
      <c r="P152" s="8">
        <v>44340</v>
      </c>
      <c r="Q152" s="7" t="s">
        <v>32</v>
      </c>
      <c r="R152" s="7" t="s">
        <v>40</v>
      </c>
      <c r="S152" s="7" t="s">
        <v>34</v>
      </c>
      <c r="T152" s="7"/>
      <c r="U152" s="7" t="s">
        <v>35</v>
      </c>
      <c r="V152" s="9">
        <v>1414.36</v>
      </c>
      <c r="W152" s="7">
        <v>609.87</v>
      </c>
      <c r="X152" s="7">
        <v>563.20000000000005</v>
      </c>
      <c r="Y152" s="7">
        <v>0</v>
      </c>
      <c r="Z152" s="7">
        <v>241.29</v>
      </c>
    </row>
    <row r="153" spans="1:26" x14ac:dyDescent="0.35">
      <c r="A153" s="7" t="s">
        <v>27</v>
      </c>
      <c r="B153" s="7" t="s">
        <v>43</v>
      </c>
      <c r="C153" s="7" t="s">
        <v>48</v>
      </c>
      <c r="D153" s="7" t="s">
        <v>49</v>
      </c>
      <c r="E153" s="7" t="s">
        <v>45</v>
      </c>
      <c r="F153" s="7" t="s">
        <v>85</v>
      </c>
      <c r="G153" s="7">
        <v>2020</v>
      </c>
      <c r="H153" s="7" t="str">
        <f>CONCATENATE("04780003994")</f>
        <v>04780003994</v>
      </c>
      <c r="I153" s="7" t="s">
        <v>30</v>
      </c>
      <c r="J153" s="7" t="s">
        <v>46</v>
      </c>
      <c r="K153" s="7" t="str">
        <f>CONCATENATE("221")</f>
        <v>221</v>
      </c>
      <c r="L153" s="7" t="str">
        <f>CONCATENATE("8 8.1 5e")</f>
        <v>8 8.1 5e</v>
      </c>
      <c r="M153" s="7" t="str">
        <f>CONCATENATE("PLPNBL33L24L366B")</f>
        <v>PLPNBL33L24L366B</v>
      </c>
      <c r="N153" s="7" t="s">
        <v>268</v>
      </c>
      <c r="O153" s="7" t="s">
        <v>263</v>
      </c>
      <c r="P153" s="8">
        <v>44340</v>
      </c>
      <c r="Q153" s="7" t="s">
        <v>32</v>
      </c>
      <c r="R153" s="7" t="s">
        <v>40</v>
      </c>
      <c r="S153" s="7" t="s">
        <v>34</v>
      </c>
      <c r="T153" s="7"/>
      <c r="U153" s="7" t="s">
        <v>35</v>
      </c>
      <c r="V153" s="9">
        <v>1770</v>
      </c>
      <c r="W153" s="7">
        <v>763.22</v>
      </c>
      <c r="X153" s="7">
        <v>704.81</v>
      </c>
      <c r="Y153" s="7">
        <v>0</v>
      </c>
      <c r="Z153" s="7">
        <v>301.97000000000003</v>
      </c>
    </row>
    <row r="154" spans="1:26" x14ac:dyDescent="0.35">
      <c r="A154" s="7" t="s">
        <v>27</v>
      </c>
      <c r="B154" s="7" t="s">
        <v>43</v>
      </c>
      <c r="C154" s="7" t="s">
        <v>48</v>
      </c>
      <c r="D154" s="7" t="s">
        <v>49</v>
      </c>
      <c r="E154" s="7" t="s">
        <v>45</v>
      </c>
      <c r="F154" s="7" t="s">
        <v>85</v>
      </c>
      <c r="G154" s="7">
        <v>2020</v>
      </c>
      <c r="H154" s="7" t="str">
        <f>CONCATENATE("04780009330")</f>
        <v>04780009330</v>
      </c>
      <c r="I154" s="7" t="s">
        <v>30</v>
      </c>
      <c r="J154" s="7" t="s">
        <v>46</v>
      </c>
      <c r="K154" s="7" t="str">
        <f>CONCATENATE("221")</f>
        <v>221</v>
      </c>
      <c r="L154" s="7" t="str">
        <f>CONCATENATE("8 8.1 5e")</f>
        <v>8 8.1 5e</v>
      </c>
      <c r="M154" s="7" t="str">
        <f>CONCATENATE("00695170431")</f>
        <v>00695170431</v>
      </c>
      <c r="N154" s="7" t="s">
        <v>269</v>
      </c>
      <c r="O154" s="7" t="s">
        <v>263</v>
      </c>
      <c r="P154" s="8">
        <v>44340</v>
      </c>
      <c r="Q154" s="7" t="s">
        <v>32</v>
      </c>
      <c r="R154" s="7" t="s">
        <v>40</v>
      </c>
      <c r="S154" s="7" t="s">
        <v>34</v>
      </c>
      <c r="T154" s="7"/>
      <c r="U154" s="7" t="s">
        <v>35</v>
      </c>
      <c r="V154" s="9">
        <v>2509.48</v>
      </c>
      <c r="W154" s="9">
        <v>1082.0899999999999</v>
      </c>
      <c r="X154" s="7">
        <v>999.27</v>
      </c>
      <c r="Y154" s="7">
        <v>0</v>
      </c>
      <c r="Z154" s="7">
        <v>428.12</v>
      </c>
    </row>
    <row r="155" spans="1:26" x14ac:dyDescent="0.35">
      <c r="A155" s="7" t="s">
        <v>27</v>
      </c>
      <c r="B155" s="7" t="s">
        <v>43</v>
      </c>
      <c r="C155" s="7" t="s">
        <v>48</v>
      </c>
      <c r="D155" s="7" t="s">
        <v>127</v>
      </c>
      <c r="E155" s="7" t="s">
        <v>45</v>
      </c>
      <c r="F155" s="7" t="s">
        <v>270</v>
      </c>
      <c r="G155" s="7">
        <v>2020</v>
      </c>
      <c r="H155" s="7" t="str">
        <f>CONCATENATE("04780045102")</f>
        <v>04780045102</v>
      </c>
      <c r="I155" s="7" t="s">
        <v>37</v>
      </c>
      <c r="J155" s="7" t="s">
        <v>46</v>
      </c>
      <c r="K155" s="7" t="str">
        <f>CONCATENATE("221")</f>
        <v>221</v>
      </c>
      <c r="L155" s="7" t="str">
        <f>CONCATENATE("8 8.1 5e")</f>
        <v>8 8.1 5e</v>
      </c>
      <c r="M155" s="7" t="str">
        <f>CONCATENATE("BRSMNN82R51C357J")</f>
        <v>BRSMNN82R51C357J</v>
      </c>
      <c r="N155" s="7" t="s">
        <v>271</v>
      </c>
      <c r="O155" s="7" t="s">
        <v>263</v>
      </c>
      <c r="P155" s="8">
        <v>44340</v>
      </c>
      <c r="Q155" s="7" t="s">
        <v>32</v>
      </c>
      <c r="R155" s="7" t="s">
        <v>40</v>
      </c>
      <c r="S155" s="7" t="s">
        <v>34</v>
      </c>
      <c r="T155" s="7"/>
      <c r="U155" s="7" t="s">
        <v>35</v>
      </c>
      <c r="V155" s="9">
        <v>7740</v>
      </c>
      <c r="W155" s="9">
        <v>3337.49</v>
      </c>
      <c r="X155" s="9">
        <v>3082.07</v>
      </c>
      <c r="Y155" s="7">
        <v>0</v>
      </c>
      <c r="Z155" s="9">
        <v>1320.44</v>
      </c>
    </row>
    <row r="156" spans="1:26" x14ac:dyDescent="0.35">
      <c r="A156" s="7" t="s">
        <v>27</v>
      </c>
      <c r="B156" s="7" t="s">
        <v>43</v>
      </c>
      <c r="C156" s="7" t="s">
        <v>48</v>
      </c>
      <c r="D156" s="7" t="s">
        <v>49</v>
      </c>
      <c r="E156" s="7" t="s">
        <v>42</v>
      </c>
      <c r="F156" s="7" t="s">
        <v>192</v>
      </c>
      <c r="G156" s="7">
        <v>2020</v>
      </c>
      <c r="H156" s="7" t="str">
        <f>CONCATENATE("04780044311")</f>
        <v>04780044311</v>
      </c>
      <c r="I156" s="7" t="s">
        <v>30</v>
      </c>
      <c r="J156" s="7" t="s">
        <v>46</v>
      </c>
      <c r="K156" s="7" t="str">
        <f>CONCATENATE("221")</f>
        <v>221</v>
      </c>
      <c r="L156" s="7" t="str">
        <f>CONCATENATE("8 8.1 5e")</f>
        <v>8 8.1 5e</v>
      </c>
      <c r="M156" s="7" t="str">
        <f>CONCATENATE("SCLSND50L17C704S")</f>
        <v>SCLSND50L17C704S</v>
      </c>
      <c r="N156" s="7" t="s">
        <v>272</v>
      </c>
      <c r="O156" s="7" t="s">
        <v>263</v>
      </c>
      <c r="P156" s="8">
        <v>44340</v>
      </c>
      <c r="Q156" s="7" t="s">
        <v>32</v>
      </c>
      <c r="R156" s="7" t="s">
        <v>40</v>
      </c>
      <c r="S156" s="7" t="s">
        <v>34</v>
      </c>
      <c r="T156" s="7"/>
      <c r="U156" s="7" t="s">
        <v>35</v>
      </c>
      <c r="V156" s="7">
        <v>749</v>
      </c>
      <c r="W156" s="7">
        <v>322.97000000000003</v>
      </c>
      <c r="X156" s="7">
        <v>298.25</v>
      </c>
      <c r="Y156" s="7">
        <v>0</v>
      </c>
      <c r="Z156" s="7">
        <v>127.78</v>
      </c>
    </row>
    <row r="157" spans="1:26" x14ac:dyDescent="0.35">
      <c r="A157" s="7" t="s">
        <v>27</v>
      </c>
      <c r="B157" s="7" t="s">
        <v>43</v>
      </c>
      <c r="C157" s="7" t="s">
        <v>48</v>
      </c>
      <c r="D157" s="7" t="s">
        <v>127</v>
      </c>
      <c r="E157" s="7" t="s">
        <v>36</v>
      </c>
      <c r="F157" s="7" t="s">
        <v>273</v>
      </c>
      <c r="G157" s="7">
        <v>2020</v>
      </c>
      <c r="H157" s="7" t="str">
        <f>CONCATENATE("04780013167")</f>
        <v>04780013167</v>
      </c>
      <c r="I157" s="7" t="s">
        <v>37</v>
      </c>
      <c r="J157" s="7" t="s">
        <v>46</v>
      </c>
      <c r="K157" s="7" t="str">
        <f>CONCATENATE("221")</f>
        <v>221</v>
      </c>
      <c r="L157" s="7" t="str">
        <f>CONCATENATE("8 8.1 5e")</f>
        <v>8 8.1 5e</v>
      </c>
      <c r="M157" s="7" t="str">
        <f>CONCATENATE("BRSNDA48A47Z103Q")</f>
        <v>BRSNDA48A47Z103Q</v>
      </c>
      <c r="N157" s="7" t="s">
        <v>274</v>
      </c>
      <c r="O157" s="7" t="s">
        <v>263</v>
      </c>
      <c r="P157" s="8">
        <v>44340</v>
      </c>
      <c r="Q157" s="7" t="s">
        <v>32</v>
      </c>
      <c r="R157" s="7" t="s">
        <v>40</v>
      </c>
      <c r="S157" s="7" t="s">
        <v>34</v>
      </c>
      <c r="T157" s="7"/>
      <c r="U157" s="7" t="s">
        <v>35</v>
      </c>
      <c r="V157" s="9">
        <v>5620</v>
      </c>
      <c r="W157" s="9">
        <v>2423.34</v>
      </c>
      <c r="X157" s="9">
        <v>2237.88</v>
      </c>
      <c r="Y157" s="7">
        <v>0</v>
      </c>
      <c r="Z157" s="7">
        <v>958.78</v>
      </c>
    </row>
    <row r="158" spans="1:26" x14ac:dyDescent="0.35">
      <c r="A158" s="7" t="s">
        <v>27</v>
      </c>
      <c r="B158" s="7" t="s">
        <v>43</v>
      </c>
      <c r="C158" s="7" t="s">
        <v>48</v>
      </c>
      <c r="D158" s="7" t="s">
        <v>127</v>
      </c>
      <c r="E158" s="7" t="s">
        <v>47</v>
      </c>
      <c r="F158" s="7" t="s">
        <v>275</v>
      </c>
      <c r="G158" s="7">
        <v>2020</v>
      </c>
      <c r="H158" s="7" t="str">
        <f>CONCATENATE("04780031078")</f>
        <v>04780031078</v>
      </c>
      <c r="I158" s="7" t="s">
        <v>37</v>
      </c>
      <c r="J158" s="7" t="s">
        <v>46</v>
      </c>
      <c r="K158" s="7" t="str">
        <f>CONCATENATE("221")</f>
        <v>221</v>
      </c>
      <c r="L158" s="7" t="str">
        <f>CONCATENATE("8 8.1 5e")</f>
        <v>8 8.1 5e</v>
      </c>
      <c r="M158" s="7" t="str">
        <f>CONCATENATE("LRDGNE65P03C357P")</f>
        <v>LRDGNE65P03C357P</v>
      </c>
      <c r="N158" s="7" t="s">
        <v>276</v>
      </c>
      <c r="O158" s="7" t="s">
        <v>263</v>
      </c>
      <c r="P158" s="8">
        <v>44340</v>
      </c>
      <c r="Q158" s="7" t="s">
        <v>32</v>
      </c>
      <c r="R158" s="7" t="s">
        <v>40</v>
      </c>
      <c r="S158" s="7" t="s">
        <v>34</v>
      </c>
      <c r="T158" s="7"/>
      <c r="U158" s="7" t="s">
        <v>35</v>
      </c>
      <c r="V158" s="7">
        <v>90.3</v>
      </c>
      <c r="W158" s="7">
        <v>38.94</v>
      </c>
      <c r="X158" s="7">
        <v>35.96</v>
      </c>
      <c r="Y158" s="7">
        <v>0</v>
      </c>
      <c r="Z158" s="7">
        <v>15.4</v>
      </c>
    </row>
    <row r="159" spans="1:26" x14ac:dyDescent="0.35">
      <c r="A159" s="7" t="s">
        <v>27</v>
      </c>
      <c r="B159" s="7" t="s">
        <v>43</v>
      </c>
      <c r="C159" s="7" t="s">
        <v>48</v>
      </c>
      <c r="D159" s="7" t="s">
        <v>55</v>
      </c>
      <c r="E159" s="7" t="s">
        <v>41</v>
      </c>
      <c r="F159" s="7" t="s">
        <v>157</v>
      </c>
      <c r="G159" s="7">
        <v>2020</v>
      </c>
      <c r="H159" s="7" t="str">
        <f>CONCATENATE("04780027175")</f>
        <v>04780027175</v>
      </c>
      <c r="I159" s="7" t="s">
        <v>30</v>
      </c>
      <c r="J159" s="7" t="s">
        <v>46</v>
      </c>
      <c r="K159" s="7" t="str">
        <f>CONCATENATE("221")</f>
        <v>221</v>
      </c>
      <c r="L159" s="7" t="str">
        <f>CONCATENATE("8 8.1 5e")</f>
        <v>8 8.1 5e</v>
      </c>
      <c r="M159" s="7" t="str">
        <f>CONCATENATE("CRBPRZ61M70G771M")</f>
        <v>CRBPRZ61M70G771M</v>
      </c>
      <c r="N159" s="7" t="s">
        <v>277</v>
      </c>
      <c r="O159" s="7" t="s">
        <v>278</v>
      </c>
      <c r="P159" s="8">
        <v>44340</v>
      </c>
      <c r="Q159" s="7" t="s">
        <v>32</v>
      </c>
      <c r="R159" s="7" t="s">
        <v>40</v>
      </c>
      <c r="S159" s="7" t="s">
        <v>34</v>
      </c>
      <c r="T159" s="7"/>
      <c r="U159" s="7" t="s">
        <v>35</v>
      </c>
      <c r="V159" s="9">
        <v>1522.2</v>
      </c>
      <c r="W159" s="7">
        <v>656.37</v>
      </c>
      <c r="X159" s="7">
        <v>606.14</v>
      </c>
      <c r="Y159" s="7">
        <v>0</v>
      </c>
      <c r="Z159" s="7">
        <v>259.69</v>
      </c>
    </row>
    <row r="160" spans="1:26" x14ac:dyDescent="0.35">
      <c r="A160" s="7" t="s">
        <v>27</v>
      </c>
      <c r="B160" s="7" t="s">
        <v>43</v>
      </c>
      <c r="C160" s="7" t="s">
        <v>48</v>
      </c>
      <c r="D160" s="7" t="s">
        <v>55</v>
      </c>
      <c r="E160" s="7" t="s">
        <v>41</v>
      </c>
      <c r="F160" s="7" t="s">
        <v>157</v>
      </c>
      <c r="G160" s="7">
        <v>2020</v>
      </c>
      <c r="H160" s="7" t="str">
        <f>CONCATENATE("04780007458")</f>
        <v>04780007458</v>
      </c>
      <c r="I160" s="7" t="s">
        <v>30</v>
      </c>
      <c r="J160" s="7" t="s">
        <v>46</v>
      </c>
      <c r="K160" s="7" t="str">
        <f>CONCATENATE("221")</f>
        <v>221</v>
      </c>
      <c r="L160" s="7" t="str">
        <f>CONCATENATE("8 8.1 5e")</f>
        <v>8 8.1 5e</v>
      </c>
      <c r="M160" s="7" t="str">
        <f>CONCATENATE("MNTLNA33B60I643X")</f>
        <v>MNTLNA33B60I643X</v>
      </c>
      <c r="N160" s="7" t="s">
        <v>279</v>
      </c>
      <c r="O160" s="7" t="s">
        <v>278</v>
      </c>
      <c r="P160" s="8">
        <v>44340</v>
      </c>
      <c r="Q160" s="7" t="s">
        <v>32</v>
      </c>
      <c r="R160" s="7" t="s">
        <v>40</v>
      </c>
      <c r="S160" s="7" t="s">
        <v>34</v>
      </c>
      <c r="T160" s="7"/>
      <c r="U160" s="7" t="s">
        <v>35</v>
      </c>
      <c r="V160" s="7">
        <v>101.42</v>
      </c>
      <c r="W160" s="7">
        <v>43.73</v>
      </c>
      <c r="X160" s="7">
        <v>40.39</v>
      </c>
      <c r="Y160" s="7">
        <v>0</v>
      </c>
      <c r="Z160" s="7">
        <v>17.3</v>
      </c>
    </row>
    <row r="161" spans="1:26" x14ac:dyDescent="0.35">
      <c r="A161" s="7" t="s">
        <v>27</v>
      </c>
      <c r="B161" s="7" t="s">
        <v>43</v>
      </c>
      <c r="C161" s="7" t="s">
        <v>48</v>
      </c>
      <c r="D161" s="7" t="s">
        <v>55</v>
      </c>
      <c r="E161" s="7" t="s">
        <v>42</v>
      </c>
      <c r="F161" s="7" t="s">
        <v>280</v>
      </c>
      <c r="G161" s="7">
        <v>2020</v>
      </c>
      <c r="H161" s="7" t="str">
        <f>CONCATENATE("04780027126")</f>
        <v>04780027126</v>
      </c>
      <c r="I161" s="7" t="s">
        <v>30</v>
      </c>
      <c r="J161" s="7" t="s">
        <v>46</v>
      </c>
      <c r="K161" s="7" t="str">
        <f>CONCATENATE("221")</f>
        <v>221</v>
      </c>
      <c r="L161" s="7" t="str">
        <f>CONCATENATE("8 8.1 5e")</f>
        <v>8 8.1 5e</v>
      </c>
      <c r="M161" s="7" t="str">
        <f>CONCATENATE("SNSSDR32L31D597H")</f>
        <v>SNSSDR32L31D597H</v>
      </c>
      <c r="N161" s="7" t="s">
        <v>281</v>
      </c>
      <c r="O161" s="7" t="s">
        <v>278</v>
      </c>
      <c r="P161" s="8">
        <v>44340</v>
      </c>
      <c r="Q161" s="7" t="s">
        <v>32</v>
      </c>
      <c r="R161" s="7" t="s">
        <v>40</v>
      </c>
      <c r="S161" s="7" t="s">
        <v>34</v>
      </c>
      <c r="T161" s="7"/>
      <c r="U161" s="7" t="s">
        <v>35</v>
      </c>
      <c r="V161" s="7">
        <v>148.5</v>
      </c>
      <c r="W161" s="7">
        <v>64.03</v>
      </c>
      <c r="X161" s="7">
        <v>59.13</v>
      </c>
      <c r="Y161" s="7">
        <v>0</v>
      </c>
      <c r="Z161" s="7">
        <v>25.34</v>
      </c>
    </row>
    <row r="162" spans="1:26" x14ac:dyDescent="0.35">
      <c r="A162" s="7" t="s">
        <v>27</v>
      </c>
      <c r="B162" s="7" t="s">
        <v>43</v>
      </c>
      <c r="C162" s="7" t="s">
        <v>48</v>
      </c>
      <c r="D162" s="7" t="s">
        <v>55</v>
      </c>
      <c r="E162" s="7" t="s">
        <v>36</v>
      </c>
      <c r="F162" s="7" t="s">
        <v>107</v>
      </c>
      <c r="G162" s="7">
        <v>2020</v>
      </c>
      <c r="H162" s="7" t="str">
        <f>CONCATENATE("04780037786")</f>
        <v>04780037786</v>
      </c>
      <c r="I162" s="7" t="s">
        <v>30</v>
      </c>
      <c r="J162" s="7" t="s">
        <v>46</v>
      </c>
      <c r="K162" s="7" t="str">
        <f>CONCATENATE("221")</f>
        <v>221</v>
      </c>
      <c r="L162" s="7" t="str">
        <f>CONCATENATE("8 8.1 5e")</f>
        <v>8 8.1 5e</v>
      </c>
      <c r="M162" s="7" t="str">
        <f>CONCATENATE("TGLLSE33R61D211G")</f>
        <v>TGLLSE33R61D211G</v>
      </c>
      <c r="N162" s="7" t="s">
        <v>238</v>
      </c>
      <c r="O162" s="7" t="s">
        <v>278</v>
      </c>
      <c r="P162" s="8">
        <v>44340</v>
      </c>
      <c r="Q162" s="7" t="s">
        <v>32</v>
      </c>
      <c r="R162" s="7" t="s">
        <v>40</v>
      </c>
      <c r="S162" s="7" t="s">
        <v>34</v>
      </c>
      <c r="T162" s="7"/>
      <c r="U162" s="7" t="s">
        <v>35</v>
      </c>
      <c r="V162" s="7">
        <v>628.41</v>
      </c>
      <c r="W162" s="7">
        <v>270.97000000000003</v>
      </c>
      <c r="X162" s="7">
        <v>250.23</v>
      </c>
      <c r="Y162" s="7">
        <v>0</v>
      </c>
      <c r="Z162" s="7">
        <v>107.21</v>
      </c>
    </row>
    <row r="163" spans="1:26" x14ac:dyDescent="0.35">
      <c r="A163" s="7" t="s">
        <v>27</v>
      </c>
      <c r="B163" s="7" t="s">
        <v>43</v>
      </c>
      <c r="C163" s="7" t="s">
        <v>48</v>
      </c>
      <c r="D163" s="7" t="s">
        <v>55</v>
      </c>
      <c r="E163" s="7" t="s">
        <v>39</v>
      </c>
      <c r="F163" s="7" t="s">
        <v>143</v>
      </c>
      <c r="G163" s="7">
        <v>2017</v>
      </c>
      <c r="H163" s="7" t="str">
        <f>CONCATENATE("74780031485")</f>
        <v>74780031485</v>
      </c>
      <c r="I163" s="7" t="s">
        <v>37</v>
      </c>
      <c r="J163" s="7" t="s">
        <v>46</v>
      </c>
      <c r="K163" s="7" t="str">
        <f>CONCATENATE("221")</f>
        <v>221</v>
      </c>
      <c r="L163" s="7" t="str">
        <f>CONCATENATE("8 8.1 5e")</f>
        <v>8 8.1 5e</v>
      </c>
      <c r="M163" s="7" t="str">
        <f>CONCATENATE("MNCPLA60C65A366S")</f>
        <v>MNCPLA60C65A366S</v>
      </c>
      <c r="N163" s="7" t="s">
        <v>282</v>
      </c>
      <c r="O163" s="7" t="s">
        <v>283</v>
      </c>
      <c r="P163" s="8">
        <v>44340</v>
      </c>
      <c r="Q163" s="7" t="s">
        <v>32</v>
      </c>
      <c r="R163" s="7" t="s">
        <v>40</v>
      </c>
      <c r="S163" s="7" t="s">
        <v>34</v>
      </c>
      <c r="T163" s="7"/>
      <c r="U163" s="7" t="s">
        <v>35</v>
      </c>
      <c r="V163" s="9">
        <v>2649.6</v>
      </c>
      <c r="W163" s="9">
        <v>1142.51</v>
      </c>
      <c r="X163" s="9">
        <v>1055.07</v>
      </c>
      <c r="Y163" s="7">
        <v>0</v>
      </c>
      <c r="Z163" s="7">
        <v>452.02</v>
      </c>
    </row>
    <row r="164" spans="1:26" x14ac:dyDescent="0.35">
      <c r="A164" s="7" t="s">
        <v>27</v>
      </c>
      <c r="B164" s="7" t="s">
        <v>43</v>
      </c>
      <c r="C164" s="7" t="s">
        <v>48</v>
      </c>
      <c r="D164" s="7" t="s">
        <v>55</v>
      </c>
      <c r="E164" s="7" t="s">
        <v>39</v>
      </c>
      <c r="F164" s="7" t="s">
        <v>284</v>
      </c>
      <c r="G164" s="7">
        <v>2017</v>
      </c>
      <c r="H164" s="7" t="str">
        <f>CONCATENATE("74780012584")</f>
        <v>74780012584</v>
      </c>
      <c r="I164" s="7" t="s">
        <v>37</v>
      </c>
      <c r="J164" s="7" t="s">
        <v>46</v>
      </c>
      <c r="K164" s="7" t="str">
        <f>CONCATENATE("221")</f>
        <v>221</v>
      </c>
      <c r="L164" s="7" t="str">
        <f>CONCATENATE("8 8.1 5e")</f>
        <v>8 8.1 5e</v>
      </c>
      <c r="M164" s="7" t="str">
        <f>CONCATENATE("MNZFRC75P62I608R")</f>
        <v>MNZFRC75P62I608R</v>
      </c>
      <c r="N164" s="7" t="s">
        <v>285</v>
      </c>
      <c r="O164" s="7" t="s">
        <v>283</v>
      </c>
      <c r="P164" s="8">
        <v>44340</v>
      </c>
      <c r="Q164" s="7" t="s">
        <v>32</v>
      </c>
      <c r="R164" s="7" t="s">
        <v>40</v>
      </c>
      <c r="S164" s="7" t="s">
        <v>34</v>
      </c>
      <c r="T164" s="7"/>
      <c r="U164" s="7" t="s">
        <v>35</v>
      </c>
      <c r="V164" s="7">
        <v>276</v>
      </c>
      <c r="W164" s="7">
        <v>119.01</v>
      </c>
      <c r="X164" s="7">
        <v>109.9</v>
      </c>
      <c r="Y164" s="7">
        <v>0</v>
      </c>
      <c r="Z164" s="7">
        <v>47.09</v>
      </c>
    </row>
    <row r="165" spans="1:26" x14ac:dyDescent="0.35">
      <c r="A165" s="7" t="s">
        <v>27</v>
      </c>
      <c r="B165" s="7" t="s">
        <v>43</v>
      </c>
      <c r="C165" s="7" t="s">
        <v>48</v>
      </c>
      <c r="D165" s="7" t="s">
        <v>78</v>
      </c>
      <c r="E165" s="7" t="s">
        <v>44</v>
      </c>
      <c r="F165" s="7" t="s">
        <v>138</v>
      </c>
      <c r="G165" s="7">
        <v>2020</v>
      </c>
      <c r="H165" s="7" t="str">
        <f>CONCATENATE("04240264046")</f>
        <v>04240264046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CONCATENATE("10 10.1 4a")</f>
        <v>10 10.1 4a</v>
      </c>
      <c r="M165" s="7" t="str">
        <f>CONCATENATE("SMPLNE74M47H769R")</f>
        <v>SMPLNE74M47H769R</v>
      </c>
      <c r="N165" s="7" t="s">
        <v>286</v>
      </c>
      <c r="O165" s="7" t="s">
        <v>287</v>
      </c>
      <c r="P165" s="8">
        <v>44337</v>
      </c>
      <c r="Q165" s="7" t="s">
        <v>32</v>
      </c>
      <c r="R165" s="7" t="s">
        <v>40</v>
      </c>
      <c r="S165" s="7" t="s">
        <v>34</v>
      </c>
      <c r="T165" s="7"/>
      <c r="U165" s="7" t="s">
        <v>35</v>
      </c>
      <c r="V165" s="9">
        <v>3538.29</v>
      </c>
      <c r="W165" s="9">
        <v>1525.71</v>
      </c>
      <c r="X165" s="9">
        <v>1408.95</v>
      </c>
      <c r="Y165" s="7">
        <v>0</v>
      </c>
      <c r="Z165" s="7">
        <v>603.63</v>
      </c>
    </row>
    <row r="166" spans="1:26" x14ac:dyDescent="0.35">
      <c r="A166" s="7" t="s">
        <v>27</v>
      </c>
      <c r="B166" s="7" t="s">
        <v>43</v>
      </c>
      <c r="C166" s="7" t="s">
        <v>48</v>
      </c>
      <c r="D166" s="7" t="s">
        <v>55</v>
      </c>
      <c r="E166" s="7" t="s">
        <v>41</v>
      </c>
      <c r="F166" s="7" t="s">
        <v>157</v>
      </c>
      <c r="G166" s="7">
        <v>2017</v>
      </c>
      <c r="H166" s="7" t="str">
        <f>CONCATENATE("74780058884")</f>
        <v>74780058884</v>
      </c>
      <c r="I166" s="7" t="s">
        <v>30</v>
      </c>
      <c r="J166" s="7" t="s">
        <v>46</v>
      </c>
      <c r="K166" s="7" t="str">
        <f>CONCATENATE("221")</f>
        <v>221</v>
      </c>
      <c r="L166" s="7" t="str">
        <f>CONCATENATE("8 8.1 5e")</f>
        <v>8 8.1 5e</v>
      </c>
      <c r="M166" s="7" t="str">
        <f>CONCATENATE("PRRNDR86B03E388F")</f>
        <v>PRRNDR86B03E388F</v>
      </c>
      <c r="N166" s="7" t="s">
        <v>231</v>
      </c>
      <c r="O166" s="7" t="s">
        <v>283</v>
      </c>
      <c r="P166" s="8">
        <v>44340</v>
      </c>
      <c r="Q166" s="7" t="s">
        <v>32</v>
      </c>
      <c r="R166" s="7" t="s">
        <v>40</v>
      </c>
      <c r="S166" s="7" t="s">
        <v>34</v>
      </c>
      <c r="T166" s="7"/>
      <c r="U166" s="7" t="s">
        <v>35</v>
      </c>
      <c r="V166" s="7">
        <v>295.19</v>
      </c>
      <c r="W166" s="7">
        <v>127.29</v>
      </c>
      <c r="X166" s="7">
        <v>117.54</v>
      </c>
      <c r="Y166" s="7">
        <v>0</v>
      </c>
      <c r="Z166" s="7">
        <v>50.36</v>
      </c>
    </row>
    <row r="167" spans="1:26" x14ac:dyDescent="0.35">
      <c r="A167" s="7" t="s">
        <v>27</v>
      </c>
      <c r="B167" s="7" t="s">
        <v>43</v>
      </c>
      <c r="C167" s="7" t="s">
        <v>48</v>
      </c>
      <c r="D167" s="7" t="s">
        <v>78</v>
      </c>
      <c r="E167" s="7" t="s">
        <v>44</v>
      </c>
      <c r="F167" s="7" t="s">
        <v>288</v>
      </c>
      <c r="G167" s="7">
        <v>2020</v>
      </c>
      <c r="H167" s="7" t="str">
        <f>CONCATENATE("04241029406")</f>
        <v>04241029406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CONCATENATE("10 10.1 4a")</f>
        <v>10 10.1 4a</v>
      </c>
      <c r="M167" s="7" t="str">
        <f>CONCATENATE("SPNSLV85L63H501V")</f>
        <v>SPNSLV85L63H501V</v>
      </c>
      <c r="N167" s="7" t="s">
        <v>289</v>
      </c>
      <c r="O167" s="7" t="s">
        <v>287</v>
      </c>
      <c r="P167" s="8">
        <v>44337</v>
      </c>
      <c r="Q167" s="7" t="s">
        <v>32</v>
      </c>
      <c r="R167" s="7" t="s">
        <v>40</v>
      </c>
      <c r="S167" s="7" t="s">
        <v>34</v>
      </c>
      <c r="T167" s="7"/>
      <c r="U167" s="7" t="s">
        <v>35</v>
      </c>
      <c r="V167" s="9">
        <v>2141.7600000000002</v>
      </c>
      <c r="W167" s="7">
        <v>923.53</v>
      </c>
      <c r="X167" s="7">
        <v>852.85</v>
      </c>
      <c r="Y167" s="7">
        <v>0</v>
      </c>
      <c r="Z167" s="7">
        <v>365.38</v>
      </c>
    </row>
    <row r="168" spans="1:26" x14ac:dyDescent="0.35">
      <c r="A168" s="7" t="s">
        <v>27</v>
      </c>
      <c r="B168" s="7" t="s">
        <v>43</v>
      </c>
      <c r="C168" s="7" t="s">
        <v>48</v>
      </c>
      <c r="D168" s="7" t="s">
        <v>78</v>
      </c>
      <c r="E168" s="7" t="s">
        <v>36</v>
      </c>
      <c r="F168" s="7" t="s">
        <v>290</v>
      </c>
      <c r="G168" s="7">
        <v>2020</v>
      </c>
      <c r="H168" s="7" t="str">
        <f>CONCATENATE("04240520223")</f>
        <v>04240520223</v>
      </c>
      <c r="I168" s="7" t="s">
        <v>30</v>
      </c>
      <c r="J168" s="7" t="s">
        <v>31</v>
      </c>
      <c r="K168" s="7" t="str">
        <f>CONCATENATE("")</f>
        <v/>
      </c>
      <c r="L168" s="7" t="str">
        <f>CONCATENATE("10 10.1 4a")</f>
        <v>10 10.1 4a</v>
      </c>
      <c r="M168" s="7" t="str">
        <f>CONCATENATE("SQNQTL63R30A462J")</f>
        <v>SQNQTL63R30A462J</v>
      </c>
      <c r="N168" s="7" t="s">
        <v>291</v>
      </c>
      <c r="O168" s="7" t="s">
        <v>287</v>
      </c>
      <c r="P168" s="8">
        <v>44337</v>
      </c>
      <c r="Q168" s="7" t="s">
        <v>32</v>
      </c>
      <c r="R168" s="7" t="s">
        <v>40</v>
      </c>
      <c r="S168" s="7" t="s">
        <v>34</v>
      </c>
      <c r="T168" s="7"/>
      <c r="U168" s="7" t="s">
        <v>35</v>
      </c>
      <c r="V168" s="9">
        <v>1259.8800000000001</v>
      </c>
      <c r="W168" s="7">
        <v>543.26</v>
      </c>
      <c r="X168" s="7">
        <v>501.68</v>
      </c>
      <c r="Y168" s="7">
        <v>0</v>
      </c>
      <c r="Z168" s="7">
        <v>214.94</v>
      </c>
    </row>
    <row r="169" spans="1:26" x14ac:dyDescent="0.35">
      <c r="A169" s="7" t="s">
        <v>27</v>
      </c>
      <c r="B169" s="7" t="s">
        <v>43</v>
      </c>
      <c r="C169" s="7" t="s">
        <v>48</v>
      </c>
      <c r="D169" s="7" t="s">
        <v>78</v>
      </c>
      <c r="E169" s="7" t="s">
        <v>36</v>
      </c>
      <c r="F169" s="7" t="s">
        <v>290</v>
      </c>
      <c r="G169" s="7">
        <v>2020</v>
      </c>
      <c r="H169" s="7" t="str">
        <f>CONCATENATE("04240722217")</f>
        <v>04240722217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CONCATENATE("10 10.1 4a")</f>
        <v>10 10.1 4a</v>
      </c>
      <c r="M169" s="7" t="str">
        <f>CONCATENATE("02270700442")</f>
        <v>02270700442</v>
      </c>
      <c r="N169" s="7" t="s">
        <v>292</v>
      </c>
      <c r="O169" s="7" t="s">
        <v>287</v>
      </c>
      <c r="P169" s="8">
        <v>44337</v>
      </c>
      <c r="Q169" s="7" t="s">
        <v>32</v>
      </c>
      <c r="R169" s="7" t="s">
        <v>40</v>
      </c>
      <c r="S169" s="7" t="s">
        <v>34</v>
      </c>
      <c r="T169" s="7"/>
      <c r="U169" s="7" t="s">
        <v>35</v>
      </c>
      <c r="V169" s="7">
        <v>661.2</v>
      </c>
      <c r="W169" s="7">
        <v>285.11</v>
      </c>
      <c r="X169" s="7">
        <v>263.29000000000002</v>
      </c>
      <c r="Y169" s="7">
        <v>0</v>
      </c>
      <c r="Z169" s="7">
        <v>112.8</v>
      </c>
    </row>
    <row r="170" spans="1:26" x14ac:dyDescent="0.35">
      <c r="A170" s="7" t="s">
        <v>27</v>
      </c>
      <c r="B170" s="7" t="s">
        <v>28</v>
      </c>
      <c r="C170" s="7" t="s">
        <v>48</v>
      </c>
      <c r="D170" s="7" t="s">
        <v>78</v>
      </c>
      <c r="E170" s="7" t="s">
        <v>41</v>
      </c>
      <c r="F170" s="7" t="s">
        <v>293</v>
      </c>
      <c r="G170" s="7">
        <v>2017</v>
      </c>
      <c r="H170" s="7" t="str">
        <f>CONCATENATE("14270133664")</f>
        <v>14270133664</v>
      </c>
      <c r="I170" s="7" t="s">
        <v>30</v>
      </c>
      <c r="J170" s="7" t="s">
        <v>31</v>
      </c>
      <c r="K170" s="7" t="str">
        <f>CONCATENATE("")</f>
        <v/>
      </c>
      <c r="L170" s="7" t="str">
        <f>CONCATENATE("6 6.1 2b")</f>
        <v>6 6.1 2b</v>
      </c>
      <c r="M170" s="7" t="str">
        <f>CONCATENATE("RMLPLG82C10H501T")</f>
        <v>RMLPLG82C10H501T</v>
      </c>
      <c r="N170" s="7" t="s">
        <v>294</v>
      </c>
      <c r="O170" s="7" t="s">
        <v>295</v>
      </c>
      <c r="P170" s="8">
        <v>44340</v>
      </c>
      <c r="Q170" s="7" t="s">
        <v>32</v>
      </c>
      <c r="R170" s="7" t="s">
        <v>38</v>
      </c>
      <c r="S170" s="7" t="s">
        <v>34</v>
      </c>
      <c r="T170" s="7"/>
      <c r="U170" s="7" t="s">
        <v>35</v>
      </c>
      <c r="V170" s="9">
        <v>28000</v>
      </c>
      <c r="W170" s="9">
        <v>12073.6</v>
      </c>
      <c r="X170" s="9">
        <v>11149.6</v>
      </c>
      <c r="Y170" s="7">
        <v>0</v>
      </c>
      <c r="Z170" s="9">
        <v>4776.8</v>
      </c>
    </row>
    <row r="171" spans="1:26" x14ac:dyDescent="0.35">
      <c r="A171" s="7" t="s">
        <v>27</v>
      </c>
      <c r="B171" s="7" t="s">
        <v>28</v>
      </c>
      <c r="C171" s="7" t="s">
        <v>48</v>
      </c>
      <c r="D171" s="7" t="s">
        <v>127</v>
      </c>
      <c r="E171" s="7" t="s">
        <v>29</v>
      </c>
      <c r="F171" s="7" t="s">
        <v>29</v>
      </c>
      <c r="G171" s="7">
        <v>2017</v>
      </c>
      <c r="H171" s="7" t="str">
        <f>CONCATENATE("14270133672")</f>
        <v>14270133672</v>
      </c>
      <c r="I171" s="7" t="s">
        <v>30</v>
      </c>
      <c r="J171" s="7" t="s">
        <v>31</v>
      </c>
      <c r="K171" s="7" t="str">
        <f>CONCATENATE("")</f>
        <v/>
      </c>
      <c r="L171" s="7" t="str">
        <f>CONCATENATE("6 6.1 2b")</f>
        <v>6 6.1 2b</v>
      </c>
      <c r="M171" s="7" t="str">
        <f>CONCATENATE("01914030430")</f>
        <v>01914030430</v>
      </c>
      <c r="N171" s="7" t="s">
        <v>296</v>
      </c>
      <c r="O171" s="7" t="s">
        <v>295</v>
      </c>
      <c r="P171" s="8">
        <v>44340</v>
      </c>
      <c r="Q171" s="7" t="s">
        <v>32</v>
      </c>
      <c r="R171" s="7" t="s">
        <v>38</v>
      </c>
      <c r="S171" s="7" t="s">
        <v>34</v>
      </c>
      <c r="T171" s="7"/>
      <c r="U171" s="7" t="s">
        <v>35</v>
      </c>
      <c r="V171" s="9">
        <v>42000</v>
      </c>
      <c r="W171" s="9">
        <v>18110.400000000001</v>
      </c>
      <c r="X171" s="9">
        <v>16724.400000000001</v>
      </c>
      <c r="Y171" s="7">
        <v>0</v>
      </c>
      <c r="Z171" s="9">
        <v>7165.2</v>
      </c>
    </row>
    <row r="172" spans="1:26" ht="17.5" x14ac:dyDescent="0.35">
      <c r="A172" s="7" t="s">
        <v>27</v>
      </c>
      <c r="B172" s="7" t="s">
        <v>28</v>
      </c>
      <c r="C172" s="7" t="s">
        <v>48</v>
      </c>
      <c r="D172" s="7" t="s">
        <v>78</v>
      </c>
      <c r="E172" s="7" t="s">
        <v>44</v>
      </c>
      <c r="F172" s="7" t="s">
        <v>138</v>
      </c>
      <c r="G172" s="7">
        <v>2017</v>
      </c>
      <c r="H172" s="7" t="str">
        <f>CONCATENATE("14270133920")</f>
        <v>14270133920</v>
      </c>
      <c r="I172" s="7" t="s">
        <v>30</v>
      </c>
      <c r="J172" s="7" t="s">
        <v>31</v>
      </c>
      <c r="K172" s="7" t="str">
        <f>CONCATENATE("")</f>
        <v/>
      </c>
      <c r="L172" s="7" t="str">
        <f>CONCATENATE("6 6.1 2b")</f>
        <v>6 6.1 2b</v>
      </c>
      <c r="M172" s="7" t="str">
        <f>CONCATENATE("02365020441")</f>
        <v>02365020441</v>
      </c>
      <c r="N172" s="7" t="s">
        <v>297</v>
      </c>
      <c r="O172" s="7" t="s">
        <v>295</v>
      </c>
      <c r="P172" s="8">
        <v>44340</v>
      </c>
      <c r="Q172" s="7" t="s">
        <v>32</v>
      </c>
      <c r="R172" s="7" t="s">
        <v>38</v>
      </c>
      <c r="S172" s="7" t="s">
        <v>34</v>
      </c>
      <c r="T172" s="7"/>
      <c r="U172" s="7" t="s">
        <v>35</v>
      </c>
      <c r="V172" s="9">
        <v>28000</v>
      </c>
      <c r="W172" s="9">
        <v>12073.6</v>
      </c>
      <c r="X172" s="9">
        <v>11149.6</v>
      </c>
      <c r="Y172" s="7">
        <v>0</v>
      </c>
      <c r="Z172" s="9">
        <v>4776.8</v>
      </c>
    </row>
    <row r="173" spans="1:26" x14ac:dyDescent="0.35">
      <c r="A173" s="7" t="s">
        <v>27</v>
      </c>
      <c r="B173" s="7" t="s">
        <v>28</v>
      </c>
      <c r="C173" s="7" t="s">
        <v>48</v>
      </c>
      <c r="D173" s="7" t="s">
        <v>78</v>
      </c>
      <c r="E173" s="7" t="s">
        <v>39</v>
      </c>
      <c r="F173" s="7" t="s">
        <v>124</v>
      </c>
      <c r="G173" s="7">
        <v>2017</v>
      </c>
      <c r="H173" s="7" t="str">
        <f>CONCATENATE("14270141543")</f>
        <v>14270141543</v>
      </c>
      <c r="I173" s="7" t="s">
        <v>30</v>
      </c>
      <c r="J173" s="7" t="s">
        <v>31</v>
      </c>
      <c r="K173" s="7" t="str">
        <f>CONCATENATE("")</f>
        <v/>
      </c>
      <c r="L173" s="7" t="str">
        <f>CONCATENATE("21 21.1 2a")</f>
        <v>21 21.1 2a</v>
      </c>
      <c r="M173" s="7" t="str">
        <f>CONCATENATE("00344590443")</f>
        <v>00344590443</v>
      </c>
      <c r="N173" s="7" t="s">
        <v>298</v>
      </c>
      <c r="O173" s="7" t="s">
        <v>299</v>
      </c>
      <c r="P173" s="8">
        <v>44334</v>
      </c>
      <c r="Q173" s="7" t="s">
        <v>32</v>
      </c>
      <c r="R173" s="7" t="s">
        <v>40</v>
      </c>
      <c r="S173" s="7" t="s">
        <v>34</v>
      </c>
      <c r="T173" s="7"/>
      <c r="U173" s="7" t="s">
        <v>35</v>
      </c>
      <c r="V173" s="9">
        <v>3780</v>
      </c>
      <c r="W173" s="9">
        <v>1629.94</v>
      </c>
      <c r="X173" s="9">
        <v>1505.2</v>
      </c>
      <c r="Y173" s="7">
        <v>0</v>
      </c>
      <c r="Z173" s="7">
        <v>644.86</v>
      </c>
    </row>
    <row r="174" spans="1:26" x14ac:dyDescent="0.35">
      <c r="A174" s="7" t="s">
        <v>27</v>
      </c>
      <c r="B174" s="7" t="s">
        <v>28</v>
      </c>
      <c r="C174" s="7" t="s">
        <v>48</v>
      </c>
      <c r="D174" s="7" t="s">
        <v>127</v>
      </c>
      <c r="E174" s="7" t="s">
        <v>29</v>
      </c>
      <c r="F174" s="7" t="s">
        <v>29</v>
      </c>
      <c r="G174" s="7">
        <v>2017</v>
      </c>
      <c r="H174" s="7" t="str">
        <f>CONCATENATE("14270133813")</f>
        <v>14270133813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CONCATENATE("6 6.1 2b")</f>
        <v>6 6.1 2b</v>
      </c>
      <c r="M174" s="7" t="str">
        <f>CONCATENATE("01946650437")</f>
        <v>01946650437</v>
      </c>
      <c r="N174" s="7" t="s">
        <v>300</v>
      </c>
      <c r="O174" s="7" t="s">
        <v>301</v>
      </c>
      <c r="P174" s="8">
        <v>44336</v>
      </c>
      <c r="Q174" s="7" t="s">
        <v>32</v>
      </c>
      <c r="R174" s="7" t="s">
        <v>38</v>
      </c>
      <c r="S174" s="7" t="s">
        <v>34</v>
      </c>
      <c r="T174" s="7"/>
      <c r="U174" s="7" t="s">
        <v>35</v>
      </c>
      <c r="V174" s="9">
        <v>28000</v>
      </c>
      <c r="W174" s="9">
        <v>12073.6</v>
      </c>
      <c r="X174" s="9">
        <v>11149.6</v>
      </c>
      <c r="Y174" s="7">
        <v>0</v>
      </c>
      <c r="Z174" s="9">
        <v>4776.8</v>
      </c>
    </row>
    <row r="175" spans="1:26" x14ac:dyDescent="0.35">
      <c r="A175" s="7" t="s">
        <v>27</v>
      </c>
      <c r="B175" s="7" t="s">
        <v>43</v>
      </c>
      <c r="C175" s="7" t="s">
        <v>48</v>
      </c>
      <c r="D175" s="7" t="s">
        <v>55</v>
      </c>
      <c r="E175" s="7" t="s">
        <v>39</v>
      </c>
      <c r="F175" s="7" t="s">
        <v>185</v>
      </c>
      <c r="G175" s="7">
        <v>2020</v>
      </c>
      <c r="H175" s="7" t="str">
        <f>CONCATENATE("04780011492")</f>
        <v>04780011492</v>
      </c>
      <c r="I175" s="7" t="s">
        <v>30</v>
      </c>
      <c r="J175" s="7" t="s">
        <v>46</v>
      </c>
      <c r="K175" s="7" t="str">
        <f>CONCATENATE("221")</f>
        <v>221</v>
      </c>
      <c r="L175" s="7" t="str">
        <f>CONCATENATE("8 8.1 5e")</f>
        <v>8 8.1 5e</v>
      </c>
      <c r="M175" s="7" t="str">
        <f>CONCATENATE("MNTDOA54D64B474U")</f>
        <v>MNTDOA54D64B474U</v>
      </c>
      <c r="N175" s="7" t="s">
        <v>186</v>
      </c>
      <c r="O175" s="7" t="s">
        <v>302</v>
      </c>
      <c r="P175" s="8">
        <v>44340</v>
      </c>
      <c r="Q175" s="7" t="s">
        <v>32</v>
      </c>
      <c r="R175" s="7" t="s">
        <v>40</v>
      </c>
      <c r="S175" s="7" t="s">
        <v>34</v>
      </c>
      <c r="T175" s="7"/>
      <c r="U175" s="7" t="s">
        <v>35</v>
      </c>
      <c r="V175" s="7">
        <v>283.5</v>
      </c>
      <c r="W175" s="7">
        <v>122.25</v>
      </c>
      <c r="X175" s="7">
        <v>112.89</v>
      </c>
      <c r="Y175" s="7">
        <v>0</v>
      </c>
      <c r="Z175" s="7">
        <v>48.36</v>
      </c>
    </row>
    <row r="176" spans="1:26" x14ac:dyDescent="0.35">
      <c r="A176" s="7" t="s">
        <v>27</v>
      </c>
      <c r="B176" s="7" t="s">
        <v>43</v>
      </c>
      <c r="C176" s="7" t="s">
        <v>48</v>
      </c>
      <c r="D176" s="7" t="s">
        <v>78</v>
      </c>
      <c r="E176" s="7" t="s">
        <v>41</v>
      </c>
      <c r="F176" s="7" t="s">
        <v>303</v>
      </c>
      <c r="G176" s="7">
        <v>2020</v>
      </c>
      <c r="H176" s="7" t="str">
        <f>CONCATENATE("04780044691")</f>
        <v>04780044691</v>
      </c>
      <c r="I176" s="7" t="s">
        <v>30</v>
      </c>
      <c r="J176" s="7" t="s">
        <v>46</v>
      </c>
      <c r="K176" s="7" t="str">
        <f>CONCATENATE("221")</f>
        <v>221</v>
      </c>
      <c r="L176" s="7" t="str">
        <f>CONCATENATE("8 8.1 5e")</f>
        <v>8 8.1 5e</v>
      </c>
      <c r="M176" s="7" t="str">
        <f>CONCATENATE("KNDHMT55B28Z112G")</f>
        <v>KNDHMT55B28Z112G</v>
      </c>
      <c r="N176" s="7" t="s">
        <v>304</v>
      </c>
      <c r="O176" s="7" t="s">
        <v>302</v>
      </c>
      <c r="P176" s="8">
        <v>44340</v>
      </c>
      <c r="Q176" s="7" t="s">
        <v>32</v>
      </c>
      <c r="R176" s="7" t="s">
        <v>40</v>
      </c>
      <c r="S176" s="7" t="s">
        <v>34</v>
      </c>
      <c r="T176" s="7"/>
      <c r="U176" s="7" t="s">
        <v>35</v>
      </c>
      <c r="V176" s="7">
        <v>251.09</v>
      </c>
      <c r="W176" s="7">
        <v>108.27</v>
      </c>
      <c r="X176" s="7">
        <v>99.98</v>
      </c>
      <c r="Y176" s="7">
        <v>0</v>
      </c>
      <c r="Z176" s="7">
        <v>42.84</v>
      </c>
    </row>
    <row r="177" spans="1:26" x14ac:dyDescent="0.35">
      <c r="A177" s="7" t="s">
        <v>27</v>
      </c>
      <c r="B177" s="7" t="s">
        <v>43</v>
      </c>
      <c r="C177" s="7" t="s">
        <v>48</v>
      </c>
      <c r="D177" s="7" t="s">
        <v>78</v>
      </c>
      <c r="E177" s="7" t="s">
        <v>39</v>
      </c>
      <c r="F177" s="7" t="s">
        <v>305</v>
      </c>
      <c r="G177" s="7">
        <v>2020</v>
      </c>
      <c r="H177" s="7" t="str">
        <f>CONCATENATE("04780040814")</f>
        <v>04780040814</v>
      </c>
      <c r="I177" s="7" t="s">
        <v>37</v>
      </c>
      <c r="J177" s="7" t="s">
        <v>46</v>
      </c>
      <c r="K177" s="7" t="str">
        <f>CONCATENATE("221")</f>
        <v>221</v>
      </c>
      <c r="L177" s="7" t="str">
        <f>CONCATENATE("8 8.1 5e")</f>
        <v>8 8.1 5e</v>
      </c>
      <c r="M177" s="7" t="str">
        <f>CONCATENATE("LBRMTT01M21H769B")</f>
        <v>LBRMTT01M21H769B</v>
      </c>
      <c r="N177" s="7" t="s">
        <v>306</v>
      </c>
      <c r="O177" s="7" t="s">
        <v>302</v>
      </c>
      <c r="P177" s="8">
        <v>44340</v>
      </c>
      <c r="Q177" s="7" t="s">
        <v>32</v>
      </c>
      <c r="R177" s="7" t="s">
        <v>40</v>
      </c>
      <c r="S177" s="7" t="s">
        <v>34</v>
      </c>
      <c r="T177" s="7"/>
      <c r="U177" s="7" t="s">
        <v>35</v>
      </c>
      <c r="V177" s="7">
        <v>148.5</v>
      </c>
      <c r="W177" s="7">
        <v>64.03</v>
      </c>
      <c r="X177" s="7">
        <v>59.13</v>
      </c>
      <c r="Y177" s="7">
        <v>0</v>
      </c>
      <c r="Z177" s="7">
        <v>25.34</v>
      </c>
    </row>
    <row r="178" spans="1:26" x14ac:dyDescent="0.35">
      <c r="A178" s="7" t="s">
        <v>27</v>
      </c>
      <c r="B178" s="7" t="s">
        <v>43</v>
      </c>
      <c r="C178" s="7" t="s">
        <v>48</v>
      </c>
      <c r="D178" s="7" t="s">
        <v>78</v>
      </c>
      <c r="E178" s="7" t="s">
        <v>42</v>
      </c>
      <c r="F178" s="7" t="s">
        <v>307</v>
      </c>
      <c r="G178" s="7">
        <v>2020</v>
      </c>
      <c r="H178" s="7" t="str">
        <f>CONCATENATE("04780007102")</f>
        <v>04780007102</v>
      </c>
      <c r="I178" s="7" t="s">
        <v>37</v>
      </c>
      <c r="J178" s="7" t="s">
        <v>46</v>
      </c>
      <c r="K178" s="7" t="str">
        <f>CONCATENATE("221")</f>
        <v>221</v>
      </c>
      <c r="L178" s="7" t="str">
        <f>CONCATENATE("8 8.1 5e")</f>
        <v>8 8.1 5e</v>
      </c>
      <c r="M178" s="7" t="str">
        <f>CONCATENATE("MRGNNL65B61A334J")</f>
        <v>MRGNNL65B61A334J</v>
      </c>
      <c r="N178" s="7" t="s">
        <v>308</v>
      </c>
      <c r="O178" s="7" t="s">
        <v>302</v>
      </c>
      <c r="P178" s="8">
        <v>44340</v>
      </c>
      <c r="Q178" s="7" t="s">
        <v>32</v>
      </c>
      <c r="R178" s="7" t="s">
        <v>40</v>
      </c>
      <c r="S178" s="7" t="s">
        <v>34</v>
      </c>
      <c r="T178" s="7"/>
      <c r="U178" s="7" t="s">
        <v>35</v>
      </c>
      <c r="V178" s="9">
        <v>17284.560000000001</v>
      </c>
      <c r="W178" s="9">
        <v>7453.1</v>
      </c>
      <c r="X178" s="9">
        <v>6882.71</v>
      </c>
      <c r="Y178" s="7">
        <v>0</v>
      </c>
      <c r="Z178" s="9">
        <v>2948.75</v>
      </c>
    </row>
    <row r="179" spans="1:26" x14ac:dyDescent="0.35">
      <c r="A179" s="7" t="s">
        <v>27</v>
      </c>
      <c r="B179" s="7" t="s">
        <v>43</v>
      </c>
      <c r="C179" s="7" t="s">
        <v>48</v>
      </c>
      <c r="D179" s="7" t="s">
        <v>78</v>
      </c>
      <c r="E179" s="7" t="s">
        <v>36</v>
      </c>
      <c r="F179" s="7" t="s">
        <v>290</v>
      </c>
      <c r="G179" s="7">
        <v>2020</v>
      </c>
      <c r="H179" s="7" t="str">
        <f>CONCATENATE("04780005833")</f>
        <v>04780005833</v>
      </c>
      <c r="I179" s="7" t="s">
        <v>37</v>
      </c>
      <c r="J179" s="7" t="s">
        <v>46</v>
      </c>
      <c r="K179" s="7" t="str">
        <f>CONCATENATE("221")</f>
        <v>221</v>
      </c>
      <c r="L179" s="7" t="str">
        <f>CONCATENATE("8 8.1 5e")</f>
        <v>8 8.1 5e</v>
      </c>
      <c r="M179" s="7" t="str">
        <f>CONCATENATE("00700420441")</f>
        <v>00700420441</v>
      </c>
      <c r="N179" s="7" t="s">
        <v>309</v>
      </c>
      <c r="O179" s="7" t="s">
        <v>302</v>
      </c>
      <c r="P179" s="8">
        <v>44340</v>
      </c>
      <c r="Q179" s="7" t="s">
        <v>32</v>
      </c>
      <c r="R179" s="7" t="s">
        <v>40</v>
      </c>
      <c r="S179" s="7" t="s">
        <v>34</v>
      </c>
      <c r="T179" s="7"/>
      <c r="U179" s="7" t="s">
        <v>35</v>
      </c>
      <c r="V179" s="9">
        <v>8178</v>
      </c>
      <c r="W179" s="9">
        <v>3526.35</v>
      </c>
      <c r="X179" s="9">
        <v>3256.48</v>
      </c>
      <c r="Y179" s="7">
        <v>0</v>
      </c>
      <c r="Z179" s="9">
        <v>1395.17</v>
      </c>
    </row>
    <row r="180" spans="1:26" x14ac:dyDescent="0.35">
      <c r="A180" s="7" t="s">
        <v>27</v>
      </c>
      <c r="B180" s="7" t="s">
        <v>43</v>
      </c>
      <c r="C180" s="7" t="s">
        <v>48</v>
      </c>
      <c r="D180" s="7" t="s">
        <v>78</v>
      </c>
      <c r="E180" s="7" t="s">
        <v>39</v>
      </c>
      <c r="F180" s="7" t="s">
        <v>116</v>
      </c>
      <c r="G180" s="7">
        <v>2020</v>
      </c>
      <c r="H180" s="7" t="str">
        <f>CONCATENATE("04780035210")</f>
        <v>04780035210</v>
      </c>
      <c r="I180" s="7" t="s">
        <v>30</v>
      </c>
      <c r="J180" s="7" t="s">
        <v>46</v>
      </c>
      <c r="K180" s="7" t="str">
        <f>CONCATENATE("221")</f>
        <v>221</v>
      </c>
      <c r="L180" s="7" t="str">
        <f>CONCATENATE("8 8.1 5e")</f>
        <v>8 8.1 5e</v>
      </c>
      <c r="M180" s="7" t="str">
        <f>CONCATENATE("TSSFMN40L48F509Z")</f>
        <v>TSSFMN40L48F509Z</v>
      </c>
      <c r="N180" s="7" t="s">
        <v>310</v>
      </c>
      <c r="O180" s="7" t="s">
        <v>302</v>
      </c>
      <c r="P180" s="8">
        <v>44340</v>
      </c>
      <c r="Q180" s="7" t="s">
        <v>32</v>
      </c>
      <c r="R180" s="7" t="s">
        <v>40</v>
      </c>
      <c r="S180" s="7" t="s">
        <v>34</v>
      </c>
      <c r="T180" s="7"/>
      <c r="U180" s="7" t="s">
        <v>35</v>
      </c>
      <c r="V180" s="7">
        <v>329.49</v>
      </c>
      <c r="W180" s="7">
        <v>142.08000000000001</v>
      </c>
      <c r="X180" s="7">
        <v>131.19999999999999</v>
      </c>
      <c r="Y180" s="7">
        <v>0</v>
      </c>
      <c r="Z180" s="7">
        <v>56.21</v>
      </c>
    </row>
    <row r="181" spans="1:26" x14ac:dyDescent="0.35">
      <c r="A181" s="7" t="s">
        <v>27</v>
      </c>
      <c r="B181" s="7" t="s">
        <v>43</v>
      </c>
      <c r="C181" s="7" t="s">
        <v>48</v>
      </c>
      <c r="D181" s="7" t="s">
        <v>55</v>
      </c>
      <c r="E181" s="7" t="s">
        <v>41</v>
      </c>
      <c r="F181" s="7" t="s">
        <v>157</v>
      </c>
      <c r="G181" s="7">
        <v>2020</v>
      </c>
      <c r="H181" s="7" t="str">
        <f>CONCATENATE("04780030989")</f>
        <v>04780030989</v>
      </c>
      <c r="I181" s="7" t="s">
        <v>37</v>
      </c>
      <c r="J181" s="7" t="s">
        <v>46</v>
      </c>
      <c r="K181" s="7" t="str">
        <f>CONCATENATE("221")</f>
        <v>221</v>
      </c>
      <c r="L181" s="7" t="str">
        <f>CONCATENATE("8 8.1 5e")</f>
        <v>8 8.1 5e</v>
      </c>
      <c r="M181" s="7" t="str">
        <f>CONCATENATE("MLTNNT40H53F205A")</f>
        <v>MLTNNT40H53F205A</v>
      </c>
      <c r="N181" s="7" t="s">
        <v>158</v>
      </c>
      <c r="O181" s="7" t="s">
        <v>302</v>
      </c>
      <c r="P181" s="8">
        <v>44340</v>
      </c>
      <c r="Q181" s="7" t="s">
        <v>32</v>
      </c>
      <c r="R181" s="7" t="s">
        <v>40</v>
      </c>
      <c r="S181" s="7" t="s">
        <v>34</v>
      </c>
      <c r="T181" s="7"/>
      <c r="U181" s="7" t="s">
        <v>35</v>
      </c>
      <c r="V181" s="7">
        <v>362.2</v>
      </c>
      <c r="W181" s="7">
        <v>156.18</v>
      </c>
      <c r="X181" s="7">
        <v>144.22999999999999</v>
      </c>
      <c r="Y181" s="7">
        <v>0</v>
      </c>
      <c r="Z181" s="7">
        <v>61.79</v>
      </c>
    </row>
    <row r="182" spans="1:26" x14ac:dyDescent="0.35">
      <c r="A182" s="7" t="s">
        <v>27</v>
      </c>
      <c r="B182" s="7" t="s">
        <v>28</v>
      </c>
      <c r="C182" s="7" t="s">
        <v>48</v>
      </c>
      <c r="D182" s="7" t="s">
        <v>55</v>
      </c>
      <c r="E182" s="7" t="s">
        <v>41</v>
      </c>
      <c r="F182" s="7" t="s">
        <v>181</v>
      </c>
      <c r="G182" s="7">
        <v>2017</v>
      </c>
      <c r="H182" s="7" t="str">
        <f>CONCATENATE("94270174777")</f>
        <v>94270174777</v>
      </c>
      <c r="I182" s="7" t="s">
        <v>30</v>
      </c>
      <c r="J182" s="7" t="s">
        <v>31</v>
      </c>
      <c r="K182" s="7" t="str">
        <f>CONCATENATE("")</f>
        <v/>
      </c>
      <c r="L182" s="7" t="str">
        <f>CONCATENATE("4 4.1 2a")</f>
        <v>4 4.1 2a</v>
      </c>
      <c r="M182" s="7" t="str">
        <f>CONCATENATE("CSGSNO96T49D451R")</f>
        <v>CSGSNO96T49D451R</v>
      </c>
      <c r="N182" s="7" t="s">
        <v>182</v>
      </c>
      <c r="O182" s="7" t="s">
        <v>311</v>
      </c>
      <c r="P182" s="8">
        <v>44340</v>
      </c>
      <c r="Q182" s="7" t="s">
        <v>32</v>
      </c>
      <c r="R182" s="7" t="s">
        <v>40</v>
      </c>
      <c r="S182" s="7" t="s">
        <v>34</v>
      </c>
      <c r="T182" s="7"/>
      <c r="U182" s="7" t="s">
        <v>35</v>
      </c>
      <c r="V182" s="7">
        <v>380</v>
      </c>
      <c r="W182" s="7">
        <v>163.86</v>
      </c>
      <c r="X182" s="7">
        <v>151.32</v>
      </c>
      <c r="Y182" s="7">
        <v>0</v>
      </c>
      <c r="Z182" s="7">
        <v>64.819999999999993</v>
      </c>
    </row>
    <row r="183" spans="1:26" x14ac:dyDescent="0.35">
      <c r="A183" s="7" t="s">
        <v>27</v>
      </c>
      <c r="B183" s="7" t="s">
        <v>43</v>
      </c>
      <c r="C183" s="7" t="s">
        <v>48</v>
      </c>
      <c r="D183" s="7" t="s">
        <v>78</v>
      </c>
      <c r="E183" s="7" t="s">
        <v>39</v>
      </c>
      <c r="F183" s="7" t="s">
        <v>124</v>
      </c>
      <c r="G183" s="7">
        <v>2020</v>
      </c>
      <c r="H183" s="7" t="str">
        <f>CONCATENATE("04780038917")</f>
        <v>04780038917</v>
      </c>
      <c r="I183" s="7" t="s">
        <v>30</v>
      </c>
      <c r="J183" s="7" t="s">
        <v>46</v>
      </c>
      <c r="K183" s="7" t="str">
        <f>CONCATENATE("221")</f>
        <v>221</v>
      </c>
      <c r="L183" s="7" t="str">
        <f>CONCATENATE("8 8.1 5e")</f>
        <v>8 8.1 5e</v>
      </c>
      <c r="M183" s="7" t="str">
        <f>CONCATENATE("01210500441")</f>
        <v>01210500441</v>
      </c>
      <c r="N183" s="7" t="s">
        <v>312</v>
      </c>
      <c r="O183" s="7" t="s">
        <v>302</v>
      </c>
      <c r="P183" s="8">
        <v>44340</v>
      </c>
      <c r="Q183" s="7" t="s">
        <v>32</v>
      </c>
      <c r="R183" s="7" t="s">
        <v>40</v>
      </c>
      <c r="S183" s="7" t="s">
        <v>34</v>
      </c>
      <c r="T183" s="7"/>
      <c r="U183" s="7" t="s">
        <v>35</v>
      </c>
      <c r="V183" s="9">
        <v>1310.72</v>
      </c>
      <c r="W183" s="7">
        <v>565.17999999999995</v>
      </c>
      <c r="X183" s="7">
        <v>521.92999999999995</v>
      </c>
      <c r="Y183" s="7">
        <v>0</v>
      </c>
      <c r="Z183" s="7">
        <v>223.61</v>
      </c>
    </row>
    <row r="184" spans="1:26" x14ac:dyDescent="0.35">
      <c r="A184" s="7" t="s">
        <v>27</v>
      </c>
      <c r="B184" s="7" t="s">
        <v>43</v>
      </c>
      <c r="C184" s="7" t="s">
        <v>48</v>
      </c>
      <c r="D184" s="7" t="s">
        <v>78</v>
      </c>
      <c r="E184" s="7" t="s">
        <v>41</v>
      </c>
      <c r="F184" s="7" t="s">
        <v>313</v>
      </c>
      <c r="G184" s="7">
        <v>2020</v>
      </c>
      <c r="H184" s="7" t="str">
        <f>CONCATENATE("04780041952")</f>
        <v>04780041952</v>
      </c>
      <c r="I184" s="7" t="s">
        <v>30</v>
      </c>
      <c r="J184" s="7" t="s">
        <v>46</v>
      </c>
      <c r="K184" s="7" t="str">
        <f>CONCATENATE("221")</f>
        <v>221</v>
      </c>
      <c r="L184" s="7" t="str">
        <f>CONCATENATE("8 8.1 5e")</f>
        <v>8 8.1 5e</v>
      </c>
      <c r="M184" s="7" t="str">
        <f>CONCATENATE("PRNCST80M24I324R")</f>
        <v>PRNCST80M24I324R</v>
      </c>
      <c r="N184" s="7" t="s">
        <v>314</v>
      </c>
      <c r="O184" s="7" t="s">
        <v>302</v>
      </c>
      <c r="P184" s="8">
        <v>44340</v>
      </c>
      <c r="Q184" s="7" t="s">
        <v>32</v>
      </c>
      <c r="R184" s="7" t="s">
        <v>40</v>
      </c>
      <c r="S184" s="7" t="s">
        <v>34</v>
      </c>
      <c r="T184" s="7"/>
      <c r="U184" s="7" t="s">
        <v>35</v>
      </c>
      <c r="V184" s="9">
        <v>1146.6400000000001</v>
      </c>
      <c r="W184" s="7">
        <v>494.43</v>
      </c>
      <c r="X184" s="7">
        <v>456.59</v>
      </c>
      <c r="Y184" s="7">
        <v>0</v>
      </c>
      <c r="Z184" s="7">
        <v>195.62</v>
      </c>
    </row>
    <row r="185" spans="1:26" x14ac:dyDescent="0.35">
      <c r="A185" s="7" t="s">
        <v>27</v>
      </c>
      <c r="B185" s="7" t="s">
        <v>43</v>
      </c>
      <c r="C185" s="7" t="s">
        <v>48</v>
      </c>
      <c r="D185" s="7" t="s">
        <v>78</v>
      </c>
      <c r="E185" s="7" t="s">
        <v>39</v>
      </c>
      <c r="F185" s="7" t="s">
        <v>116</v>
      </c>
      <c r="G185" s="7">
        <v>2020</v>
      </c>
      <c r="H185" s="7" t="str">
        <f>CONCATENATE("04780036010")</f>
        <v>04780036010</v>
      </c>
      <c r="I185" s="7" t="s">
        <v>30</v>
      </c>
      <c r="J185" s="7" t="s">
        <v>46</v>
      </c>
      <c r="K185" s="7" t="str">
        <f>CONCATENATE("221")</f>
        <v>221</v>
      </c>
      <c r="L185" s="7" t="str">
        <f>CONCATENATE("8 8.1 5e")</f>
        <v>8 8.1 5e</v>
      </c>
      <c r="M185" s="7" t="str">
        <f>CONCATENATE("BLSGRG75A28F520E")</f>
        <v>BLSGRG75A28F520E</v>
      </c>
      <c r="N185" s="7" t="s">
        <v>315</v>
      </c>
      <c r="O185" s="7" t="s">
        <v>302</v>
      </c>
      <c r="P185" s="8">
        <v>44340</v>
      </c>
      <c r="Q185" s="7" t="s">
        <v>32</v>
      </c>
      <c r="R185" s="7" t="s">
        <v>40</v>
      </c>
      <c r="S185" s="7" t="s">
        <v>34</v>
      </c>
      <c r="T185" s="7"/>
      <c r="U185" s="7" t="s">
        <v>35</v>
      </c>
      <c r="V185" s="7">
        <v>384.81</v>
      </c>
      <c r="W185" s="7">
        <v>165.93</v>
      </c>
      <c r="X185" s="7">
        <v>153.22999999999999</v>
      </c>
      <c r="Y185" s="7">
        <v>0</v>
      </c>
      <c r="Z185" s="7">
        <v>65.650000000000006</v>
      </c>
    </row>
    <row r="186" spans="1:26" x14ac:dyDescent="0.35">
      <c r="A186" s="7" t="s">
        <v>27</v>
      </c>
      <c r="B186" s="7" t="s">
        <v>43</v>
      </c>
      <c r="C186" s="7" t="s">
        <v>48</v>
      </c>
      <c r="D186" s="7" t="s">
        <v>78</v>
      </c>
      <c r="E186" s="7" t="s">
        <v>39</v>
      </c>
      <c r="F186" s="7" t="s">
        <v>124</v>
      </c>
      <c r="G186" s="7">
        <v>2020</v>
      </c>
      <c r="H186" s="7" t="str">
        <f>CONCATENATE("04780042950")</f>
        <v>04780042950</v>
      </c>
      <c r="I186" s="7" t="s">
        <v>37</v>
      </c>
      <c r="J186" s="7" t="s">
        <v>46</v>
      </c>
      <c r="K186" s="7" t="str">
        <f>CONCATENATE("221")</f>
        <v>221</v>
      </c>
      <c r="L186" s="7" t="str">
        <f>CONCATENATE("8 8.1 5e")</f>
        <v>8 8.1 5e</v>
      </c>
      <c r="M186" s="7" t="str">
        <f>CONCATENATE("BRNMRA29M47H876C")</f>
        <v>BRNMRA29M47H876C</v>
      </c>
      <c r="N186" s="7" t="s">
        <v>316</v>
      </c>
      <c r="O186" s="7" t="s">
        <v>302</v>
      </c>
      <c r="P186" s="8">
        <v>44340</v>
      </c>
      <c r="Q186" s="7" t="s">
        <v>32</v>
      </c>
      <c r="R186" s="7" t="s">
        <v>40</v>
      </c>
      <c r="S186" s="7" t="s">
        <v>34</v>
      </c>
      <c r="T186" s="7"/>
      <c r="U186" s="7" t="s">
        <v>35</v>
      </c>
      <c r="V186" s="7">
        <v>97.79</v>
      </c>
      <c r="W186" s="7">
        <v>42.17</v>
      </c>
      <c r="X186" s="7">
        <v>38.94</v>
      </c>
      <c r="Y186" s="7">
        <v>0</v>
      </c>
      <c r="Z186" s="7">
        <v>16.68</v>
      </c>
    </row>
    <row r="187" spans="1:26" ht="17.5" x14ac:dyDescent="0.35">
      <c r="A187" s="7" t="s">
        <v>27</v>
      </c>
      <c r="B187" s="7" t="s">
        <v>43</v>
      </c>
      <c r="C187" s="7" t="s">
        <v>48</v>
      </c>
      <c r="D187" s="7" t="s">
        <v>78</v>
      </c>
      <c r="E187" s="7" t="s">
        <v>39</v>
      </c>
      <c r="F187" s="7" t="s">
        <v>124</v>
      </c>
      <c r="G187" s="7">
        <v>2020</v>
      </c>
      <c r="H187" s="7" t="str">
        <f>CONCATENATE("04780043586")</f>
        <v>04780043586</v>
      </c>
      <c r="I187" s="7" t="s">
        <v>30</v>
      </c>
      <c r="J187" s="7" t="s">
        <v>46</v>
      </c>
      <c r="K187" s="7" t="str">
        <f>CONCATENATE("221")</f>
        <v>221</v>
      </c>
      <c r="L187" s="7" t="str">
        <f>CONCATENATE("8 8.1 5e")</f>
        <v>8 8.1 5e</v>
      </c>
      <c r="M187" s="7" t="str">
        <f>CONCATENATE("MLNTNN71M01A252W")</f>
        <v>MLNTNN71M01A252W</v>
      </c>
      <c r="N187" s="7" t="s">
        <v>317</v>
      </c>
      <c r="O187" s="7" t="s">
        <v>302</v>
      </c>
      <c r="P187" s="8">
        <v>44340</v>
      </c>
      <c r="Q187" s="7" t="s">
        <v>32</v>
      </c>
      <c r="R187" s="7" t="s">
        <v>40</v>
      </c>
      <c r="S187" s="7" t="s">
        <v>34</v>
      </c>
      <c r="T187" s="7"/>
      <c r="U187" s="7" t="s">
        <v>35</v>
      </c>
      <c r="V187" s="7">
        <v>54.33</v>
      </c>
      <c r="W187" s="7">
        <v>23.43</v>
      </c>
      <c r="X187" s="7">
        <v>21.63</v>
      </c>
      <c r="Y187" s="7">
        <v>0</v>
      </c>
      <c r="Z187" s="7">
        <v>9.27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67C6B4-078B-4A83-98B1-08E85A3FF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ABA767-04FD-4E4D-8207-45D523B285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35B85-9778-4CD0-88EF-3C205884AD10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53904</vt:lpwstr>
  </property>
  <property fmtid="{D5CDD505-2E9C-101B-9397-08002B2CF9AE}" pid="4" name="OptimizationTime">
    <vt:lpwstr>20210531_1750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2021-05-31T15:29:40Z</dcterms:created>
  <dcterms:modified xsi:type="dcterms:W3CDTF">2021-05-31T15:30:34Z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