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453/"/>
    </mc:Choice>
  </mc:AlternateContent>
  <xr:revisionPtr revIDLastSave="0" documentId="8_{D73A7E70-DC52-4BDA-831D-EFD48B0BE9B9}" xr6:coauthVersionLast="45" xr6:coauthVersionMax="45" xr10:uidLastSave="{00000000-0000-0000-0000-000000000000}"/>
  <bookViews>
    <workbookView xWindow="-110" yWindow="-110" windowWidth="19420" windowHeight="10420" xr2:uid="{5F5FB531-4231-4FCD-BC38-AA9063E2FCBB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8" i="1" l="1"/>
  <c r="L358" i="1"/>
  <c r="K358" i="1"/>
  <c r="H358" i="1"/>
  <c r="M357" i="1"/>
  <c r="L357" i="1"/>
  <c r="K357" i="1"/>
  <c r="H357" i="1"/>
  <c r="M356" i="1"/>
  <c r="L356" i="1"/>
  <c r="K356" i="1"/>
  <c r="H356" i="1"/>
  <c r="M355" i="1"/>
  <c r="L355" i="1"/>
  <c r="K355" i="1"/>
  <c r="H355" i="1"/>
  <c r="M354" i="1"/>
  <c r="L354" i="1"/>
  <c r="K354" i="1"/>
  <c r="H354" i="1"/>
  <c r="M353" i="1"/>
  <c r="L353" i="1"/>
  <c r="K353" i="1"/>
  <c r="H353" i="1"/>
  <c r="M352" i="1"/>
  <c r="L352" i="1"/>
  <c r="K352" i="1"/>
  <c r="H352" i="1"/>
  <c r="M351" i="1"/>
  <c r="L351" i="1"/>
  <c r="K351" i="1"/>
  <c r="H351" i="1"/>
  <c r="M350" i="1"/>
  <c r="L350" i="1"/>
  <c r="K350" i="1"/>
  <c r="H350" i="1"/>
  <c r="M349" i="1"/>
  <c r="L349" i="1"/>
  <c r="K349" i="1"/>
  <c r="H349" i="1"/>
  <c r="M348" i="1"/>
  <c r="L348" i="1"/>
  <c r="K348" i="1"/>
  <c r="H348" i="1"/>
  <c r="M347" i="1"/>
  <c r="L347" i="1"/>
  <c r="K347" i="1"/>
  <c r="H347" i="1"/>
  <c r="M346" i="1"/>
  <c r="L346" i="1"/>
  <c r="K346" i="1"/>
  <c r="H346" i="1"/>
  <c r="M345" i="1"/>
  <c r="L345" i="1"/>
  <c r="K345" i="1"/>
  <c r="H345" i="1"/>
  <c r="M344" i="1"/>
  <c r="L344" i="1"/>
  <c r="K344" i="1"/>
  <c r="H344" i="1"/>
  <c r="M343" i="1"/>
  <c r="L343" i="1"/>
  <c r="K343" i="1"/>
  <c r="H343" i="1"/>
  <c r="M342" i="1"/>
  <c r="L342" i="1"/>
  <c r="K342" i="1"/>
  <c r="H342" i="1"/>
  <c r="M341" i="1"/>
  <c r="L341" i="1"/>
  <c r="K341" i="1"/>
  <c r="H341" i="1"/>
  <c r="M340" i="1"/>
  <c r="L340" i="1"/>
  <c r="K340" i="1"/>
  <c r="H340" i="1"/>
  <c r="M339" i="1"/>
  <c r="L339" i="1"/>
  <c r="K339" i="1"/>
  <c r="H339" i="1"/>
  <c r="M338" i="1"/>
  <c r="L338" i="1"/>
  <c r="K338" i="1"/>
  <c r="H338" i="1"/>
  <c r="M337" i="1"/>
  <c r="L337" i="1"/>
  <c r="K337" i="1"/>
  <c r="H337" i="1"/>
  <c r="M336" i="1"/>
  <c r="L336" i="1"/>
  <c r="K336" i="1"/>
  <c r="H336" i="1"/>
  <c r="M335" i="1"/>
  <c r="L335" i="1"/>
  <c r="K335" i="1"/>
  <c r="H335" i="1"/>
  <c r="M334" i="1"/>
  <c r="L334" i="1"/>
  <c r="K334" i="1"/>
  <c r="H334" i="1"/>
  <c r="M333" i="1"/>
  <c r="L333" i="1"/>
  <c r="K333" i="1"/>
  <c r="H333" i="1"/>
  <c r="M332" i="1"/>
  <c r="L332" i="1"/>
  <c r="K332" i="1"/>
  <c r="H332" i="1"/>
  <c r="M331" i="1"/>
  <c r="L331" i="1"/>
  <c r="K331" i="1"/>
  <c r="H331" i="1"/>
  <c r="M330" i="1"/>
  <c r="L330" i="1"/>
  <c r="K330" i="1"/>
  <c r="H330" i="1"/>
  <c r="M329" i="1"/>
  <c r="L329" i="1"/>
  <c r="K329" i="1"/>
  <c r="H329" i="1"/>
  <c r="M328" i="1"/>
  <c r="L328" i="1"/>
  <c r="K328" i="1"/>
  <c r="H328" i="1"/>
  <c r="M327" i="1"/>
  <c r="L327" i="1"/>
  <c r="K327" i="1"/>
  <c r="H327" i="1"/>
  <c r="M326" i="1"/>
  <c r="L326" i="1"/>
  <c r="K326" i="1"/>
  <c r="H326" i="1"/>
  <c r="M325" i="1"/>
  <c r="L325" i="1"/>
  <c r="K325" i="1"/>
  <c r="H325" i="1"/>
  <c r="M324" i="1"/>
  <c r="L324" i="1"/>
  <c r="K324" i="1"/>
  <c r="H324" i="1"/>
  <c r="M323" i="1"/>
  <c r="L323" i="1"/>
  <c r="K323" i="1"/>
  <c r="H323" i="1"/>
  <c r="M322" i="1"/>
  <c r="L322" i="1"/>
  <c r="K322" i="1"/>
  <c r="H322" i="1"/>
  <c r="M321" i="1"/>
  <c r="L321" i="1"/>
  <c r="K321" i="1"/>
  <c r="H321" i="1"/>
  <c r="M320" i="1"/>
  <c r="L320" i="1"/>
  <c r="K320" i="1"/>
  <c r="H320" i="1"/>
  <c r="M319" i="1"/>
  <c r="L319" i="1"/>
  <c r="K319" i="1"/>
  <c r="H319" i="1"/>
  <c r="M318" i="1"/>
  <c r="L318" i="1"/>
  <c r="K318" i="1"/>
  <c r="H318" i="1"/>
  <c r="M317" i="1"/>
  <c r="L317" i="1"/>
  <c r="K317" i="1"/>
  <c r="H317" i="1"/>
  <c r="M316" i="1"/>
  <c r="L316" i="1"/>
  <c r="K316" i="1"/>
  <c r="H316" i="1"/>
  <c r="M315" i="1"/>
  <c r="L315" i="1"/>
  <c r="K315" i="1"/>
  <c r="H315" i="1"/>
  <c r="M314" i="1"/>
  <c r="L314" i="1"/>
  <c r="K314" i="1"/>
  <c r="H314" i="1"/>
  <c r="M313" i="1"/>
  <c r="L313" i="1"/>
  <c r="K313" i="1"/>
  <c r="H313" i="1"/>
  <c r="M312" i="1"/>
  <c r="L312" i="1"/>
  <c r="K312" i="1"/>
  <c r="H312" i="1"/>
  <c r="M311" i="1"/>
  <c r="L311" i="1"/>
  <c r="K311" i="1"/>
  <c r="H311" i="1"/>
  <c r="M310" i="1"/>
  <c r="L310" i="1"/>
  <c r="K310" i="1"/>
  <c r="H310" i="1"/>
  <c r="M309" i="1"/>
  <c r="L309" i="1"/>
  <c r="K309" i="1"/>
  <c r="H309" i="1"/>
  <c r="M308" i="1"/>
  <c r="L308" i="1"/>
  <c r="K308" i="1"/>
  <c r="H308" i="1"/>
  <c r="M307" i="1"/>
  <c r="L307" i="1"/>
  <c r="K307" i="1"/>
  <c r="H307" i="1"/>
  <c r="M306" i="1"/>
  <c r="L306" i="1"/>
  <c r="K306" i="1"/>
  <c r="H306" i="1"/>
  <c r="M305" i="1"/>
  <c r="L305" i="1"/>
  <c r="K305" i="1"/>
  <c r="H305" i="1"/>
  <c r="M304" i="1"/>
  <c r="L304" i="1"/>
  <c r="K304" i="1"/>
  <c r="H304" i="1"/>
  <c r="M303" i="1"/>
  <c r="L303" i="1"/>
  <c r="K303" i="1"/>
  <c r="H303" i="1"/>
  <c r="M302" i="1"/>
  <c r="L302" i="1"/>
  <c r="K302" i="1"/>
  <c r="H302" i="1"/>
  <c r="M301" i="1"/>
  <c r="L301" i="1"/>
  <c r="K301" i="1"/>
  <c r="H301" i="1"/>
  <c r="M300" i="1"/>
  <c r="L300" i="1"/>
  <c r="K300" i="1"/>
  <c r="H300" i="1"/>
  <c r="M299" i="1"/>
  <c r="L299" i="1"/>
  <c r="K299" i="1"/>
  <c r="H299" i="1"/>
  <c r="M298" i="1"/>
  <c r="L298" i="1"/>
  <c r="K298" i="1"/>
  <c r="H298" i="1"/>
  <c r="M297" i="1"/>
  <c r="L297" i="1"/>
  <c r="K297" i="1"/>
  <c r="H297" i="1"/>
  <c r="M296" i="1"/>
  <c r="L296" i="1"/>
  <c r="K296" i="1"/>
  <c r="H296" i="1"/>
  <c r="M295" i="1"/>
  <c r="L295" i="1"/>
  <c r="K295" i="1"/>
  <c r="H295" i="1"/>
  <c r="M294" i="1"/>
  <c r="L294" i="1"/>
  <c r="K294" i="1"/>
  <c r="H294" i="1"/>
  <c r="M293" i="1"/>
  <c r="L293" i="1"/>
  <c r="K293" i="1"/>
  <c r="H293" i="1"/>
  <c r="M292" i="1"/>
  <c r="L292" i="1"/>
  <c r="K292" i="1"/>
  <c r="H292" i="1"/>
  <c r="M291" i="1"/>
  <c r="L291" i="1"/>
  <c r="K291" i="1"/>
  <c r="H291" i="1"/>
  <c r="M290" i="1"/>
  <c r="L290" i="1"/>
  <c r="K290" i="1"/>
  <c r="H290" i="1"/>
  <c r="M289" i="1"/>
  <c r="L289" i="1"/>
  <c r="K289" i="1"/>
  <c r="H289" i="1"/>
  <c r="M288" i="1"/>
  <c r="L288" i="1"/>
  <c r="K288" i="1"/>
  <c r="H288" i="1"/>
  <c r="M287" i="1"/>
  <c r="L287" i="1"/>
  <c r="K287" i="1"/>
  <c r="H287" i="1"/>
  <c r="M286" i="1"/>
  <c r="L286" i="1"/>
  <c r="K286" i="1"/>
  <c r="H286" i="1"/>
  <c r="M285" i="1"/>
  <c r="L285" i="1"/>
  <c r="K285" i="1"/>
  <c r="H285" i="1"/>
  <c r="M284" i="1"/>
  <c r="L284" i="1"/>
  <c r="K284" i="1"/>
  <c r="H284" i="1"/>
  <c r="M283" i="1"/>
  <c r="L283" i="1"/>
  <c r="K283" i="1"/>
  <c r="H283" i="1"/>
  <c r="M282" i="1"/>
  <c r="L282" i="1"/>
  <c r="K282" i="1"/>
  <c r="H282" i="1"/>
  <c r="M281" i="1"/>
  <c r="L281" i="1"/>
  <c r="K281" i="1"/>
  <c r="H281" i="1"/>
  <c r="M280" i="1"/>
  <c r="L280" i="1"/>
  <c r="K280" i="1"/>
  <c r="H280" i="1"/>
  <c r="M279" i="1"/>
  <c r="L279" i="1"/>
  <c r="K279" i="1"/>
  <c r="H279" i="1"/>
  <c r="M278" i="1"/>
  <c r="L278" i="1"/>
  <c r="K278" i="1"/>
  <c r="H278" i="1"/>
  <c r="M277" i="1"/>
  <c r="L277" i="1"/>
  <c r="K277" i="1"/>
  <c r="H277" i="1"/>
  <c r="M276" i="1"/>
  <c r="L276" i="1"/>
  <c r="K276" i="1"/>
  <c r="H276" i="1"/>
  <c r="M275" i="1"/>
  <c r="L275" i="1"/>
  <c r="K275" i="1"/>
  <c r="H275" i="1"/>
  <c r="M274" i="1"/>
  <c r="L274" i="1"/>
  <c r="K274" i="1"/>
  <c r="H274" i="1"/>
  <c r="M273" i="1"/>
  <c r="L273" i="1"/>
  <c r="K273" i="1"/>
  <c r="H273" i="1"/>
  <c r="M272" i="1"/>
  <c r="L272" i="1"/>
  <c r="K272" i="1"/>
  <c r="H272" i="1"/>
  <c r="M271" i="1"/>
  <c r="L271" i="1"/>
  <c r="K271" i="1"/>
  <c r="H271" i="1"/>
  <c r="M270" i="1"/>
  <c r="L270" i="1"/>
  <c r="K270" i="1"/>
  <c r="H270" i="1"/>
  <c r="M269" i="1"/>
  <c r="L269" i="1"/>
  <c r="K269" i="1"/>
  <c r="H269" i="1"/>
  <c r="M268" i="1"/>
  <c r="L268" i="1"/>
  <c r="K268" i="1"/>
  <c r="H268" i="1"/>
  <c r="M267" i="1"/>
  <c r="L267" i="1"/>
  <c r="K267" i="1"/>
  <c r="H267" i="1"/>
  <c r="M266" i="1"/>
  <c r="L266" i="1"/>
  <c r="K266" i="1"/>
  <c r="H266" i="1"/>
  <c r="M265" i="1"/>
  <c r="L265" i="1"/>
  <c r="K265" i="1"/>
  <c r="H265" i="1"/>
  <c r="M264" i="1"/>
  <c r="L264" i="1"/>
  <c r="K264" i="1"/>
  <c r="H264" i="1"/>
  <c r="M263" i="1"/>
  <c r="L263" i="1"/>
  <c r="K263" i="1"/>
  <c r="H263" i="1"/>
  <c r="M262" i="1"/>
  <c r="L262" i="1"/>
  <c r="K262" i="1"/>
  <c r="H262" i="1"/>
  <c r="M261" i="1"/>
  <c r="L261" i="1"/>
  <c r="K261" i="1"/>
  <c r="H261" i="1"/>
  <c r="M260" i="1"/>
  <c r="L260" i="1"/>
  <c r="K260" i="1"/>
  <c r="H260" i="1"/>
  <c r="M259" i="1"/>
  <c r="L259" i="1"/>
  <c r="K259" i="1"/>
  <c r="H259" i="1"/>
  <c r="M258" i="1"/>
  <c r="L258" i="1"/>
  <c r="K258" i="1"/>
  <c r="H258" i="1"/>
  <c r="M257" i="1"/>
  <c r="L257" i="1"/>
  <c r="K257" i="1"/>
  <c r="H257" i="1"/>
  <c r="M256" i="1"/>
  <c r="L256" i="1"/>
  <c r="K256" i="1"/>
  <c r="H256" i="1"/>
  <c r="M255" i="1"/>
  <c r="L255" i="1"/>
  <c r="K255" i="1"/>
  <c r="H255" i="1"/>
  <c r="M254" i="1"/>
  <c r="L254" i="1"/>
  <c r="K254" i="1"/>
  <c r="H254" i="1"/>
  <c r="M253" i="1"/>
  <c r="L253" i="1"/>
  <c r="K253" i="1"/>
  <c r="H253" i="1"/>
  <c r="M252" i="1"/>
  <c r="L252" i="1"/>
  <c r="K252" i="1"/>
  <c r="H252" i="1"/>
  <c r="M251" i="1"/>
  <c r="L251" i="1"/>
  <c r="K251" i="1"/>
  <c r="H251" i="1"/>
  <c r="M250" i="1"/>
  <c r="L250" i="1"/>
  <c r="K250" i="1"/>
  <c r="H250" i="1"/>
  <c r="M249" i="1"/>
  <c r="L249" i="1"/>
  <c r="K249" i="1"/>
  <c r="H249" i="1"/>
  <c r="M248" i="1"/>
  <c r="L248" i="1"/>
  <c r="K248" i="1"/>
  <c r="H248" i="1"/>
  <c r="M247" i="1"/>
  <c r="L247" i="1"/>
  <c r="K247" i="1"/>
  <c r="H247" i="1"/>
  <c r="M246" i="1"/>
  <c r="L246" i="1"/>
  <c r="K246" i="1"/>
  <c r="H246" i="1"/>
  <c r="M245" i="1"/>
  <c r="L245" i="1"/>
  <c r="K245" i="1"/>
  <c r="H245" i="1"/>
  <c r="M244" i="1"/>
  <c r="L244" i="1"/>
  <c r="K244" i="1"/>
  <c r="H244" i="1"/>
  <c r="M243" i="1"/>
  <c r="L243" i="1"/>
  <c r="K243" i="1"/>
  <c r="H243" i="1"/>
  <c r="M242" i="1"/>
  <c r="L242" i="1"/>
  <c r="K242" i="1"/>
  <c r="H242" i="1"/>
  <c r="M241" i="1"/>
  <c r="L241" i="1"/>
  <c r="K241" i="1"/>
  <c r="H241" i="1"/>
  <c r="M240" i="1"/>
  <c r="L240" i="1"/>
  <c r="K240" i="1"/>
  <c r="H240" i="1"/>
  <c r="M239" i="1"/>
  <c r="L239" i="1"/>
  <c r="K239" i="1"/>
  <c r="H239" i="1"/>
  <c r="M238" i="1"/>
  <c r="L238" i="1"/>
  <c r="K238" i="1"/>
  <c r="H238" i="1"/>
  <c r="M237" i="1"/>
  <c r="L237" i="1"/>
  <c r="K237" i="1"/>
  <c r="H237" i="1"/>
  <c r="M236" i="1"/>
  <c r="L236" i="1"/>
  <c r="K236" i="1"/>
  <c r="H236" i="1"/>
  <c r="M235" i="1"/>
  <c r="L235" i="1"/>
  <c r="K235" i="1"/>
  <c r="H235" i="1"/>
  <c r="M234" i="1"/>
  <c r="L234" i="1"/>
  <c r="K234" i="1"/>
  <c r="H234" i="1"/>
  <c r="M233" i="1"/>
  <c r="L233" i="1"/>
  <c r="K233" i="1"/>
  <c r="H233" i="1"/>
  <c r="M232" i="1"/>
  <c r="L232" i="1"/>
  <c r="K232" i="1"/>
  <c r="H232" i="1"/>
  <c r="M231" i="1"/>
  <c r="L231" i="1"/>
  <c r="K231" i="1"/>
  <c r="H231" i="1"/>
  <c r="M230" i="1"/>
  <c r="L230" i="1"/>
  <c r="K230" i="1"/>
  <c r="H230" i="1"/>
  <c r="M229" i="1"/>
  <c r="L229" i="1"/>
  <c r="K229" i="1"/>
  <c r="H229" i="1"/>
  <c r="M228" i="1"/>
  <c r="L228" i="1"/>
  <c r="K228" i="1"/>
  <c r="H228" i="1"/>
  <c r="M227" i="1"/>
  <c r="L227" i="1"/>
  <c r="K227" i="1"/>
  <c r="H227" i="1"/>
  <c r="M226" i="1"/>
  <c r="L226" i="1"/>
  <c r="K226" i="1"/>
  <c r="H226" i="1"/>
  <c r="M225" i="1"/>
  <c r="L225" i="1"/>
  <c r="K225" i="1"/>
  <c r="H225" i="1"/>
  <c r="M224" i="1"/>
  <c r="L224" i="1"/>
  <c r="K224" i="1"/>
  <c r="H224" i="1"/>
  <c r="M223" i="1"/>
  <c r="L223" i="1"/>
  <c r="K223" i="1"/>
  <c r="H223" i="1"/>
  <c r="M222" i="1"/>
  <c r="L222" i="1"/>
  <c r="K222" i="1"/>
  <c r="H222" i="1"/>
  <c r="M221" i="1"/>
  <c r="L221" i="1"/>
  <c r="K221" i="1"/>
  <c r="H221" i="1"/>
  <c r="M220" i="1"/>
  <c r="L220" i="1"/>
  <c r="K220" i="1"/>
  <c r="H220" i="1"/>
  <c r="M219" i="1"/>
  <c r="L219" i="1"/>
  <c r="K219" i="1"/>
  <c r="H219" i="1"/>
  <c r="M218" i="1"/>
  <c r="L218" i="1"/>
  <c r="K218" i="1"/>
  <c r="H218" i="1"/>
  <c r="M217" i="1"/>
  <c r="L217" i="1"/>
  <c r="K217" i="1"/>
  <c r="H217" i="1"/>
  <c r="M216" i="1"/>
  <c r="L216" i="1"/>
  <c r="K216" i="1"/>
  <c r="H216" i="1"/>
  <c r="M215" i="1"/>
  <c r="L215" i="1"/>
  <c r="K215" i="1"/>
  <c r="H215" i="1"/>
  <c r="M214" i="1"/>
  <c r="L214" i="1"/>
  <c r="K214" i="1"/>
  <c r="H214" i="1"/>
  <c r="M213" i="1"/>
  <c r="L213" i="1"/>
  <c r="K213" i="1"/>
  <c r="H213" i="1"/>
  <c r="M212" i="1"/>
  <c r="L212" i="1"/>
  <c r="K212" i="1"/>
  <c r="H212" i="1"/>
  <c r="M211" i="1"/>
  <c r="L211" i="1"/>
  <c r="K211" i="1"/>
  <c r="H211" i="1"/>
  <c r="M210" i="1"/>
  <c r="L210" i="1"/>
  <c r="K210" i="1"/>
  <c r="H210" i="1"/>
  <c r="M209" i="1"/>
  <c r="L209" i="1"/>
  <c r="K209" i="1"/>
  <c r="H209" i="1"/>
  <c r="M208" i="1"/>
  <c r="L208" i="1"/>
  <c r="K208" i="1"/>
  <c r="H208" i="1"/>
  <c r="M207" i="1"/>
  <c r="L207" i="1"/>
  <c r="K207" i="1"/>
  <c r="H207" i="1"/>
  <c r="M206" i="1"/>
  <c r="L206" i="1"/>
  <c r="K206" i="1"/>
  <c r="H206" i="1"/>
  <c r="M205" i="1"/>
  <c r="L205" i="1"/>
  <c r="K205" i="1"/>
  <c r="H205" i="1"/>
  <c r="M204" i="1"/>
  <c r="L204" i="1"/>
  <c r="K204" i="1"/>
  <c r="H204" i="1"/>
  <c r="M203" i="1"/>
  <c r="L203" i="1"/>
  <c r="K203" i="1"/>
  <c r="H203" i="1"/>
  <c r="M202" i="1"/>
  <c r="L202" i="1"/>
  <c r="K202" i="1"/>
  <c r="H202" i="1"/>
  <c r="M201" i="1"/>
  <c r="L201" i="1"/>
  <c r="K201" i="1"/>
  <c r="H201" i="1"/>
  <c r="M200" i="1"/>
  <c r="L200" i="1"/>
  <c r="K200" i="1"/>
  <c r="H200" i="1"/>
  <c r="M199" i="1"/>
  <c r="L199" i="1"/>
  <c r="K199" i="1"/>
  <c r="H199" i="1"/>
  <c r="M198" i="1"/>
  <c r="L198" i="1"/>
  <c r="K198" i="1"/>
  <c r="H198" i="1"/>
  <c r="M197" i="1"/>
  <c r="L197" i="1"/>
  <c r="K197" i="1"/>
  <c r="H197" i="1"/>
  <c r="M196" i="1"/>
  <c r="L196" i="1"/>
  <c r="K196" i="1"/>
  <c r="H196" i="1"/>
  <c r="M195" i="1"/>
  <c r="L195" i="1"/>
  <c r="K195" i="1"/>
  <c r="H195" i="1"/>
  <c r="M194" i="1"/>
  <c r="L194" i="1"/>
  <c r="K194" i="1"/>
  <c r="H194" i="1"/>
  <c r="M193" i="1"/>
  <c r="L193" i="1"/>
  <c r="K193" i="1"/>
  <c r="H193" i="1"/>
  <c r="M192" i="1"/>
  <c r="L192" i="1"/>
  <c r="K192" i="1"/>
  <c r="H192" i="1"/>
  <c r="M191" i="1"/>
  <c r="L191" i="1"/>
  <c r="K191" i="1"/>
  <c r="H191" i="1"/>
  <c r="M190" i="1"/>
  <c r="L190" i="1"/>
  <c r="K190" i="1"/>
  <c r="H190" i="1"/>
  <c r="M189" i="1"/>
  <c r="L189" i="1"/>
  <c r="K189" i="1"/>
  <c r="H189" i="1"/>
  <c r="M188" i="1"/>
  <c r="L188" i="1"/>
  <c r="K188" i="1"/>
  <c r="H188" i="1"/>
  <c r="M187" i="1"/>
  <c r="L187" i="1"/>
  <c r="K187" i="1"/>
  <c r="H187" i="1"/>
  <c r="M186" i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<sst xmlns="http://schemas.openxmlformats.org/spreadsheetml/2006/main" count="4997" uniqueCount="467">
  <si>
    <t>Dettaglio Domande Pagabili Decreto 453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</si>
  <si>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</si>
  <si>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</si>
  <si>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</si>
  <si>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</si>
  <si>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</si>
  <si>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</si>
  <si>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</si>
  <si>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</si>
  <si>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</si>
  <si>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</si>
  <si>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</si>
  <si>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</si>
  <si>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</si>
  <si>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</si>
  <si>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</si>
  <si>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</si>
  <si>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</si>
  <si>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</si>
  <si>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</si>
  <si>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</si>
  <si>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</si>
  <si>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</si>
  <si>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</si>
  <si>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</si>
  <si>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</si>
  <si>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</si>
  <si>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</si>
  <si>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</si>
  <si>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CAA Confagricoltura srl</t>
  </si>
  <si>
    <t>NO</t>
  </si>
  <si>
    <t>Nuova Programmazione</t>
  </si>
  <si>
    <t>In Liquidazione</t>
  </si>
  <si>
    <t>Saldo</t>
  </si>
  <si>
    <t>Co-Finanziato</t>
  </si>
  <si>
    <t>Ordinario</t>
  </si>
  <si>
    <t>IN PROPRIO</t>
  </si>
  <si>
    <t>SAL</t>
  </si>
  <si>
    <t>Anticipo</t>
  </si>
  <si>
    <t>CAA Coldiretti srl</t>
  </si>
  <si>
    <t>CAA CIA srl</t>
  </si>
  <si>
    <t>CAA UNICAA srl</t>
  </si>
  <si>
    <t>CAA LiberiAgricoltori srl già CAA AGCI srl</t>
  </si>
  <si>
    <t>SI</t>
  </si>
  <si>
    <t>CAA-CAF AGRI S.R.L.</t>
  </si>
  <si>
    <t>CAA degli Agricoltori Srl</t>
  </si>
  <si>
    <t>CAA UNSIC s.r.l.</t>
  </si>
  <si>
    <t>Misure a Superficie</t>
  </si>
  <si>
    <t>CAA Servizi Agricoli Europei srl</t>
  </si>
  <si>
    <t>CAA Degli Agricoltori - SALERNO - 101</t>
  </si>
  <si>
    <t>MARCHE</t>
  </si>
  <si>
    <t>SERV. DEC. AGRICOLTURA E ALIMENTAZIONE - PESARO</t>
  </si>
  <si>
    <t>CELESCHI CLAUDIO</t>
  </si>
  <si>
    <t>AGEA.ASR.2021.0661019</t>
  </si>
  <si>
    <t>SERV. DEC. AGRICOLTURA E ALIM. - MACERATA</t>
  </si>
  <si>
    <t>CAA Coldiretti - MACERATA - 018</t>
  </si>
  <si>
    <t>RICOTTA MARIO</t>
  </si>
  <si>
    <t>AGEA.ASR.2021.0636361</t>
  </si>
  <si>
    <t>SOCIETA' AGRICOLA RICOTTA BENEDETTO E C. S.S.</t>
  </si>
  <si>
    <t>CAA CIA - PESARO E URBINO - 007</t>
  </si>
  <si>
    <t>AZIENDA SPECIALE CONSORZIALE DEL CATRIA</t>
  </si>
  <si>
    <t>AGEA.ASR.2021.0652648</t>
  </si>
  <si>
    <t>CAA Coldiretti - MACERATA - 009</t>
  </si>
  <si>
    <t>MERLINI FILIPPO</t>
  </si>
  <si>
    <t>SERV. DEC. AGRICOLTURA E ALIM. -ASCOLI PICENO</t>
  </si>
  <si>
    <t>CAA UNICAA - ASCOLI PICENO - 004</t>
  </si>
  <si>
    <t>CONSORZIO TUTELA VINI PICENI</t>
  </si>
  <si>
    <t>AGEA.ASR.2021.0657453</t>
  </si>
  <si>
    <t>FEDUZI ALVARO</t>
  </si>
  <si>
    <t>AGEA.ASR.2021.0659463</t>
  </si>
  <si>
    <t>COMUNE DI PIOBBICO</t>
  </si>
  <si>
    <t>AGEA.ASR.2021.0591097</t>
  </si>
  <si>
    <t>CAA Coldiretti - ASCOLI PICENO - 025</t>
  </si>
  <si>
    <t>SAVINI FEDERICO</t>
  </si>
  <si>
    <t>AGEA.ASR.2021.0651142</t>
  </si>
  <si>
    <t>AGEA.ASR.2021.0651154</t>
  </si>
  <si>
    <t>CAA LiberiAgricoltori - MACERATA - 005</t>
  </si>
  <si>
    <t>MARI STEFANO</t>
  </si>
  <si>
    <t>AGEA.ASR.2021.0662082</t>
  </si>
  <si>
    <t>CAA Coldiretti - MACERATA - 007</t>
  </si>
  <si>
    <t>ROSELLI DANIELE</t>
  </si>
  <si>
    <t>MERELLI MARCELLO</t>
  </si>
  <si>
    <t>FRATTANI LOLITA</t>
  </si>
  <si>
    <t>CAA CAF AGRI - MACERATA - 226</t>
  </si>
  <si>
    <t>FABBRIZI PAOLO</t>
  </si>
  <si>
    <t>CAA LiberiAgricoltori - MACERATA - 004</t>
  </si>
  <si>
    <t>RINOMATA AZIENDA BIOLOGICA IMPRENDITORI LIBERTI SIMONE E GIANPIETRO SO</t>
  </si>
  <si>
    <t>CAA Coldiretti - ANCONA - 003</t>
  </si>
  <si>
    <t>PAOLI PACIFICO</t>
  </si>
  <si>
    <t>CAA Coldiretti - MACERATA - 002</t>
  </si>
  <si>
    <t>SEVERINI GIANLUCA</t>
  </si>
  <si>
    <t>CAA Confagricoltura - ASCOLI PICENO - 001</t>
  </si>
  <si>
    <t>SOCIETA' COOPERATIVA AGRICOLA AGRITEMP</t>
  </si>
  <si>
    <t>CAA Coldiretti - FERMO - 001</t>
  </si>
  <si>
    <t>CENTANNI GIACOMO</t>
  </si>
  <si>
    <t>CAA Confagricoltura - MACERATA - 001</t>
  </si>
  <si>
    <t>PIGNATARO ROBERTO</t>
  </si>
  <si>
    <t>ORAZI WALTER</t>
  </si>
  <si>
    <t>CAA CIA - PESARO E URBINO - 002</t>
  </si>
  <si>
    <t>FADDA MICHELE &amp; GIULIANO SOC.SEMPLICE</t>
  </si>
  <si>
    <t>FADDA ANTONIO</t>
  </si>
  <si>
    <t>CAA CAF AGRI - PESARO E URBINO - 221</t>
  </si>
  <si>
    <t>POGGIASPALLA SILVIA</t>
  </si>
  <si>
    <t>RAMADORI MARIO</t>
  </si>
  <si>
    <t>SERV. DEC. AGRICOLTURA E ALIMENTAZIONE - ANCONA</t>
  </si>
  <si>
    <t>CAA Confagricoltura - ANCONA - 001</t>
  </si>
  <si>
    <t>FOSSA MICHELE</t>
  </si>
  <si>
    <t>CAA Coldiretti - MACERATA - 017</t>
  </si>
  <si>
    <t>FABRIZI FAUSTO</t>
  </si>
  <si>
    <t>FEDELI NICOLA</t>
  </si>
  <si>
    <t>MANONI CLELIA</t>
  </si>
  <si>
    <t>PROCACCINI ALFONSO</t>
  </si>
  <si>
    <t>MARCOLINI SIMONE</t>
  </si>
  <si>
    <t>CAA Confagricoltura - PESARO E URBINO - 001</t>
  </si>
  <si>
    <t>MARONCELLI GIUSEPPE EREDI S.S.</t>
  </si>
  <si>
    <t>AGEA.ASR.2021.0658276</t>
  </si>
  <si>
    <t>COSTA MICHELE</t>
  </si>
  <si>
    <t>PIERPAOLI LAMBERTO</t>
  </si>
  <si>
    <t>BATTISTONI PAOLO ADRIANO</t>
  </si>
  <si>
    <t>CAA Coldiretti - PESARO E URBINO - 004</t>
  </si>
  <si>
    <t>SOCIETA' AGRICOLA SILVESTRI GIANCARLO &amp; C. S.S</t>
  </si>
  <si>
    <t>CAA Coldiretti - PESARO E URBINO - 013</t>
  </si>
  <si>
    <t>BONCI MIRCO</t>
  </si>
  <si>
    <t>CAA Coldiretti - PESARO E URBINO - 008</t>
  </si>
  <si>
    <t>FALCONI MICHELE</t>
  </si>
  <si>
    <t>CAA Coldiretti - PESARO E URBINO - 006</t>
  </si>
  <si>
    <t>COACCI ORIETTA</t>
  </si>
  <si>
    <t>RUGGERI GIAMPAOLO</t>
  </si>
  <si>
    <t>CAA Coldiretti - PESARO E URBINO - 001</t>
  </si>
  <si>
    <t>PANUNZI ORIETTA</t>
  </si>
  <si>
    <t>PALANCA GRAZIELLA</t>
  </si>
  <si>
    <t>NOBILI METILDE</t>
  </si>
  <si>
    <t>MANTONI LEA</t>
  </si>
  <si>
    <t>SPEZI ORIANO</t>
  </si>
  <si>
    <t>SPADONI CINZIA</t>
  </si>
  <si>
    <t>TINTI ALESSANDRO</t>
  </si>
  <si>
    <t>MAURI GIUSEPPE</t>
  </si>
  <si>
    <t>ROCCHI FRANCA</t>
  </si>
  <si>
    <t>PRUSCINI GIANPIERO</t>
  </si>
  <si>
    <t>POLVERIGIANI EMANUELE</t>
  </si>
  <si>
    <t>PARLANI MASSIMO</t>
  </si>
  <si>
    <t>FRATERNALI LUIGINO</t>
  </si>
  <si>
    <t>DE ANGELI GIANCARLO</t>
  </si>
  <si>
    <t>BAIONI MARIO</t>
  </si>
  <si>
    <t>CARNEVALI SABINA</t>
  </si>
  <si>
    <t>CAA Coldiretti - PESARO E URBINO - 010</t>
  </si>
  <si>
    <t>ANTONIUCCI VITTORIO</t>
  </si>
  <si>
    <t>BERRETTA LILIANA</t>
  </si>
  <si>
    <t>PALMAS BACHISIO</t>
  </si>
  <si>
    <t>CALVANI LAURA</t>
  </si>
  <si>
    <t>CAA Coldiretti - PESARO E URBINO - 007</t>
  </si>
  <si>
    <t>ARCANGELETTI GIULIO</t>
  </si>
  <si>
    <t>AGEA.ASR.2021.0643677</t>
  </si>
  <si>
    <t>CALDARIGI GIAMPIERO</t>
  </si>
  <si>
    <t>FILIPPINI ERMENEGILDO</t>
  </si>
  <si>
    <t>GIOVAGNOLI DOMENICO</t>
  </si>
  <si>
    <t>INDIO FABRIZIO</t>
  </si>
  <si>
    <t>MAZZANTI GIORGIO</t>
  </si>
  <si>
    <t>PETRELLI CARNI SOCIETA' AGRICOLA SEMPLICE</t>
  </si>
  <si>
    <t>SOC.AGR.AGRISUN S.S.SCROCCHI STE</t>
  </si>
  <si>
    <t>AGEA.ASR.2021.0648486</t>
  </si>
  <si>
    <t>IEZZI GIOVANNI</t>
  </si>
  <si>
    <t>CAA Coldiretti - ANCONA - 002</t>
  </si>
  <si>
    <t>GUIDARELLI PIERO</t>
  </si>
  <si>
    <t>CAA Coldiretti - ANCONA - 008</t>
  </si>
  <si>
    <t>OLIVIERI FABIO</t>
  </si>
  <si>
    <t>AGEA.ASR.2021.0660066</t>
  </si>
  <si>
    <t>TORTOLINI GIAMBATTISTA</t>
  </si>
  <si>
    <t>BENEDETTI CLAUDIO</t>
  </si>
  <si>
    <t>BOINEGA LUIGI</t>
  </si>
  <si>
    <t>CAA Coldiretti - MACERATA - 010</t>
  </si>
  <si>
    <t>CAPPELLA CLAUDIO</t>
  </si>
  <si>
    <t>CINGOLANI GIOVANNI</t>
  </si>
  <si>
    <t>SABBATINI SILVIA</t>
  </si>
  <si>
    <t>AGEA.ASR.2021.0622563</t>
  </si>
  <si>
    <t>SOCIETA' AGRICOLA DI PIETRANTONIO ANDREA E C. S.S.</t>
  </si>
  <si>
    <t>ARBAU PIERO E SALVATORE SOC SEMPLICE</t>
  </si>
  <si>
    <t>AGEA.ASR.2021.0635025</t>
  </si>
  <si>
    <t>FINOCCHI FABRIZIO</t>
  </si>
  <si>
    <t>PERUZZINI DORIANO</t>
  </si>
  <si>
    <t>CAA CAF AGRI - MACERATA - 223</t>
  </si>
  <si>
    <t>BELARDINI MILIANO E FRANCESCO SOC.SEMP.</t>
  </si>
  <si>
    <t>SOCIETA' AGRICOLA FRATELLI ROSSETTI SOCIETA' SEMPLICE</t>
  </si>
  <si>
    <t>CARDINI VALENTINO</t>
  </si>
  <si>
    <t>CAA LiberiAgricoltori - MACERATA - 001</t>
  </si>
  <si>
    <t>SOLARI MARIA CRISTINA</t>
  </si>
  <si>
    <t>CAA CAF AGRI - ANCONA - 225</t>
  </si>
  <si>
    <t>SCUPPA GABRIELE</t>
  </si>
  <si>
    <t>BERNARDI MANUEL</t>
  </si>
  <si>
    <t>GABRIELLONI CESARINA</t>
  </si>
  <si>
    <t>PAZZELLI GIOVANNA</t>
  </si>
  <si>
    <t>SCAGNETTI GIUSEPPA</t>
  </si>
  <si>
    <t>SOCIETA' AGRICOLA PACCUSSE DI PACCUSSE VALENTINO &amp; DINO S.S.</t>
  </si>
  <si>
    <t>CAA CIA - MACERATA - 001</t>
  </si>
  <si>
    <t>ROSSETTI MAURIZIO</t>
  </si>
  <si>
    <t>CAA Coldiretti - MACERATA - 008</t>
  </si>
  <si>
    <t>PIERMATTEI MARIANO</t>
  </si>
  <si>
    <t>PALMIERI FILIPPO</t>
  </si>
  <si>
    <t>AMICI ROSELLA</t>
  </si>
  <si>
    <t>CAA CAF AGRI - ASCOLI PICENO - 222</t>
  </si>
  <si>
    <t>RAZZETTI MONICA</t>
  </si>
  <si>
    <t>RANZUGLIA LORENZO</t>
  </si>
  <si>
    <t>BARTOLINI MANUELA</t>
  </si>
  <si>
    <t>VISSANI CLAUDIO</t>
  </si>
  <si>
    <t>BRANDI ANDREA</t>
  </si>
  <si>
    <t>D'AMBROSI MARIANO</t>
  </si>
  <si>
    <t>SALVATORI MANFREDO</t>
  </si>
  <si>
    <t>ROSATELLI RODOLFO</t>
  </si>
  <si>
    <t>SOCIETA' AGRICOLA LAI SS</t>
  </si>
  <si>
    <t>PACCUSSE GIANNI</t>
  </si>
  <si>
    <t>SOCIETA' AGRICOLA MINUTELLI S.S. DI BARBIERI MASSIMO &amp; C.</t>
  </si>
  <si>
    <t>ROCCHETTI CLAUDIO</t>
  </si>
  <si>
    <t>BECCERICA ENRICO</t>
  </si>
  <si>
    <t>SOCIETA' AGRICOLA DE MICHELIS DI DE MICHELIS MARCO &amp; LUIGI S.S.</t>
  </si>
  <si>
    <t>ABBRUZZETTI AGRICOLA SOCIETA' AGRICOLA SEMPLICE</t>
  </si>
  <si>
    <t>ANGELI MIRKO</t>
  </si>
  <si>
    <t>SOCIETA' AGRICOLA PISELLI PIETRO E C. SOC. SEMPLICE</t>
  </si>
  <si>
    <t>SOCIETA' AGRICOLA BALDACCIONI GIANNI E ROBERTO SS</t>
  </si>
  <si>
    <t>BASILISSI MARIO</t>
  </si>
  <si>
    <t>MAURIZI LUIGINO</t>
  </si>
  <si>
    <t>SOCIETA' AGRICOLA BORGO PAGLIANETTO S.R.L.</t>
  </si>
  <si>
    <t>CENCIONI PIETRO</t>
  </si>
  <si>
    <t>AGAMENNONI ALBERTO</t>
  </si>
  <si>
    <t>CAA CAF AGRI - MACERATA - 227</t>
  </si>
  <si>
    <t>SOCIETA' AGRICOLA VALLESI DI VALLESI ANNALAURA &amp; C. S.S.</t>
  </si>
  <si>
    <t>CAA LiberiAgricoltori - MACERATA - 003</t>
  </si>
  <si>
    <t>SOCIETA' AGRICOLA CASA FOSCOLA SRL</t>
  </si>
  <si>
    <t>VINCENTI EMANUELA</t>
  </si>
  <si>
    <t>MARCONI ANNA</t>
  </si>
  <si>
    <t>CAA UNICAA - ANCONA - 003</t>
  </si>
  <si>
    <t>SOCIETA' AGRICOLA MI.LU.KA. SNC DI MIGLIOZZI LUDOVICO E KARIN</t>
  </si>
  <si>
    <t>TORTOLINI ROSANNA</t>
  </si>
  <si>
    <t>CAA Coldiretti - ANCONA - 006</t>
  </si>
  <si>
    <t>SOCIETA' AGRICOLA AGRI BLU DI ZINGARETTI E SOCI S.S.</t>
  </si>
  <si>
    <t>SOCIETA' AGRICOLA TENUTA COLPAOLA SRL</t>
  </si>
  <si>
    <t>SINCINI MAURO</t>
  </si>
  <si>
    <t>SOCIETA' AGRICOLA GIROLAMI STEFANIA E SONIA S.S.</t>
  </si>
  <si>
    <t>FATTORIA CORRADINI SRL - SOCIETA' AGRICOLA</t>
  </si>
  <si>
    <t>SIMONETTI LILIANA</t>
  </si>
  <si>
    <t>CAA CIA - ANCONA - 005</t>
  </si>
  <si>
    <t>CORRENTI SIMONE</t>
  </si>
  <si>
    <t>CAA Coldiretti - ASCOLI PICENO - 010</t>
  </si>
  <si>
    <t>MARI CLEMENTE</t>
  </si>
  <si>
    <t>FEDELI SIMONE</t>
  </si>
  <si>
    <t>CAA UNSIC - ASCOLI PICENO - 001</t>
  </si>
  <si>
    <t>SERI GRAZIELLA</t>
  </si>
  <si>
    <t>SANTOLINI SANTA</t>
  </si>
  <si>
    <t>IEZZI GIUSEPPE</t>
  </si>
  <si>
    <t>CLEMENTI ITALO</t>
  </si>
  <si>
    <t>CAA CIA - PESARO E URBINO - 005</t>
  </si>
  <si>
    <t>PIERSANTI DAVIDE</t>
  </si>
  <si>
    <t>SOCIETA' AGRICOLA ANGELI SOCIETA' SEMPLICE</t>
  </si>
  <si>
    <t>PARRI SANTE</t>
  </si>
  <si>
    <t>FATTOBENE SIMONE</t>
  </si>
  <si>
    <t>LUCCHETTI MARIO</t>
  </si>
  <si>
    <t>NUCCI ERMANNO</t>
  </si>
  <si>
    <t>AZIENDA AGRICOLA F.LLI PACI DI FRANCESCO, ENZO ED ERINO PACI S.S.</t>
  </si>
  <si>
    <t>TORTOLINI NICOLINA</t>
  </si>
  <si>
    <t>PICIOTTI IACOPO</t>
  </si>
  <si>
    <t>PAZZAGLIA ADRIANO</t>
  </si>
  <si>
    <t>SALCICCIA MARCO</t>
  </si>
  <si>
    <t>CAA CIA - ANCONA - 004</t>
  </si>
  <si>
    <t>BRUSCHI ALBERTO</t>
  </si>
  <si>
    <t>CASU ANGELA</t>
  </si>
  <si>
    <t>CAA Serv. Agric. Europei- PERUGIA - 001</t>
  </si>
  <si>
    <t>BEI SOCIETA' AGRICOLA SRLS</t>
  </si>
  <si>
    <t>CANCELLIERI MAURIZIO</t>
  </si>
  <si>
    <t>DROGHINI GILBERTO</t>
  </si>
  <si>
    <t>MATTEI LIVIANA</t>
  </si>
  <si>
    <t>MONTEFELTRO FORAGGI S.R.L.</t>
  </si>
  <si>
    <t>LAZZARI ANDREA</t>
  </si>
  <si>
    <t>SPADONI ROBERTO</t>
  </si>
  <si>
    <t>SOCIETA' AGRICOLA PAGLIARI CARLO E PAOLO S.S.</t>
  </si>
  <si>
    <t>SOCIETA' AGRICOLA FRISONI DEL FURLO DI AMANTINI E BUCCHI S.S.</t>
  </si>
  <si>
    <t>SOCIETA' AGRICOLA CA' SERRANTONIO DEI F.LLI FORMICA S.S.</t>
  </si>
  <si>
    <t>SABBATINI DAVID</t>
  </si>
  <si>
    <t>CAA Coldiretti - ANCONA - 005</t>
  </si>
  <si>
    <t>MANIERI SERGIO</t>
  </si>
  <si>
    <t>GIUNCHETTI PIERINO</t>
  </si>
  <si>
    <t>CAA Coldiretti - ASCOLI PICENO - 040</t>
  </si>
  <si>
    <t>AZ. ORTOFRUTTICOLA MALAVOLTA ENZO &amp; IVANO</t>
  </si>
  <si>
    <t>SOCIETA' AGRICOLA GUIDI RICCARDO E MATTEO S.S.</t>
  </si>
  <si>
    <t>CAA UNICAA - PESARO E URBINO - 003</t>
  </si>
  <si>
    <t>SOCIETA' AGRICOLA NOVILARA SRL</t>
  </si>
  <si>
    <t>AZIENDA AGRICOLA FORESTALE DE ANGELIS DI ANGELIS FEDERICA &amp; C. S.S.</t>
  </si>
  <si>
    <t>FIORINI CARLA</t>
  </si>
  <si>
    <t>SOCIETA' AGRICOLA BENEDETTI MASSIMO E NAZZARENO SS</t>
  </si>
  <si>
    <t>SOCIETA' AGRICOLA GREGORI GIOVANNI E LUIGI</t>
  </si>
  <si>
    <t>SOCIETA' AGRICOLA MARANI TONINO &amp; C. S.S.</t>
  </si>
  <si>
    <t>CIOTTI POMPILIO</t>
  </si>
  <si>
    <t>POLIDORI LUCIANO</t>
  </si>
  <si>
    <t>BERLONI ROBERTO</t>
  </si>
  <si>
    <t>MARONCELLI MARIA - PIA</t>
  </si>
  <si>
    <t>CAA LiberiAgricoltori - PESARO E URBINO - 002</t>
  </si>
  <si>
    <t>AZIENDA AGRICOLA CA' MADDALENA S.S.</t>
  </si>
  <si>
    <t>AZIENDA AGRICOLA PASSERI FRANCO, FABIO E FRANCESCA SOCIETA' SEMPLICE A</t>
  </si>
  <si>
    <t>CATANI SONIA</t>
  </si>
  <si>
    <t>COSTANTINI ANTONIO</t>
  </si>
  <si>
    <t>DI COSMO CLAUDIA</t>
  </si>
  <si>
    <t>GAROSI MANUELA</t>
  </si>
  <si>
    <t>MARIANI FRANCESCO MASSIMO</t>
  </si>
  <si>
    <t>MARTELLI DANIELE</t>
  </si>
  <si>
    <t>CAA CIA - ASCOLI PICENO - 002</t>
  </si>
  <si>
    <t>SCIBE' DORIANO</t>
  </si>
  <si>
    <t>CAA CIA - ASCOLI PICENO - 004</t>
  </si>
  <si>
    <t>SOCIETA' AGRICOLA F.LLI GRILLI S.S. DI GRILLI GIANMARCO E GRILLI PIERP</t>
  </si>
  <si>
    <t>SOCIETA' AGRICOLA MONSIGNORI S.S.</t>
  </si>
  <si>
    <t>CAA CIA - PESARO E URBINO - 008</t>
  </si>
  <si>
    <t>SOCIETA' AGRICOLA VALDITEVA S.S.</t>
  </si>
  <si>
    <t>TAURUS S. S. AGRICOLA DI CAPITANI E. &amp; C</t>
  </si>
  <si>
    <t>TENAGLIA MAURA</t>
  </si>
  <si>
    <t>VERDINI IGINO</t>
  </si>
  <si>
    <t>TAGNANI NAZZARENO E LORENZO S.S.</t>
  </si>
  <si>
    <t>BONANNI GIULIANO</t>
  </si>
  <si>
    <t>GENTILI MARIANO</t>
  </si>
  <si>
    <t>BARTOLINI ANNA MARIA</t>
  </si>
  <si>
    <t>MAGI GIUSEPPE</t>
  </si>
  <si>
    <t>GUGLIELMI MAURO</t>
  </si>
  <si>
    <t>MASCI LUCA</t>
  </si>
  <si>
    <t>GELMI MARA</t>
  </si>
  <si>
    <t>GERINI ENZO</t>
  </si>
  <si>
    <t>PIETRINI SANDRA</t>
  </si>
  <si>
    <t>VOLPI ALESSANDRA</t>
  </si>
  <si>
    <t>ESPOSTO TATIANA</t>
  </si>
  <si>
    <t>PARIS CHRISTIAN</t>
  </si>
  <si>
    <t>POZZUOLI ALESSANDRO</t>
  </si>
  <si>
    <t>FILIPPONI LUIGI</t>
  </si>
  <si>
    <t>GROTTAROLI NANDO</t>
  </si>
  <si>
    <t>FABBRICA DELLA BIRRA TENUTE COLLESI SRL SOCIETA' AGRICOLA UNIPERSONALE</t>
  </si>
  <si>
    <t>LOCCI ARTEMIO</t>
  </si>
  <si>
    <t>FRANCIA SIMONE</t>
  </si>
  <si>
    <t>SOCIETA' AGRICOLA SABBATINI S.S.</t>
  </si>
  <si>
    <t>CAA LiberiAgricoltori - MACERATA - 002</t>
  </si>
  <si>
    <t>SOCIETA' AGRICOLA GIOIELLI DELLA TERRA S.S.</t>
  </si>
  <si>
    <t>PICCHIO MICHELE</t>
  </si>
  <si>
    <t>ARIENZO MARIO</t>
  </si>
  <si>
    <t>LORENZETTI GILBERTO</t>
  </si>
  <si>
    <t>BELLUCCI FRANCESCA MARIA</t>
  </si>
  <si>
    <t>PARRI ARNALDO</t>
  </si>
  <si>
    <t>MARI LUCIANO</t>
  </si>
  <si>
    <t>MULATTIERI COSTANTINO</t>
  </si>
  <si>
    <t>MULATTIERI EDOARDO</t>
  </si>
  <si>
    <t>POSSANZA PIERINA</t>
  </si>
  <si>
    <t>RICCIONI NATALE</t>
  </si>
  <si>
    <t>SILVANO EDI</t>
  </si>
  <si>
    <t>SOC. AGR. BUROTTA DI LAINO DALL'ACQUA FRANCESCO &amp; C. S.S.</t>
  </si>
  <si>
    <t>SOCIETA' AGRICOLA CONFORTI LUCIANO &amp; SIMONE S.S.</t>
  </si>
  <si>
    <t>BALDACCIONI GRAZIANO</t>
  </si>
  <si>
    <t>LE COLLINE DI RUSTANO SOC. AGRIC. SEMPL.</t>
  </si>
  <si>
    <t>AGEA.ASR.2021.0661273</t>
  </si>
  <si>
    <t>MAPAM S.S AGRICOLA DI MANCINI PAOLA E MASSIMO</t>
  </si>
  <si>
    <t>MENGARELLI FORTUNATO</t>
  </si>
  <si>
    <t>SOCIETA' AGRICOLA TENUTA MERLONI S.S.</t>
  </si>
  <si>
    <t>ANTONINI UGO</t>
  </si>
  <si>
    <t>STROPPA CAMILLA</t>
  </si>
  <si>
    <t>PACIAROTTI ATTILIO</t>
  </si>
  <si>
    <t>LOCCI MARIA PIA</t>
  </si>
  <si>
    <t>AGRITURISMO PARADISO SOCIETA' AGRICOLA-SOCIETA' A RESPONSABILITA' LIMI</t>
  </si>
  <si>
    <t>AGEA.ASR.2021.0623801</t>
  </si>
  <si>
    <t>CAA Coldiretti - ANCONA - 004</t>
  </si>
  <si>
    <t>BARTOLETTI BORIS</t>
  </si>
  <si>
    <t>CASALE RIPALTA DI VEROLI FEDERICO E FRANCESCO SAS</t>
  </si>
  <si>
    <t>DONNINELLI IDA</t>
  </si>
  <si>
    <t>FORTUNA VERDE SOCIETA' AGRICOLA SEMPLICE</t>
  </si>
  <si>
    <t>OSOIWANLAN JEFFERY EROMOSELE</t>
  </si>
  <si>
    <t>PAMA S.S. SOCIETA' AGRICOLA DI PATRICK KUHN E MARIA CONTALDO</t>
  </si>
  <si>
    <t>SOCIETA' AGRICOLA IL PRATO S.S.</t>
  </si>
  <si>
    <t>SOCIETA' AGRICOLA LA COLLINA DEI CAVALIERI DI ROCCHI LUANA &amp; C. S OCIE</t>
  </si>
  <si>
    <t>SOCIETA' AGRICOLA MORODER S.R.L.</t>
  </si>
  <si>
    <t>TERRE BONE SOCIETA' AGRICOLA S.R.L.</t>
  </si>
  <si>
    <t>AZIENDA AGRICOLA PIERUCCI DENIS E MASSIMO SOC.SEMPLICE AGRICOLA</t>
  </si>
  <si>
    <t>DECORTES LUIGI</t>
  </si>
  <si>
    <t>GATTI PAOLO</t>
  </si>
  <si>
    <t>MARI MATTEO</t>
  </si>
  <si>
    <t>SOCIETA' AGRICOLA CANTARINI GIOVANNI E C. SOCIETA' SEMPLICE</t>
  </si>
  <si>
    <t>MEZZANOTTE SANDRINO</t>
  </si>
  <si>
    <t>CAA CAF AGRI - ASCOLI PICENO - 221</t>
  </si>
  <si>
    <t>AZIENDA AGRICOLA MORESCHINI DI MORESCHINI PATRIZIO E PIERLUIGI SO CIET</t>
  </si>
  <si>
    <t>BALLINI SAURO</t>
  </si>
  <si>
    <t>MARCHIONNI SILVIA</t>
  </si>
  <si>
    <t>SOCIETA' AGRICOLA TORRAIMUNI EREDI CARLA BOTTALIGA DI MAURIZIO CONTE E</t>
  </si>
  <si>
    <t>BIOFAVOLE SOCIETA' AGRICOLA SEMPLICE</t>
  </si>
  <si>
    <t>FE.MA. S.A.S. DI GOLINELLI STEFANO &amp; C.</t>
  </si>
  <si>
    <t>FERRANTI FABIO</t>
  </si>
  <si>
    <t>CAA Coldiretti - ASCOLI PICENO - 030</t>
  </si>
  <si>
    <t>SILIQUINI ANDREA</t>
  </si>
  <si>
    <t>RICCA ARMANDO</t>
  </si>
  <si>
    <t>LUCARELLI LUIGI</t>
  </si>
  <si>
    <t>VISSANI MIRKO</t>
  </si>
  <si>
    <t>FRANCI GIUSEPPE</t>
  </si>
  <si>
    <t>MARCHETTI GINO</t>
  </si>
  <si>
    <t>SOCIETA' AGRICOLA VALLE DI RAGGIANO S.A.S. DI CAGNINI FABRIZIO &amp; C.</t>
  </si>
  <si>
    <t>SOCIETA' AGRICOLA MANCINI MICHELE E C. S.S</t>
  </si>
  <si>
    <t>BELTUTTI CESARE</t>
  </si>
  <si>
    <t>ZEPPONI EMILIO</t>
  </si>
  <si>
    <t>PACETTI GIUSEPPE</t>
  </si>
  <si>
    <t>SARGENTI VITTORIO</t>
  </si>
  <si>
    <t>BRUGNOLA ROBERTO</t>
  </si>
  <si>
    <t>AGRICOLA PAGNONI DI BRUSCOLI ORNELLA &amp; C. SNC</t>
  </si>
  <si>
    <t>MARCHIONNI GENNARO</t>
  </si>
  <si>
    <t>SCIPIONI LAURA</t>
  </si>
  <si>
    <t>SOCIETA' AGRICOLA S. FLORIANO SAS DI CICULI FRANCESCO &amp; C.</t>
  </si>
  <si>
    <t>FERRETTI FABIO UBALDO</t>
  </si>
  <si>
    <t>SATOLLI MAURIZIO</t>
  </si>
  <si>
    <t>ROMITI RENATO</t>
  </si>
  <si>
    <t>TORRETTI ANGELA</t>
  </si>
  <si>
    <t>IMPRESA AGRICOLA VITO CELESTE &amp; C.</t>
  </si>
  <si>
    <t>AGRICOLA FORESTALE FENIGLI SRL</t>
  </si>
  <si>
    <t>DURPETTI DONATO</t>
  </si>
  <si>
    <t>MARINELLI ALFREDO</t>
  </si>
  <si>
    <t>PELUCCHINI MARCO</t>
  </si>
  <si>
    <t>ROMALDONI MARCELLA</t>
  </si>
  <si>
    <t>ANGELI LUCA</t>
  </si>
  <si>
    <t>CAA LiberiAgricoltori - PESARO E URBINO - 001</t>
  </si>
  <si>
    <t>ZOCCOLANTI DEMIS</t>
  </si>
  <si>
    <t>ROMANI ROBERTO</t>
  </si>
  <si>
    <t>MATTIOLI LIVIA</t>
  </si>
  <si>
    <t>CAVALLINI ANTONELLA</t>
  </si>
  <si>
    <t>SOCIETA' AGRICOLA MORETTI FARM DI MORETTI GABRIELE &amp; C. - S.A.S.</t>
  </si>
  <si>
    <t>TITTARELLI CHRISTIAN</t>
  </si>
  <si>
    <t>FONTI ROMINA</t>
  </si>
  <si>
    <t>MATTEI MAURO</t>
  </si>
  <si>
    <t>GRASSI DAMIANO</t>
  </si>
  <si>
    <t>PROCACCINI GIUSEPPE</t>
  </si>
  <si>
    <t>SOC. AGR. TRE CASTELLI S.S.</t>
  </si>
  <si>
    <t>SPADONI ELSA</t>
  </si>
  <si>
    <t>LATINI SILVIA</t>
  </si>
  <si>
    <t>CONTI GIUSEPPE</t>
  </si>
  <si>
    <t>PIEROTTI ADRIO</t>
  </si>
  <si>
    <t>CONTI DANIELE</t>
  </si>
  <si>
    <t>SESTU GIOVANNI</t>
  </si>
  <si>
    <t>COSTANTINI MARIO</t>
  </si>
  <si>
    <t>PAGLIALUNGA CARLO</t>
  </si>
  <si>
    <t>FIORONI GIULIO</t>
  </si>
  <si>
    <t>GRELLI ALBERTO</t>
  </si>
  <si>
    <t>RAGNI FRANCESCO</t>
  </si>
  <si>
    <t>SOCIETA' AGRICOLA PACCUSSE S.S.</t>
  </si>
  <si>
    <t>CARPINETI NELLO</t>
  </si>
  <si>
    <t>BARBADORO ELENA</t>
  </si>
  <si>
    <t>CANCELLIERI AUGUSTO</t>
  </si>
  <si>
    <t>MENTUCCI MARCO</t>
  </si>
  <si>
    <t>CINCINI FABIO</t>
  </si>
  <si>
    <t>GISMONDI OLIVIERO</t>
  </si>
  <si>
    <t>MITRUCCIO ANNA MARIA</t>
  </si>
  <si>
    <t>SOCIETA' AGRICOLA CALANDRINI MARIO E BAZZUCCHI GRAZIELLA S.S.</t>
  </si>
  <si>
    <t>RE SOLE SOCIETA' AGRICOLA SRL</t>
  </si>
  <si>
    <t>CARPINETI MARIO</t>
  </si>
  <si>
    <t>MAZZARELLI LUCIANO</t>
  </si>
  <si>
    <t>AIUDI CALVINIO</t>
  </si>
  <si>
    <t>CIACCI PAOLO</t>
  </si>
  <si>
    <t>SOCIETA' AGRICOLA FAGGETI DI DIOTALEVI LUANA E C. S.S.</t>
  </si>
  <si>
    <t>SOCIETA' AGRICOLA DI MATALONI SANDRO, MATALONI ATTILIO E MATALONI MARI</t>
  </si>
  <si>
    <t>SOCIETA' AGRICOLA LA MORSINA DI UGOLINI STEFANIA &amp; C. SNC</t>
  </si>
  <si>
    <t>GIACCHINI SOCIETA' AGRICOLA A R.L.</t>
  </si>
  <si>
    <t>BALDASSARRI ADAMO</t>
  </si>
  <si>
    <t>RIPALTI SERGIO</t>
  </si>
  <si>
    <t>CARNAROLI EMANUELE</t>
  </si>
  <si>
    <t>PACCAPELO AGOSTINO</t>
  </si>
  <si>
    <t>PORFIRI GIUSEPPINA</t>
  </si>
  <si>
    <t>POSSANZA EUGENIO</t>
  </si>
  <si>
    <t>GIACCHINI VITTORIO</t>
  </si>
  <si>
    <t>GENTILINI LUIGI</t>
  </si>
  <si>
    <t>CALVANI ELVIRA</t>
  </si>
  <si>
    <t>LE BASI SOCIETA' AGRICOLA SEMPLICE</t>
  </si>
  <si>
    <t>SBARDELLATI OSVALDO</t>
  </si>
  <si>
    <t>MAURIZI ADA</t>
  </si>
  <si>
    <t>ALOISI 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</si>
</sst>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2210-5481-4B2C-9F58-B52E1E722D12}">
  <dimension ref="A1:Z358"/>
  <sheetViews>
    <sheetView showGridLines="0" tabSelected="1" workbookViewId="0">
      <selection activeCell="F364" sqref="F364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7.54296875" bestFit="1" customWidth="1"/>
    <col min="5" max="5" width="20.36328125" bestFit="1" customWidth="1"/>
    <col min="6" max="6" width="22.906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0.8164062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28</v>
      </c>
      <c r="C4" s="7" t="s">
        <v>50</v>
      </c>
      <c r="D4" s="7" t="s">
        <v>51</v>
      </c>
      <c r="E4" s="7" t="s">
        <v>36</v>
      </c>
      <c r="F4" s="7" t="s">
        <v>36</v>
      </c>
      <c r="G4" s="7">
        <v>2017</v>
      </c>
      <c r="H4" s="7" t="str">
        <f>CONCATENATE("14270141881")</f>
        <v>14270141881</v>
      </c>
      <c r="I4" s="7" t="s">
        <v>30</v>
      </c>
      <c r="J4" s="7" t="s">
        <v>31</v>
      </c>
      <c r="K4" s="7" t="str">
        <f>CONCATENATE("")</f>
        <v/>
      </c>
      <c r="L4" s="7" t="str">
        <f>CONCATENATE("8 8.6 5c")</f>
        <v>8 8.6 5c</v>
      </c>
      <c r="M4" s="7" t="str">
        <f>CONCATENATE("CLSCLD65D10I287A")</f>
        <v>CLSCLD65D10I287A</v>
      </c>
      <c r="N4" s="7" t="s">
        <v>52</v>
      </c>
      <c r="O4" s="7" t="s">
        <v>53</v>
      </c>
      <c r="P4" s="8">
        <v>44334</v>
      </c>
      <c r="Q4" s="7" t="s">
        <v>32</v>
      </c>
      <c r="R4" s="7" t="s">
        <v>37</v>
      </c>
      <c r="S4" s="7" t="s">
        <v>34</v>
      </c>
      <c r="T4" s="7"/>
      <c r="U4" s="7" t="s">
        <v>35</v>
      </c>
      <c r="V4" s="9">
        <v>81034.990000000005</v>
      </c>
      <c r="W4" s="9">
        <v>34942.29</v>
      </c>
      <c r="X4" s="9">
        <v>32268.13</v>
      </c>
      <c r="Y4" s="7">
        <v>0</v>
      </c>
      <c r="Z4" s="9">
        <v>13824.57</v>
      </c>
    </row>
    <row r="5" spans="1:26" x14ac:dyDescent="0.35">
      <c r="A5" s="7" t="s">
        <v>27</v>
      </c>
      <c r="B5" s="7" t="s">
        <v>47</v>
      </c>
      <c r="C5" s="7" t="s">
        <v>50</v>
      </c>
      <c r="D5" s="7" t="s">
        <v>54</v>
      </c>
      <c r="E5" s="7" t="s">
        <v>39</v>
      </c>
      <c r="F5" s="7" t="s">
        <v>55</v>
      </c>
      <c r="G5" s="7">
        <v>2020</v>
      </c>
      <c r="H5" s="7" t="str">
        <f>CONCATENATE("04210147130")</f>
        <v>04210147130</v>
      </c>
      <c r="I5" s="7" t="s">
        <v>30</v>
      </c>
      <c r="J5" s="7" t="s">
        <v>31</v>
      </c>
      <c r="K5" s="7" t="str">
        <f>CONCATENATE("")</f>
        <v/>
      </c>
      <c r="L5" s="7" t="str">
        <f>CONCATENATE("12 12.1 4a")</f>
        <v>12 12.1 4a</v>
      </c>
      <c r="M5" s="7" t="str">
        <f>CONCATENATE("RCTMRA51R07L191Z")</f>
        <v>RCTMRA51R07L191Z</v>
      </c>
      <c r="N5" s="7" t="s">
        <v>56</v>
      </c>
      <c r="O5" s="7" t="s">
        <v>57</v>
      </c>
      <c r="P5" s="8">
        <v>44334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7">
        <v>795.35</v>
      </c>
      <c r="W5" s="7">
        <v>342.95</v>
      </c>
      <c r="X5" s="7">
        <v>316.70999999999998</v>
      </c>
      <c r="Y5" s="7">
        <v>0</v>
      </c>
      <c r="Z5" s="7">
        <v>135.69</v>
      </c>
    </row>
    <row r="6" spans="1:26" x14ac:dyDescent="0.35">
      <c r="A6" s="7" t="s">
        <v>27</v>
      </c>
      <c r="B6" s="7" t="s">
        <v>47</v>
      </c>
      <c r="C6" s="7" t="s">
        <v>50</v>
      </c>
      <c r="D6" s="7" t="s">
        <v>54</v>
      </c>
      <c r="E6" s="7" t="s">
        <v>39</v>
      </c>
      <c r="F6" s="7" t="s">
        <v>55</v>
      </c>
      <c r="G6" s="7">
        <v>2020</v>
      </c>
      <c r="H6" s="7" t="str">
        <f>CONCATENATE("04210142685")</f>
        <v>04210142685</v>
      </c>
      <c r="I6" s="7" t="s">
        <v>30</v>
      </c>
      <c r="J6" s="7" t="s">
        <v>31</v>
      </c>
      <c r="K6" s="7" t="str">
        <f>CONCATENATE("")</f>
        <v/>
      </c>
      <c r="L6" s="7" t="str">
        <f>CONCATENATE("12 12.1 4a")</f>
        <v>12 12.1 4a</v>
      </c>
      <c r="M6" s="7" t="str">
        <f>CONCATENATE("00389590431")</f>
        <v>00389590431</v>
      </c>
      <c r="N6" s="7" t="s">
        <v>58</v>
      </c>
      <c r="O6" s="7" t="s">
        <v>57</v>
      </c>
      <c r="P6" s="8">
        <v>44334</v>
      </c>
      <c r="Q6" s="7" t="s">
        <v>32</v>
      </c>
      <c r="R6" s="7" t="s">
        <v>33</v>
      </c>
      <c r="S6" s="7" t="s">
        <v>34</v>
      </c>
      <c r="T6" s="7"/>
      <c r="U6" s="7" t="s">
        <v>35</v>
      </c>
      <c r="V6" s="7">
        <v>907.54</v>
      </c>
      <c r="W6" s="7">
        <v>391.33</v>
      </c>
      <c r="X6" s="7">
        <v>361.38</v>
      </c>
      <c r="Y6" s="7">
        <v>0</v>
      </c>
      <c r="Z6" s="7">
        <v>154.83000000000001</v>
      </c>
    </row>
    <row r="7" spans="1:26" x14ac:dyDescent="0.35">
      <c r="A7" s="7" t="s">
        <v>27</v>
      </c>
      <c r="B7" s="7" t="s">
        <v>47</v>
      </c>
      <c r="C7" s="7" t="s">
        <v>50</v>
      </c>
      <c r="D7" s="7" t="s">
        <v>51</v>
      </c>
      <c r="E7" s="7" t="s">
        <v>40</v>
      </c>
      <c r="F7" s="7" t="s">
        <v>59</v>
      </c>
      <c r="G7" s="7">
        <v>2018</v>
      </c>
      <c r="H7" s="7" t="str">
        <f>CONCATENATE("84211637669")</f>
        <v>84211637669</v>
      </c>
      <c r="I7" s="7" t="s">
        <v>30</v>
      </c>
      <c r="J7" s="7" t="s">
        <v>31</v>
      </c>
      <c r="K7" s="7" t="str">
        <f>CONCATENATE("")</f>
        <v/>
      </c>
      <c r="L7" s="7" t="str">
        <f>CONCATENATE("12 12.1 4a")</f>
        <v>12 12.1 4a</v>
      </c>
      <c r="M7" s="7" t="str">
        <f>CONCATENATE("00170370415")</f>
        <v>00170370415</v>
      </c>
      <c r="N7" s="7" t="s">
        <v>60</v>
      </c>
      <c r="O7" s="7" t="s">
        <v>61</v>
      </c>
      <c r="P7" s="8">
        <v>44334</v>
      </c>
      <c r="Q7" s="7" t="s">
        <v>32</v>
      </c>
      <c r="R7" s="7" t="s">
        <v>33</v>
      </c>
      <c r="S7" s="7" t="s">
        <v>34</v>
      </c>
      <c r="T7" s="7"/>
      <c r="U7" s="7" t="s">
        <v>35</v>
      </c>
      <c r="V7" s="9">
        <v>77945.39</v>
      </c>
      <c r="W7" s="9">
        <v>33610.050000000003</v>
      </c>
      <c r="X7" s="9">
        <v>31037.85</v>
      </c>
      <c r="Y7" s="7">
        <v>0</v>
      </c>
      <c r="Z7" s="9">
        <v>13297.49</v>
      </c>
    </row>
    <row r="8" spans="1:26" x14ac:dyDescent="0.35">
      <c r="A8" s="7" t="s">
        <v>27</v>
      </c>
      <c r="B8" s="7" t="s">
        <v>47</v>
      </c>
      <c r="C8" s="7" t="s">
        <v>50</v>
      </c>
      <c r="D8" s="7" t="s">
        <v>54</v>
      </c>
      <c r="E8" s="7" t="s">
        <v>39</v>
      </c>
      <c r="F8" s="7" t="s">
        <v>62</v>
      </c>
      <c r="G8" s="7">
        <v>2018</v>
      </c>
      <c r="H8" s="7" t="str">
        <f>CONCATENATE("84211108844")</f>
        <v>84211108844</v>
      </c>
      <c r="I8" s="7" t="s">
        <v>30</v>
      </c>
      <c r="J8" s="7" t="s">
        <v>31</v>
      </c>
      <c r="K8" s="7" t="str">
        <f>CONCATENATE("")</f>
        <v/>
      </c>
      <c r="L8" s="7" t="str">
        <f>CONCATENATE("12 12.1 4a")</f>
        <v>12 12.1 4a</v>
      </c>
      <c r="M8" s="7" t="str">
        <f>CONCATENATE("MRLFPP45B03L191Z")</f>
        <v>MRLFPP45B03L191Z</v>
      </c>
      <c r="N8" s="7" t="s">
        <v>63</v>
      </c>
      <c r="O8" s="7" t="s">
        <v>61</v>
      </c>
      <c r="P8" s="8">
        <v>44334</v>
      </c>
      <c r="Q8" s="7" t="s">
        <v>32</v>
      </c>
      <c r="R8" s="7" t="s">
        <v>33</v>
      </c>
      <c r="S8" s="7" t="s">
        <v>34</v>
      </c>
      <c r="T8" s="7"/>
      <c r="U8" s="7" t="s">
        <v>35</v>
      </c>
      <c r="V8" s="7">
        <v>207.17</v>
      </c>
      <c r="W8" s="7">
        <v>89.33</v>
      </c>
      <c r="X8" s="7">
        <v>82.5</v>
      </c>
      <c r="Y8" s="7">
        <v>0</v>
      </c>
      <c r="Z8" s="7">
        <v>35.340000000000003</v>
      </c>
    </row>
    <row r="9" spans="1:26" x14ac:dyDescent="0.35">
      <c r="A9" s="7" t="s">
        <v>27</v>
      </c>
      <c r="B9" s="7" t="s">
        <v>28</v>
      </c>
      <c r="C9" s="7" t="s">
        <v>50</v>
      </c>
      <c r="D9" s="7" t="s">
        <v>64</v>
      </c>
      <c r="E9" s="7" t="s">
        <v>41</v>
      </c>
      <c r="F9" s="7" t="s">
        <v>65</v>
      </c>
      <c r="G9" s="7">
        <v>2017</v>
      </c>
      <c r="H9" s="7" t="str">
        <f>CONCATENATE("04270233150")</f>
        <v>04270233150</v>
      </c>
      <c r="I9" s="7" t="s">
        <v>30</v>
      </c>
      <c r="J9" s="7" t="s">
        <v>31</v>
      </c>
      <c r="K9" s="7" t="str">
        <f>CONCATENATE("")</f>
        <v/>
      </c>
      <c r="L9" s="7" t="str">
        <f>CONCATENATE("3 3.2 3a")</f>
        <v>3 3.2 3a</v>
      </c>
      <c r="M9" s="7" t="str">
        <f>CONCATENATE("01717810442")</f>
        <v>01717810442</v>
      </c>
      <c r="N9" s="7" t="s">
        <v>66</v>
      </c>
      <c r="O9" s="7" t="s">
        <v>67</v>
      </c>
      <c r="P9" s="8">
        <v>44334</v>
      </c>
      <c r="Q9" s="7" t="s">
        <v>32</v>
      </c>
      <c r="R9" s="7" t="s">
        <v>37</v>
      </c>
      <c r="S9" s="7" t="s">
        <v>34</v>
      </c>
      <c r="T9" s="7"/>
      <c r="U9" s="7" t="s">
        <v>35</v>
      </c>
      <c r="V9" s="9">
        <v>165084.51</v>
      </c>
      <c r="W9" s="9">
        <v>71184.44</v>
      </c>
      <c r="X9" s="9">
        <v>65736.649999999994</v>
      </c>
      <c r="Y9" s="7">
        <v>0</v>
      </c>
      <c r="Z9" s="9">
        <v>28163.42</v>
      </c>
    </row>
    <row r="10" spans="1:26" x14ac:dyDescent="0.35">
      <c r="A10" s="7" t="s">
        <v>27</v>
      </c>
      <c r="B10" s="7" t="s">
        <v>28</v>
      </c>
      <c r="C10" s="7" t="s">
        <v>50</v>
      </c>
      <c r="D10" s="7" t="s">
        <v>51</v>
      </c>
      <c r="E10" s="7" t="s">
        <v>40</v>
      </c>
      <c r="F10" s="7" t="s">
        <v>59</v>
      </c>
      <c r="G10" s="7">
        <v>2017</v>
      </c>
      <c r="H10" s="7" t="str">
        <f>CONCATENATE("04270233143")</f>
        <v>04270233143</v>
      </c>
      <c r="I10" s="7" t="s">
        <v>30</v>
      </c>
      <c r="J10" s="7" t="s">
        <v>31</v>
      </c>
      <c r="K10" s="7" t="str">
        <f>CONCATENATE("")</f>
        <v/>
      </c>
      <c r="L10" s="7" t="str">
        <f>CONCATENATE("8 8.1 5e")</f>
        <v>8 8.1 5e</v>
      </c>
      <c r="M10" s="7" t="str">
        <f>CONCATENATE("FDZLVR42B20G089X")</f>
        <v>FDZLVR42B20G089X</v>
      </c>
      <c r="N10" s="7" t="s">
        <v>68</v>
      </c>
      <c r="O10" s="7" t="s">
        <v>69</v>
      </c>
      <c r="P10" s="8">
        <v>44334</v>
      </c>
      <c r="Q10" s="7" t="s">
        <v>32</v>
      </c>
      <c r="R10" s="7" t="s">
        <v>33</v>
      </c>
      <c r="S10" s="7" t="s">
        <v>34</v>
      </c>
      <c r="T10" s="7"/>
      <c r="U10" s="7" t="s">
        <v>35</v>
      </c>
      <c r="V10" s="9">
        <v>3384.78</v>
      </c>
      <c r="W10" s="9">
        <v>1459.52</v>
      </c>
      <c r="X10" s="9">
        <v>1347.82</v>
      </c>
      <c r="Y10" s="7">
        <v>0</v>
      </c>
      <c r="Z10" s="7">
        <v>577.44000000000005</v>
      </c>
    </row>
    <row r="11" spans="1:26" x14ac:dyDescent="0.35">
      <c r="A11" s="7" t="s">
        <v>27</v>
      </c>
      <c r="B11" s="7" t="s">
        <v>28</v>
      </c>
      <c r="C11" s="7" t="s">
        <v>50</v>
      </c>
      <c r="D11" s="7" t="s">
        <v>50</v>
      </c>
      <c r="E11" s="7" t="s">
        <v>36</v>
      </c>
      <c r="F11" s="7" t="s">
        <v>36</v>
      </c>
      <c r="G11" s="7">
        <v>2017</v>
      </c>
      <c r="H11" s="7" t="str">
        <f>CONCATENATE("04270233077")</f>
        <v>04270233077</v>
      </c>
      <c r="I11" s="7" t="s">
        <v>30</v>
      </c>
      <c r="J11" s="7" t="s">
        <v>31</v>
      </c>
      <c r="K11" s="7" t="str">
        <f>CONCATENATE("")</f>
        <v/>
      </c>
      <c r="L11" s="7" t="str">
        <f>CONCATENATE("19 19.2 6b")</f>
        <v>19 19.2 6b</v>
      </c>
      <c r="M11" s="7" t="str">
        <f>CONCATENATE("82000870418")</f>
        <v>82000870418</v>
      </c>
      <c r="N11" s="7" t="s">
        <v>70</v>
      </c>
      <c r="O11" s="7" t="s">
        <v>71</v>
      </c>
      <c r="P11" s="8">
        <v>44321</v>
      </c>
      <c r="Q11" s="7" t="s">
        <v>32</v>
      </c>
      <c r="R11" s="7" t="s">
        <v>38</v>
      </c>
      <c r="S11" s="7" t="s">
        <v>34</v>
      </c>
      <c r="T11" s="7"/>
      <c r="U11" s="7" t="s">
        <v>35</v>
      </c>
      <c r="V11" s="9">
        <v>39393.800000000003</v>
      </c>
      <c r="W11" s="9">
        <v>16986.61</v>
      </c>
      <c r="X11" s="9">
        <v>15686.61</v>
      </c>
      <c r="Y11" s="7">
        <v>0</v>
      </c>
      <c r="Z11" s="9">
        <v>6720.58</v>
      </c>
    </row>
    <row r="12" spans="1:26" x14ac:dyDescent="0.35">
      <c r="A12" s="7" t="s">
        <v>27</v>
      </c>
      <c r="B12" s="7" t="s">
        <v>28</v>
      </c>
      <c r="C12" s="7" t="s">
        <v>50</v>
      </c>
      <c r="D12" s="7" t="s">
        <v>64</v>
      </c>
      <c r="E12" s="7" t="s">
        <v>39</v>
      </c>
      <c r="F12" s="7" t="s">
        <v>72</v>
      </c>
      <c r="G12" s="7">
        <v>2017</v>
      </c>
      <c r="H12" s="7" t="str">
        <f>CONCATENATE("14270141899")</f>
        <v>14270141899</v>
      </c>
      <c r="I12" s="7" t="s">
        <v>30</v>
      </c>
      <c r="J12" s="7" t="s">
        <v>31</v>
      </c>
      <c r="K12" s="7" t="str">
        <f>CONCATENATE("")</f>
        <v/>
      </c>
      <c r="L12" s="7" t="str">
        <f>CONCATENATE("6 6.1 2b")</f>
        <v>6 6.1 2b</v>
      </c>
      <c r="M12" s="7" t="str">
        <f>CONCATENATE("SVNFRC94C12D542Z")</f>
        <v>SVNFRC94C12D542Z</v>
      </c>
      <c r="N12" s="7" t="s">
        <v>73</v>
      </c>
      <c r="O12" s="7" t="s">
        <v>74</v>
      </c>
      <c r="P12" s="8">
        <v>44334</v>
      </c>
      <c r="Q12" s="7" t="s">
        <v>32</v>
      </c>
      <c r="R12" s="7" t="s">
        <v>33</v>
      </c>
      <c r="S12" s="7" t="s">
        <v>34</v>
      </c>
      <c r="T12" s="7"/>
      <c r="U12" s="7" t="s">
        <v>35</v>
      </c>
      <c r="V12" s="9">
        <v>10500</v>
      </c>
      <c r="W12" s="9">
        <v>4527.6000000000004</v>
      </c>
      <c r="X12" s="9">
        <v>4181.1000000000004</v>
      </c>
      <c r="Y12" s="7">
        <v>0</v>
      </c>
      <c r="Z12" s="9">
        <v>1791.3</v>
      </c>
    </row>
    <row r="13" spans="1:26" x14ac:dyDescent="0.35">
      <c r="A13" s="7" t="s">
        <v>27</v>
      </c>
      <c r="B13" s="7" t="s">
        <v>28</v>
      </c>
      <c r="C13" s="7" t="s">
        <v>50</v>
      </c>
      <c r="D13" s="7" t="s">
        <v>64</v>
      </c>
      <c r="E13" s="7" t="s">
        <v>39</v>
      </c>
      <c r="F13" s="7" t="s">
        <v>72</v>
      </c>
      <c r="G13" s="7">
        <v>2017</v>
      </c>
      <c r="H13" s="7" t="str">
        <f>CONCATENATE("14270141907")</f>
        <v>14270141907</v>
      </c>
      <c r="I13" s="7" t="s">
        <v>30</v>
      </c>
      <c r="J13" s="7" t="s">
        <v>31</v>
      </c>
      <c r="K13" s="7" t="str">
        <f>CONCATENATE("")</f>
        <v/>
      </c>
      <c r="L13" s="7" t="str">
        <f>CONCATENATE("4 4.1 2a")</f>
        <v>4 4.1 2a</v>
      </c>
      <c r="M13" s="7" t="str">
        <f>CONCATENATE("SVNFRC94C12D542Z")</f>
        <v>SVNFRC94C12D542Z</v>
      </c>
      <c r="N13" s="7" t="s">
        <v>73</v>
      </c>
      <c r="O13" s="7" t="s">
        <v>75</v>
      </c>
      <c r="P13" s="8">
        <v>44334</v>
      </c>
      <c r="Q13" s="7" t="s">
        <v>32</v>
      </c>
      <c r="R13" s="7" t="s">
        <v>33</v>
      </c>
      <c r="S13" s="7" t="s">
        <v>34</v>
      </c>
      <c r="T13" s="7"/>
      <c r="U13" s="7" t="s">
        <v>35</v>
      </c>
      <c r="V13" s="9">
        <v>51159.19</v>
      </c>
      <c r="W13" s="9">
        <v>22059.84</v>
      </c>
      <c r="X13" s="9">
        <v>20371.59</v>
      </c>
      <c r="Y13" s="7">
        <v>0</v>
      </c>
      <c r="Z13" s="9">
        <v>8727.76</v>
      </c>
    </row>
    <row r="14" spans="1:26" x14ac:dyDescent="0.35">
      <c r="A14" s="7" t="s">
        <v>27</v>
      </c>
      <c r="B14" s="7" t="s">
        <v>47</v>
      </c>
      <c r="C14" s="7" t="s">
        <v>50</v>
      </c>
      <c r="D14" s="7" t="s">
        <v>54</v>
      </c>
      <c r="E14" s="7" t="s">
        <v>42</v>
      </c>
      <c r="F14" s="7" t="s">
        <v>76</v>
      </c>
      <c r="G14" s="7">
        <v>2020</v>
      </c>
      <c r="H14" s="7" t="str">
        <f>CONCATENATE("04240532905")</f>
        <v>04240532905</v>
      </c>
      <c r="I14" s="7" t="s">
        <v>43</v>
      </c>
      <c r="J14" s="7" t="s">
        <v>31</v>
      </c>
      <c r="K14" s="7" t="str">
        <f>CONCATENATE("")</f>
        <v/>
      </c>
      <c r="L14" s="7" t="str">
        <f>CONCATENATE("11 11.2 4b")</f>
        <v>11 11.2 4b</v>
      </c>
      <c r="M14" s="7" t="str">
        <f>CONCATENATE("MRASFN89P19E783N")</f>
        <v>MRASFN89P19E783N</v>
      </c>
      <c r="N14" s="7" t="s">
        <v>77</v>
      </c>
      <c r="O14" s="7" t="s">
        <v>78</v>
      </c>
      <c r="P14" s="8">
        <v>44334</v>
      </c>
      <c r="Q14" s="7" t="s">
        <v>32</v>
      </c>
      <c r="R14" s="7" t="s">
        <v>33</v>
      </c>
      <c r="S14" s="7" t="s">
        <v>34</v>
      </c>
      <c r="T14" s="7"/>
      <c r="U14" s="7" t="s">
        <v>35</v>
      </c>
      <c r="V14" s="9">
        <v>6716.7</v>
      </c>
      <c r="W14" s="9">
        <v>2896.24</v>
      </c>
      <c r="X14" s="9">
        <v>2674.59</v>
      </c>
      <c r="Y14" s="7">
        <v>0</v>
      </c>
      <c r="Z14" s="9">
        <v>1145.8699999999999</v>
      </c>
    </row>
    <row r="15" spans="1:26" x14ac:dyDescent="0.35">
      <c r="A15" s="7" t="s">
        <v>27</v>
      </c>
      <c r="B15" s="7" t="s">
        <v>47</v>
      </c>
      <c r="C15" s="7" t="s">
        <v>50</v>
      </c>
      <c r="D15" s="7" t="s">
        <v>54</v>
      </c>
      <c r="E15" s="7" t="s">
        <v>39</v>
      </c>
      <c r="F15" s="7" t="s">
        <v>79</v>
      </c>
      <c r="G15" s="7">
        <v>2020</v>
      </c>
      <c r="H15" s="7" t="str">
        <f>CONCATENATE("04240990251")</f>
        <v>04240990251</v>
      </c>
      <c r="I15" s="7" t="s">
        <v>30</v>
      </c>
      <c r="J15" s="7" t="s">
        <v>31</v>
      </c>
      <c r="K15" s="7" t="str">
        <f>CONCATENATE("")</f>
        <v/>
      </c>
      <c r="L15" s="7" t="str">
        <f>CONCATENATE("11 11.1 4b")</f>
        <v>11 11.1 4b</v>
      </c>
      <c r="M15" s="7" t="str">
        <f>CONCATENATE("RSLDNL94T30A252S")</f>
        <v>RSLDNL94T30A252S</v>
      </c>
      <c r="N15" s="7" t="s">
        <v>80</v>
      </c>
      <c r="O15" s="7" t="s">
        <v>78</v>
      </c>
      <c r="P15" s="8">
        <v>44334</v>
      </c>
      <c r="Q15" s="7" t="s">
        <v>32</v>
      </c>
      <c r="R15" s="7" t="s">
        <v>33</v>
      </c>
      <c r="S15" s="7" t="s">
        <v>34</v>
      </c>
      <c r="T15" s="7"/>
      <c r="U15" s="7" t="s">
        <v>35</v>
      </c>
      <c r="V15" s="7">
        <v>196.54</v>
      </c>
      <c r="W15" s="7">
        <v>84.75</v>
      </c>
      <c r="X15" s="7">
        <v>78.260000000000005</v>
      </c>
      <c r="Y15" s="7">
        <v>0</v>
      </c>
      <c r="Z15" s="7">
        <v>33.53</v>
      </c>
    </row>
    <row r="16" spans="1:26" x14ac:dyDescent="0.35">
      <c r="A16" s="7" t="s">
        <v>27</v>
      </c>
      <c r="B16" s="7" t="s">
        <v>47</v>
      </c>
      <c r="C16" s="7" t="s">
        <v>50</v>
      </c>
      <c r="D16" s="7" t="s">
        <v>54</v>
      </c>
      <c r="E16" s="7" t="s">
        <v>39</v>
      </c>
      <c r="F16" s="7" t="s">
        <v>79</v>
      </c>
      <c r="G16" s="7">
        <v>2020</v>
      </c>
      <c r="H16" s="7" t="str">
        <f>CONCATENATE("04240750614")</f>
        <v>04240750614</v>
      </c>
      <c r="I16" s="7" t="s">
        <v>30</v>
      </c>
      <c r="J16" s="7" t="s">
        <v>31</v>
      </c>
      <c r="K16" s="7" t="str">
        <f>CONCATENATE("")</f>
        <v/>
      </c>
      <c r="L16" s="7" t="str">
        <f>CONCATENATE("11 11.2 4b")</f>
        <v>11 11.2 4b</v>
      </c>
      <c r="M16" s="7" t="str">
        <f>CONCATENATE("MRLMCL72B12I436X")</f>
        <v>MRLMCL72B12I436X</v>
      </c>
      <c r="N16" s="7" t="s">
        <v>81</v>
      </c>
      <c r="O16" s="7" t="s">
        <v>78</v>
      </c>
      <c r="P16" s="8">
        <v>44334</v>
      </c>
      <c r="Q16" s="7" t="s">
        <v>32</v>
      </c>
      <c r="R16" s="7" t="s">
        <v>33</v>
      </c>
      <c r="S16" s="7" t="s">
        <v>34</v>
      </c>
      <c r="T16" s="7"/>
      <c r="U16" s="7" t="s">
        <v>35</v>
      </c>
      <c r="V16" s="9">
        <v>8152.66</v>
      </c>
      <c r="W16" s="9">
        <v>3515.43</v>
      </c>
      <c r="X16" s="9">
        <v>3246.39</v>
      </c>
      <c r="Y16" s="7">
        <v>0</v>
      </c>
      <c r="Z16" s="9">
        <v>1390.84</v>
      </c>
    </row>
    <row r="17" spans="1:26" x14ac:dyDescent="0.35">
      <c r="A17" s="7" t="s">
        <v>27</v>
      </c>
      <c r="B17" s="7" t="s">
        <v>47</v>
      </c>
      <c r="C17" s="7" t="s">
        <v>50</v>
      </c>
      <c r="D17" s="7" t="s">
        <v>54</v>
      </c>
      <c r="E17" s="7" t="s">
        <v>39</v>
      </c>
      <c r="F17" s="7" t="s">
        <v>55</v>
      </c>
      <c r="G17" s="7">
        <v>2018</v>
      </c>
      <c r="H17" s="7" t="str">
        <f>CONCATENATE("84241391956")</f>
        <v>84241391956</v>
      </c>
      <c r="I17" s="7" t="s">
        <v>30</v>
      </c>
      <c r="J17" s="7" t="s">
        <v>31</v>
      </c>
      <c r="K17" s="7" t="str">
        <f>CONCATENATE("")</f>
        <v/>
      </c>
      <c r="L17" s="7" t="str">
        <f>CONCATENATE("11 11.1 4b")</f>
        <v>11 11.1 4b</v>
      </c>
      <c r="M17" s="7" t="str">
        <f>CONCATENATE("FRTLLT70L43D542F")</f>
        <v>FRTLLT70L43D542F</v>
      </c>
      <c r="N17" s="7" t="s">
        <v>82</v>
      </c>
      <c r="O17" s="7" t="s">
        <v>78</v>
      </c>
      <c r="P17" s="8">
        <v>44334</v>
      </c>
      <c r="Q17" s="7" t="s">
        <v>32</v>
      </c>
      <c r="R17" s="7" t="s">
        <v>33</v>
      </c>
      <c r="S17" s="7" t="s">
        <v>34</v>
      </c>
      <c r="T17" s="7"/>
      <c r="U17" s="7" t="s">
        <v>35</v>
      </c>
      <c r="V17" s="7">
        <v>408.14</v>
      </c>
      <c r="W17" s="7">
        <v>175.99</v>
      </c>
      <c r="X17" s="7">
        <v>162.52000000000001</v>
      </c>
      <c r="Y17" s="7">
        <v>0</v>
      </c>
      <c r="Z17" s="7">
        <v>69.63</v>
      </c>
    </row>
    <row r="18" spans="1:26" x14ac:dyDescent="0.35">
      <c r="A18" s="7" t="s">
        <v>27</v>
      </c>
      <c r="B18" s="7" t="s">
        <v>47</v>
      </c>
      <c r="C18" s="7" t="s">
        <v>50</v>
      </c>
      <c r="D18" s="7" t="s">
        <v>54</v>
      </c>
      <c r="E18" s="7" t="s">
        <v>44</v>
      </c>
      <c r="F18" s="7" t="s">
        <v>83</v>
      </c>
      <c r="G18" s="7">
        <v>2020</v>
      </c>
      <c r="H18" s="7" t="str">
        <f>CONCATENATE("04241179615")</f>
        <v>04241179615</v>
      </c>
      <c r="I18" s="7" t="s">
        <v>30</v>
      </c>
      <c r="J18" s="7" t="s">
        <v>31</v>
      </c>
      <c r="K18" s="7" t="str">
        <f>CONCATENATE("")</f>
        <v/>
      </c>
      <c r="L18" s="7" t="str">
        <f>CONCATENATE("11 11.2 4b")</f>
        <v>11 11.2 4b</v>
      </c>
      <c r="M18" s="7" t="str">
        <f>CONCATENATE("FBBPLA66R19B398Q")</f>
        <v>FBBPLA66R19B398Q</v>
      </c>
      <c r="N18" s="7" t="s">
        <v>84</v>
      </c>
      <c r="O18" s="7" t="s">
        <v>78</v>
      </c>
      <c r="P18" s="8">
        <v>44334</v>
      </c>
      <c r="Q18" s="7" t="s">
        <v>32</v>
      </c>
      <c r="R18" s="7" t="s">
        <v>33</v>
      </c>
      <c r="S18" s="7" t="s">
        <v>34</v>
      </c>
      <c r="T18" s="7"/>
      <c r="U18" s="7" t="s">
        <v>35</v>
      </c>
      <c r="V18" s="7">
        <v>341.22</v>
      </c>
      <c r="W18" s="7">
        <v>147.13</v>
      </c>
      <c r="X18" s="7">
        <v>135.87</v>
      </c>
      <c r="Y18" s="7">
        <v>0</v>
      </c>
      <c r="Z18" s="7">
        <v>58.22</v>
      </c>
    </row>
    <row r="19" spans="1:26" ht="17.5" x14ac:dyDescent="0.35">
      <c r="A19" s="7" t="s">
        <v>27</v>
      </c>
      <c r="B19" s="7" t="s">
        <v>47</v>
      </c>
      <c r="C19" s="7" t="s">
        <v>50</v>
      </c>
      <c r="D19" s="7" t="s">
        <v>54</v>
      </c>
      <c r="E19" s="7" t="s">
        <v>42</v>
      </c>
      <c r="F19" s="7" t="s">
        <v>85</v>
      </c>
      <c r="G19" s="7">
        <v>2020</v>
      </c>
      <c r="H19" s="7" t="str">
        <f>CONCATENATE("04241081035")</f>
        <v>04241081035</v>
      </c>
      <c r="I19" s="7" t="s">
        <v>30</v>
      </c>
      <c r="J19" s="7" t="s">
        <v>31</v>
      </c>
      <c r="K19" s="7" t="str">
        <f>CONCATENATE("")</f>
        <v/>
      </c>
      <c r="L19" s="7" t="str">
        <f>CONCATENATE("11 11.2 4b")</f>
        <v>11 11.2 4b</v>
      </c>
      <c r="M19" s="7" t="str">
        <f>CONCATENATE("01711460434")</f>
        <v>01711460434</v>
      </c>
      <c r="N19" s="7" t="s">
        <v>86</v>
      </c>
      <c r="O19" s="7" t="s">
        <v>78</v>
      </c>
      <c r="P19" s="8">
        <v>44334</v>
      </c>
      <c r="Q19" s="7" t="s">
        <v>32</v>
      </c>
      <c r="R19" s="7" t="s">
        <v>33</v>
      </c>
      <c r="S19" s="7" t="s">
        <v>34</v>
      </c>
      <c r="T19" s="7"/>
      <c r="U19" s="7" t="s">
        <v>35</v>
      </c>
      <c r="V19" s="9">
        <v>1071.42</v>
      </c>
      <c r="W19" s="7">
        <v>462</v>
      </c>
      <c r="X19" s="7">
        <v>426.64</v>
      </c>
      <c r="Y19" s="7">
        <v>0</v>
      </c>
      <c r="Z19" s="7">
        <v>182.78</v>
      </c>
    </row>
    <row r="20" spans="1:26" x14ac:dyDescent="0.35">
      <c r="A20" s="7" t="s">
        <v>27</v>
      </c>
      <c r="B20" s="7" t="s">
        <v>47</v>
      </c>
      <c r="C20" s="7" t="s">
        <v>50</v>
      </c>
      <c r="D20" s="7" t="s">
        <v>54</v>
      </c>
      <c r="E20" s="7" t="s">
        <v>39</v>
      </c>
      <c r="F20" s="7" t="s">
        <v>87</v>
      </c>
      <c r="G20" s="7">
        <v>2020</v>
      </c>
      <c r="H20" s="7" t="str">
        <f>CONCATENATE("04240009359")</f>
        <v>04240009359</v>
      </c>
      <c r="I20" s="7" t="s">
        <v>30</v>
      </c>
      <c r="J20" s="7" t="s">
        <v>31</v>
      </c>
      <c r="K20" s="7" t="str">
        <f>CONCATENATE("")</f>
        <v/>
      </c>
      <c r="L20" s="7" t="str">
        <f>CONCATENATE("11 11.1 4b")</f>
        <v>11 11.1 4b</v>
      </c>
      <c r="M20" s="7" t="str">
        <f>CONCATENATE("PLAPFC43S29C704Q")</f>
        <v>PLAPFC43S29C704Q</v>
      </c>
      <c r="N20" s="7" t="s">
        <v>88</v>
      </c>
      <c r="O20" s="7" t="s">
        <v>78</v>
      </c>
      <c r="P20" s="8">
        <v>44334</v>
      </c>
      <c r="Q20" s="7" t="s">
        <v>32</v>
      </c>
      <c r="R20" s="7" t="s">
        <v>33</v>
      </c>
      <c r="S20" s="7" t="s">
        <v>34</v>
      </c>
      <c r="T20" s="7"/>
      <c r="U20" s="7" t="s">
        <v>35</v>
      </c>
      <c r="V20" s="9">
        <v>14107.12</v>
      </c>
      <c r="W20" s="9">
        <v>6082.99</v>
      </c>
      <c r="X20" s="9">
        <v>5617.46</v>
      </c>
      <c r="Y20" s="7">
        <v>0</v>
      </c>
      <c r="Z20" s="9">
        <v>2406.67</v>
      </c>
    </row>
    <row r="21" spans="1:26" x14ac:dyDescent="0.35">
      <c r="A21" s="7" t="s">
        <v>27</v>
      </c>
      <c r="B21" s="7" t="s">
        <v>47</v>
      </c>
      <c r="C21" s="7" t="s">
        <v>50</v>
      </c>
      <c r="D21" s="7" t="s">
        <v>54</v>
      </c>
      <c r="E21" s="7" t="s">
        <v>39</v>
      </c>
      <c r="F21" s="7" t="s">
        <v>89</v>
      </c>
      <c r="G21" s="7">
        <v>2020</v>
      </c>
      <c r="H21" s="7" t="str">
        <f>CONCATENATE("04240489924")</f>
        <v>04240489924</v>
      </c>
      <c r="I21" s="7" t="s">
        <v>30</v>
      </c>
      <c r="J21" s="7" t="s">
        <v>31</v>
      </c>
      <c r="K21" s="7" t="str">
        <f>CONCATENATE("")</f>
        <v/>
      </c>
      <c r="L21" s="7" t="str">
        <f>CONCATENATE("11 11.1 4b")</f>
        <v>11 11.1 4b</v>
      </c>
      <c r="M21" s="7" t="str">
        <f>CONCATENATE("SVRGLC72C23C704K")</f>
        <v>SVRGLC72C23C704K</v>
      </c>
      <c r="N21" s="7" t="s">
        <v>90</v>
      </c>
      <c r="O21" s="7" t="s">
        <v>78</v>
      </c>
      <c r="P21" s="8">
        <v>44334</v>
      </c>
      <c r="Q21" s="7" t="s">
        <v>32</v>
      </c>
      <c r="R21" s="7" t="s">
        <v>33</v>
      </c>
      <c r="S21" s="7" t="s">
        <v>34</v>
      </c>
      <c r="T21" s="7"/>
      <c r="U21" s="7" t="s">
        <v>35</v>
      </c>
      <c r="V21" s="9">
        <v>1259.6500000000001</v>
      </c>
      <c r="W21" s="7">
        <v>543.16</v>
      </c>
      <c r="X21" s="7">
        <v>501.59</v>
      </c>
      <c r="Y21" s="7">
        <v>0</v>
      </c>
      <c r="Z21" s="7">
        <v>214.9</v>
      </c>
    </row>
    <row r="22" spans="1:26" x14ac:dyDescent="0.35">
      <c r="A22" s="7" t="s">
        <v>27</v>
      </c>
      <c r="B22" s="7" t="s">
        <v>47</v>
      </c>
      <c r="C22" s="7" t="s">
        <v>50</v>
      </c>
      <c r="D22" s="7" t="s">
        <v>64</v>
      </c>
      <c r="E22" s="7" t="s">
        <v>29</v>
      </c>
      <c r="F22" s="7" t="s">
        <v>91</v>
      </c>
      <c r="G22" s="7">
        <v>2020</v>
      </c>
      <c r="H22" s="7" t="str">
        <f>CONCATENATE("04241188343")</f>
        <v>04241188343</v>
      </c>
      <c r="I22" s="7" t="s">
        <v>43</v>
      </c>
      <c r="J22" s="7" t="s">
        <v>31</v>
      </c>
      <c r="K22" s="7" t="str">
        <f>CONCATENATE("")</f>
        <v/>
      </c>
      <c r="L22" s="7" t="str">
        <f>CONCATENATE("11 11.2 4b")</f>
        <v>11 11.2 4b</v>
      </c>
      <c r="M22" s="7" t="str">
        <f>CONCATENATE("02200350441")</f>
        <v>02200350441</v>
      </c>
      <c r="N22" s="7" t="s">
        <v>92</v>
      </c>
      <c r="O22" s="7" t="s">
        <v>78</v>
      </c>
      <c r="P22" s="8">
        <v>44334</v>
      </c>
      <c r="Q22" s="7" t="s">
        <v>32</v>
      </c>
      <c r="R22" s="7" t="s">
        <v>33</v>
      </c>
      <c r="S22" s="7" t="s">
        <v>34</v>
      </c>
      <c r="T22" s="7"/>
      <c r="U22" s="7" t="s">
        <v>35</v>
      </c>
      <c r="V22" s="9">
        <v>1922.3</v>
      </c>
      <c r="W22" s="7">
        <v>828.9</v>
      </c>
      <c r="X22" s="7">
        <v>765.46</v>
      </c>
      <c r="Y22" s="7">
        <v>0</v>
      </c>
      <c r="Z22" s="7">
        <v>327.94</v>
      </c>
    </row>
    <row r="23" spans="1:26" x14ac:dyDescent="0.35">
      <c r="A23" s="7" t="s">
        <v>27</v>
      </c>
      <c r="B23" s="7" t="s">
        <v>47</v>
      </c>
      <c r="C23" s="7" t="s">
        <v>50</v>
      </c>
      <c r="D23" s="7" t="s">
        <v>64</v>
      </c>
      <c r="E23" s="7" t="s">
        <v>39</v>
      </c>
      <c r="F23" s="7" t="s">
        <v>93</v>
      </c>
      <c r="G23" s="7">
        <v>2020</v>
      </c>
      <c r="H23" s="7" t="str">
        <f>CONCATENATE("04241055716")</f>
        <v>04241055716</v>
      </c>
      <c r="I23" s="7" t="s">
        <v>30</v>
      </c>
      <c r="J23" s="7" t="s">
        <v>31</v>
      </c>
      <c r="K23" s="7" t="str">
        <f>CONCATENATE("")</f>
        <v/>
      </c>
      <c r="L23" s="7" t="str">
        <f>CONCATENATE("11 11.2 4b")</f>
        <v>11 11.2 4b</v>
      </c>
      <c r="M23" s="7" t="str">
        <f>CONCATENATE("CNTGCM86D30H769M")</f>
        <v>CNTGCM86D30H769M</v>
      </c>
      <c r="N23" s="7" t="s">
        <v>94</v>
      </c>
      <c r="O23" s="7" t="s">
        <v>78</v>
      </c>
      <c r="P23" s="8">
        <v>44334</v>
      </c>
      <c r="Q23" s="7" t="s">
        <v>32</v>
      </c>
      <c r="R23" s="7" t="s">
        <v>33</v>
      </c>
      <c r="S23" s="7" t="s">
        <v>34</v>
      </c>
      <c r="T23" s="7"/>
      <c r="U23" s="7" t="s">
        <v>35</v>
      </c>
      <c r="V23" s="9">
        <v>2362.44</v>
      </c>
      <c r="W23" s="9">
        <v>1018.68</v>
      </c>
      <c r="X23" s="7">
        <v>940.72</v>
      </c>
      <c r="Y23" s="7">
        <v>0</v>
      </c>
      <c r="Z23" s="7">
        <v>403.04</v>
      </c>
    </row>
    <row r="24" spans="1:26" x14ac:dyDescent="0.35">
      <c r="A24" s="7" t="s">
        <v>27</v>
      </c>
      <c r="B24" s="7" t="s">
        <v>47</v>
      </c>
      <c r="C24" s="7" t="s">
        <v>50</v>
      </c>
      <c r="D24" s="7" t="s">
        <v>54</v>
      </c>
      <c r="E24" s="7" t="s">
        <v>29</v>
      </c>
      <c r="F24" s="7" t="s">
        <v>95</v>
      </c>
      <c r="G24" s="7">
        <v>2020</v>
      </c>
      <c r="H24" s="7" t="str">
        <f>CONCATENATE("04240872780")</f>
        <v>04240872780</v>
      </c>
      <c r="I24" s="7" t="s">
        <v>30</v>
      </c>
      <c r="J24" s="7" t="s">
        <v>31</v>
      </c>
      <c r="K24" s="7" t="str">
        <f>CONCATENATE("")</f>
        <v/>
      </c>
      <c r="L24" s="7" t="str">
        <f>CONCATENATE("11 11.2 4b")</f>
        <v>11 11.2 4b</v>
      </c>
      <c r="M24" s="7" t="str">
        <f>CONCATENATE("PGNRRT65R25E783W")</f>
        <v>PGNRRT65R25E783W</v>
      </c>
      <c r="N24" s="7" t="s">
        <v>96</v>
      </c>
      <c r="O24" s="7" t="s">
        <v>78</v>
      </c>
      <c r="P24" s="8">
        <v>44334</v>
      </c>
      <c r="Q24" s="7" t="s">
        <v>32</v>
      </c>
      <c r="R24" s="7" t="s">
        <v>33</v>
      </c>
      <c r="S24" s="7" t="s">
        <v>34</v>
      </c>
      <c r="T24" s="7"/>
      <c r="U24" s="7" t="s">
        <v>35</v>
      </c>
      <c r="V24" s="9">
        <v>2738.76</v>
      </c>
      <c r="W24" s="9">
        <v>1180.95</v>
      </c>
      <c r="X24" s="9">
        <v>1090.57</v>
      </c>
      <c r="Y24" s="7">
        <v>0</v>
      </c>
      <c r="Z24" s="7">
        <v>467.24</v>
      </c>
    </row>
    <row r="25" spans="1:26" x14ac:dyDescent="0.35">
      <c r="A25" s="7" t="s">
        <v>27</v>
      </c>
      <c r="B25" s="7" t="s">
        <v>47</v>
      </c>
      <c r="C25" s="7" t="s">
        <v>50</v>
      </c>
      <c r="D25" s="7" t="s">
        <v>54</v>
      </c>
      <c r="E25" s="7" t="s">
        <v>39</v>
      </c>
      <c r="F25" s="7" t="s">
        <v>55</v>
      </c>
      <c r="G25" s="7">
        <v>2020</v>
      </c>
      <c r="H25" s="7" t="str">
        <f>CONCATENATE("04240365355")</f>
        <v>04240365355</v>
      </c>
      <c r="I25" s="7" t="s">
        <v>43</v>
      </c>
      <c r="J25" s="7" t="s">
        <v>31</v>
      </c>
      <c r="K25" s="7" t="str">
        <f>CONCATENATE("")</f>
        <v/>
      </c>
      <c r="L25" s="7" t="str">
        <f>CONCATENATE("11 11.2 4b")</f>
        <v>11 11.2 4b</v>
      </c>
      <c r="M25" s="7" t="str">
        <f>CONCATENATE("RZOWTR88E06E783C")</f>
        <v>RZOWTR88E06E783C</v>
      </c>
      <c r="N25" s="7" t="s">
        <v>97</v>
      </c>
      <c r="O25" s="7" t="s">
        <v>78</v>
      </c>
      <c r="P25" s="8">
        <v>44334</v>
      </c>
      <c r="Q25" s="7" t="s">
        <v>32</v>
      </c>
      <c r="R25" s="7" t="s">
        <v>33</v>
      </c>
      <c r="S25" s="7" t="s">
        <v>34</v>
      </c>
      <c r="T25" s="7"/>
      <c r="U25" s="7" t="s">
        <v>35</v>
      </c>
      <c r="V25" s="7">
        <v>703.09</v>
      </c>
      <c r="W25" s="7">
        <v>303.17</v>
      </c>
      <c r="X25" s="7">
        <v>279.97000000000003</v>
      </c>
      <c r="Y25" s="7">
        <v>0</v>
      </c>
      <c r="Z25" s="7">
        <v>119.95</v>
      </c>
    </row>
    <row r="26" spans="1:26" x14ac:dyDescent="0.35">
      <c r="A26" s="7" t="s">
        <v>27</v>
      </c>
      <c r="B26" s="7" t="s">
        <v>47</v>
      </c>
      <c r="C26" s="7" t="s">
        <v>50</v>
      </c>
      <c r="D26" s="7" t="s">
        <v>54</v>
      </c>
      <c r="E26" s="7" t="s">
        <v>39</v>
      </c>
      <c r="F26" s="7" t="s">
        <v>55</v>
      </c>
      <c r="G26" s="7">
        <v>2020</v>
      </c>
      <c r="H26" s="7" t="str">
        <f>CONCATENATE("04240365728")</f>
        <v>04240365728</v>
      </c>
      <c r="I26" s="7" t="s">
        <v>43</v>
      </c>
      <c r="J26" s="7" t="s">
        <v>31</v>
      </c>
      <c r="K26" s="7" t="str">
        <f>CONCATENATE("")</f>
        <v/>
      </c>
      <c r="L26" s="7" t="str">
        <f>CONCATENATE("11 11.2 4b")</f>
        <v>11 11.2 4b</v>
      </c>
      <c r="M26" s="7" t="str">
        <f>CONCATENATE("RZOWTR88E06E783C")</f>
        <v>RZOWTR88E06E783C</v>
      </c>
      <c r="N26" s="7" t="s">
        <v>97</v>
      </c>
      <c r="O26" s="7" t="s">
        <v>78</v>
      </c>
      <c r="P26" s="8">
        <v>44334</v>
      </c>
      <c r="Q26" s="7" t="s">
        <v>32</v>
      </c>
      <c r="R26" s="7" t="s">
        <v>33</v>
      </c>
      <c r="S26" s="7" t="s">
        <v>34</v>
      </c>
      <c r="T26" s="7"/>
      <c r="U26" s="7" t="s">
        <v>35</v>
      </c>
      <c r="V26" s="9">
        <v>5114.5200000000004</v>
      </c>
      <c r="W26" s="9">
        <v>2205.38</v>
      </c>
      <c r="X26" s="9">
        <v>2036.6</v>
      </c>
      <c r="Y26" s="7">
        <v>0</v>
      </c>
      <c r="Z26" s="7">
        <v>872.54</v>
      </c>
    </row>
    <row r="27" spans="1:26" x14ac:dyDescent="0.35">
      <c r="A27" s="7" t="s">
        <v>27</v>
      </c>
      <c r="B27" s="7" t="s">
        <v>47</v>
      </c>
      <c r="C27" s="7" t="s">
        <v>50</v>
      </c>
      <c r="D27" s="7" t="s">
        <v>51</v>
      </c>
      <c r="E27" s="7" t="s">
        <v>40</v>
      </c>
      <c r="F27" s="7" t="s">
        <v>98</v>
      </c>
      <c r="G27" s="7">
        <v>2020</v>
      </c>
      <c r="H27" s="7" t="str">
        <f>CONCATENATE("04240519357")</f>
        <v>04240519357</v>
      </c>
      <c r="I27" s="7" t="s">
        <v>30</v>
      </c>
      <c r="J27" s="7" t="s">
        <v>31</v>
      </c>
      <c r="K27" s="7" t="str">
        <f>CONCATENATE("")</f>
        <v/>
      </c>
      <c r="L27" s="7" t="str">
        <f>CONCATENATE("11 11.2 4b")</f>
        <v>11 11.2 4b</v>
      </c>
      <c r="M27" s="7" t="str">
        <f>CONCATENATE("01160920417")</f>
        <v>01160920417</v>
      </c>
      <c r="N27" s="7" t="s">
        <v>99</v>
      </c>
      <c r="O27" s="7" t="s">
        <v>78</v>
      </c>
      <c r="P27" s="8">
        <v>44334</v>
      </c>
      <c r="Q27" s="7" t="s">
        <v>32</v>
      </c>
      <c r="R27" s="7" t="s">
        <v>33</v>
      </c>
      <c r="S27" s="7" t="s">
        <v>34</v>
      </c>
      <c r="T27" s="7"/>
      <c r="U27" s="7" t="s">
        <v>35</v>
      </c>
      <c r="V27" s="9">
        <v>13542.17</v>
      </c>
      <c r="W27" s="9">
        <v>5839.38</v>
      </c>
      <c r="X27" s="9">
        <v>5392.49</v>
      </c>
      <c r="Y27" s="7">
        <v>0</v>
      </c>
      <c r="Z27" s="9">
        <v>2310.3000000000002</v>
      </c>
    </row>
    <row r="28" spans="1:26" x14ac:dyDescent="0.35">
      <c r="A28" s="7" t="s">
        <v>27</v>
      </c>
      <c r="B28" s="7" t="s">
        <v>47</v>
      </c>
      <c r="C28" s="7" t="s">
        <v>50</v>
      </c>
      <c r="D28" s="7" t="s">
        <v>51</v>
      </c>
      <c r="E28" s="7" t="s">
        <v>40</v>
      </c>
      <c r="F28" s="7" t="s">
        <v>98</v>
      </c>
      <c r="G28" s="7">
        <v>2020</v>
      </c>
      <c r="H28" s="7" t="str">
        <f>CONCATENATE("04240927261")</f>
        <v>04240927261</v>
      </c>
      <c r="I28" s="7" t="s">
        <v>30</v>
      </c>
      <c r="J28" s="7" t="s">
        <v>31</v>
      </c>
      <c r="K28" s="7" t="str">
        <f>CONCATENATE("")</f>
        <v/>
      </c>
      <c r="L28" s="7" t="str">
        <f>CONCATENATE("11 11.2 4b")</f>
        <v>11 11.2 4b</v>
      </c>
      <c r="M28" s="7" t="str">
        <f>CONCATENATE("FDDNTN68S25A895Y")</f>
        <v>FDDNTN68S25A895Y</v>
      </c>
      <c r="N28" s="7" t="s">
        <v>100</v>
      </c>
      <c r="O28" s="7" t="s">
        <v>78</v>
      </c>
      <c r="P28" s="8">
        <v>44334</v>
      </c>
      <c r="Q28" s="7" t="s">
        <v>32</v>
      </c>
      <c r="R28" s="7" t="s">
        <v>33</v>
      </c>
      <c r="S28" s="7" t="s">
        <v>34</v>
      </c>
      <c r="T28" s="7"/>
      <c r="U28" s="7" t="s">
        <v>35</v>
      </c>
      <c r="V28" s="9">
        <v>3415.52</v>
      </c>
      <c r="W28" s="9">
        <v>1472.77</v>
      </c>
      <c r="X28" s="9">
        <v>1360.06</v>
      </c>
      <c r="Y28" s="7">
        <v>0</v>
      </c>
      <c r="Z28" s="7">
        <v>582.69000000000005</v>
      </c>
    </row>
    <row r="29" spans="1:26" x14ac:dyDescent="0.35">
      <c r="A29" s="7" t="s">
        <v>27</v>
      </c>
      <c r="B29" s="7" t="s">
        <v>47</v>
      </c>
      <c r="C29" s="7" t="s">
        <v>50</v>
      </c>
      <c r="D29" s="7" t="s">
        <v>51</v>
      </c>
      <c r="E29" s="7" t="s">
        <v>44</v>
      </c>
      <c r="F29" s="7" t="s">
        <v>101</v>
      </c>
      <c r="G29" s="7">
        <v>2020</v>
      </c>
      <c r="H29" s="7" t="str">
        <f>CONCATENATE("04240932410")</f>
        <v>04240932410</v>
      </c>
      <c r="I29" s="7" t="s">
        <v>30</v>
      </c>
      <c r="J29" s="7" t="s">
        <v>31</v>
      </c>
      <c r="K29" s="7" t="str">
        <f>CONCATENATE("")</f>
        <v/>
      </c>
      <c r="L29" s="7" t="str">
        <f>CONCATENATE("11 11.2 4b")</f>
        <v>11 11.2 4b</v>
      </c>
      <c r="M29" s="7" t="str">
        <f>CONCATENATE("PGGSLV81M50L500G")</f>
        <v>PGGSLV81M50L500G</v>
      </c>
      <c r="N29" s="7" t="s">
        <v>102</v>
      </c>
      <c r="O29" s="7" t="s">
        <v>78</v>
      </c>
      <c r="P29" s="8">
        <v>44334</v>
      </c>
      <c r="Q29" s="7" t="s">
        <v>32</v>
      </c>
      <c r="R29" s="7" t="s">
        <v>33</v>
      </c>
      <c r="S29" s="7" t="s">
        <v>34</v>
      </c>
      <c r="T29" s="7"/>
      <c r="U29" s="7" t="s">
        <v>35</v>
      </c>
      <c r="V29" s="7">
        <v>920.25</v>
      </c>
      <c r="W29" s="7">
        <v>396.81</v>
      </c>
      <c r="X29" s="7">
        <v>366.44</v>
      </c>
      <c r="Y29" s="7">
        <v>0</v>
      </c>
      <c r="Z29" s="7">
        <v>157</v>
      </c>
    </row>
    <row r="30" spans="1:26" ht="17.5" x14ac:dyDescent="0.35">
      <c r="A30" s="7" t="s">
        <v>27</v>
      </c>
      <c r="B30" s="7" t="s">
        <v>47</v>
      </c>
      <c r="C30" s="7" t="s">
        <v>50</v>
      </c>
      <c r="D30" s="7" t="s">
        <v>54</v>
      </c>
      <c r="E30" s="7" t="s">
        <v>39</v>
      </c>
      <c r="F30" s="7" t="s">
        <v>55</v>
      </c>
      <c r="G30" s="7">
        <v>2020</v>
      </c>
      <c r="H30" s="7" t="str">
        <f>CONCATENATE("04240605313")</f>
        <v>04240605313</v>
      </c>
      <c r="I30" s="7" t="s">
        <v>30</v>
      </c>
      <c r="J30" s="7" t="s">
        <v>31</v>
      </c>
      <c r="K30" s="7" t="str">
        <f>CONCATENATE("")</f>
        <v/>
      </c>
      <c r="L30" s="7" t="str">
        <f>CONCATENATE("11 11.2 4b")</f>
        <v>11 11.2 4b</v>
      </c>
      <c r="M30" s="7" t="str">
        <f>CONCATENATE("RMDMRA66M03L501N")</f>
        <v>RMDMRA66M03L501N</v>
      </c>
      <c r="N30" s="7" t="s">
        <v>103</v>
      </c>
      <c r="O30" s="7" t="s">
        <v>78</v>
      </c>
      <c r="P30" s="8">
        <v>44334</v>
      </c>
      <c r="Q30" s="7" t="s">
        <v>32</v>
      </c>
      <c r="R30" s="7" t="s">
        <v>33</v>
      </c>
      <c r="S30" s="7" t="s">
        <v>34</v>
      </c>
      <c r="T30" s="7"/>
      <c r="U30" s="7" t="s">
        <v>35</v>
      </c>
      <c r="V30" s="9">
        <v>20276.57</v>
      </c>
      <c r="W30" s="9">
        <v>8743.26</v>
      </c>
      <c r="X30" s="9">
        <v>8074.13</v>
      </c>
      <c r="Y30" s="7">
        <v>0</v>
      </c>
      <c r="Z30" s="9">
        <v>3459.18</v>
      </c>
    </row>
    <row r="31" spans="1:26" x14ac:dyDescent="0.35">
      <c r="A31" s="7" t="s">
        <v>27</v>
      </c>
      <c r="B31" s="7" t="s">
        <v>47</v>
      </c>
      <c r="C31" s="7" t="s">
        <v>50</v>
      </c>
      <c r="D31" s="7" t="s">
        <v>104</v>
      </c>
      <c r="E31" s="7" t="s">
        <v>29</v>
      </c>
      <c r="F31" s="7" t="s">
        <v>105</v>
      </c>
      <c r="G31" s="7">
        <v>2020</v>
      </c>
      <c r="H31" s="7" t="str">
        <f>CONCATENATE("04240081184")</f>
        <v>04240081184</v>
      </c>
      <c r="I31" s="7" t="s">
        <v>30</v>
      </c>
      <c r="J31" s="7" t="s">
        <v>31</v>
      </c>
      <c r="K31" s="7" t="str">
        <f>CONCATENATE("")</f>
        <v/>
      </c>
      <c r="L31" s="7" t="str">
        <f>CONCATENATE("11 11.1 4b")</f>
        <v>11 11.1 4b</v>
      </c>
      <c r="M31" s="7" t="str">
        <f>CONCATENATE("FSSMHL80L21D451V")</f>
        <v>FSSMHL80L21D451V</v>
      </c>
      <c r="N31" s="7" t="s">
        <v>106</v>
      </c>
      <c r="O31" s="7" t="s">
        <v>78</v>
      </c>
      <c r="P31" s="8">
        <v>44334</v>
      </c>
      <c r="Q31" s="7" t="s">
        <v>32</v>
      </c>
      <c r="R31" s="7" t="s">
        <v>33</v>
      </c>
      <c r="S31" s="7" t="s">
        <v>34</v>
      </c>
      <c r="T31" s="7"/>
      <c r="U31" s="7" t="s">
        <v>35</v>
      </c>
      <c r="V31" s="7">
        <v>319.04000000000002</v>
      </c>
      <c r="W31" s="7">
        <v>137.57</v>
      </c>
      <c r="X31" s="7">
        <v>127.04</v>
      </c>
      <c r="Y31" s="7">
        <v>0</v>
      </c>
      <c r="Z31" s="7">
        <v>54.43</v>
      </c>
    </row>
    <row r="32" spans="1:26" x14ac:dyDescent="0.35">
      <c r="A32" s="7" t="s">
        <v>27</v>
      </c>
      <c r="B32" s="7" t="s">
        <v>47</v>
      </c>
      <c r="C32" s="7" t="s">
        <v>50</v>
      </c>
      <c r="D32" s="7" t="s">
        <v>54</v>
      </c>
      <c r="E32" s="7" t="s">
        <v>39</v>
      </c>
      <c r="F32" s="7" t="s">
        <v>107</v>
      </c>
      <c r="G32" s="7">
        <v>2020</v>
      </c>
      <c r="H32" s="7" t="str">
        <f>CONCATENATE("04240575979")</f>
        <v>04240575979</v>
      </c>
      <c r="I32" s="7" t="s">
        <v>30</v>
      </c>
      <c r="J32" s="7" t="s">
        <v>31</v>
      </c>
      <c r="K32" s="7" t="str">
        <f>CONCATENATE("")</f>
        <v/>
      </c>
      <c r="L32" s="7" t="str">
        <f>CONCATENATE("11 11.2 4b")</f>
        <v>11 11.2 4b</v>
      </c>
      <c r="M32" s="7" t="str">
        <f>CONCATENATE("FBRFST81T23B474X")</f>
        <v>FBRFST81T23B474X</v>
      </c>
      <c r="N32" s="7" t="s">
        <v>108</v>
      </c>
      <c r="O32" s="7" t="s">
        <v>78</v>
      </c>
      <c r="P32" s="8">
        <v>44334</v>
      </c>
      <c r="Q32" s="7" t="s">
        <v>32</v>
      </c>
      <c r="R32" s="7" t="s">
        <v>33</v>
      </c>
      <c r="S32" s="7" t="s">
        <v>34</v>
      </c>
      <c r="T32" s="7"/>
      <c r="U32" s="7" t="s">
        <v>35</v>
      </c>
      <c r="V32" s="9">
        <v>2857.96</v>
      </c>
      <c r="W32" s="9">
        <v>1232.3499999999999</v>
      </c>
      <c r="X32" s="9">
        <v>1138.04</v>
      </c>
      <c r="Y32" s="7">
        <v>0</v>
      </c>
      <c r="Z32" s="7">
        <v>487.57</v>
      </c>
    </row>
    <row r="33" spans="1:26" x14ac:dyDescent="0.35">
      <c r="A33" s="7" t="s">
        <v>27</v>
      </c>
      <c r="B33" s="7" t="s">
        <v>47</v>
      </c>
      <c r="C33" s="7" t="s">
        <v>50</v>
      </c>
      <c r="D33" s="7" t="s">
        <v>64</v>
      </c>
      <c r="E33" s="7" t="s">
        <v>36</v>
      </c>
      <c r="F33" s="7" t="s">
        <v>36</v>
      </c>
      <c r="G33" s="7">
        <v>2017</v>
      </c>
      <c r="H33" s="7" t="str">
        <f>CONCATENATE("74240387253")</f>
        <v>74240387253</v>
      </c>
      <c r="I33" s="7" t="s">
        <v>30</v>
      </c>
      <c r="J33" s="7" t="s">
        <v>31</v>
      </c>
      <c r="K33" s="7" t="str">
        <f>CONCATENATE("")</f>
        <v/>
      </c>
      <c r="L33" s="7" t="str">
        <f>CONCATENATE("11 11.2 4b")</f>
        <v>11 11.2 4b</v>
      </c>
      <c r="M33" s="7" t="str">
        <f>CONCATENATE("FDLNCL49M10H588E")</f>
        <v>FDLNCL49M10H588E</v>
      </c>
      <c r="N33" s="7" t="s">
        <v>109</v>
      </c>
      <c r="O33" s="7" t="s">
        <v>78</v>
      </c>
      <c r="P33" s="8">
        <v>44334</v>
      </c>
      <c r="Q33" s="7" t="s">
        <v>32</v>
      </c>
      <c r="R33" s="7" t="s">
        <v>33</v>
      </c>
      <c r="S33" s="7" t="s">
        <v>34</v>
      </c>
      <c r="T33" s="7"/>
      <c r="U33" s="7" t="s">
        <v>35</v>
      </c>
      <c r="V33" s="9">
        <v>8354.4599999999991</v>
      </c>
      <c r="W33" s="9">
        <v>3602.44</v>
      </c>
      <c r="X33" s="9">
        <v>3326.75</v>
      </c>
      <c r="Y33" s="7">
        <v>0</v>
      </c>
      <c r="Z33" s="9">
        <v>1425.27</v>
      </c>
    </row>
    <row r="34" spans="1:26" x14ac:dyDescent="0.35">
      <c r="A34" s="7" t="s">
        <v>27</v>
      </c>
      <c r="B34" s="7" t="s">
        <v>47</v>
      </c>
      <c r="C34" s="7" t="s">
        <v>50</v>
      </c>
      <c r="D34" s="7" t="s">
        <v>51</v>
      </c>
      <c r="E34" s="7" t="s">
        <v>44</v>
      </c>
      <c r="F34" s="7" t="s">
        <v>101</v>
      </c>
      <c r="G34" s="7">
        <v>2020</v>
      </c>
      <c r="H34" s="7" t="str">
        <f>CONCATENATE("04240852378")</f>
        <v>04240852378</v>
      </c>
      <c r="I34" s="7" t="s">
        <v>30</v>
      </c>
      <c r="J34" s="7" t="s">
        <v>31</v>
      </c>
      <c r="K34" s="7" t="str">
        <f>CONCATENATE("")</f>
        <v/>
      </c>
      <c r="L34" s="7" t="str">
        <f>CONCATENATE("11 11.2 4b")</f>
        <v>11 11.2 4b</v>
      </c>
      <c r="M34" s="7" t="str">
        <f>CONCATENATE("MNNCLL55E49D007L")</f>
        <v>MNNCLL55E49D007L</v>
      </c>
      <c r="N34" s="7" t="s">
        <v>110</v>
      </c>
      <c r="O34" s="7" t="s">
        <v>78</v>
      </c>
      <c r="P34" s="8">
        <v>44334</v>
      </c>
      <c r="Q34" s="7" t="s">
        <v>32</v>
      </c>
      <c r="R34" s="7" t="s">
        <v>33</v>
      </c>
      <c r="S34" s="7" t="s">
        <v>34</v>
      </c>
      <c r="T34" s="7"/>
      <c r="U34" s="7" t="s">
        <v>35</v>
      </c>
      <c r="V34" s="9">
        <v>1162.58</v>
      </c>
      <c r="W34" s="7">
        <v>501.3</v>
      </c>
      <c r="X34" s="7">
        <v>462.94</v>
      </c>
      <c r="Y34" s="7">
        <v>0</v>
      </c>
      <c r="Z34" s="7">
        <v>198.34</v>
      </c>
    </row>
    <row r="35" spans="1:26" x14ac:dyDescent="0.35">
      <c r="A35" s="7" t="s">
        <v>27</v>
      </c>
      <c r="B35" s="7" t="s">
        <v>47</v>
      </c>
      <c r="C35" s="7" t="s">
        <v>50</v>
      </c>
      <c r="D35" s="7" t="s">
        <v>51</v>
      </c>
      <c r="E35" s="7" t="s">
        <v>40</v>
      </c>
      <c r="F35" s="7" t="s">
        <v>59</v>
      </c>
      <c r="G35" s="7">
        <v>2020</v>
      </c>
      <c r="H35" s="7" t="str">
        <f>CONCATENATE("04241064544")</f>
        <v>04241064544</v>
      </c>
      <c r="I35" s="7" t="s">
        <v>30</v>
      </c>
      <c r="J35" s="7" t="s">
        <v>31</v>
      </c>
      <c r="K35" s="7" t="str">
        <f>CONCATENATE("")</f>
        <v/>
      </c>
      <c r="L35" s="7" t="str">
        <f>CONCATENATE("11 11.2 4b")</f>
        <v>11 11.2 4b</v>
      </c>
      <c r="M35" s="7" t="str">
        <f>CONCATENATE("PRCLNS83L06A783R")</f>
        <v>PRCLNS83L06A783R</v>
      </c>
      <c r="N35" s="7" t="s">
        <v>111</v>
      </c>
      <c r="O35" s="7" t="s">
        <v>78</v>
      </c>
      <c r="P35" s="8">
        <v>44334</v>
      </c>
      <c r="Q35" s="7" t="s">
        <v>32</v>
      </c>
      <c r="R35" s="7" t="s">
        <v>33</v>
      </c>
      <c r="S35" s="7" t="s">
        <v>34</v>
      </c>
      <c r="T35" s="7"/>
      <c r="U35" s="7" t="s">
        <v>35</v>
      </c>
      <c r="V35" s="9">
        <v>7194.93</v>
      </c>
      <c r="W35" s="9">
        <v>3102.45</v>
      </c>
      <c r="X35" s="9">
        <v>2865.02</v>
      </c>
      <c r="Y35" s="7">
        <v>0</v>
      </c>
      <c r="Z35" s="9">
        <v>1227.46</v>
      </c>
    </row>
    <row r="36" spans="1:26" x14ac:dyDescent="0.35">
      <c r="A36" s="7" t="s">
        <v>27</v>
      </c>
      <c r="B36" s="7" t="s">
        <v>47</v>
      </c>
      <c r="C36" s="7" t="s">
        <v>50</v>
      </c>
      <c r="D36" s="7" t="s">
        <v>51</v>
      </c>
      <c r="E36" s="7" t="s">
        <v>36</v>
      </c>
      <c r="F36" s="7" t="s">
        <v>36</v>
      </c>
      <c r="G36" s="7">
        <v>2020</v>
      </c>
      <c r="H36" s="7" t="str">
        <f>CONCATENATE("04240590895")</f>
        <v>04240590895</v>
      </c>
      <c r="I36" s="7" t="s">
        <v>30</v>
      </c>
      <c r="J36" s="7" t="s">
        <v>31</v>
      </c>
      <c r="K36" s="7" t="str">
        <f>CONCATENATE("")</f>
        <v/>
      </c>
      <c r="L36" s="7" t="str">
        <f>CONCATENATE("11 11.2 4b")</f>
        <v>11 11.2 4b</v>
      </c>
      <c r="M36" s="7" t="str">
        <f>CONCATENATE("MRCSMN71P15G479L")</f>
        <v>MRCSMN71P15G479L</v>
      </c>
      <c r="N36" s="7" t="s">
        <v>112</v>
      </c>
      <c r="O36" s="7" t="s">
        <v>78</v>
      </c>
      <c r="P36" s="8">
        <v>44334</v>
      </c>
      <c r="Q36" s="7" t="s">
        <v>32</v>
      </c>
      <c r="R36" s="7" t="s">
        <v>33</v>
      </c>
      <c r="S36" s="7" t="s">
        <v>34</v>
      </c>
      <c r="T36" s="7"/>
      <c r="U36" s="7" t="s">
        <v>35</v>
      </c>
      <c r="V36" s="9">
        <v>8604.69</v>
      </c>
      <c r="W36" s="9">
        <v>3710.34</v>
      </c>
      <c r="X36" s="9">
        <v>3426.39</v>
      </c>
      <c r="Y36" s="7">
        <v>0</v>
      </c>
      <c r="Z36" s="9">
        <v>1467.96</v>
      </c>
    </row>
    <row r="37" spans="1:26" x14ac:dyDescent="0.35">
      <c r="A37" s="7" t="s">
        <v>27</v>
      </c>
      <c r="B37" s="7" t="s">
        <v>47</v>
      </c>
      <c r="C37" s="7" t="s">
        <v>50</v>
      </c>
      <c r="D37" s="7" t="s">
        <v>51</v>
      </c>
      <c r="E37" s="7" t="s">
        <v>29</v>
      </c>
      <c r="F37" s="7" t="s">
        <v>113</v>
      </c>
      <c r="G37" s="7">
        <v>2020</v>
      </c>
      <c r="H37" s="7" t="str">
        <f>CONCATENATE("04210407005")</f>
        <v>04210407005</v>
      </c>
      <c r="I37" s="7" t="s">
        <v>30</v>
      </c>
      <c r="J37" s="7" t="s">
        <v>31</v>
      </c>
      <c r="K37" s="7" t="str">
        <f>CONCATENATE("")</f>
        <v/>
      </c>
      <c r="L37" s="7" t="str">
        <f>CONCATENATE("13 13.1 4a")</f>
        <v>13 13.1 4a</v>
      </c>
      <c r="M37" s="7" t="str">
        <f>CONCATENATE("01124890417")</f>
        <v>01124890417</v>
      </c>
      <c r="N37" s="7" t="s">
        <v>114</v>
      </c>
      <c r="O37" s="7" t="s">
        <v>115</v>
      </c>
      <c r="P37" s="8">
        <v>44334</v>
      </c>
      <c r="Q37" s="7" t="s">
        <v>32</v>
      </c>
      <c r="R37" s="7" t="s">
        <v>33</v>
      </c>
      <c r="S37" s="7" t="s">
        <v>34</v>
      </c>
      <c r="T37" s="7"/>
      <c r="U37" s="7" t="s">
        <v>35</v>
      </c>
      <c r="V37" s="9">
        <v>6344.3</v>
      </c>
      <c r="W37" s="9">
        <v>2735.66</v>
      </c>
      <c r="X37" s="9">
        <v>2526.3000000000002</v>
      </c>
      <c r="Y37" s="7">
        <v>0</v>
      </c>
      <c r="Z37" s="9">
        <v>1082.3399999999999</v>
      </c>
    </row>
    <row r="38" spans="1:26" x14ac:dyDescent="0.35">
      <c r="A38" s="7" t="s">
        <v>27</v>
      </c>
      <c r="B38" s="7" t="s">
        <v>47</v>
      </c>
      <c r="C38" s="7" t="s">
        <v>50</v>
      </c>
      <c r="D38" s="7" t="s">
        <v>51</v>
      </c>
      <c r="E38" s="7" t="s">
        <v>40</v>
      </c>
      <c r="F38" s="7" t="s">
        <v>98</v>
      </c>
      <c r="G38" s="7">
        <v>2020</v>
      </c>
      <c r="H38" s="7" t="str">
        <f>CONCATENATE("04210257905")</f>
        <v>04210257905</v>
      </c>
      <c r="I38" s="7" t="s">
        <v>30</v>
      </c>
      <c r="J38" s="7" t="s">
        <v>31</v>
      </c>
      <c r="K38" s="7" t="str">
        <f>CONCATENATE("")</f>
        <v/>
      </c>
      <c r="L38" s="7" t="str">
        <f>CONCATENATE("13 13.1 4a")</f>
        <v>13 13.1 4a</v>
      </c>
      <c r="M38" s="7" t="str">
        <f>CONCATENATE("CSTMHL74L14H294M")</f>
        <v>CSTMHL74L14H294M</v>
      </c>
      <c r="N38" s="7" t="s">
        <v>116</v>
      </c>
      <c r="O38" s="7" t="s">
        <v>115</v>
      </c>
      <c r="P38" s="8">
        <v>44334</v>
      </c>
      <c r="Q38" s="7" t="s">
        <v>32</v>
      </c>
      <c r="R38" s="7" t="s">
        <v>33</v>
      </c>
      <c r="S38" s="7" t="s">
        <v>34</v>
      </c>
      <c r="T38" s="7"/>
      <c r="U38" s="7" t="s">
        <v>35</v>
      </c>
      <c r="V38" s="7">
        <v>122.63</v>
      </c>
      <c r="W38" s="7">
        <v>52.88</v>
      </c>
      <c r="X38" s="7">
        <v>48.83</v>
      </c>
      <c r="Y38" s="7">
        <v>0</v>
      </c>
      <c r="Z38" s="7">
        <v>20.92</v>
      </c>
    </row>
    <row r="39" spans="1:26" x14ac:dyDescent="0.35">
      <c r="A39" s="7" t="s">
        <v>27</v>
      </c>
      <c r="B39" s="7" t="s">
        <v>47</v>
      </c>
      <c r="C39" s="7" t="s">
        <v>50</v>
      </c>
      <c r="D39" s="7" t="s">
        <v>51</v>
      </c>
      <c r="E39" s="7" t="s">
        <v>40</v>
      </c>
      <c r="F39" s="7" t="s">
        <v>98</v>
      </c>
      <c r="G39" s="7">
        <v>2020</v>
      </c>
      <c r="H39" s="7" t="str">
        <f>CONCATENATE("04210728798")</f>
        <v>04210728798</v>
      </c>
      <c r="I39" s="7" t="s">
        <v>30</v>
      </c>
      <c r="J39" s="7" t="s">
        <v>31</v>
      </c>
      <c r="K39" s="7" t="str">
        <f>CONCATENATE("")</f>
        <v/>
      </c>
      <c r="L39" s="7" t="str">
        <f>CONCATENATE("13 13.1 4a")</f>
        <v>13 13.1 4a</v>
      </c>
      <c r="M39" s="7" t="str">
        <f>CONCATENATE("FDDNTN68S25A895Y")</f>
        <v>FDDNTN68S25A895Y</v>
      </c>
      <c r="N39" s="7" t="s">
        <v>100</v>
      </c>
      <c r="O39" s="7" t="s">
        <v>115</v>
      </c>
      <c r="P39" s="8">
        <v>44334</v>
      </c>
      <c r="Q39" s="7" t="s">
        <v>32</v>
      </c>
      <c r="R39" s="7" t="s">
        <v>33</v>
      </c>
      <c r="S39" s="7" t="s">
        <v>34</v>
      </c>
      <c r="T39" s="7"/>
      <c r="U39" s="7" t="s">
        <v>35</v>
      </c>
      <c r="V39" s="9">
        <v>5736.72</v>
      </c>
      <c r="W39" s="9">
        <v>2473.67</v>
      </c>
      <c r="X39" s="9">
        <v>2284.36</v>
      </c>
      <c r="Y39" s="7">
        <v>0</v>
      </c>
      <c r="Z39" s="7">
        <v>978.69</v>
      </c>
    </row>
    <row r="40" spans="1:26" x14ac:dyDescent="0.35">
      <c r="A40" s="7" t="s">
        <v>27</v>
      </c>
      <c r="B40" s="7" t="s">
        <v>47</v>
      </c>
      <c r="C40" s="7" t="s">
        <v>50</v>
      </c>
      <c r="D40" s="7" t="s">
        <v>51</v>
      </c>
      <c r="E40" s="7" t="s">
        <v>29</v>
      </c>
      <c r="F40" s="7" t="s">
        <v>113</v>
      </c>
      <c r="G40" s="7">
        <v>2020</v>
      </c>
      <c r="H40" s="7" t="str">
        <f>CONCATENATE("04210577245")</f>
        <v>04210577245</v>
      </c>
      <c r="I40" s="7" t="s">
        <v>30</v>
      </c>
      <c r="J40" s="7" t="s">
        <v>31</v>
      </c>
      <c r="K40" s="7" t="str">
        <f>CONCATENATE("")</f>
        <v/>
      </c>
      <c r="L40" s="7" t="str">
        <f>CONCATENATE("13 13.1 4a")</f>
        <v>13 13.1 4a</v>
      </c>
      <c r="M40" s="7" t="str">
        <f>CONCATENATE("PRPLBR45R14G453G")</f>
        <v>PRPLBR45R14G453G</v>
      </c>
      <c r="N40" s="7" t="s">
        <v>117</v>
      </c>
      <c r="O40" s="7" t="s">
        <v>115</v>
      </c>
      <c r="P40" s="8">
        <v>44334</v>
      </c>
      <c r="Q40" s="7" t="s">
        <v>32</v>
      </c>
      <c r="R40" s="7" t="s">
        <v>33</v>
      </c>
      <c r="S40" s="7" t="s">
        <v>34</v>
      </c>
      <c r="T40" s="7"/>
      <c r="U40" s="7" t="s">
        <v>35</v>
      </c>
      <c r="V40" s="7">
        <v>875.72</v>
      </c>
      <c r="W40" s="7">
        <v>377.61</v>
      </c>
      <c r="X40" s="7">
        <v>348.71</v>
      </c>
      <c r="Y40" s="7">
        <v>0</v>
      </c>
      <c r="Z40" s="7">
        <v>149.4</v>
      </c>
    </row>
    <row r="41" spans="1:26" x14ac:dyDescent="0.35">
      <c r="A41" s="7" t="s">
        <v>27</v>
      </c>
      <c r="B41" s="7" t="s">
        <v>47</v>
      </c>
      <c r="C41" s="7" t="s">
        <v>50</v>
      </c>
      <c r="D41" s="7" t="s">
        <v>51</v>
      </c>
      <c r="E41" s="7" t="s">
        <v>29</v>
      </c>
      <c r="F41" s="7" t="s">
        <v>113</v>
      </c>
      <c r="G41" s="7">
        <v>2020</v>
      </c>
      <c r="H41" s="7" t="str">
        <f>CONCATENATE("04210520039")</f>
        <v>04210520039</v>
      </c>
      <c r="I41" s="7" t="s">
        <v>30</v>
      </c>
      <c r="J41" s="7" t="s">
        <v>31</v>
      </c>
      <c r="K41" s="7" t="str">
        <f>CONCATENATE("")</f>
        <v/>
      </c>
      <c r="L41" s="7" t="str">
        <f>CONCATENATE("13 13.1 4a")</f>
        <v>13 13.1 4a</v>
      </c>
      <c r="M41" s="7" t="str">
        <f>CONCATENATE("BTTPDR45L07E351T")</f>
        <v>BTTPDR45L07E351T</v>
      </c>
      <c r="N41" s="7" t="s">
        <v>118</v>
      </c>
      <c r="O41" s="7" t="s">
        <v>115</v>
      </c>
      <c r="P41" s="8">
        <v>44334</v>
      </c>
      <c r="Q41" s="7" t="s">
        <v>32</v>
      </c>
      <c r="R41" s="7" t="s">
        <v>33</v>
      </c>
      <c r="S41" s="7" t="s">
        <v>34</v>
      </c>
      <c r="T41" s="7"/>
      <c r="U41" s="7" t="s">
        <v>35</v>
      </c>
      <c r="V41" s="9">
        <v>3029.1</v>
      </c>
      <c r="W41" s="9">
        <v>1306.1500000000001</v>
      </c>
      <c r="X41" s="9">
        <v>1206.19</v>
      </c>
      <c r="Y41" s="7">
        <v>0</v>
      </c>
      <c r="Z41" s="7">
        <v>516.76</v>
      </c>
    </row>
    <row r="42" spans="1:26" x14ac:dyDescent="0.35">
      <c r="A42" s="7" t="s">
        <v>27</v>
      </c>
      <c r="B42" s="7" t="s">
        <v>47</v>
      </c>
      <c r="C42" s="7" t="s">
        <v>50</v>
      </c>
      <c r="D42" s="7" t="s">
        <v>51</v>
      </c>
      <c r="E42" s="7" t="s">
        <v>39</v>
      </c>
      <c r="F42" s="7" t="s">
        <v>119</v>
      </c>
      <c r="G42" s="7">
        <v>2020</v>
      </c>
      <c r="H42" s="7" t="str">
        <f>CONCATENATE("04210034627")</f>
        <v>04210034627</v>
      </c>
      <c r="I42" s="7" t="s">
        <v>30</v>
      </c>
      <c r="J42" s="7" t="s">
        <v>31</v>
      </c>
      <c r="K42" s="7" t="str">
        <f>CONCATENATE("")</f>
        <v/>
      </c>
      <c r="L42" s="7" t="str">
        <f>CONCATENATE("13 13.1 4a")</f>
        <v>13 13.1 4a</v>
      </c>
      <c r="M42" s="7" t="str">
        <f>CONCATENATE("02710070414")</f>
        <v>02710070414</v>
      </c>
      <c r="N42" s="7" t="s">
        <v>120</v>
      </c>
      <c r="O42" s="7" t="s">
        <v>115</v>
      </c>
      <c r="P42" s="8">
        <v>44334</v>
      </c>
      <c r="Q42" s="7" t="s">
        <v>32</v>
      </c>
      <c r="R42" s="7" t="s">
        <v>33</v>
      </c>
      <c r="S42" s="7" t="s">
        <v>34</v>
      </c>
      <c r="T42" s="7"/>
      <c r="U42" s="7" t="s">
        <v>35</v>
      </c>
      <c r="V42" s="9">
        <v>6125.89</v>
      </c>
      <c r="W42" s="9">
        <v>2641.48</v>
      </c>
      <c r="X42" s="9">
        <v>2439.33</v>
      </c>
      <c r="Y42" s="7">
        <v>0</v>
      </c>
      <c r="Z42" s="9">
        <v>1045.08</v>
      </c>
    </row>
    <row r="43" spans="1:26" x14ac:dyDescent="0.35">
      <c r="A43" s="7" t="s">
        <v>27</v>
      </c>
      <c r="B43" s="7" t="s">
        <v>47</v>
      </c>
      <c r="C43" s="7" t="s">
        <v>50</v>
      </c>
      <c r="D43" s="7" t="s">
        <v>51</v>
      </c>
      <c r="E43" s="7" t="s">
        <v>39</v>
      </c>
      <c r="F43" s="7" t="s">
        <v>121</v>
      </c>
      <c r="G43" s="7">
        <v>2020</v>
      </c>
      <c r="H43" s="7" t="str">
        <f>CONCATENATE("04210213965")</f>
        <v>04210213965</v>
      </c>
      <c r="I43" s="7" t="s">
        <v>30</v>
      </c>
      <c r="J43" s="7" t="s">
        <v>31</v>
      </c>
      <c r="K43" s="7" t="str">
        <f>CONCATENATE("")</f>
        <v/>
      </c>
      <c r="L43" s="7" t="str">
        <f>CONCATENATE("13 13.1 4a")</f>
        <v>13 13.1 4a</v>
      </c>
      <c r="M43" s="7" t="str">
        <f>CONCATENATE("BNCMRC66T17L500O")</f>
        <v>BNCMRC66T17L500O</v>
      </c>
      <c r="N43" s="7" t="s">
        <v>122</v>
      </c>
      <c r="O43" s="7" t="s">
        <v>115</v>
      </c>
      <c r="P43" s="8">
        <v>44334</v>
      </c>
      <c r="Q43" s="7" t="s">
        <v>32</v>
      </c>
      <c r="R43" s="7" t="s">
        <v>33</v>
      </c>
      <c r="S43" s="7" t="s">
        <v>34</v>
      </c>
      <c r="T43" s="7"/>
      <c r="U43" s="7" t="s">
        <v>35</v>
      </c>
      <c r="V43" s="9">
        <v>8145.01</v>
      </c>
      <c r="W43" s="9">
        <v>3512.13</v>
      </c>
      <c r="X43" s="9">
        <v>3243.34</v>
      </c>
      <c r="Y43" s="7">
        <v>0</v>
      </c>
      <c r="Z43" s="9">
        <v>1389.54</v>
      </c>
    </row>
    <row r="44" spans="1:26" x14ac:dyDescent="0.35">
      <c r="A44" s="7" t="s">
        <v>27</v>
      </c>
      <c r="B44" s="7" t="s">
        <v>47</v>
      </c>
      <c r="C44" s="7" t="s">
        <v>50</v>
      </c>
      <c r="D44" s="7" t="s">
        <v>51</v>
      </c>
      <c r="E44" s="7" t="s">
        <v>39</v>
      </c>
      <c r="F44" s="7" t="s">
        <v>123</v>
      </c>
      <c r="G44" s="7">
        <v>2020</v>
      </c>
      <c r="H44" s="7" t="str">
        <f>CONCATENATE("04210026359")</f>
        <v>04210026359</v>
      </c>
      <c r="I44" s="7" t="s">
        <v>30</v>
      </c>
      <c r="J44" s="7" t="s">
        <v>31</v>
      </c>
      <c r="K44" s="7" t="str">
        <f>CONCATENATE("")</f>
        <v/>
      </c>
      <c r="L44" s="7" t="str">
        <f>CONCATENATE("13 13.1 4a")</f>
        <v>13 13.1 4a</v>
      </c>
      <c r="M44" s="7" t="str">
        <f>CONCATENATE("FLCMHL74A30E785H")</f>
        <v>FLCMHL74A30E785H</v>
      </c>
      <c r="N44" s="7" t="s">
        <v>124</v>
      </c>
      <c r="O44" s="7" t="s">
        <v>115</v>
      </c>
      <c r="P44" s="8">
        <v>44334</v>
      </c>
      <c r="Q44" s="7" t="s">
        <v>32</v>
      </c>
      <c r="R44" s="7" t="s">
        <v>33</v>
      </c>
      <c r="S44" s="7" t="s">
        <v>34</v>
      </c>
      <c r="T44" s="7"/>
      <c r="U44" s="7" t="s">
        <v>35</v>
      </c>
      <c r="V44" s="9">
        <v>2555.3000000000002</v>
      </c>
      <c r="W44" s="9">
        <v>1101.8499999999999</v>
      </c>
      <c r="X44" s="9">
        <v>1017.52</v>
      </c>
      <c r="Y44" s="7">
        <v>0</v>
      </c>
      <c r="Z44" s="7">
        <v>435.93</v>
      </c>
    </row>
    <row r="45" spans="1:26" x14ac:dyDescent="0.35">
      <c r="A45" s="7" t="s">
        <v>27</v>
      </c>
      <c r="B45" s="7" t="s">
        <v>47</v>
      </c>
      <c r="C45" s="7" t="s">
        <v>50</v>
      </c>
      <c r="D45" s="7" t="s">
        <v>51</v>
      </c>
      <c r="E45" s="7" t="s">
        <v>39</v>
      </c>
      <c r="F45" s="7" t="s">
        <v>125</v>
      </c>
      <c r="G45" s="7">
        <v>2020</v>
      </c>
      <c r="H45" s="7" t="str">
        <f>CONCATENATE("04210640977")</f>
        <v>04210640977</v>
      </c>
      <c r="I45" s="7" t="s">
        <v>30</v>
      </c>
      <c r="J45" s="7" t="s">
        <v>31</v>
      </c>
      <c r="K45" s="7" t="str">
        <f>CONCATENATE("")</f>
        <v/>
      </c>
      <c r="L45" s="7" t="str">
        <f>CONCATENATE("13 13.1 4a")</f>
        <v>13 13.1 4a</v>
      </c>
      <c r="M45" s="7" t="str">
        <f>CONCATENATE("CCCRTT69R55D451Z")</f>
        <v>CCCRTT69R55D451Z</v>
      </c>
      <c r="N45" s="7" t="s">
        <v>126</v>
      </c>
      <c r="O45" s="7" t="s">
        <v>115</v>
      </c>
      <c r="P45" s="8">
        <v>44334</v>
      </c>
      <c r="Q45" s="7" t="s">
        <v>32</v>
      </c>
      <c r="R45" s="7" t="s">
        <v>33</v>
      </c>
      <c r="S45" s="7" t="s">
        <v>34</v>
      </c>
      <c r="T45" s="7"/>
      <c r="U45" s="7" t="s">
        <v>35</v>
      </c>
      <c r="V45" s="9">
        <v>9000</v>
      </c>
      <c r="W45" s="9">
        <v>3880.8</v>
      </c>
      <c r="X45" s="9">
        <v>3583.8</v>
      </c>
      <c r="Y45" s="7">
        <v>0</v>
      </c>
      <c r="Z45" s="9">
        <v>1535.4</v>
      </c>
    </row>
    <row r="46" spans="1:26" x14ac:dyDescent="0.35">
      <c r="A46" s="7" t="s">
        <v>27</v>
      </c>
      <c r="B46" s="7" t="s">
        <v>47</v>
      </c>
      <c r="C46" s="7" t="s">
        <v>50</v>
      </c>
      <c r="D46" s="7" t="s">
        <v>51</v>
      </c>
      <c r="E46" s="7" t="s">
        <v>44</v>
      </c>
      <c r="F46" s="7" t="s">
        <v>101</v>
      </c>
      <c r="G46" s="7">
        <v>2020</v>
      </c>
      <c r="H46" s="7" t="str">
        <f>CONCATENATE("04210894350")</f>
        <v>04210894350</v>
      </c>
      <c r="I46" s="7" t="s">
        <v>30</v>
      </c>
      <c r="J46" s="7" t="s">
        <v>31</v>
      </c>
      <c r="K46" s="7" t="str">
        <f>CONCATENATE("")</f>
        <v/>
      </c>
      <c r="L46" s="7" t="str">
        <f>CONCATENATE("13 13.1 4a")</f>
        <v>13 13.1 4a</v>
      </c>
      <c r="M46" s="7" t="str">
        <f>CONCATENATE("RGGGPL67E04G551J")</f>
        <v>RGGGPL67E04G551J</v>
      </c>
      <c r="N46" s="7" t="s">
        <v>127</v>
      </c>
      <c r="O46" s="7" t="s">
        <v>115</v>
      </c>
      <c r="P46" s="8">
        <v>44334</v>
      </c>
      <c r="Q46" s="7" t="s">
        <v>32</v>
      </c>
      <c r="R46" s="7" t="s">
        <v>33</v>
      </c>
      <c r="S46" s="7" t="s">
        <v>34</v>
      </c>
      <c r="T46" s="7"/>
      <c r="U46" s="7" t="s">
        <v>35</v>
      </c>
      <c r="V46" s="9">
        <v>3622.66</v>
      </c>
      <c r="W46" s="9">
        <v>1562.09</v>
      </c>
      <c r="X46" s="9">
        <v>1442.54</v>
      </c>
      <c r="Y46" s="7">
        <v>0</v>
      </c>
      <c r="Z46" s="7">
        <v>618.03</v>
      </c>
    </row>
    <row r="47" spans="1:26" x14ac:dyDescent="0.35">
      <c r="A47" s="7" t="s">
        <v>27</v>
      </c>
      <c r="B47" s="7" t="s">
        <v>47</v>
      </c>
      <c r="C47" s="7" t="s">
        <v>50</v>
      </c>
      <c r="D47" s="7" t="s">
        <v>51</v>
      </c>
      <c r="E47" s="7" t="s">
        <v>39</v>
      </c>
      <c r="F47" s="7" t="s">
        <v>128</v>
      </c>
      <c r="G47" s="7">
        <v>2020</v>
      </c>
      <c r="H47" s="7" t="str">
        <f>CONCATENATE("04210740751")</f>
        <v>04210740751</v>
      </c>
      <c r="I47" s="7" t="s">
        <v>30</v>
      </c>
      <c r="J47" s="7" t="s">
        <v>31</v>
      </c>
      <c r="K47" s="7" t="str">
        <f>CONCATENATE("")</f>
        <v/>
      </c>
      <c r="L47" s="7" t="str">
        <f>CONCATENATE("13 13.1 4a")</f>
        <v>13 13.1 4a</v>
      </c>
      <c r="M47" s="7" t="str">
        <f>CONCATENATE("PNNRTT47P65B636C")</f>
        <v>PNNRTT47P65B636C</v>
      </c>
      <c r="N47" s="7" t="s">
        <v>129</v>
      </c>
      <c r="O47" s="7" t="s">
        <v>115</v>
      </c>
      <c r="P47" s="8">
        <v>44334</v>
      </c>
      <c r="Q47" s="7" t="s">
        <v>32</v>
      </c>
      <c r="R47" s="7" t="s">
        <v>33</v>
      </c>
      <c r="S47" s="7" t="s">
        <v>34</v>
      </c>
      <c r="T47" s="7"/>
      <c r="U47" s="7" t="s">
        <v>35</v>
      </c>
      <c r="V47" s="7">
        <v>662.48</v>
      </c>
      <c r="W47" s="7">
        <v>285.66000000000003</v>
      </c>
      <c r="X47" s="7">
        <v>263.8</v>
      </c>
      <c r="Y47" s="7">
        <v>0</v>
      </c>
      <c r="Z47" s="7">
        <v>113.02</v>
      </c>
    </row>
    <row r="48" spans="1:26" x14ac:dyDescent="0.35">
      <c r="A48" s="7" t="s">
        <v>27</v>
      </c>
      <c r="B48" s="7" t="s">
        <v>47</v>
      </c>
      <c r="C48" s="7" t="s">
        <v>50</v>
      </c>
      <c r="D48" s="7" t="s">
        <v>51</v>
      </c>
      <c r="E48" s="7" t="s">
        <v>39</v>
      </c>
      <c r="F48" s="7" t="s">
        <v>128</v>
      </c>
      <c r="G48" s="7">
        <v>2020</v>
      </c>
      <c r="H48" s="7" t="str">
        <f>CONCATENATE("04210595825")</f>
        <v>04210595825</v>
      </c>
      <c r="I48" s="7" t="s">
        <v>30</v>
      </c>
      <c r="J48" s="7" t="s">
        <v>31</v>
      </c>
      <c r="K48" s="7" t="str">
        <f>CONCATENATE("")</f>
        <v/>
      </c>
      <c r="L48" s="7" t="str">
        <f>CONCATENATE("13 13.1 4a")</f>
        <v>13 13.1 4a</v>
      </c>
      <c r="M48" s="7" t="str">
        <f>CONCATENATE("PLNGZL62H51Z120L")</f>
        <v>PLNGZL62H51Z120L</v>
      </c>
      <c r="N48" s="7" t="s">
        <v>130</v>
      </c>
      <c r="O48" s="7" t="s">
        <v>115</v>
      </c>
      <c r="P48" s="8">
        <v>44334</v>
      </c>
      <c r="Q48" s="7" t="s">
        <v>32</v>
      </c>
      <c r="R48" s="7" t="s">
        <v>33</v>
      </c>
      <c r="S48" s="7" t="s">
        <v>34</v>
      </c>
      <c r="T48" s="7"/>
      <c r="U48" s="7" t="s">
        <v>35</v>
      </c>
      <c r="V48" s="9">
        <v>6790.36</v>
      </c>
      <c r="W48" s="9">
        <v>2928</v>
      </c>
      <c r="X48" s="9">
        <v>2703.92</v>
      </c>
      <c r="Y48" s="7">
        <v>0</v>
      </c>
      <c r="Z48" s="9">
        <v>1158.44</v>
      </c>
    </row>
    <row r="49" spans="1:26" x14ac:dyDescent="0.35">
      <c r="A49" s="7" t="s">
        <v>27</v>
      </c>
      <c r="B49" s="7" t="s">
        <v>47</v>
      </c>
      <c r="C49" s="7" t="s">
        <v>50</v>
      </c>
      <c r="D49" s="7" t="s">
        <v>51</v>
      </c>
      <c r="E49" s="7" t="s">
        <v>39</v>
      </c>
      <c r="F49" s="7" t="s">
        <v>121</v>
      </c>
      <c r="G49" s="7">
        <v>2020</v>
      </c>
      <c r="H49" s="7" t="str">
        <f>CONCATENATE("04210493716")</f>
        <v>04210493716</v>
      </c>
      <c r="I49" s="7" t="s">
        <v>30</v>
      </c>
      <c r="J49" s="7" t="s">
        <v>31</v>
      </c>
      <c r="K49" s="7" t="str">
        <f>CONCATENATE("")</f>
        <v/>
      </c>
      <c r="L49" s="7" t="str">
        <f>CONCATENATE("13 13.1 4a")</f>
        <v>13 13.1 4a</v>
      </c>
      <c r="M49" s="7" t="str">
        <f>CONCATENATE("NBLMLD34S45F474K")</f>
        <v>NBLMLD34S45F474K</v>
      </c>
      <c r="N49" s="7" t="s">
        <v>131</v>
      </c>
      <c r="O49" s="7" t="s">
        <v>115</v>
      </c>
      <c r="P49" s="8">
        <v>44334</v>
      </c>
      <c r="Q49" s="7" t="s">
        <v>32</v>
      </c>
      <c r="R49" s="7" t="s">
        <v>33</v>
      </c>
      <c r="S49" s="7" t="s">
        <v>34</v>
      </c>
      <c r="T49" s="7"/>
      <c r="U49" s="7" t="s">
        <v>35</v>
      </c>
      <c r="V49" s="9">
        <v>1140.8399999999999</v>
      </c>
      <c r="W49" s="7">
        <v>491.93</v>
      </c>
      <c r="X49" s="7">
        <v>454.28</v>
      </c>
      <c r="Y49" s="7">
        <v>0</v>
      </c>
      <c r="Z49" s="7">
        <v>194.63</v>
      </c>
    </row>
    <row r="50" spans="1:26" x14ac:dyDescent="0.35">
      <c r="A50" s="7" t="s">
        <v>27</v>
      </c>
      <c r="B50" s="7" t="s">
        <v>47</v>
      </c>
      <c r="C50" s="7" t="s">
        <v>50</v>
      </c>
      <c r="D50" s="7" t="s">
        <v>51</v>
      </c>
      <c r="E50" s="7" t="s">
        <v>39</v>
      </c>
      <c r="F50" s="7" t="s">
        <v>125</v>
      </c>
      <c r="G50" s="7">
        <v>2020</v>
      </c>
      <c r="H50" s="7" t="str">
        <f>CONCATENATE("04210435519")</f>
        <v>04210435519</v>
      </c>
      <c r="I50" s="7" t="s">
        <v>30</v>
      </c>
      <c r="J50" s="7" t="s">
        <v>31</v>
      </c>
      <c r="K50" s="7" t="str">
        <f>CONCATENATE("")</f>
        <v/>
      </c>
      <c r="L50" s="7" t="str">
        <f>CONCATENATE("13 13.1 4a")</f>
        <v>13 13.1 4a</v>
      </c>
      <c r="M50" s="7" t="str">
        <f>CONCATENATE("MNTLEA40C41C152R")</f>
        <v>MNTLEA40C41C152R</v>
      </c>
      <c r="N50" s="7" t="s">
        <v>132</v>
      </c>
      <c r="O50" s="7" t="s">
        <v>115</v>
      </c>
      <c r="P50" s="8">
        <v>44334</v>
      </c>
      <c r="Q50" s="7" t="s">
        <v>32</v>
      </c>
      <c r="R50" s="7" t="s">
        <v>33</v>
      </c>
      <c r="S50" s="7" t="s">
        <v>34</v>
      </c>
      <c r="T50" s="7"/>
      <c r="U50" s="7" t="s">
        <v>35</v>
      </c>
      <c r="V50" s="9">
        <v>4775.22</v>
      </c>
      <c r="W50" s="9">
        <v>2059.0700000000002</v>
      </c>
      <c r="X50" s="9">
        <v>1901.49</v>
      </c>
      <c r="Y50" s="7">
        <v>0</v>
      </c>
      <c r="Z50" s="7">
        <v>814.66</v>
      </c>
    </row>
    <row r="51" spans="1:26" x14ac:dyDescent="0.35">
      <c r="A51" s="7" t="s">
        <v>27</v>
      </c>
      <c r="B51" s="7" t="s">
        <v>47</v>
      </c>
      <c r="C51" s="7" t="s">
        <v>50</v>
      </c>
      <c r="D51" s="7" t="s">
        <v>51</v>
      </c>
      <c r="E51" s="7" t="s">
        <v>39</v>
      </c>
      <c r="F51" s="7" t="s">
        <v>123</v>
      </c>
      <c r="G51" s="7">
        <v>2020</v>
      </c>
      <c r="H51" s="7" t="str">
        <f>CONCATENATE("04210376283")</f>
        <v>04210376283</v>
      </c>
      <c r="I51" s="7" t="s">
        <v>30</v>
      </c>
      <c r="J51" s="7" t="s">
        <v>31</v>
      </c>
      <c r="K51" s="7" t="str">
        <f>CONCATENATE("")</f>
        <v/>
      </c>
      <c r="L51" s="7" t="str">
        <f>CONCATENATE("13 13.1 4a")</f>
        <v>13 13.1 4a</v>
      </c>
      <c r="M51" s="7" t="str">
        <f>CONCATENATE("SPZRNO68M21F450I")</f>
        <v>SPZRNO68M21F450I</v>
      </c>
      <c r="N51" s="7" t="s">
        <v>133</v>
      </c>
      <c r="O51" s="7" t="s">
        <v>115</v>
      </c>
      <c r="P51" s="8">
        <v>44334</v>
      </c>
      <c r="Q51" s="7" t="s">
        <v>32</v>
      </c>
      <c r="R51" s="7" t="s">
        <v>33</v>
      </c>
      <c r="S51" s="7" t="s">
        <v>34</v>
      </c>
      <c r="T51" s="7"/>
      <c r="U51" s="7" t="s">
        <v>35</v>
      </c>
      <c r="V51" s="9">
        <v>2277.7800000000002</v>
      </c>
      <c r="W51" s="7">
        <v>982.18</v>
      </c>
      <c r="X51" s="7">
        <v>907.01</v>
      </c>
      <c r="Y51" s="7">
        <v>0</v>
      </c>
      <c r="Z51" s="7">
        <v>388.59</v>
      </c>
    </row>
    <row r="52" spans="1:26" x14ac:dyDescent="0.35">
      <c r="A52" s="7" t="s">
        <v>27</v>
      </c>
      <c r="B52" s="7" t="s">
        <v>47</v>
      </c>
      <c r="C52" s="7" t="s">
        <v>50</v>
      </c>
      <c r="D52" s="7" t="s">
        <v>51</v>
      </c>
      <c r="E52" s="7" t="s">
        <v>39</v>
      </c>
      <c r="F52" s="7" t="s">
        <v>125</v>
      </c>
      <c r="G52" s="7">
        <v>2020</v>
      </c>
      <c r="H52" s="7" t="str">
        <f>CONCATENATE("04210087930")</f>
        <v>04210087930</v>
      </c>
      <c r="I52" s="7" t="s">
        <v>30</v>
      </c>
      <c r="J52" s="7" t="s">
        <v>31</v>
      </c>
      <c r="K52" s="7" t="str">
        <f>CONCATENATE("")</f>
        <v/>
      </c>
      <c r="L52" s="7" t="str">
        <f>CONCATENATE("13 13.1 4a")</f>
        <v>13 13.1 4a</v>
      </c>
      <c r="M52" s="7" t="str">
        <f>CONCATENATE("SPDCNZ60L55G453P")</f>
        <v>SPDCNZ60L55G453P</v>
      </c>
      <c r="N52" s="7" t="s">
        <v>134</v>
      </c>
      <c r="O52" s="7" t="s">
        <v>115</v>
      </c>
      <c r="P52" s="8">
        <v>44334</v>
      </c>
      <c r="Q52" s="7" t="s">
        <v>32</v>
      </c>
      <c r="R52" s="7" t="s">
        <v>33</v>
      </c>
      <c r="S52" s="7" t="s">
        <v>34</v>
      </c>
      <c r="T52" s="7"/>
      <c r="U52" s="7" t="s">
        <v>35</v>
      </c>
      <c r="V52" s="7">
        <v>887.46</v>
      </c>
      <c r="W52" s="7">
        <v>382.67</v>
      </c>
      <c r="X52" s="7">
        <v>353.39</v>
      </c>
      <c r="Y52" s="7">
        <v>0</v>
      </c>
      <c r="Z52" s="7">
        <v>151.4</v>
      </c>
    </row>
    <row r="53" spans="1:26" x14ac:dyDescent="0.35">
      <c r="A53" s="7" t="s">
        <v>27</v>
      </c>
      <c r="B53" s="7" t="s">
        <v>47</v>
      </c>
      <c r="C53" s="7" t="s">
        <v>50</v>
      </c>
      <c r="D53" s="7" t="s">
        <v>51</v>
      </c>
      <c r="E53" s="7" t="s">
        <v>29</v>
      </c>
      <c r="F53" s="7" t="s">
        <v>113</v>
      </c>
      <c r="G53" s="7">
        <v>2020</v>
      </c>
      <c r="H53" s="7" t="str">
        <f>CONCATENATE("04210498277")</f>
        <v>04210498277</v>
      </c>
      <c r="I53" s="7" t="s">
        <v>30</v>
      </c>
      <c r="J53" s="7" t="s">
        <v>31</v>
      </c>
      <c r="K53" s="7" t="str">
        <f>CONCATENATE("")</f>
        <v/>
      </c>
      <c r="L53" s="7" t="str">
        <f>CONCATENATE("13 13.1 4a")</f>
        <v>13 13.1 4a</v>
      </c>
      <c r="M53" s="7" t="str">
        <f>CONCATENATE("TNTLSN69E18F205X")</f>
        <v>TNTLSN69E18F205X</v>
      </c>
      <c r="N53" s="7" t="s">
        <v>135</v>
      </c>
      <c r="O53" s="7" t="s">
        <v>115</v>
      </c>
      <c r="P53" s="8">
        <v>44334</v>
      </c>
      <c r="Q53" s="7" t="s">
        <v>32</v>
      </c>
      <c r="R53" s="7" t="s">
        <v>33</v>
      </c>
      <c r="S53" s="7" t="s">
        <v>34</v>
      </c>
      <c r="T53" s="7"/>
      <c r="U53" s="7" t="s">
        <v>35</v>
      </c>
      <c r="V53" s="9">
        <v>3274.64</v>
      </c>
      <c r="W53" s="9">
        <v>1412.02</v>
      </c>
      <c r="X53" s="9">
        <v>1303.96</v>
      </c>
      <c r="Y53" s="7">
        <v>0</v>
      </c>
      <c r="Z53" s="7">
        <v>558.66</v>
      </c>
    </row>
    <row r="54" spans="1:26" x14ac:dyDescent="0.35">
      <c r="A54" s="7" t="s">
        <v>27</v>
      </c>
      <c r="B54" s="7" t="s">
        <v>47</v>
      </c>
      <c r="C54" s="7" t="s">
        <v>50</v>
      </c>
      <c r="D54" s="7" t="s">
        <v>51</v>
      </c>
      <c r="E54" s="7" t="s">
        <v>44</v>
      </c>
      <c r="F54" s="7" t="s">
        <v>101</v>
      </c>
      <c r="G54" s="7">
        <v>2020</v>
      </c>
      <c r="H54" s="7" t="str">
        <f>CONCATENATE("04210852549")</f>
        <v>04210852549</v>
      </c>
      <c r="I54" s="7" t="s">
        <v>30</v>
      </c>
      <c r="J54" s="7" t="s">
        <v>31</v>
      </c>
      <c r="K54" s="7" t="str">
        <f>CONCATENATE("")</f>
        <v/>
      </c>
      <c r="L54" s="7" t="str">
        <f>CONCATENATE("13 13.1 4a")</f>
        <v>13 13.1 4a</v>
      </c>
      <c r="M54" s="7" t="str">
        <f>CONCATENATE("MRAGPP70D08I459Q")</f>
        <v>MRAGPP70D08I459Q</v>
      </c>
      <c r="N54" s="7" t="s">
        <v>136</v>
      </c>
      <c r="O54" s="7" t="s">
        <v>115</v>
      </c>
      <c r="P54" s="8">
        <v>44334</v>
      </c>
      <c r="Q54" s="7" t="s">
        <v>32</v>
      </c>
      <c r="R54" s="7" t="s">
        <v>33</v>
      </c>
      <c r="S54" s="7" t="s">
        <v>34</v>
      </c>
      <c r="T54" s="7"/>
      <c r="U54" s="7" t="s">
        <v>35</v>
      </c>
      <c r="V54" s="9">
        <v>4988.54</v>
      </c>
      <c r="W54" s="9">
        <v>2151.06</v>
      </c>
      <c r="X54" s="9">
        <v>1986.44</v>
      </c>
      <c r="Y54" s="7">
        <v>0</v>
      </c>
      <c r="Z54" s="7">
        <v>851.04</v>
      </c>
    </row>
    <row r="55" spans="1:26" x14ac:dyDescent="0.35">
      <c r="A55" s="7" t="s">
        <v>27</v>
      </c>
      <c r="B55" s="7" t="s">
        <v>47</v>
      </c>
      <c r="C55" s="7" t="s">
        <v>50</v>
      </c>
      <c r="D55" s="7" t="s">
        <v>54</v>
      </c>
      <c r="E55" s="7" t="s">
        <v>39</v>
      </c>
      <c r="F55" s="7" t="s">
        <v>107</v>
      </c>
      <c r="G55" s="7">
        <v>2020</v>
      </c>
      <c r="H55" s="7" t="str">
        <f>CONCATENATE("04240131930")</f>
        <v>04240131930</v>
      </c>
      <c r="I55" s="7" t="s">
        <v>30</v>
      </c>
      <c r="J55" s="7" t="s">
        <v>31</v>
      </c>
      <c r="K55" s="7" t="str">
        <f>CONCATENATE("")</f>
        <v/>
      </c>
      <c r="L55" s="7" t="str">
        <f>CONCATENATE("11 11.1 4b")</f>
        <v>11 11.1 4b</v>
      </c>
      <c r="M55" s="7" t="str">
        <f>CONCATENATE("RCCFNC41D63M052R")</f>
        <v>RCCFNC41D63M052R</v>
      </c>
      <c r="N55" s="7" t="s">
        <v>137</v>
      </c>
      <c r="O55" s="7" t="s">
        <v>78</v>
      </c>
      <c r="P55" s="8">
        <v>44334</v>
      </c>
      <c r="Q55" s="7" t="s">
        <v>32</v>
      </c>
      <c r="R55" s="7" t="s">
        <v>33</v>
      </c>
      <c r="S55" s="7" t="s">
        <v>34</v>
      </c>
      <c r="T55" s="7"/>
      <c r="U55" s="7" t="s">
        <v>35</v>
      </c>
      <c r="V55" s="7">
        <v>781.55</v>
      </c>
      <c r="W55" s="7">
        <v>337</v>
      </c>
      <c r="X55" s="7">
        <v>311.20999999999998</v>
      </c>
      <c r="Y55" s="7">
        <v>0</v>
      </c>
      <c r="Z55" s="7">
        <v>133.34</v>
      </c>
    </row>
    <row r="56" spans="1:26" x14ac:dyDescent="0.35">
      <c r="A56" s="7" t="s">
        <v>27</v>
      </c>
      <c r="B56" s="7" t="s">
        <v>47</v>
      </c>
      <c r="C56" s="7" t="s">
        <v>50</v>
      </c>
      <c r="D56" s="7" t="s">
        <v>51</v>
      </c>
      <c r="E56" s="7" t="s">
        <v>39</v>
      </c>
      <c r="F56" s="7" t="s">
        <v>128</v>
      </c>
      <c r="G56" s="7">
        <v>2020</v>
      </c>
      <c r="H56" s="7" t="str">
        <f>CONCATENATE("04210024107")</f>
        <v>04210024107</v>
      </c>
      <c r="I56" s="7" t="s">
        <v>30</v>
      </c>
      <c r="J56" s="7" t="s">
        <v>31</v>
      </c>
      <c r="K56" s="7" t="str">
        <f>CONCATENATE("")</f>
        <v/>
      </c>
      <c r="L56" s="7" t="str">
        <f>CONCATENATE("13 13.1 4a")</f>
        <v>13 13.1 4a</v>
      </c>
      <c r="M56" s="7" t="str">
        <f>CONCATENATE("PRSGPR56D21A327I")</f>
        <v>PRSGPR56D21A327I</v>
      </c>
      <c r="N56" s="7" t="s">
        <v>138</v>
      </c>
      <c r="O56" s="7" t="s">
        <v>115</v>
      </c>
      <c r="P56" s="8">
        <v>44334</v>
      </c>
      <c r="Q56" s="7" t="s">
        <v>32</v>
      </c>
      <c r="R56" s="7" t="s">
        <v>33</v>
      </c>
      <c r="S56" s="7" t="s">
        <v>34</v>
      </c>
      <c r="T56" s="7"/>
      <c r="U56" s="7" t="s">
        <v>35</v>
      </c>
      <c r="V56" s="9">
        <v>1907.46</v>
      </c>
      <c r="W56" s="7">
        <v>822.5</v>
      </c>
      <c r="X56" s="7">
        <v>759.55</v>
      </c>
      <c r="Y56" s="7">
        <v>0</v>
      </c>
      <c r="Z56" s="7">
        <v>325.41000000000003</v>
      </c>
    </row>
    <row r="57" spans="1:26" x14ac:dyDescent="0.35">
      <c r="A57" s="7" t="s">
        <v>27</v>
      </c>
      <c r="B57" s="7" t="s">
        <v>47</v>
      </c>
      <c r="C57" s="7" t="s">
        <v>50</v>
      </c>
      <c r="D57" s="7" t="s">
        <v>51</v>
      </c>
      <c r="E57" s="7" t="s">
        <v>39</v>
      </c>
      <c r="F57" s="7" t="s">
        <v>123</v>
      </c>
      <c r="G57" s="7">
        <v>2020</v>
      </c>
      <c r="H57" s="7" t="str">
        <f>CONCATENATE("04210096998")</f>
        <v>04210096998</v>
      </c>
      <c r="I57" s="7" t="s">
        <v>30</v>
      </c>
      <c r="J57" s="7" t="s">
        <v>31</v>
      </c>
      <c r="K57" s="7" t="str">
        <f>CONCATENATE("")</f>
        <v/>
      </c>
      <c r="L57" s="7" t="str">
        <f>CONCATENATE("13 13.1 4a")</f>
        <v>13 13.1 4a</v>
      </c>
      <c r="M57" s="7" t="str">
        <f>CONCATENATE("PLVMNL78A04L500X")</f>
        <v>PLVMNL78A04L500X</v>
      </c>
      <c r="N57" s="7" t="s">
        <v>139</v>
      </c>
      <c r="O57" s="7" t="s">
        <v>115</v>
      </c>
      <c r="P57" s="8">
        <v>44334</v>
      </c>
      <c r="Q57" s="7" t="s">
        <v>32</v>
      </c>
      <c r="R57" s="7" t="s">
        <v>33</v>
      </c>
      <c r="S57" s="7" t="s">
        <v>34</v>
      </c>
      <c r="T57" s="7"/>
      <c r="U57" s="7" t="s">
        <v>35</v>
      </c>
      <c r="V57" s="9">
        <v>2659.94</v>
      </c>
      <c r="W57" s="9">
        <v>1146.97</v>
      </c>
      <c r="X57" s="9">
        <v>1059.19</v>
      </c>
      <c r="Y57" s="7">
        <v>0</v>
      </c>
      <c r="Z57" s="7">
        <v>453.78</v>
      </c>
    </row>
    <row r="58" spans="1:26" x14ac:dyDescent="0.35">
      <c r="A58" s="7" t="s">
        <v>27</v>
      </c>
      <c r="B58" s="7" t="s">
        <v>47</v>
      </c>
      <c r="C58" s="7" t="s">
        <v>50</v>
      </c>
      <c r="D58" s="7" t="s">
        <v>51</v>
      </c>
      <c r="E58" s="7" t="s">
        <v>39</v>
      </c>
      <c r="F58" s="7" t="s">
        <v>128</v>
      </c>
      <c r="G58" s="7">
        <v>2020</v>
      </c>
      <c r="H58" s="7" t="str">
        <f>CONCATENATE("04210024339")</f>
        <v>04210024339</v>
      </c>
      <c r="I58" s="7" t="s">
        <v>30</v>
      </c>
      <c r="J58" s="7" t="s">
        <v>31</v>
      </c>
      <c r="K58" s="7" t="str">
        <f>CONCATENATE("")</f>
        <v/>
      </c>
      <c r="L58" s="7" t="str">
        <f>CONCATENATE("13 13.1 4a")</f>
        <v>13 13.1 4a</v>
      </c>
      <c r="M58" s="7" t="str">
        <f>CONCATENATE("PRLMSM66C01A327I")</f>
        <v>PRLMSM66C01A327I</v>
      </c>
      <c r="N58" s="7" t="s">
        <v>140</v>
      </c>
      <c r="O58" s="7" t="s">
        <v>115</v>
      </c>
      <c r="P58" s="8">
        <v>44334</v>
      </c>
      <c r="Q58" s="7" t="s">
        <v>32</v>
      </c>
      <c r="R58" s="7" t="s">
        <v>33</v>
      </c>
      <c r="S58" s="7" t="s">
        <v>34</v>
      </c>
      <c r="T58" s="7"/>
      <c r="U58" s="7" t="s">
        <v>35</v>
      </c>
      <c r="V58" s="9">
        <v>1691.92</v>
      </c>
      <c r="W58" s="7">
        <v>729.56</v>
      </c>
      <c r="X58" s="7">
        <v>673.72</v>
      </c>
      <c r="Y58" s="7">
        <v>0</v>
      </c>
      <c r="Z58" s="7">
        <v>288.64</v>
      </c>
    </row>
    <row r="59" spans="1:26" x14ac:dyDescent="0.35">
      <c r="A59" s="7" t="s">
        <v>27</v>
      </c>
      <c r="B59" s="7" t="s">
        <v>47</v>
      </c>
      <c r="C59" s="7" t="s">
        <v>50</v>
      </c>
      <c r="D59" s="7" t="s">
        <v>51</v>
      </c>
      <c r="E59" s="7" t="s">
        <v>39</v>
      </c>
      <c r="F59" s="7" t="s">
        <v>123</v>
      </c>
      <c r="G59" s="7">
        <v>2020</v>
      </c>
      <c r="H59" s="7" t="str">
        <f>CONCATENATE("04210072726")</f>
        <v>04210072726</v>
      </c>
      <c r="I59" s="7" t="s">
        <v>30</v>
      </c>
      <c r="J59" s="7" t="s">
        <v>31</v>
      </c>
      <c r="K59" s="7" t="str">
        <f>CONCATENATE("")</f>
        <v/>
      </c>
      <c r="L59" s="7" t="str">
        <f>CONCATENATE("13 13.1 4a")</f>
        <v>13 13.1 4a</v>
      </c>
      <c r="M59" s="7" t="str">
        <f>CONCATENATE("FRTLGN49T12D541L")</f>
        <v>FRTLGN49T12D541L</v>
      </c>
      <c r="N59" s="7" t="s">
        <v>141</v>
      </c>
      <c r="O59" s="7" t="s">
        <v>115</v>
      </c>
      <c r="P59" s="8">
        <v>44334</v>
      </c>
      <c r="Q59" s="7" t="s">
        <v>32</v>
      </c>
      <c r="R59" s="7" t="s">
        <v>33</v>
      </c>
      <c r="S59" s="7" t="s">
        <v>34</v>
      </c>
      <c r="T59" s="7"/>
      <c r="U59" s="7" t="s">
        <v>35</v>
      </c>
      <c r="V59" s="7">
        <v>862.38</v>
      </c>
      <c r="W59" s="7">
        <v>371.86</v>
      </c>
      <c r="X59" s="7">
        <v>343.4</v>
      </c>
      <c r="Y59" s="7">
        <v>0</v>
      </c>
      <c r="Z59" s="7">
        <v>147.12</v>
      </c>
    </row>
    <row r="60" spans="1:26" x14ac:dyDescent="0.35">
      <c r="A60" s="7" t="s">
        <v>27</v>
      </c>
      <c r="B60" s="7" t="s">
        <v>47</v>
      </c>
      <c r="C60" s="7" t="s">
        <v>50</v>
      </c>
      <c r="D60" s="7" t="s">
        <v>51</v>
      </c>
      <c r="E60" s="7" t="s">
        <v>39</v>
      </c>
      <c r="F60" s="7" t="s">
        <v>123</v>
      </c>
      <c r="G60" s="7">
        <v>2020</v>
      </c>
      <c r="H60" s="7" t="str">
        <f>CONCATENATE("04210041556")</f>
        <v>04210041556</v>
      </c>
      <c r="I60" s="7" t="s">
        <v>30</v>
      </c>
      <c r="J60" s="7" t="s">
        <v>31</v>
      </c>
      <c r="K60" s="7" t="str">
        <f>CONCATENATE("")</f>
        <v/>
      </c>
      <c r="L60" s="7" t="str">
        <f>CONCATENATE("13 13.1 4a")</f>
        <v>13 13.1 4a</v>
      </c>
      <c r="M60" s="7" t="str">
        <f>CONCATENATE("DNGGCR48M13L500B")</f>
        <v>DNGGCR48M13L500B</v>
      </c>
      <c r="N60" s="7" t="s">
        <v>142</v>
      </c>
      <c r="O60" s="7" t="s">
        <v>115</v>
      </c>
      <c r="P60" s="8">
        <v>44334</v>
      </c>
      <c r="Q60" s="7" t="s">
        <v>32</v>
      </c>
      <c r="R60" s="7" t="s">
        <v>33</v>
      </c>
      <c r="S60" s="7" t="s">
        <v>34</v>
      </c>
      <c r="T60" s="7"/>
      <c r="U60" s="7" t="s">
        <v>35</v>
      </c>
      <c r="V60" s="9">
        <v>1279.46</v>
      </c>
      <c r="W60" s="7">
        <v>551.70000000000005</v>
      </c>
      <c r="X60" s="7">
        <v>509.48</v>
      </c>
      <c r="Y60" s="7">
        <v>0</v>
      </c>
      <c r="Z60" s="7">
        <v>218.28</v>
      </c>
    </row>
    <row r="61" spans="1:26" x14ac:dyDescent="0.35">
      <c r="A61" s="7" t="s">
        <v>27</v>
      </c>
      <c r="B61" s="7" t="s">
        <v>47</v>
      </c>
      <c r="C61" s="7" t="s">
        <v>50</v>
      </c>
      <c r="D61" s="7" t="s">
        <v>51</v>
      </c>
      <c r="E61" s="7" t="s">
        <v>39</v>
      </c>
      <c r="F61" s="7" t="s">
        <v>121</v>
      </c>
      <c r="G61" s="7">
        <v>2020</v>
      </c>
      <c r="H61" s="7" t="str">
        <f>CONCATENATE("04210119485")</f>
        <v>04210119485</v>
      </c>
      <c r="I61" s="7" t="s">
        <v>30</v>
      </c>
      <c r="J61" s="7" t="s">
        <v>31</v>
      </c>
      <c r="K61" s="7" t="str">
        <f>CONCATENATE("")</f>
        <v/>
      </c>
      <c r="L61" s="7" t="str">
        <f>CONCATENATE("13 13.1 4a")</f>
        <v>13 13.1 4a</v>
      </c>
      <c r="M61" s="7" t="str">
        <f>CONCATENATE("BNAMRA63S01C060W")</f>
        <v>BNAMRA63S01C060W</v>
      </c>
      <c r="N61" s="7" t="s">
        <v>143</v>
      </c>
      <c r="O61" s="7" t="s">
        <v>115</v>
      </c>
      <c r="P61" s="8">
        <v>44334</v>
      </c>
      <c r="Q61" s="7" t="s">
        <v>32</v>
      </c>
      <c r="R61" s="7" t="s">
        <v>33</v>
      </c>
      <c r="S61" s="7" t="s">
        <v>34</v>
      </c>
      <c r="T61" s="7"/>
      <c r="U61" s="7" t="s">
        <v>35</v>
      </c>
      <c r="V61" s="7">
        <v>541.1</v>
      </c>
      <c r="W61" s="7">
        <v>233.32</v>
      </c>
      <c r="X61" s="7">
        <v>215.47</v>
      </c>
      <c r="Y61" s="7">
        <v>0</v>
      </c>
      <c r="Z61" s="7">
        <v>92.31</v>
      </c>
    </row>
    <row r="62" spans="1:26" x14ac:dyDescent="0.35">
      <c r="A62" s="7" t="s">
        <v>27</v>
      </c>
      <c r="B62" s="7" t="s">
        <v>47</v>
      </c>
      <c r="C62" s="7" t="s">
        <v>50</v>
      </c>
      <c r="D62" s="7" t="s">
        <v>51</v>
      </c>
      <c r="E62" s="7" t="s">
        <v>44</v>
      </c>
      <c r="F62" s="7" t="s">
        <v>101</v>
      </c>
      <c r="G62" s="7">
        <v>2020</v>
      </c>
      <c r="H62" s="7" t="str">
        <f>CONCATENATE("04210528404")</f>
        <v>04210528404</v>
      </c>
      <c r="I62" s="7" t="s">
        <v>30</v>
      </c>
      <c r="J62" s="7" t="s">
        <v>31</v>
      </c>
      <c r="K62" s="7" t="str">
        <f>CONCATENATE("")</f>
        <v/>
      </c>
      <c r="L62" s="7" t="str">
        <f>CONCATENATE("13 13.1 4a")</f>
        <v>13 13.1 4a</v>
      </c>
      <c r="M62" s="7" t="str">
        <f>CONCATENATE("CRNSBN70T62B352D")</f>
        <v>CRNSBN70T62B352D</v>
      </c>
      <c r="N62" s="7" t="s">
        <v>144</v>
      </c>
      <c r="O62" s="7" t="s">
        <v>115</v>
      </c>
      <c r="P62" s="8">
        <v>44334</v>
      </c>
      <c r="Q62" s="7" t="s">
        <v>32</v>
      </c>
      <c r="R62" s="7" t="s">
        <v>33</v>
      </c>
      <c r="S62" s="7" t="s">
        <v>34</v>
      </c>
      <c r="T62" s="7"/>
      <c r="U62" s="7" t="s">
        <v>35</v>
      </c>
      <c r="V62" s="7">
        <v>38.090000000000003</v>
      </c>
      <c r="W62" s="7">
        <v>16.420000000000002</v>
      </c>
      <c r="X62" s="7">
        <v>15.17</v>
      </c>
      <c r="Y62" s="7">
        <v>0</v>
      </c>
      <c r="Z62" s="7">
        <v>6.5</v>
      </c>
    </row>
    <row r="63" spans="1:26" x14ac:dyDescent="0.35">
      <c r="A63" s="7" t="s">
        <v>27</v>
      </c>
      <c r="B63" s="7" t="s">
        <v>47</v>
      </c>
      <c r="C63" s="7" t="s">
        <v>50</v>
      </c>
      <c r="D63" s="7" t="s">
        <v>51</v>
      </c>
      <c r="E63" s="7" t="s">
        <v>39</v>
      </c>
      <c r="F63" s="7" t="s">
        <v>145</v>
      </c>
      <c r="G63" s="7">
        <v>2020</v>
      </c>
      <c r="H63" s="7" t="str">
        <f>CONCATENATE("04210291003")</f>
        <v>04210291003</v>
      </c>
      <c r="I63" s="7" t="s">
        <v>30</v>
      </c>
      <c r="J63" s="7" t="s">
        <v>31</v>
      </c>
      <c r="K63" s="7" t="str">
        <f>CONCATENATE("")</f>
        <v/>
      </c>
      <c r="L63" s="7" t="str">
        <f>CONCATENATE("13 13.1 4a")</f>
        <v>13 13.1 4a</v>
      </c>
      <c r="M63" s="7" t="str">
        <f>CONCATENATE("NTNVTR36M04F135Q")</f>
        <v>NTNVTR36M04F135Q</v>
      </c>
      <c r="N63" s="7" t="s">
        <v>146</v>
      </c>
      <c r="O63" s="7" t="s">
        <v>115</v>
      </c>
      <c r="P63" s="8">
        <v>44334</v>
      </c>
      <c r="Q63" s="7" t="s">
        <v>32</v>
      </c>
      <c r="R63" s="7" t="s">
        <v>33</v>
      </c>
      <c r="S63" s="7" t="s">
        <v>34</v>
      </c>
      <c r="T63" s="7"/>
      <c r="U63" s="7" t="s">
        <v>35</v>
      </c>
      <c r="V63" s="9">
        <v>3518.82</v>
      </c>
      <c r="W63" s="9">
        <v>1517.32</v>
      </c>
      <c r="X63" s="9">
        <v>1401.19</v>
      </c>
      <c r="Y63" s="7">
        <v>0</v>
      </c>
      <c r="Z63" s="7">
        <v>600.30999999999995</v>
      </c>
    </row>
    <row r="64" spans="1:26" x14ac:dyDescent="0.35">
      <c r="A64" s="7" t="s">
        <v>27</v>
      </c>
      <c r="B64" s="7" t="s">
        <v>47</v>
      </c>
      <c r="C64" s="7" t="s">
        <v>50</v>
      </c>
      <c r="D64" s="7" t="s">
        <v>51</v>
      </c>
      <c r="E64" s="7" t="s">
        <v>39</v>
      </c>
      <c r="F64" s="7" t="s">
        <v>125</v>
      </c>
      <c r="G64" s="7">
        <v>2020</v>
      </c>
      <c r="H64" s="7" t="str">
        <f>CONCATENATE("04210573665")</f>
        <v>04210573665</v>
      </c>
      <c r="I64" s="7" t="s">
        <v>30</v>
      </c>
      <c r="J64" s="7" t="s">
        <v>31</v>
      </c>
      <c r="K64" s="7" t="str">
        <f>CONCATENATE("")</f>
        <v/>
      </c>
      <c r="L64" s="7" t="str">
        <f>CONCATENATE("13 13.1 4a")</f>
        <v>13 13.1 4a</v>
      </c>
      <c r="M64" s="7" t="str">
        <f>CONCATENATE("BRRLLN54P59C152H")</f>
        <v>BRRLLN54P59C152H</v>
      </c>
      <c r="N64" s="7" t="s">
        <v>147</v>
      </c>
      <c r="O64" s="7" t="s">
        <v>115</v>
      </c>
      <c r="P64" s="8">
        <v>44334</v>
      </c>
      <c r="Q64" s="7" t="s">
        <v>32</v>
      </c>
      <c r="R64" s="7" t="s">
        <v>33</v>
      </c>
      <c r="S64" s="7" t="s">
        <v>34</v>
      </c>
      <c r="T64" s="7"/>
      <c r="U64" s="7" t="s">
        <v>35</v>
      </c>
      <c r="V64" s="7">
        <v>416.92</v>
      </c>
      <c r="W64" s="7">
        <v>179.78</v>
      </c>
      <c r="X64" s="7">
        <v>166.02</v>
      </c>
      <c r="Y64" s="7">
        <v>0</v>
      </c>
      <c r="Z64" s="7">
        <v>71.12</v>
      </c>
    </row>
    <row r="65" spans="1:26" x14ac:dyDescent="0.35">
      <c r="A65" s="7" t="s">
        <v>27</v>
      </c>
      <c r="B65" s="7" t="s">
        <v>47</v>
      </c>
      <c r="C65" s="7" t="s">
        <v>50</v>
      </c>
      <c r="D65" s="7" t="s">
        <v>51</v>
      </c>
      <c r="E65" s="7" t="s">
        <v>39</v>
      </c>
      <c r="F65" s="7" t="s">
        <v>145</v>
      </c>
      <c r="G65" s="7">
        <v>2020</v>
      </c>
      <c r="H65" s="7" t="str">
        <f>CONCATENATE("04210333870")</f>
        <v>04210333870</v>
      </c>
      <c r="I65" s="7" t="s">
        <v>30</v>
      </c>
      <c r="J65" s="7" t="s">
        <v>31</v>
      </c>
      <c r="K65" s="7" t="str">
        <f>CONCATENATE("")</f>
        <v/>
      </c>
      <c r="L65" s="7" t="str">
        <f>CONCATENATE("13 13.1 4a")</f>
        <v>13 13.1 4a</v>
      </c>
      <c r="M65" s="7" t="str">
        <f>CONCATENATE("PLMBHS62R03A895L")</f>
        <v>PLMBHS62R03A895L</v>
      </c>
      <c r="N65" s="7" t="s">
        <v>148</v>
      </c>
      <c r="O65" s="7" t="s">
        <v>115</v>
      </c>
      <c r="P65" s="8">
        <v>44334</v>
      </c>
      <c r="Q65" s="7" t="s">
        <v>32</v>
      </c>
      <c r="R65" s="7" t="s">
        <v>33</v>
      </c>
      <c r="S65" s="7" t="s">
        <v>34</v>
      </c>
      <c r="T65" s="7"/>
      <c r="U65" s="7" t="s">
        <v>35</v>
      </c>
      <c r="V65" s="9">
        <v>8989.61</v>
      </c>
      <c r="W65" s="9">
        <v>3876.32</v>
      </c>
      <c r="X65" s="9">
        <v>3579.66</v>
      </c>
      <c r="Y65" s="7">
        <v>0</v>
      </c>
      <c r="Z65" s="9">
        <v>1533.63</v>
      </c>
    </row>
    <row r="66" spans="1:26" x14ac:dyDescent="0.35">
      <c r="A66" s="7" t="s">
        <v>27</v>
      </c>
      <c r="B66" s="7" t="s">
        <v>47</v>
      </c>
      <c r="C66" s="7" t="s">
        <v>50</v>
      </c>
      <c r="D66" s="7" t="s">
        <v>51</v>
      </c>
      <c r="E66" s="7" t="s">
        <v>39</v>
      </c>
      <c r="F66" s="7" t="s">
        <v>121</v>
      </c>
      <c r="G66" s="7">
        <v>2020</v>
      </c>
      <c r="H66" s="7" t="str">
        <f>CONCATENATE("04210576031")</f>
        <v>04210576031</v>
      </c>
      <c r="I66" s="7" t="s">
        <v>30</v>
      </c>
      <c r="J66" s="7" t="s">
        <v>31</v>
      </c>
      <c r="K66" s="7" t="str">
        <f>CONCATENATE("")</f>
        <v/>
      </c>
      <c r="L66" s="7" t="str">
        <f>CONCATENATE("13 13.1 4a")</f>
        <v>13 13.1 4a</v>
      </c>
      <c r="M66" s="7" t="str">
        <f>CONCATENATE("CLVLRA86B51D451O")</f>
        <v>CLVLRA86B51D451O</v>
      </c>
      <c r="N66" s="7" t="s">
        <v>149</v>
      </c>
      <c r="O66" s="7" t="s">
        <v>115</v>
      </c>
      <c r="P66" s="8">
        <v>44334</v>
      </c>
      <c r="Q66" s="7" t="s">
        <v>32</v>
      </c>
      <c r="R66" s="7" t="s">
        <v>33</v>
      </c>
      <c r="S66" s="7" t="s">
        <v>34</v>
      </c>
      <c r="T66" s="7"/>
      <c r="U66" s="7" t="s">
        <v>35</v>
      </c>
      <c r="V66" s="9">
        <v>8997.36</v>
      </c>
      <c r="W66" s="9">
        <v>3879.66</v>
      </c>
      <c r="X66" s="9">
        <v>3582.75</v>
      </c>
      <c r="Y66" s="7">
        <v>0</v>
      </c>
      <c r="Z66" s="9">
        <v>1534.95</v>
      </c>
    </row>
    <row r="67" spans="1:26" x14ac:dyDescent="0.35">
      <c r="A67" s="7" t="s">
        <v>27</v>
      </c>
      <c r="B67" s="7" t="s">
        <v>47</v>
      </c>
      <c r="C67" s="7" t="s">
        <v>50</v>
      </c>
      <c r="D67" s="7" t="s">
        <v>51</v>
      </c>
      <c r="E67" s="7" t="s">
        <v>39</v>
      </c>
      <c r="F67" s="7" t="s">
        <v>150</v>
      </c>
      <c r="G67" s="7">
        <v>2020</v>
      </c>
      <c r="H67" s="7" t="str">
        <f>CONCATENATE("04210510352")</f>
        <v>04210510352</v>
      </c>
      <c r="I67" s="7" t="s">
        <v>30</v>
      </c>
      <c r="J67" s="7" t="s">
        <v>31</v>
      </c>
      <c r="K67" s="7" t="str">
        <f>CONCATENATE("")</f>
        <v/>
      </c>
      <c r="L67" s="7" t="str">
        <f>CONCATENATE("13 13.1 4a")</f>
        <v>13 13.1 4a</v>
      </c>
      <c r="M67" s="7" t="str">
        <f>CONCATENATE("MRCSMN71P15G479L")</f>
        <v>MRCSMN71P15G479L</v>
      </c>
      <c r="N67" s="7" t="s">
        <v>112</v>
      </c>
      <c r="O67" s="7" t="s">
        <v>115</v>
      </c>
      <c r="P67" s="8">
        <v>44334</v>
      </c>
      <c r="Q67" s="7" t="s">
        <v>32</v>
      </c>
      <c r="R67" s="7" t="s">
        <v>33</v>
      </c>
      <c r="S67" s="7" t="s">
        <v>34</v>
      </c>
      <c r="T67" s="7"/>
      <c r="U67" s="7" t="s">
        <v>35</v>
      </c>
      <c r="V67" s="9">
        <v>5113.4399999999996</v>
      </c>
      <c r="W67" s="9">
        <v>2204.92</v>
      </c>
      <c r="X67" s="9">
        <v>2036.17</v>
      </c>
      <c r="Y67" s="7">
        <v>0</v>
      </c>
      <c r="Z67" s="7">
        <v>872.35</v>
      </c>
    </row>
    <row r="68" spans="1:26" x14ac:dyDescent="0.35">
      <c r="A68" s="7" t="s">
        <v>27</v>
      </c>
      <c r="B68" s="7" t="s">
        <v>28</v>
      </c>
      <c r="C68" s="7" t="s">
        <v>50</v>
      </c>
      <c r="D68" s="7" t="s">
        <v>51</v>
      </c>
      <c r="E68" s="7" t="s">
        <v>40</v>
      </c>
      <c r="F68" s="7" t="s">
        <v>59</v>
      </c>
      <c r="G68" s="7">
        <v>2017</v>
      </c>
      <c r="H68" s="7" t="str">
        <f>CONCATENATE("14270141410")</f>
        <v>14270141410</v>
      </c>
      <c r="I68" s="7" t="s">
        <v>30</v>
      </c>
      <c r="J68" s="7" t="s">
        <v>31</v>
      </c>
      <c r="K68" s="7" t="str">
        <f>CONCATENATE("")</f>
        <v/>
      </c>
      <c r="L68" s="7" t="str">
        <f>CONCATENATE("21 21.1 2a")</f>
        <v>21 21.1 2a</v>
      </c>
      <c r="M68" s="7" t="str">
        <f>CONCATENATE("RCNGLI56C09B636X")</f>
        <v>RCNGLI56C09B636X</v>
      </c>
      <c r="N68" s="7" t="s">
        <v>151</v>
      </c>
      <c r="O68" s="7" t="s">
        <v>152</v>
      </c>
      <c r="P68" s="8">
        <v>44334</v>
      </c>
      <c r="Q68" s="7" t="s">
        <v>32</v>
      </c>
      <c r="R68" s="7" t="s">
        <v>33</v>
      </c>
      <c r="S68" s="7" t="s">
        <v>34</v>
      </c>
      <c r="T68" s="7"/>
      <c r="U68" s="7" t="s">
        <v>35</v>
      </c>
      <c r="V68" s="9">
        <v>2625</v>
      </c>
      <c r="W68" s="9">
        <v>1131.9000000000001</v>
      </c>
      <c r="X68" s="9">
        <v>1045.28</v>
      </c>
      <c r="Y68" s="7">
        <v>0</v>
      </c>
      <c r="Z68" s="7">
        <v>447.82</v>
      </c>
    </row>
    <row r="69" spans="1:26" x14ac:dyDescent="0.35">
      <c r="A69" s="7" t="s">
        <v>27</v>
      </c>
      <c r="B69" s="7" t="s">
        <v>28</v>
      </c>
      <c r="C69" s="7" t="s">
        <v>50</v>
      </c>
      <c r="D69" s="7" t="s">
        <v>51</v>
      </c>
      <c r="E69" s="7" t="s">
        <v>39</v>
      </c>
      <c r="F69" s="7" t="s">
        <v>121</v>
      </c>
      <c r="G69" s="7">
        <v>2017</v>
      </c>
      <c r="H69" s="7" t="str">
        <f>CONCATENATE("14270141246")</f>
        <v>14270141246</v>
      </c>
      <c r="I69" s="7" t="s">
        <v>30</v>
      </c>
      <c r="J69" s="7" t="s">
        <v>31</v>
      </c>
      <c r="K69" s="7" t="str">
        <f>CONCATENATE("")</f>
        <v/>
      </c>
      <c r="L69" s="7" t="str">
        <f>CONCATENATE("21 21.1 2a")</f>
        <v>21 21.1 2a</v>
      </c>
      <c r="M69" s="7" t="str">
        <f>CONCATENATE("CLDGPR60A01I344P")</f>
        <v>CLDGPR60A01I344P</v>
      </c>
      <c r="N69" s="7" t="s">
        <v>153</v>
      </c>
      <c r="O69" s="7" t="s">
        <v>152</v>
      </c>
      <c r="P69" s="8">
        <v>44334</v>
      </c>
      <c r="Q69" s="7" t="s">
        <v>32</v>
      </c>
      <c r="R69" s="7" t="s">
        <v>33</v>
      </c>
      <c r="S69" s="7" t="s">
        <v>34</v>
      </c>
      <c r="T69" s="7"/>
      <c r="U69" s="7" t="s">
        <v>35</v>
      </c>
      <c r="V69" s="9">
        <v>1575</v>
      </c>
      <c r="W69" s="7">
        <v>679.14</v>
      </c>
      <c r="X69" s="7">
        <v>627.16999999999996</v>
      </c>
      <c r="Y69" s="7">
        <v>0</v>
      </c>
      <c r="Z69" s="7">
        <v>268.69</v>
      </c>
    </row>
    <row r="70" spans="1:26" x14ac:dyDescent="0.35">
      <c r="A70" s="7" t="s">
        <v>27</v>
      </c>
      <c r="B70" s="7" t="s">
        <v>28</v>
      </c>
      <c r="C70" s="7" t="s">
        <v>50</v>
      </c>
      <c r="D70" s="7" t="s">
        <v>51</v>
      </c>
      <c r="E70" s="7" t="s">
        <v>36</v>
      </c>
      <c r="F70" s="7" t="s">
        <v>36</v>
      </c>
      <c r="G70" s="7">
        <v>2017</v>
      </c>
      <c r="H70" s="7" t="str">
        <f>CONCATENATE("14270141329")</f>
        <v>14270141329</v>
      </c>
      <c r="I70" s="7" t="s">
        <v>30</v>
      </c>
      <c r="J70" s="7" t="s">
        <v>31</v>
      </c>
      <c r="K70" s="7" t="str">
        <f>CONCATENATE("")</f>
        <v/>
      </c>
      <c r="L70" s="7" t="str">
        <f>CONCATENATE("21 21.1 2a")</f>
        <v>21 21.1 2a</v>
      </c>
      <c r="M70" s="7" t="str">
        <f>CONCATENATE("FLPRNG33H16D809A")</f>
        <v>FLPRNG33H16D809A</v>
      </c>
      <c r="N70" s="7" t="s">
        <v>154</v>
      </c>
      <c r="O70" s="7" t="s">
        <v>152</v>
      </c>
      <c r="P70" s="8">
        <v>44334</v>
      </c>
      <c r="Q70" s="7" t="s">
        <v>32</v>
      </c>
      <c r="R70" s="7" t="s">
        <v>33</v>
      </c>
      <c r="S70" s="7" t="s">
        <v>34</v>
      </c>
      <c r="T70" s="7"/>
      <c r="U70" s="7" t="s">
        <v>35</v>
      </c>
      <c r="V70" s="9">
        <v>4410</v>
      </c>
      <c r="W70" s="9">
        <v>1901.59</v>
      </c>
      <c r="X70" s="9">
        <v>1756.06</v>
      </c>
      <c r="Y70" s="7">
        <v>0</v>
      </c>
      <c r="Z70" s="7">
        <v>752.35</v>
      </c>
    </row>
    <row r="71" spans="1:26" x14ac:dyDescent="0.35">
      <c r="A71" s="7" t="s">
        <v>27</v>
      </c>
      <c r="B71" s="7" t="s">
        <v>28</v>
      </c>
      <c r="C71" s="7" t="s">
        <v>50</v>
      </c>
      <c r="D71" s="7" t="s">
        <v>51</v>
      </c>
      <c r="E71" s="7" t="s">
        <v>39</v>
      </c>
      <c r="F71" s="7" t="s">
        <v>119</v>
      </c>
      <c r="G71" s="7">
        <v>2017</v>
      </c>
      <c r="H71" s="7" t="str">
        <f>CONCATENATE("14270141550")</f>
        <v>14270141550</v>
      </c>
      <c r="I71" s="7" t="s">
        <v>30</v>
      </c>
      <c r="J71" s="7" t="s">
        <v>31</v>
      </c>
      <c r="K71" s="7" t="str">
        <f>CONCATENATE("")</f>
        <v/>
      </c>
      <c r="L71" s="7" t="str">
        <f>CONCATENATE("21 21.1 2a")</f>
        <v>21 21.1 2a</v>
      </c>
      <c r="M71" s="7" t="str">
        <f>CONCATENATE("GVGDNC52A29B816V")</f>
        <v>GVGDNC52A29B816V</v>
      </c>
      <c r="N71" s="7" t="s">
        <v>155</v>
      </c>
      <c r="O71" s="7" t="s">
        <v>152</v>
      </c>
      <c r="P71" s="8">
        <v>44334</v>
      </c>
      <c r="Q71" s="7" t="s">
        <v>32</v>
      </c>
      <c r="R71" s="7" t="s">
        <v>33</v>
      </c>
      <c r="S71" s="7" t="s">
        <v>34</v>
      </c>
      <c r="T71" s="7"/>
      <c r="U71" s="7" t="s">
        <v>35</v>
      </c>
      <c r="V71" s="9">
        <v>1050</v>
      </c>
      <c r="W71" s="7">
        <v>452.76</v>
      </c>
      <c r="X71" s="7">
        <v>418.11</v>
      </c>
      <c r="Y71" s="7">
        <v>0</v>
      </c>
      <c r="Z71" s="7">
        <v>179.13</v>
      </c>
    </row>
    <row r="72" spans="1:26" x14ac:dyDescent="0.35">
      <c r="A72" s="7" t="s">
        <v>27</v>
      </c>
      <c r="B72" s="7" t="s">
        <v>28</v>
      </c>
      <c r="C72" s="7" t="s">
        <v>50</v>
      </c>
      <c r="D72" s="7" t="s">
        <v>51</v>
      </c>
      <c r="E72" s="7" t="s">
        <v>40</v>
      </c>
      <c r="F72" s="7" t="s">
        <v>59</v>
      </c>
      <c r="G72" s="7">
        <v>2017</v>
      </c>
      <c r="H72" s="7" t="str">
        <f>CONCATENATE("14270141428")</f>
        <v>14270141428</v>
      </c>
      <c r="I72" s="7" t="s">
        <v>30</v>
      </c>
      <c r="J72" s="7" t="s">
        <v>31</v>
      </c>
      <c r="K72" s="7" t="str">
        <f>CONCATENATE("")</f>
        <v/>
      </c>
      <c r="L72" s="7" t="str">
        <f>CONCATENATE("21 21.1 2a")</f>
        <v>21 21.1 2a</v>
      </c>
      <c r="M72" s="7" t="str">
        <f>CONCATENATE("NDIFRZ70H27A035U")</f>
        <v>NDIFRZ70H27A035U</v>
      </c>
      <c r="N72" s="7" t="s">
        <v>156</v>
      </c>
      <c r="O72" s="7" t="s">
        <v>152</v>
      </c>
      <c r="P72" s="8">
        <v>44334</v>
      </c>
      <c r="Q72" s="7" t="s">
        <v>32</v>
      </c>
      <c r="R72" s="7" t="s">
        <v>33</v>
      </c>
      <c r="S72" s="7" t="s">
        <v>34</v>
      </c>
      <c r="T72" s="7"/>
      <c r="U72" s="7" t="s">
        <v>35</v>
      </c>
      <c r="V72" s="9">
        <v>2700</v>
      </c>
      <c r="W72" s="9">
        <v>1164.24</v>
      </c>
      <c r="X72" s="9">
        <v>1075.1400000000001</v>
      </c>
      <c r="Y72" s="7">
        <v>0</v>
      </c>
      <c r="Z72" s="7">
        <v>460.62</v>
      </c>
    </row>
    <row r="73" spans="1:26" x14ac:dyDescent="0.35">
      <c r="A73" s="7" t="s">
        <v>27</v>
      </c>
      <c r="B73" s="7" t="s">
        <v>28</v>
      </c>
      <c r="C73" s="7" t="s">
        <v>50</v>
      </c>
      <c r="D73" s="7" t="s">
        <v>51</v>
      </c>
      <c r="E73" s="7" t="s">
        <v>39</v>
      </c>
      <c r="F73" s="7" t="s">
        <v>119</v>
      </c>
      <c r="G73" s="7">
        <v>2017</v>
      </c>
      <c r="H73" s="7" t="str">
        <f>CONCATENATE("14270141279")</f>
        <v>14270141279</v>
      </c>
      <c r="I73" s="7" t="s">
        <v>30</v>
      </c>
      <c r="J73" s="7" t="s">
        <v>31</v>
      </c>
      <c r="K73" s="7" t="str">
        <f>CONCATENATE("")</f>
        <v/>
      </c>
      <c r="L73" s="7" t="str">
        <f>CONCATENATE("21 21.1 2a")</f>
        <v>21 21.1 2a</v>
      </c>
      <c r="M73" s="7" t="str">
        <f>CONCATENATE("MZZGRG74M13L498Z")</f>
        <v>MZZGRG74M13L498Z</v>
      </c>
      <c r="N73" s="7" t="s">
        <v>157</v>
      </c>
      <c r="O73" s="7" t="s">
        <v>152</v>
      </c>
      <c r="P73" s="8">
        <v>44334</v>
      </c>
      <c r="Q73" s="7" t="s">
        <v>32</v>
      </c>
      <c r="R73" s="7" t="s">
        <v>33</v>
      </c>
      <c r="S73" s="7" t="s">
        <v>34</v>
      </c>
      <c r="T73" s="7"/>
      <c r="U73" s="7" t="s">
        <v>35</v>
      </c>
      <c r="V73" s="9">
        <v>3150</v>
      </c>
      <c r="W73" s="9">
        <v>1358.28</v>
      </c>
      <c r="X73" s="9">
        <v>1254.33</v>
      </c>
      <c r="Y73" s="7">
        <v>0</v>
      </c>
      <c r="Z73" s="7">
        <v>537.39</v>
      </c>
    </row>
    <row r="74" spans="1:26" x14ac:dyDescent="0.35">
      <c r="A74" s="7" t="s">
        <v>27</v>
      </c>
      <c r="B74" s="7" t="s">
        <v>28</v>
      </c>
      <c r="C74" s="7" t="s">
        <v>50</v>
      </c>
      <c r="D74" s="7" t="s">
        <v>64</v>
      </c>
      <c r="E74" s="7" t="s">
        <v>36</v>
      </c>
      <c r="F74" s="7" t="s">
        <v>36</v>
      </c>
      <c r="G74" s="7">
        <v>2017</v>
      </c>
      <c r="H74" s="7" t="str">
        <f>CONCATENATE("14270141600")</f>
        <v>14270141600</v>
      </c>
      <c r="I74" s="7" t="s">
        <v>30</v>
      </c>
      <c r="J74" s="7" t="s">
        <v>31</v>
      </c>
      <c r="K74" s="7" t="str">
        <f>CONCATENATE("")</f>
        <v/>
      </c>
      <c r="L74" s="7" t="str">
        <f>CONCATENATE("21 21.1 2a")</f>
        <v>21 21.1 2a</v>
      </c>
      <c r="M74" s="7" t="str">
        <f>CONCATENATE("02274720446")</f>
        <v>02274720446</v>
      </c>
      <c r="N74" s="7" t="s">
        <v>158</v>
      </c>
      <c r="O74" s="7" t="s">
        <v>152</v>
      </c>
      <c r="P74" s="8">
        <v>44334</v>
      </c>
      <c r="Q74" s="7" t="s">
        <v>32</v>
      </c>
      <c r="R74" s="7" t="s">
        <v>33</v>
      </c>
      <c r="S74" s="7" t="s">
        <v>34</v>
      </c>
      <c r="T74" s="7"/>
      <c r="U74" s="7" t="s">
        <v>35</v>
      </c>
      <c r="V74" s="9">
        <v>1680</v>
      </c>
      <c r="W74" s="7">
        <v>724.42</v>
      </c>
      <c r="X74" s="7">
        <v>668.98</v>
      </c>
      <c r="Y74" s="7">
        <v>0</v>
      </c>
      <c r="Z74" s="7">
        <v>286.60000000000002</v>
      </c>
    </row>
    <row r="75" spans="1:26" x14ac:dyDescent="0.35">
      <c r="A75" s="7" t="s">
        <v>27</v>
      </c>
      <c r="B75" s="7" t="s">
        <v>47</v>
      </c>
      <c r="C75" s="7" t="s">
        <v>50</v>
      </c>
      <c r="D75" s="7" t="s">
        <v>51</v>
      </c>
      <c r="E75" s="7" t="s">
        <v>39</v>
      </c>
      <c r="F75" s="7" t="s">
        <v>150</v>
      </c>
      <c r="G75" s="7">
        <v>2020</v>
      </c>
      <c r="H75" s="7" t="str">
        <f>CONCATENATE("04210583953")</f>
        <v>04210583953</v>
      </c>
      <c r="I75" s="7" t="s">
        <v>30</v>
      </c>
      <c r="J75" s="7" t="s">
        <v>31</v>
      </c>
      <c r="K75" s="7" t="str">
        <f>CONCATENATE("")</f>
        <v/>
      </c>
      <c r="L75" s="7" t="str">
        <f>CONCATENATE("13 13.1 4a")</f>
        <v>13 13.1 4a</v>
      </c>
      <c r="M75" s="7" t="str">
        <f>CONCATENATE("02392800419")</f>
        <v>02392800419</v>
      </c>
      <c r="N75" s="7" t="s">
        <v>159</v>
      </c>
      <c r="O75" s="7" t="s">
        <v>160</v>
      </c>
      <c r="P75" s="8">
        <v>44334</v>
      </c>
      <c r="Q75" s="7" t="s">
        <v>32</v>
      </c>
      <c r="R75" s="7" t="s">
        <v>33</v>
      </c>
      <c r="S75" s="7" t="s">
        <v>34</v>
      </c>
      <c r="T75" s="7"/>
      <c r="U75" s="7" t="s">
        <v>35</v>
      </c>
      <c r="V75" s="9">
        <v>1496.71</v>
      </c>
      <c r="W75" s="7">
        <v>645.38</v>
      </c>
      <c r="X75" s="7">
        <v>595.99</v>
      </c>
      <c r="Y75" s="7">
        <v>0</v>
      </c>
      <c r="Z75" s="7">
        <v>255.34</v>
      </c>
    </row>
    <row r="76" spans="1:26" x14ac:dyDescent="0.35">
      <c r="A76" s="7" t="s">
        <v>27</v>
      </c>
      <c r="B76" s="7" t="s">
        <v>47</v>
      </c>
      <c r="C76" s="7" t="s">
        <v>50</v>
      </c>
      <c r="D76" s="7" t="s">
        <v>64</v>
      </c>
      <c r="E76" s="7" t="s">
        <v>36</v>
      </c>
      <c r="F76" s="7" t="s">
        <v>36</v>
      </c>
      <c r="G76" s="7">
        <v>2020</v>
      </c>
      <c r="H76" s="7" t="str">
        <f>CONCATENATE("04210877975")</f>
        <v>04210877975</v>
      </c>
      <c r="I76" s="7" t="s">
        <v>30</v>
      </c>
      <c r="J76" s="7" t="s">
        <v>31</v>
      </c>
      <c r="K76" s="7" t="str">
        <f>CONCATENATE("")</f>
        <v/>
      </c>
      <c r="L76" s="7" t="str">
        <f>CONCATENATE("13 13.1 4a")</f>
        <v>13 13.1 4a</v>
      </c>
      <c r="M76" s="7" t="str">
        <f>CONCATENATE("ZZIGNN71S20I774Y")</f>
        <v>ZZIGNN71S20I774Y</v>
      </c>
      <c r="N76" s="7" t="s">
        <v>161</v>
      </c>
      <c r="O76" s="7" t="s">
        <v>160</v>
      </c>
      <c r="P76" s="8">
        <v>44334</v>
      </c>
      <c r="Q76" s="7" t="s">
        <v>32</v>
      </c>
      <c r="R76" s="7" t="s">
        <v>33</v>
      </c>
      <c r="S76" s="7" t="s">
        <v>34</v>
      </c>
      <c r="T76" s="7"/>
      <c r="U76" s="7" t="s">
        <v>35</v>
      </c>
      <c r="V76" s="9">
        <v>2921.6</v>
      </c>
      <c r="W76" s="9">
        <v>1259.79</v>
      </c>
      <c r="X76" s="9">
        <v>1163.3800000000001</v>
      </c>
      <c r="Y76" s="7">
        <v>0</v>
      </c>
      <c r="Z76" s="7">
        <v>498.43</v>
      </c>
    </row>
    <row r="77" spans="1:26" x14ac:dyDescent="0.35">
      <c r="A77" s="7" t="s">
        <v>27</v>
      </c>
      <c r="B77" s="7" t="s">
        <v>47</v>
      </c>
      <c r="C77" s="7" t="s">
        <v>50</v>
      </c>
      <c r="D77" s="7" t="s">
        <v>104</v>
      </c>
      <c r="E77" s="7" t="s">
        <v>39</v>
      </c>
      <c r="F77" s="7" t="s">
        <v>162</v>
      </c>
      <c r="G77" s="7">
        <v>2020</v>
      </c>
      <c r="H77" s="7" t="str">
        <f>CONCATENATE("04210375558")</f>
        <v>04210375558</v>
      </c>
      <c r="I77" s="7" t="s">
        <v>43</v>
      </c>
      <c r="J77" s="7" t="s">
        <v>31</v>
      </c>
      <c r="K77" s="7" t="str">
        <f>CONCATENATE("")</f>
        <v/>
      </c>
      <c r="L77" s="7" t="str">
        <f>CONCATENATE("13 13.1 4a")</f>
        <v>13 13.1 4a</v>
      </c>
      <c r="M77" s="7" t="str">
        <f>CONCATENATE("GDRPRI54M28E783T")</f>
        <v>GDRPRI54M28E783T</v>
      </c>
      <c r="N77" s="7" t="s">
        <v>163</v>
      </c>
      <c r="O77" s="7" t="s">
        <v>160</v>
      </c>
      <c r="P77" s="8">
        <v>44334</v>
      </c>
      <c r="Q77" s="7" t="s">
        <v>32</v>
      </c>
      <c r="R77" s="7" t="s">
        <v>33</v>
      </c>
      <c r="S77" s="7" t="s">
        <v>34</v>
      </c>
      <c r="T77" s="7"/>
      <c r="U77" s="7" t="s">
        <v>35</v>
      </c>
      <c r="V77" s="7">
        <v>250.12</v>
      </c>
      <c r="W77" s="7">
        <v>107.85</v>
      </c>
      <c r="X77" s="7">
        <v>99.6</v>
      </c>
      <c r="Y77" s="7">
        <v>0</v>
      </c>
      <c r="Z77" s="7">
        <v>42.67</v>
      </c>
    </row>
    <row r="78" spans="1:26" x14ac:dyDescent="0.35">
      <c r="A78" s="7" t="s">
        <v>27</v>
      </c>
      <c r="B78" s="7" t="s">
        <v>47</v>
      </c>
      <c r="C78" s="7" t="s">
        <v>50</v>
      </c>
      <c r="D78" s="7" t="s">
        <v>104</v>
      </c>
      <c r="E78" s="7" t="s">
        <v>39</v>
      </c>
      <c r="F78" s="7" t="s">
        <v>164</v>
      </c>
      <c r="G78" s="7">
        <v>2020</v>
      </c>
      <c r="H78" s="7" t="str">
        <f>CONCATENATE("04210146587")</f>
        <v>04210146587</v>
      </c>
      <c r="I78" s="7" t="s">
        <v>30</v>
      </c>
      <c r="J78" s="7" t="s">
        <v>31</v>
      </c>
      <c r="K78" s="7" t="str">
        <f>CONCATENATE("")</f>
        <v/>
      </c>
      <c r="L78" s="7" t="str">
        <f>CONCATENATE("12 12.1 4a")</f>
        <v>12 12.1 4a</v>
      </c>
      <c r="M78" s="7" t="str">
        <f>CONCATENATE("LVRFBA57T06A092Y")</f>
        <v>LVRFBA57T06A092Y</v>
      </c>
      <c r="N78" s="7" t="s">
        <v>165</v>
      </c>
      <c r="O78" s="7" t="s">
        <v>166</v>
      </c>
      <c r="P78" s="8">
        <v>44334</v>
      </c>
      <c r="Q78" s="7" t="s">
        <v>32</v>
      </c>
      <c r="R78" s="7" t="s">
        <v>33</v>
      </c>
      <c r="S78" s="7" t="s">
        <v>34</v>
      </c>
      <c r="T78" s="7"/>
      <c r="U78" s="7" t="s">
        <v>35</v>
      </c>
      <c r="V78" s="7">
        <v>650.32000000000005</v>
      </c>
      <c r="W78" s="7">
        <v>280.42</v>
      </c>
      <c r="X78" s="7">
        <v>258.95999999999998</v>
      </c>
      <c r="Y78" s="7">
        <v>0</v>
      </c>
      <c r="Z78" s="7">
        <v>110.94</v>
      </c>
    </row>
    <row r="79" spans="1:26" x14ac:dyDescent="0.35">
      <c r="A79" s="7" t="s">
        <v>27</v>
      </c>
      <c r="B79" s="7" t="s">
        <v>47</v>
      </c>
      <c r="C79" s="7" t="s">
        <v>50</v>
      </c>
      <c r="D79" s="7" t="s">
        <v>104</v>
      </c>
      <c r="E79" s="7" t="s">
        <v>39</v>
      </c>
      <c r="F79" s="7" t="s">
        <v>162</v>
      </c>
      <c r="G79" s="7">
        <v>2020</v>
      </c>
      <c r="H79" s="7" t="str">
        <f>CONCATENATE("04210060259")</f>
        <v>04210060259</v>
      </c>
      <c r="I79" s="7" t="s">
        <v>43</v>
      </c>
      <c r="J79" s="7" t="s">
        <v>31</v>
      </c>
      <c r="K79" s="7" t="str">
        <f>CONCATENATE("")</f>
        <v/>
      </c>
      <c r="L79" s="7" t="str">
        <f>CONCATENATE("13 13.1 4a")</f>
        <v>13 13.1 4a</v>
      </c>
      <c r="M79" s="7" t="str">
        <f>CONCATENATE("TRTGBT49R01C524S")</f>
        <v>TRTGBT49R01C524S</v>
      </c>
      <c r="N79" s="7" t="s">
        <v>167</v>
      </c>
      <c r="O79" s="7" t="s">
        <v>160</v>
      </c>
      <c r="P79" s="8">
        <v>44334</v>
      </c>
      <c r="Q79" s="7" t="s">
        <v>32</v>
      </c>
      <c r="R79" s="7" t="s">
        <v>33</v>
      </c>
      <c r="S79" s="7" t="s">
        <v>34</v>
      </c>
      <c r="T79" s="7"/>
      <c r="U79" s="7" t="s">
        <v>35</v>
      </c>
      <c r="V79" s="7">
        <v>242.82</v>
      </c>
      <c r="W79" s="7">
        <v>104.7</v>
      </c>
      <c r="X79" s="7">
        <v>96.69</v>
      </c>
      <c r="Y79" s="7">
        <v>0</v>
      </c>
      <c r="Z79" s="7">
        <v>41.43</v>
      </c>
    </row>
    <row r="80" spans="1:26" x14ac:dyDescent="0.35">
      <c r="A80" s="7" t="s">
        <v>27</v>
      </c>
      <c r="B80" s="7" t="s">
        <v>28</v>
      </c>
      <c r="C80" s="7" t="s">
        <v>50</v>
      </c>
      <c r="D80" s="7" t="s">
        <v>51</v>
      </c>
      <c r="E80" s="7" t="s">
        <v>39</v>
      </c>
      <c r="F80" s="7" t="s">
        <v>123</v>
      </c>
      <c r="G80" s="7">
        <v>2017</v>
      </c>
      <c r="H80" s="7" t="str">
        <f>CONCATENATE("14270141691")</f>
        <v>14270141691</v>
      </c>
      <c r="I80" s="7" t="s">
        <v>30</v>
      </c>
      <c r="J80" s="7" t="s">
        <v>31</v>
      </c>
      <c r="K80" s="7" t="str">
        <f>CONCATENATE("")</f>
        <v/>
      </c>
      <c r="L80" s="7" t="str">
        <f>CONCATENATE("21 21.1 2a")</f>
        <v>21 21.1 2a</v>
      </c>
      <c r="M80" s="7" t="str">
        <f>CONCATENATE("BNDCLD68E05I287I")</f>
        <v>BNDCLD68E05I287I</v>
      </c>
      <c r="N80" s="7" t="s">
        <v>168</v>
      </c>
      <c r="O80" s="7" t="s">
        <v>152</v>
      </c>
      <c r="P80" s="8">
        <v>44334</v>
      </c>
      <c r="Q80" s="7" t="s">
        <v>32</v>
      </c>
      <c r="R80" s="7" t="s">
        <v>33</v>
      </c>
      <c r="S80" s="7" t="s">
        <v>34</v>
      </c>
      <c r="T80" s="7"/>
      <c r="U80" s="7" t="s">
        <v>35</v>
      </c>
      <c r="V80" s="9">
        <v>4200</v>
      </c>
      <c r="W80" s="9">
        <v>1811.04</v>
      </c>
      <c r="X80" s="9">
        <v>1672.44</v>
      </c>
      <c r="Y80" s="7">
        <v>0</v>
      </c>
      <c r="Z80" s="7">
        <v>716.52</v>
      </c>
    </row>
    <row r="81" spans="1:26" x14ac:dyDescent="0.35">
      <c r="A81" s="7" t="s">
        <v>27</v>
      </c>
      <c r="B81" s="7" t="s">
        <v>28</v>
      </c>
      <c r="C81" s="7" t="s">
        <v>50</v>
      </c>
      <c r="D81" s="7" t="s">
        <v>51</v>
      </c>
      <c r="E81" s="7" t="s">
        <v>39</v>
      </c>
      <c r="F81" s="7" t="s">
        <v>145</v>
      </c>
      <c r="G81" s="7">
        <v>2017</v>
      </c>
      <c r="H81" s="7" t="str">
        <f>CONCATENATE("14270141501")</f>
        <v>14270141501</v>
      </c>
      <c r="I81" s="7" t="s">
        <v>30</v>
      </c>
      <c r="J81" s="7" t="s">
        <v>31</v>
      </c>
      <c r="K81" s="7" t="str">
        <f>CONCATENATE("")</f>
        <v/>
      </c>
      <c r="L81" s="7" t="str">
        <f>CONCATENATE("21 21.1 2a")</f>
        <v>21 21.1 2a</v>
      </c>
      <c r="M81" s="7" t="str">
        <f>CONCATENATE("BNGLGU70E09I287D")</f>
        <v>BNGLGU70E09I287D</v>
      </c>
      <c r="N81" s="7" t="s">
        <v>169</v>
      </c>
      <c r="O81" s="7" t="s">
        <v>152</v>
      </c>
      <c r="P81" s="8">
        <v>44334</v>
      </c>
      <c r="Q81" s="7" t="s">
        <v>32</v>
      </c>
      <c r="R81" s="7" t="s">
        <v>33</v>
      </c>
      <c r="S81" s="7" t="s">
        <v>34</v>
      </c>
      <c r="T81" s="7"/>
      <c r="U81" s="7" t="s">
        <v>35</v>
      </c>
      <c r="V81" s="9">
        <v>2100</v>
      </c>
      <c r="W81" s="7">
        <v>905.52</v>
      </c>
      <c r="X81" s="7">
        <v>836.22</v>
      </c>
      <c r="Y81" s="7">
        <v>0</v>
      </c>
      <c r="Z81" s="7">
        <v>358.26</v>
      </c>
    </row>
    <row r="82" spans="1:26" x14ac:dyDescent="0.35">
      <c r="A82" s="7" t="s">
        <v>27</v>
      </c>
      <c r="B82" s="7" t="s">
        <v>28</v>
      </c>
      <c r="C82" s="7" t="s">
        <v>50</v>
      </c>
      <c r="D82" s="7" t="s">
        <v>54</v>
      </c>
      <c r="E82" s="7" t="s">
        <v>39</v>
      </c>
      <c r="F82" s="7" t="s">
        <v>170</v>
      </c>
      <c r="G82" s="7">
        <v>2017</v>
      </c>
      <c r="H82" s="7" t="str">
        <f>CONCATENATE("14270141519")</f>
        <v>14270141519</v>
      </c>
      <c r="I82" s="7" t="s">
        <v>43</v>
      </c>
      <c r="J82" s="7" t="s">
        <v>31</v>
      </c>
      <c r="K82" s="7" t="str">
        <f>CONCATENATE("")</f>
        <v/>
      </c>
      <c r="L82" s="7" t="str">
        <f>CONCATENATE("21 21.1 2a")</f>
        <v>21 21.1 2a</v>
      </c>
      <c r="M82" s="7" t="str">
        <f>CONCATENATE("CPPCLD68E28L366U")</f>
        <v>CPPCLD68E28L366U</v>
      </c>
      <c r="N82" s="7" t="s">
        <v>171</v>
      </c>
      <c r="O82" s="7" t="s">
        <v>152</v>
      </c>
      <c r="P82" s="8">
        <v>44334</v>
      </c>
      <c r="Q82" s="7" t="s">
        <v>32</v>
      </c>
      <c r="R82" s="7" t="s">
        <v>33</v>
      </c>
      <c r="S82" s="7" t="s">
        <v>34</v>
      </c>
      <c r="T82" s="7"/>
      <c r="U82" s="7" t="s">
        <v>35</v>
      </c>
      <c r="V82" s="9">
        <v>4275</v>
      </c>
      <c r="W82" s="9">
        <v>1843.38</v>
      </c>
      <c r="X82" s="9">
        <v>1702.31</v>
      </c>
      <c r="Y82" s="7">
        <v>0</v>
      </c>
      <c r="Z82" s="7">
        <v>729.31</v>
      </c>
    </row>
    <row r="83" spans="1:26" x14ac:dyDescent="0.35">
      <c r="A83" s="7" t="s">
        <v>27</v>
      </c>
      <c r="B83" s="7" t="s">
        <v>28</v>
      </c>
      <c r="C83" s="7" t="s">
        <v>50</v>
      </c>
      <c r="D83" s="7" t="s">
        <v>51</v>
      </c>
      <c r="E83" s="7" t="s">
        <v>39</v>
      </c>
      <c r="F83" s="7" t="s">
        <v>121</v>
      </c>
      <c r="G83" s="7">
        <v>2017</v>
      </c>
      <c r="H83" s="7" t="str">
        <f>CONCATENATE("14270141493")</f>
        <v>14270141493</v>
      </c>
      <c r="I83" s="7" t="s">
        <v>30</v>
      </c>
      <c r="J83" s="7" t="s">
        <v>31</v>
      </c>
      <c r="K83" s="7" t="str">
        <f>CONCATENATE("")</f>
        <v/>
      </c>
      <c r="L83" s="7" t="str">
        <f>CONCATENATE("21 21.1 2a")</f>
        <v>21 21.1 2a</v>
      </c>
      <c r="M83" s="7" t="str">
        <f>CONCATENATE("CNGGNN89D22I608A")</f>
        <v>CNGGNN89D22I608A</v>
      </c>
      <c r="N83" s="7" t="s">
        <v>172</v>
      </c>
      <c r="O83" s="7" t="s">
        <v>152</v>
      </c>
      <c r="P83" s="8">
        <v>44334</v>
      </c>
      <c r="Q83" s="7" t="s">
        <v>32</v>
      </c>
      <c r="R83" s="7" t="s">
        <v>33</v>
      </c>
      <c r="S83" s="7" t="s">
        <v>34</v>
      </c>
      <c r="T83" s="7"/>
      <c r="U83" s="7" t="s">
        <v>35</v>
      </c>
      <c r="V83" s="9">
        <v>1680</v>
      </c>
      <c r="W83" s="7">
        <v>724.42</v>
      </c>
      <c r="X83" s="7">
        <v>668.98</v>
      </c>
      <c r="Y83" s="7">
        <v>0</v>
      </c>
      <c r="Z83" s="7">
        <v>286.60000000000002</v>
      </c>
    </row>
    <row r="84" spans="1:26" x14ac:dyDescent="0.35">
      <c r="A84" s="7" t="s">
        <v>27</v>
      </c>
      <c r="B84" s="7" t="s">
        <v>28</v>
      </c>
      <c r="C84" s="7" t="s">
        <v>50</v>
      </c>
      <c r="D84" s="7" t="s">
        <v>54</v>
      </c>
      <c r="E84" s="7" t="s">
        <v>36</v>
      </c>
      <c r="F84" s="7" t="s">
        <v>36</v>
      </c>
      <c r="G84" s="7">
        <v>2017</v>
      </c>
      <c r="H84" s="7" t="str">
        <f>CONCATENATE("04270232806")</f>
        <v>04270232806</v>
      </c>
      <c r="I84" s="7" t="s">
        <v>30</v>
      </c>
      <c r="J84" s="7" t="s">
        <v>31</v>
      </c>
      <c r="K84" s="7" t="str">
        <f>CONCATENATE("")</f>
        <v/>
      </c>
      <c r="L84" s="7" t="str">
        <f>CONCATENATE("4 4.1 2a")</f>
        <v>4 4.1 2a</v>
      </c>
      <c r="M84" s="7" t="str">
        <f>CONCATENATE("SBBSLV77S69H211C")</f>
        <v>SBBSLV77S69H211C</v>
      </c>
      <c r="N84" s="7" t="s">
        <v>173</v>
      </c>
      <c r="O84" s="7" t="s">
        <v>174</v>
      </c>
      <c r="P84" s="8">
        <v>44330</v>
      </c>
      <c r="Q84" s="7" t="s">
        <v>32</v>
      </c>
      <c r="R84" s="7" t="s">
        <v>33</v>
      </c>
      <c r="S84" s="7" t="s">
        <v>34</v>
      </c>
      <c r="T84" s="7"/>
      <c r="U84" s="7" t="s">
        <v>35</v>
      </c>
      <c r="V84" s="9">
        <v>46229.31</v>
      </c>
      <c r="W84" s="9">
        <v>19934.080000000002</v>
      </c>
      <c r="X84" s="9">
        <v>18408.509999999998</v>
      </c>
      <c r="Y84" s="7">
        <v>0</v>
      </c>
      <c r="Z84" s="9">
        <v>7886.72</v>
      </c>
    </row>
    <row r="85" spans="1:26" x14ac:dyDescent="0.35">
      <c r="A85" s="7" t="s">
        <v>27</v>
      </c>
      <c r="B85" s="7" t="s">
        <v>28</v>
      </c>
      <c r="C85" s="7" t="s">
        <v>50</v>
      </c>
      <c r="D85" s="7" t="s">
        <v>54</v>
      </c>
      <c r="E85" s="7" t="s">
        <v>36</v>
      </c>
      <c r="F85" s="7" t="s">
        <v>36</v>
      </c>
      <c r="G85" s="7">
        <v>2017</v>
      </c>
      <c r="H85" s="7" t="str">
        <f>CONCATENATE("14270096721")</f>
        <v>14270096721</v>
      </c>
      <c r="I85" s="7" t="s">
        <v>30</v>
      </c>
      <c r="J85" s="7" t="s">
        <v>31</v>
      </c>
      <c r="K85" s="7" t="str">
        <f>CONCATENATE("")</f>
        <v/>
      </c>
      <c r="L85" s="7" t="str">
        <f>CONCATENATE("4 4.1 2a")</f>
        <v>4 4.1 2a</v>
      </c>
      <c r="M85" s="7" t="str">
        <f>CONCATENATE("01246270431")</f>
        <v>01246270431</v>
      </c>
      <c r="N85" s="7" t="s">
        <v>175</v>
      </c>
      <c r="O85" s="7" t="s">
        <v>174</v>
      </c>
      <c r="P85" s="8">
        <v>44330</v>
      </c>
      <c r="Q85" s="7" t="s">
        <v>32</v>
      </c>
      <c r="R85" s="7" t="s">
        <v>38</v>
      </c>
      <c r="S85" s="7" t="s">
        <v>34</v>
      </c>
      <c r="T85" s="7"/>
      <c r="U85" s="7" t="s">
        <v>35</v>
      </c>
      <c r="V85" s="9">
        <v>50868.66</v>
      </c>
      <c r="W85" s="9">
        <v>21934.57</v>
      </c>
      <c r="X85" s="9">
        <v>20255.900000000001</v>
      </c>
      <c r="Y85" s="7">
        <v>0</v>
      </c>
      <c r="Z85" s="9">
        <v>8678.19</v>
      </c>
    </row>
    <row r="86" spans="1:26" x14ac:dyDescent="0.35">
      <c r="A86" s="7" t="s">
        <v>27</v>
      </c>
      <c r="B86" s="7" t="s">
        <v>47</v>
      </c>
      <c r="C86" s="7" t="s">
        <v>50</v>
      </c>
      <c r="D86" s="7" t="s">
        <v>51</v>
      </c>
      <c r="E86" s="7" t="s">
        <v>39</v>
      </c>
      <c r="F86" s="7" t="s">
        <v>123</v>
      </c>
      <c r="G86" s="7">
        <v>2020</v>
      </c>
      <c r="H86" s="7" t="str">
        <f>CONCATENATE("04240959884")</f>
        <v>04240959884</v>
      </c>
      <c r="I86" s="7" t="s">
        <v>30</v>
      </c>
      <c r="J86" s="7" t="s">
        <v>31</v>
      </c>
      <c r="K86" s="7" t="str">
        <f>CONCATENATE("")</f>
        <v/>
      </c>
      <c r="L86" s="7" t="str">
        <f>CONCATENATE("14 14.1 3a")</f>
        <v>14 14.1 3a</v>
      </c>
      <c r="M86" s="7" t="str">
        <f>CONCATENATE("01395000415")</f>
        <v>01395000415</v>
      </c>
      <c r="N86" s="7" t="s">
        <v>176</v>
      </c>
      <c r="O86" s="7" t="s">
        <v>177</v>
      </c>
      <c r="P86" s="8">
        <v>44334</v>
      </c>
      <c r="Q86" s="7" t="s">
        <v>32</v>
      </c>
      <c r="R86" s="7" t="s">
        <v>33</v>
      </c>
      <c r="S86" s="7" t="s">
        <v>34</v>
      </c>
      <c r="T86" s="7"/>
      <c r="U86" s="7" t="s">
        <v>35</v>
      </c>
      <c r="V86" s="9">
        <v>3898.8</v>
      </c>
      <c r="W86" s="9">
        <v>1681.16</v>
      </c>
      <c r="X86" s="9">
        <v>1552.5</v>
      </c>
      <c r="Y86" s="7">
        <v>0</v>
      </c>
      <c r="Z86" s="7">
        <v>665.14</v>
      </c>
    </row>
    <row r="87" spans="1:26" x14ac:dyDescent="0.35">
      <c r="A87" s="7" t="s">
        <v>27</v>
      </c>
      <c r="B87" s="7" t="s">
        <v>47</v>
      </c>
      <c r="C87" s="7" t="s">
        <v>50</v>
      </c>
      <c r="D87" s="7" t="s">
        <v>51</v>
      </c>
      <c r="E87" s="7" t="s">
        <v>44</v>
      </c>
      <c r="F87" s="7" t="s">
        <v>101</v>
      </c>
      <c r="G87" s="7">
        <v>2020</v>
      </c>
      <c r="H87" s="7" t="str">
        <f>CONCATENATE("04240897308")</f>
        <v>04240897308</v>
      </c>
      <c r="I87" s="7" t="s">
        <v>30</v>
      </c>
      <c r="J87" s="7" t="s">
        <v>31</v>
      </c>
      <c r="K87" s="7" t="str">
        <f>CONCATENATE("")</f>
        <v/>
      </c>
      <c r="L87" s="7" t="str">
        <f>CONCATENATE("14 14.1 3a")</f>
        <v>14 14.1 3a</v>
      </c>
      <c r="M87" s="7" t="str">
        <f>CONCATENATE("FNCFRZ69B07D749Z")</f>
        <v>FNCFRZ69B07D749Z</v>
      </c>
      <c r="N87" s="7" t="s">
        <v>178</v>
      </c>
      <c r="O87" s="7" t="s">
        <v>177</v>
      </c>
      <c r="P87" s="8">
        <v>44334</v>
      </c>
      <c r="Q87" s="7" t="s">
        <v>32</v>
      </c>
      <c r="R87" s="7" t="s">
        <v>33</v>
      </c>
      <c r="S87" s="7" t="s">
        <v>34</v>
      </c>
      <c r="T87" s="7"/>
      <c r="U87" s="7" t="s">
        <v>35</v>
      </c>
      <c r="V87" s="9">
        <v>8600</v>
      </c>
      <c r="W87" s="9">
        <v>3708.32</v>
      </c>
      <c r="X87" s="9">
        <v>3424.52</v>
      </c>
      <c r="Y87" s="7">
        <v>0</v>
      </c>
      <c r="Z87" s="9">
        <v>1467.16</v>
      </c>
    </row>
    <row r="88" spans="1:26" x14ac:dyDescent="0.35">
      <c r="A88" s="7" t="s">
        <v>27</v>
      </c>
      <c r="B88" s="7" t="s">
        <v>28</v>
      </c>
      <c r="C88" s="7" t="s">
        <v>50</v>
      </c>
      <c r="D88" s="7" t="s">
        <v>51</v>
      </c>
      <c r="E88" s="7" t="s">
        <v>40</v>
      </c>
      <c r="F88" s="7" t="s">
        <v>59</v>
      </c>
      <c r="G88" s="7">
        <v>2017</v>
      </c>
      <c r="H88" s="7" t="str">
        <f>CONCATENATE("14270141253")</f>
        <v>14270141253</v>
      </c>
      <c r="I88" s="7" t="s">
        <v>30</v>
      </c>
      <c r="J88" s="7" t="s">
        <v>31</v>
      </c>
      <c r="K88" s="7" t="str">
        <f>CONCATENATE("")</f>
        <v/>
      </c>
      <c r="L88" s="7" t="str">
        <f>CONCATENATE("21 21.1 2a")</f>
        <v>21 21.1 2a</v>
      </c>
      <c r="M88" s="7" t="str">
        <f>CONCATENATE("PRZDRN72P16G453C")</f>
        <v>PRZDRN72P16G453C</v>
      </c>
      <c r="N88" s="7" t="s">
        <v>179</v>
      </c>
      <c r="O88" s="7" t="s">
        <v>152</v>
      </c>
      <c r="P88" s="8">
        <v>44334</v>
      </c>
      <c r="Q88" s="7" t="s">
        <v>32</v>
      </c>
      <c r="R88" s="7" t="s">
        <v>33</v>
      </c>
      <c r="S88" s="7" t="s">
        <v>34</v>
      </c>
      <c r="T88" s="7"/>
      <c r="U88" s="7" t="s">
        <v>35</v>
      </c>
      <c r="V88" s="9">
        <v>1575</v>
      </c>
      <c r="W88" s="7">
        <v>679.14</v>
      </c>
      <c r="X88" s="7">
        <v>627.16999999999996</v>
      </c>
      <c r="Y88" s="7">
        <v>0</v>
      </c>
      <c r="Z88" s="7">
        <v>268.69</v>
      </c>
    </row>
    <row r="89" spans="1:26" x14ac:dyDescent="0.35">
      <c r="A89" s="7" t="s">
        <v>27</v>
      </c>
      <c r="B89" s="7" t="s">
        <v>47</v>
      </c>
      <c r="C89" s="7" t="s">
        <v>50</v>
      </c>
      <c r="D89" s="7" t="s">
        <v>54</v>
      </c>
      <c r="E89" s="7" t="s">
        <v>44</v>
      </c>
      <c r="F89" s="7" t="s">
        <v>180</v>
      </c>
      <c r="G89" s="7">
        <v>2020</v>
      </c>
      <c r="H89" s="7" t="str">
        <f>CONCATENATE("04240694853")</f>
        <v>04240694853</v>
      </c>
      <c r="I89" s="7" t="s">
        <v>43</v>
      </c>
      <c r="J89" s="7" t="s">
        <v>31</v>
      </c>
      <c r="K89" s="7" t="str">
        <f>CONCATENATE("")</f>
        <v/>
      </c>
      <c r="L89" s="7" t="str">
        <f>CONCATENATE("11 11.2 4b")</f>
        <v>11 11.2 4b</v>
      </c>
      <c r="M89" s="7" t="str">
        <f>CONCATENATE("01112570435")</f>
        <v>01112570435</v>
      </c>
      <c r="N89" s="7" t="s">
        <v>181</v>
      </c>
      <c r="O89" s="7" t="s">
        <v>78</v>
      </c>
      <c r="P89" s="8">
        <v>44334</v>
      </c>
      <c r="Q89" s="7" t="s">
        <v>32</v>
      </c>
      <c r="R89" s="7" t="s">
        <v>33</v>
      </c>
      <c r="S89" s="7" t="s">
        <v>34</v>
      </c>
      <c r="T89" s="7"/>
      <c r="U89" s="7" t="s">
        <v>35</v>
      </c>
      <c r="V89" s="7">
        <v>567.29999999999995</v>
      </c>
      <c r="W89" s="7">
        <v>244.62</v>
      </c>
      <c r="X89" s="7">
        <v>225.9</v>
      </c>
      <c r="Y89" s="7">
        <v>0</v>
      </c>
      <c r="Z89" s="7">
        <v>96.78</v>
      </c>
    </row>
    <row r="90" spans="1:26" x14ac:dyDescent="0.35">
      <c r="A90" s="7" t="s">
        <v>27</v>
      </c>
      <c r="B90" s="7" t="s">
        <v>47</v>
      </c>
      <c r="C90" s="7" t="s">
        <v>50</v>
      </c>
      <c r="D90" s="7" t="s">
        <v>54</v>
      </c>
      <c r="E90" s="7" t="s">
        <v>44</v>
      </c>
      <c r="F90" s="7" t="s">
        <v>180</v>
      </c>
      <c r="G90" s="7">
        <v>2020</v>
      </c>
      <c r="H90" s="7" t="str">
        <f>CONCATENATE("04240694895")</f>
        <v>04240694895</v>
      </c>
      <c r="I90" s="7" t="s">
        <v>43</v>
      </c>
      <c r="J90" s="7" t="s">
        <v>31</v>
      </c>
      <c r="K90" s="7" t="str">
        <f>CONCATENATE("")</f>
        <v/>
      </c>
      <c r="L90" s="7" t="str">
        <f>CONCATENATE("11 11.2 4b")</f>
        <v>11 11.2 4b</v>
      </c>
      <c r="M90" s="7" t="str">
        <f>CONCATENATE("01112570435")</f>
        <v>01112570435</v>
      </c>
      <c r="N90" s="7" t="s">
        <v>181</v>
      </c>
      <c r="O90" s="7" t="s">
        <v>78</v>
      </c>
      <c r="P90" s="8">
        <v>44334</v>
      </c>
      <c r="Q90" s="7" t="s">
        <v>32</v>
      </c>
      <c r="R90" s="7" t="s">
        <v>33</v>
      </c>
      <c r="S90" s="7" t="s">
        <v>34</v>
      </c>
      <c r="T90" s="7"/>
      <c r="U90" s="7" t="s">
        <v>35</v>
      </c>
      <c r="V90" s="9">
        <v>2823</v>
      </c>
      <c r="W90" s="9">
        <v>1217.28</v>
      </c>
      <c r="X90" s="9">
        <v>1124.1199999999999</v>
      </c>
      <c r="Y90" s="7">
        <v>0</v>
      </c>
      <c r="Z90" s="7">
        <v>481.6</v>
      </c>
    </row>
    <row r="91" spans="1:26" x14ac:dyDescent="0.35">
      <c r="A91" s="7" t="s">
        <v>27</v>
      </c>
      <c r="B91" s="7" t="s">
        <v>47</v>
      </c>
      <c r="C91" s="7" t="s">
        <v>50</v>
      </c>
      <c r="D91" s="7" t="s">
        <v>54</v>
      </c>
      <c r="E91" s="7" t="s">
        <v>29</v>
      </c>
      <c r="F91" s="7" t="s">
        <v>95</v>
      </c>
      <c r="G91" s="7">
        <v>2020</v>
      </c>
      <c r="H91" s="7" t="str">
        <f>CONCATENATE("04240387490")</f>
        <v>04240387490</v>
      </c>
      <c r="I91" s="7" t="s">
        <v>30</v>
      </c>
      <c r="J91" s="7" t="s">
        <v>31</v>
      </c>
      <c r="K91" s="7" t="str">
        <f>CONCATENATE("")</f>
        <v/>
      </c>
      <c r="L91" s="7" t="str">
        <f>CONCATENATE("11 11.1 4b")</f>
        <v>11 11.1 4b</v>
      </c>
      <c r="M91" s="7" t="str">
        <f>CONCATENATE("01816630436")</f>
        <v>01816630436</v>
      </c>
      <c r="N91" s="7" t="s">
        <v>182</v>
      </c>
      <c r="O91" s="7" t="s">
        <v>78</v>
      </c>
      <c r="P91" s="8">
        <v>44334</v>
      </c>
      <c r="Q91" s="7" t="s">
        <v>32</v>
      </c>
      <c r="R91" s="7" t="s">
        <v>33</v>
      </c>
      <c r="S91" s="7" t="s">
        <v>34</v>
      </c>
      <c r="T91" s="7"/>
      <c r="U91" s="7" t="s">
        <v>35</v>
      </c>
      <c r="V91" s="9">
        <v>1984.24</v>
      </c>
      <c r="W91" s="7">
        <v>855.6</v>
      </c>
      <c r="X91" s="7">
        <v>790.12</v>
      </c>
      <c r="Y91" s="7">
        <v>0</v>
      </c>
      <c r="Z91" s="7">
        <v>338.52</v>
      </c>
    </row>
    <row r="92" spans="1:26" x14ac:dyDescent="0.35">
      <c r="A92" s="7" t="s">
        <v>27</v>
      </c>
      <c r="B92" s="7" t="s">
        <v>47</v>
      </c>
      <c r="C92" s="7" t="s">
        <v>50</v>
      </c>
      <c r="D92" s="7" t="s">
        <v>54</v>
      </c>
      <c r="E92" s="7" t="s">
        <v>42</v>
      </c>
      <c r="F92" s="7" t="s">
        <v>76</v>
      </c>
      <c r="G92" s="7">
        <v>2020</v>
      </c>
      <c r="H92" s="7" t="str">
        <f>CONCATENATE("04240631632")</f>
        <v>04240631632</v>
      </c>
      <c r="I92" s="7" t="s">
        <v>43</v>
      </c>
      <c r="J92" s="7" t="s">
        <v>31</v>
      </c>
      <c r="K92" s="7" t="str">
        <f>CONCATENATE("")</f>
        <v/>
      </c>
      <c r="L92" s="7" t="str">
        <f>CONCATENATE("11 11.1 4b")</f>
        <v>11 11.1 4b</v>
      </c>
      <c r="M92" s="7" t="str">
        <f>CONCATENATE("CRDVNT76M18L191O")</f>
        <v>CRDVNT76M18L191O</v>
      </c>
      <c r="N92" s="7" t="s">
        <v>183</v>
      </c>
      <c r="O92" s="7" t="s">
        <v>78</v>
      </c>
      <c r="P92" s="8">
        <v>44334</v>
      </c>
      <c r="Q92" s="7" t="s">
        <v>32</v>
      </c>
      <c r="R92" s="7" t="s">
        <v>33</v>
      </c>
      <c r="S92" s="7" t="s">
        <v>34</v>
      </c>
      <c r="T92" s="7"/>
      <c r="U92" s="7" t="s">
        <v>35</v>
      </c>
      <c r="V92" s="7">
        <v>314.89</v>
      </c>
      <c r="W92" s="7">
        <v>135.78</v>
      </c>
      <c r="X92" s="7">
        <v>125.39</v>
      </c>
      <c r="Y92" s="7">
        <v>0</v>
      </c>
      <c r="Z92" s="7">
        <v>53.72</v>
      </c>
    </row>
    <row r="93" spans="1:26" x14ac:dyDescent="0.35">
      <c r="A93" s="7" t="s">
        <v>27</v>
      </c>
      <c r="B93" s="7" t="s">
        <v>47</v>
      </c>
      <c r="C93" s="7" t="s">
        <v>50</v>
      </c>
      <c r="D93" s="7" t="s">
        <v>54</v>
      </c>
      <c r="E93" s="7" t="s">
        <v>42</v>
      </c>
      <c r="F93" s="7" t="s">
        <v>76</v>
      </c>
      <c r="G93" s="7">
        <v>2020</v>
      </c>
      <c r="H93" s="7" t="str">
        <f>CONCATENATE("04240630584")</f>
        <v>04240630584</v>
      </c>
      <c r="I93" s="7" t="s">
        <v>43</v>
      </c>
      <c r="J93" s="7" t="s">
        <v>31</v>
      </c>
      <c r="K93" s="7" t="str">
        <f>CONCATENATE("")</f>
        <v/>
      </c>
      <c r="L93" s="7" t="str">
        <f>CONCATENATE("11 11.2 4b")</f>
        <v>11 11.2 4b</v>
      </c>
      <c r="M93" s="7" t="str">
        <f>CONCATENATE("CRDVNT76M18L191O")</f>
        <v>CRDVNT76M18L191O</v>
      </c>
      <c r="N93" s="7" t="s">
        <v>183</v>
      </c>
      <c r="O93" s="7" t="s">
        <v>78</v>
      </c>
      <c r="P93" s="8">
        <v>44334</v>
      </c>
      <c r="Q93" s="7" t="s">
        <v>32</v>
      </c>
      <c r="R93" s="7" t="s">
        <v>33</v>
      </c>
      <c r="S93" s="7" t="s">
        <v>34</v>
      </c>
      <c r="T93" s="7"/>
      <c r="U93" s="7" t="s">
        <v>35</v>
      </c>
      <c r="V93" s="7">
        <v>278.54000000000002</v>
      </c>
      <c r="W93" s="7">
        <v>120.11</v>
      </c>
      <c r="X93" s="7">
        <v>110.91</v>
      </c>
      <c r="Y93" s="7">
        <v>0</v>
      </c>
      <c r="Z93" s="7">
        <v>47.52</v>
      </c>
    </row>
    <row r="94" spans="1:26" x14ac:dyDescent="0.35">
      <c r="A94" s="7" t="s">
        <v>27</v>
      </c>
      <c r="B94" s="7" t="s">
        <v>47</v>
      </c>
      <c r="C94" s="7" t="s">
        <v>50</v>
      </c>
      <c r="D94" s="7" t="s">
        <v>54</v>
      </c>
      <c r="E94" s="7" t="s">
        <v>42</v>
      </c>
      <c r="F94" s="7" t="s">
        <v>184</v>
      </c>
      <c r="G94" s="7">
        <v>2020</v>
      </c>
      <c r="H94" s="7" t="str">
        <f>CONCATENATE("04240289787")</f>
        <v>04240289787</v>
      </c>
      <c r="I94" s="7" t="s">
        <v>43</v>
      </c>
      <c r="J94" s="7" t="s">
        <v>31</v>
      </c>
      <c r="K94" s="7" t="str">
        <f>CONCATENATE("")</f>
        <v/>
      </c>
      <c r="L94" s="7" t="str">
        <f>CONCATENATE("11 11.2 4b")</f>
        <v>11 11.2 4b</v>
      </c>
      <c r="M94" s="7" t="str">
        <f>CONCATENATE("SLRMCR52E48H501C")</f>
        <v>SLRMCR52E48H501C</v>
      </c>
      <c r="N94" s="7" t="s">
        <v>185</v>
      </c>
      <c r="O94" s="7" t="s">
        <v>78</v>
      </c>
      <c r="P94" s="8">
        <v>44334</v>
      </c>
      <c r="Q94" s="7" t="s">
        <v>32</v>
      </c>
      <c r="R94" s="7" t="s">
        <v>33</v>
      </c>
      <c r="S94" s="7" t="s">
        <v>34</v>
      </c>
      <c r="T94" s="7"/>
      <c r="U94" s="7" t="s">
        <v>35</v>
      </c>
      <c r="V94" s="9">
        <v>1382.88</v>
      </c>
      <c r="W94" s="7">
        <v>596.29999999999995</v>
      </c>
      <c r="X94" s="7">
        <v>550.66</v>
      </c>
      <c r="Y94" s="7">
        <v>0</v>
      </c>
      <c r="Z94" s="7">
        <v>235.92</v>
      </c>
    </row>
    <row r="95" spans="1:26" x14ac:dyDescent="0.35">
      <c r="A95" s="7" t="s">
        <v>27</v>
      </c>
      <c r="B95" s="7" t="s">
        <v>47</v>
      </c>
      <c r="C95" s="7" t="s">
        <v>50</v>
      </c>
      <c r="D95" s="7" t="s">
        <v>54</v>
      </c>
      <c r="E95" s="7" t="s">
        <v>42</v>
      </c>
      <c r="F95" s="7" t="s">
        <v>184</v>
      </c>
      <c r="G95" s="7">
        <v>2020</v>
      </c>
      <c r="H95" s="7" t="str">
        <f>CONCATENATE("04240289431")</f>
        <v>04240289431</v>
      </c>
      <c r="I95" s="7" t="s">
        <v>43</v>
      </c>
      <c r="J95" s="7" t="s">
        <v>31</v>
      </c>
      <c r="K95" s="7" t="str">
        <f>CONCATENATE("")</f>
        <v/>
      </c>
      <c r="L95" s="7" t="str">
        <f>CONCATENATE("11 11.2 4b")</f>
        <v>11 11.2 4b</v>
      </c>
      <c r="M95" s="7" t="str">
        <f>CONCATENATE("SLRMCR52E48H501C")</f>
        <v>SLRMCR52E48H501C</v>
      </c>
      <c r="N95" s="7" t="s">
        <v>185</v>
      </c>
      <c r="O95" s="7" t="s">
        <v>78</v>
      </c>
      <c r="P95" s="8">
        <v>44334</v>
      </c>
      <c r="Q95" s="7" t="s">
        <v>32</v>
      </c>
      <c r="R95" s="7" t="s">
        <v>33</v>
      </c>
      <c r="S95" s="7" t="s">
        <v>34</v>
      </c>
      <c r="T95" s="7"/>
      <c r="U95" s="7" t="s">
        <v>35</v>
      </c>
      <c r="V95" s="9">
        <v>1568.46</v>
      </c>
      <c r="W95" s="7">
        <v>676.32</v>
      </c>
      <c r="X95" s="7">
        <v>624.55999999999995</v>
      </c>
      <c r="Y95" s="7">
        <v>0</v>
      </c>
      <c r="Z95" s="7">
        <v>267.58</v>
      </c>
    </row>
    <row r="96" spans="1:26" x14ac:dyDescent="0.35">
      <c r="A96" s="7" t="s">
        <v>27</v>
      </c>
      <c r="B96" s="7" t="s">
        <v>47</v>
      </c>
      <c r="C96" s="7" t="s">
        <v>50</v>
      </c>
      <c r="D96" s="7" t="s">
        <v>54</v>
      </c>
      <c r="E96" s="7" t="s">
        <v>44</v>
      </c>
      <c r="F96" s="7" t="s">
        <v>186</v>
      </c>
      <c r="G96" s="7">
        <v>2020</v>
      </c>
      <c r="H96" s="7" t="str">
        <f>CONCATENATE("04240975195")</f>
        <v>04240975195</v>
      </c>
      <c r="I96" s="7" t="s">
        <v>30</v>
      </c>
      <c r="J96" s="7" t="s">
        <v>31</v>
      </c>
      <c r="K96" s="7" t="str">
        <f>CONCATENATE("")</f>
        <v/>
      </c>
      <c r="L96" s="7" t="str">
        <f>CONCATENATE("11 11.1 4b")</f>
        <v>11 11.1 4b</v>
      </c>
      <c r="M96" s="7" t="str">
        <f>CONCATENATE("SCPGRL86D14E388S")</f>
        <v>SCPGRL86D14E388S</v>
      </c>
      <c r="N96" s="7" t="s">
        <v>187</v>
      </c>
      <c r="O96" s="7" t="s">
        <v>78</v>
      </c>
      <c r="P96" s="8">
        <v>44334</v>
      </c>
      <c r="Q96" s="7" t="s">
        <v>32</v>
      </c>
      <c r="R96" s="7" t="s">
        <v>33</v>
      </c>
      <c r="S96" s="7" t="s">
        <v>34</v>
      </c>
      <c r="T96" s="7"/>
      <c r="U96" s="7" t="s">
        <v>35</v>
      </c>
      <c r="V96" s="9">
        <v>2399.69</v>
      </c>
      <c r="W96" s="9">
        <v>1034.75</v>
      </c>
      <c r="X96" s="7">
        <v>955.56</v>
      </c>
      <c r="Y96" s="7">
        <v>0</v>
      </c>
      <c r="Z96" s="7">
        <v>409.38</v>
      </c>
    </row>
    <row r="97" spans="1:26" x14ac:dyDescent="0.35">
      <c r="A97" s="7" t="s">
        <v>27</v>
      </c>
      <c r="B97" s="7" t="s">
        <v>47</v>
      </c>
      <c r="C97" s="7" t="s">
        <v>50</v>
      </c>
      <c r="D97" s="7" t="s">
        <v>54</v>
      </c>
      <c r="E97" s="7" t="s">
        <v>39</v>
      </c>
      <c r="F97" s="7" t="s">
        <v>107</v>
      </c>
      <c r="G97" s="7">
        <v>2020</v>
      </c>
      <c r="H97" s="7" t="str">
        <f>CONCATENATE("04240212714")</f>
        <v>04240212714</v>
      </c>
      <c r="I97" s="7" t="s">
        <v>43</v>
      </c>
      <c r="J97" s="7" t="s">
        <v>31</v>
      </c>
      <c r="K97" s="7" t="str">
        <f>CONCATENATE("")</f>
        <v/>
      </c>
      <c r="L97" s="7" t="str">
        <f>CONCATENATE("11 11.1 4b")</f>
        <v>11 11.1 4b</v>
      </c>
      <c r="M97" s="7" t="str">
        <f>CONCATENATE("BRNMNL96P15B474U")</f>
        <v>BRNMNL96P15B474U</v>
      </c>
      <c r="N97" s="7" t="s">
        <v>188</v>
      </c>
      <c r="O97" s="7" t="s">
        <v>78</v>
      </c>
      <c r="P97" s="8">
        <v>44334</v>
      </c>
      <c r="Q97" s="7" t="s">
        <v>32</v>
      </c>
      <c r="R97" s="7" t="s">
        <v>33</v>
      </c>
      <c r="S97" s="7" t="s">
        <v>34</v>
      </c>
      <c r="T97" s="7"/>
      <c r="U97" s="7" t="s">
        <v>35</v>
      </c>
      <c r="V97" s="7">
        <v>219.51</v>
      </c>
      <c r="W97" s="7">
        <v>94.65</v>
      </c>
      <c r="X97" s="7">
        <v>87.41</v>
      </c>
      <c r="Y97" s="7">
        <v>0</v>
      </c>
      <c r="Z97" s="7">
        <v>37.450000000000003</v>
      </c>
    </row>
    <row r="98" spans="1:26" x14ac:dyDescent="0.35">
      <c r="A98" s="7" t="s">
        <v>27</v>
      </c>
      <c r="B98" s="7" t="s">
        <v>47</v>
      </c>
      <c r="C98" s="7" t="s">
        <v>50</v>
      </c>
      <c r="D98" s="7" t="s">
        <v>54</v>
      </c>
      <c r="E98" s="7" t="s">
        <v>42</v>
      </c>
      <c r="F98" s="7" t="s">
        <v>184</v>
      </c>
      <c r="G98" s="7">
        <v>2020</v>
      </c>
      <c r="H98" s="7" t="str">
        <f>CONCATENATE("04240592156")</f>
        <v>04240592156</v>
      </c>
      <c r="I98" s="7" t="s">
        <v>30</v>
      </c>
      <c r="J98" s="7" t="s">
        <v>31</v>
      </c>
      <c r="K98" s="7" t="str">
        <f>CONCATENATE("")</f>
        <v/>
      </c>
      <c r="L98" s="7" t="str">
        <f>CONCATENATE("11 11.2 4b")</f>
        <v>11 11.2 4b</v>
      </c>
      <c r="M98" s="7" t="str">
        <f>CONCATENATE("GBRCRN64T58F496M")</f>
        <v>GBRCRN64T58F496M</v>
      </c>
      <c r="N98" s="7" t="s">
        <v>189</v>
      </c>
      <c r="O98" s="7" t="s">
        <v>78</v>
      </c>
      <c r="P98" s="8">
        <v>44334</v>
      </c>
      <c r="Q98" s="7" t="s">
        <v>32</v>
      </c>
      <c r="R98" s="7" t="s">
        <v>33</v>
      </c>
      <c r="S98" s="7" t="s">
        <v>34</v>
      </c>
      <c r="T98" s="7"/>
      <c r="U98" s="7" t="s">
        <v>35</v>
      </c>
      <c r="V98" s="9">
        <v>7073.52</v>
      </c>
      <c r="W98" s="9">
        <v>3050.1</v>
      </c>
      <c r="X98" s="9">
        <v>2816.68</v>
      </c>
      <c r="Y98" s="7">
        <v>0</v>
      </c>
      <c r="Z98" s="9">
        <v>1206.74</v>
      </c>
    </row>
    <row r="99" spans="1:26" x14ac:dyDescent="0.35">
      <c r="A99" s="7" t="s">
        <v>27</v>
      </c>
      <c r="B99" s="7" t="s">
        <v>47</v>
      </c>
      <c r="C99" s="7" t="s">
        <v>50</v>
      </c>
      <c r="D99" s="7" t="s">
        <v>54</v>
      </c>
      <c r="E99" s="7" t="s">
        <v>39</v>
      </c>
      <c r="F99" s="7" t="s">
        <v>79</v>
      </c>
      <c r="G99" s="7">
        <v>2020</v>
      </c>
      <c r="H99" s="7" t="str">
        <f>CONCATENATE("04240874125")</f>
        <v>04240874125</v>
      </c>
      <c r="I99" s="7" t="s">
        <v>30</v>
      </c>
      <c r="J99" s="7" t="s">
        <v>31</v>
      </c>
      <c r="K99" s="7" t="str">
        <f>CONCATENATE("")</f>
        <v/>
      </c>
      <c r="L99" s="7" t="str">
        <f>CONCATENATE("11 11.2 4b")</f>
        <v>11 11.2 4b</v>
      </c>
      <c r="M99" s="7" t="str">
        <f>CONCATENATE("PZZGNN45T67H876H")</f>
        <v>PZZGNN45T67H876H</v>
      </c>
      <c r="N99" s="7" t="s">
        <v>190</v>
      </c>
      <c r="O99" s="7" t="s">
        <v>78</v>
      </c>
      <c r="P99" s="8">
        <v>44334</v>
      </c>
      <c r="Q99" s="7" t="s">
        <v>32</v>
      </c>
      <c r="R99" s="7" t="s">
        <v>33</v>
      </c>
      <c r="S99" s="7" t="s">
        <v>34</v>
      </c>
      <c r="T99" s="7"/>
      <c r="U99" s="7" t="s">
        <v>35</v>
      </c>
      <c r="V99" s="7">
        <v>318.01</v>
      </c>
      <c r="W99" s="7">
        <v>137.13</v>
      </c>
      <c r="X99" s="7">
        <v>126.63</v>
      </c>
      <c r="Y99" s="7">
        <v>0</v>
      </c>
      <c r="Z99" s="7">
        <v>54.25</v>
      </c>
    </row>
    <row r="100" spans="1:26" x14ac:dyDescent="0.35">
      <c r="A100" s="7" t="s">
        <v>27</v>
      </c>
      <c r="B100" s="7" t="s">
        <v>47</v>
      </c>
      <c r="C100" s="7" t="s">
        <v>50</v>
      </c>
      <c r="D100" s="7" t="s">
        <v>54</v>
      </c>
      <c r="E100" s="7" t="s">
        <v>42</v>
      </c>
      <c r="F100" s="7" t="s">
        <v>184</v>
      </c>
      <c r="G100" s="7">
        <v>2020</v>
      </c>
      <c r="H100" s="7" t="str">
        <f>CONCATENATE("04240643991")</f>
        <v>04240643991</v>
      </c>
      <c r="I100" s="7" t="s">
        <v>30</v>
      </c>
      <c r="J100" s="7" t="s">
        <v>31</v>
      </c>
      <c r="K100" s="7" t="str">
        <f>CONCATENATE("")</f>
        <v/>
      </c>
      <c r="L100" s="7" t="str">
        <f>CONCATENATE("11 11.2 4b")</f>
        <v>11 11.2 4b</v>
      </c>
      <c r="M100" s="7" t="str">
        <f>CONCATENATE("SCGGPP58P41I651F")</f>
        <v>SCGGPP58P41I651F</v>
      </c>
      <c r="N100" s="7" t="s">
        <v>191</v>
      </c>
      <c r="O100" s="7" t="s">
        <v>78</v>
      </c>
      <c r="P100" s="8">
        <v>44334</v>
      </c>
      <c r="Q100" s="7" t="s">
        <v>32</v>
      </c>
      <c r="R100" s="7" t="s">
        <v>33</v>
      </c>
      <c r="S100" s="7" t="s">
        <v>34</v>
      </c>
      <c r="T100" s="7"/>
      <c r="U100" s="7" t="s">
        <v>35</v>
      </c>
      <c r="V100" s="7">
        <v>709.36</v>
      </c>
      <c r="W100" s="7">
        <v>305.88</v>
      </c>
      <c r="X100" s="7">
        <v>282.47000000000003</v>
      </c>
      <c r="Y100" s="7">
        <v>0</v>
      </c>
      <c r="Z100" s="7">
        <v>121.01</v>
      </c>
    </row>
    <row r="101" spans="1:26" x14ac:dyDescent="0.35">
      <c r="A101" s="7" t="s">
        <v>27</v>
      </c>
      <c r="B101" s="7" t="s">
        <v>47</v>
      </c>
      <c r="C101" s="7" t="s">
        <v>50</v>
      </c>
      <c r="D101" s="7" t="s">
        <v>54</v>
      </c>
      <c r="E101" s="7" t="s">
        <v>39</v>
      </c>
      <c r="F101" s="7" t="s">
        <v>89</v>
      </c>
      <c r="G101" s="7">
        <v>2020</v>
      </c>
      <c r="H101" s="7" t="str">
        <f>CONCATENATE("04240494585")</f>
        <v>04240494585</v>
      </c>
      <c r="I101" s="7" t="s">
        <v>30</v>
      </c>
      <c r="J101" s="7" t="s">
        <v>31</v>
      </c>
      <c r="K101" s="7" t="str">
        <f>CONCATENATE("")</f>
        <v/>
      </c>
      <c r="L101" s="7" t="str">
        <f>CONCATENATE("11 11.2 4b")</f>
        <v>11 11.2 4b</v>
      </c>
      <c r="M101" s="7" t="str">
        <f>CONCATENATE("01711320430")</f>
        <v>01711320430</v>
      </c>
      <c r="N101" s="7" t="s">
        <v>192</v>
      </c>
      <c r="O101" s="7" t="s">
        <v>78</v>
      </c>
      <c r="P101" s="8">
        <v>44334</v>
      </c>
      <c r="Q101" s="7" t="s">
        <v>32</v>
      </c>
      <c r="R101" s="7" t="s">
        <v>33</v>
      </c>
      <c r="S101" s="7" t="s">
        <v>34</v>
      </c>
      <c r="T101" s="7"/>
      <c r="U101" s="7" t="s">
        <v>35</v>
      </c>
      <c r="V101" s="9">
        <v>2185.0700000000002</v>
      </c>
      <c r="W101" s="7">
        <v>942.2</v>
      </c>
      <c r="X101" s="7">
        <v>870.09</v>
      </c>
      <c r="Y101" s="7">
        <v>0</v>
      </c>
      <c r="Z101" s="7">
        <v>372.78</v>
      </c>
    </row>
    <row r="102" spans="1:26" x14ac:dyDescent="0.35">
      <c r="A102" s="7" t="s">
        <v>27</v>
      </c>
      <c r="B102" s="7" t="s">
        <v>47</v>
      </c>
      <c r="C102" s="7" t="s">
        <v>50</v>
      </c>
      <c r="D102" s="7" t="s">
        <v>54</v>
      </c>
      <c r="E102" s="7" t="s">
        <v>40</v>
      </c>
      <c r="F102" s="7" t="s">
        <v>193</v>
      </c>
      <c r="G102" s="7">
        <v>2020</v>
      </c>
      <c r="H102" s="7" t="str">
        <f>CONCATENATE("04240007973")</f>
        <v>04240007973</v>
      </c>
      <c r="I102" s="7" t="s">
        <v>30</v>
      </c>
      <c r="J102" s="7" t="s">
        <v>31</v>
      </c>
      <c r="K102" s="7" t="str">
        <f>CONCATENATE("")</f>
        <v/>
      </c>
      <c r="L102" s="7" t="str">
        <f>CONCATENATE("11 11.1 4b")</f>
        <v>11 11.1 4b</v>
      </c>
      <c r="M102" s="7" t="str">
        <f>CONCATENATE("RSSMRZ74T09E388V")</f>
        <v>RSSMRZ74T09E388V</v>
      </c>
      <c r="N102" s="7" t="s">
        <v>194</v>
      </c>
      <c r="O102" s="7" t="s">
        <v>78</v>
      </c>
      <c r="P102" s="8">
        <v>44334</v>
      </c>
      <c r="Q102" s="7" t="s">
        <v>32</v>
      </c>
      <c r="R102" s="7" t="s">
        <v>33</v>
      </c>
      <c r="S102" s="7" t="s">
        <v>34</v>
      </c>
      <c r="T102" s="7"/>
      <c r="U102" s="7" t="s">
        <v>35</v>
      </c>
      <c r="V102" s="9">
        <v>6328.04</v>
      </c>
      <c r="W102" s="9">
        <v>2728.65</v>
      </c>
      <c r="X102" s="9">
        <v>2519.83</v>
      </c>
      <c r="Y102" s="7">
        <v>0</v>
      </c>
      <c r="Z102" s="9">
        <v>1079.56</v>
      </c>
    </row>
    <row r="103" spans="1:26" x14ac:dyDescent="0.35">
      <c r="A103" s="7" t="s">
        <v>27</v>
      </c>
      <c r="B103" s="7" t="s">
        <v>47</v>
      </c>
      <c r="C103" s="7" t="s">
        <v>50</v>
      </c>
      <c r="D103" s="7" t="s">
        <v>54</v>
      </c>
      <c r="E103" s="7" t="s">
        <v>39</v>
      </c>
      <c r="F103" s="7" t="s">
        <v>195</v>
      </c>
      <c r="G103" s="7">
        <v>2020</v>
      </c>
      <c r="H103" s="7" t="str">
        <f>CONCATENATE("04240422636")</f>
        <v>04240422636</v>
      </c>
      <c r="I103" s="7" t="s">
        <v>30</v>
      </c>
      <c r="J103" s="7" t="s">
        <v>31</v>
      </c>
      <c r="K103" s="7" t="str">
        <f>CONCATENATE("")</f>
        <v/>
      </c>
      <c r="L103" s="7" t="str">
        <f>CONCATENATE("11 11.2 4b")</f>
        <v>11 11.2 4b</v>
      </c>
      <c r="M103" s="7" t="str">
        <f>CONCATENATE("PRMMRN59B20I156U")</f>
        <v>PRMMRN59B20I156U</v>
      </c>
      <c r="N103" s="7" t="s">
        <v>196</v>
      </c>
      <c r="O103" s="7" t="s">
        <v>78</v>
      </c>
      <c r="P103" s="8">
        <v>44334</v>
      </c>
      <c r="Q103" s="7" t="s">
        <v>32</v>
      </c>
      <c r="R103" s="7" t="s">
        <v>33</v>
      </c>
      <c r="S103" s="7" t="s">
        <v>34</v>
      </c>
      <c r="T103" s="7"/>
      <c r="U103" s="7" t="s">
        <v>35</v>
      </c>
      <c r="V103" s="7">
        <v>679.71</v>
      </c>
      <c r="W103" s="7">
        <v>293.08999999999997</v>
      </c>
      <c r="X103" s="7">
        <v>270.66000000000003</v>
      </c>
      <c r="Y103" s="7">
        <v>0</v>
      </c>
      <c r="Z103" s="7">
        <v>115.96</v>
      </c>
    </row>
    <row r="104" spans="1:26" x14ac:dyDescent="0.35">
      <c r="A104" s="7" t="s">
        <v>27</v>
      </c>
      <c r="B104" s="7" t="s">
        <v>47</v>
      </c>
      <c r="C104" s="7" t="s">
        <v>50</v>
      </c>
      <c r="D104" s="7" t="s">
        <v>54</v>
      </c>
      <c r="E104" s="7" t="s">
        <v>42</v>
      </c>
      <c r="F104" s="7" t="s">
        <v>184</v>
      </c>
      <c r="G104" s="7">
        <v>2020</v>
      </c>
      <c r="H104" s="7" t="str">
        <f>CONCATENATE("04240771909")</f>
        <v>04240771909</v>
      </c>
      <c r="I104" s="7" t="s">
        <v>43</v>
      </c>
      <c r="J104" s="7" t="s">
        <v>31</v>
      </c>
      <c r="K104" s="7" t="str">
        <f>CONCATENATE("")</f>
        <v/>
      </c>
      <c r="L104" s="7" t="str">
        <f>CONCATENATE("11 11.2 4b")</f>
        <v>11 11.2 4b</v>
      </c>
      <c r="M104" s="7" t="str">
        <f>CONCATENATE("PLMFPP95D10I156O")</f>
        <v>PLMFPP95D10I156O</v>
      </c>
      <c r="N104" s="7" t="s">
        <v>197</v>
      </c>
      <c r="O104" s="7" t="s">
        <v>78</v>
      </c>
      <c r="P104" s="8">
        <v>44334</v>
      </c>
      <c r="Q104" s="7" t="s">
        <v>32</v>
      </c>
      <c r="R104" s="7" t="s">
        <v>33</v>
      </c>
      <c r="S104" s="7" t="s">
        <v>34</v>
      </c>
      <c r="T104" s="7"/>
      <c r="U104" s="7" t="s">
        <v>35</v>
      </c>
      <c r="V104" s="7">
        <v>200.33</v>
      </c>
      <c r="W104" s="7">
        <v>86.38</v>
      </c>
      <c r="X104" s="7">
        <v>79.77</v>
      </c>
      <c r="Y104" s="7">
        <v>0</v>
      </c>
      <c r="Z104" s="7">
        <v>34.18</v>
      </c>
    </row>
    <row r="105" spans="1:26" x14ac:dyDescent="0.35">
      <c r="A105" s="7" t="s">
        <v>27</v>
      </c>
      <c r="B105" s="7" t="s">
        <v>47</v>
      </c>
      <c r="C105" s="7" t="s">
        <v>50</v>
      </c>
      <c r="D105" s="7" t="s">
        <v>54</v>
      </c>
      <c r="E105" s="7" t="s">
        <v>39</v>
      </c>
      <c r="F105" s="7" t="s">
        <v>107</v>
      </c>
      <c r="G105" s="7">
        <v>2020</v>
      </c>
      <c r="H105" s="7" t="str">
        <f>CONCATENATE("04240781957")</f>
        <v>04240781957</v>
      </c>
      <c r="I105" s="7" t="s">
        <v>30</v>
      </c>
      <c r="J105" s="7" t="s">
        <v>31</v>
      </c>
      <c r="K105" s="7" t="str">
        <f>CONCATENATE("")</f>
        <v/>
      </c>
      <c r="L105" s="7" t="str">
        <f>CONCATENATE("11 11.2 4b")</f>
        <v>11 11.2 4b</v>
      </c>
      <c r="M105" s="7" t="str">
        <f>CONCATENATE("MCARLL58E54I661W")</f>
        <v>MCARLL58E54I661W</v>
      </c>
      <c r="N105" s="7" t="s">
        <v>198</v>
      </c>
      <c r="O105" s="7" t="s">
        <v>78</v>
      </c>
      <c r="P105" s="8">
        <v>44334</v>
      </c>
      <c r="Q105" s="7" t="s">
        <v>32</v>
      </c>
      <c r="R105" s="7" t="s">
        <v>33</v>
      </c>
      <c r="S105" s="7" t="s">
        <v>34</v>
      </c>
      <c r="T105" s="7"/>
      <c r="U105" s="7" t="s">
        <v>35</v>
      </c>
      <c r="V105" s="7">
        <v>55.02</v>
      </c>
      <c r="W105" s="7">
        <v>23.72</v>
      </c>
      <c r="X105" s="7">
        <v>21.91</v>
      </c>
      <c r="Y105" s="7">
        <v>0</v>
      </c>
      <c r="Z105" s="7">
        <v>9.39</v>
      </c>
    </row>
    <row r="106" spans="1:26" x14ac:dyDescent="0.35">
      <c r="A106" s="7" t="s">
        <v>27</v>
      </c>
      <c r="B106" s="7" t="s">
        <v>47</v>
      </c>
      <c r="C106" s="7" t="s">
        <v>50</v>
      </c>
      <c r="D106" s="7" t="s">
        <v>64</v>
      </c>
      <c r="E106" s="7" t="s">
        <v>44</v>
      </c>
      <c r="F106" s="7" t="s">
        <v>199</v>
      </c>
      <c r="G106" s="7">
        <v>2020</v>
      </c>
      <c r="H106" s="7" t="str">
        <f>CONCATENATE("04240757528")</f>
        <v>04240757528</v>
      </c>
      <c r="I106" s="7" t="s">
        <v>30</v>
      </c>
      <c r="J106" s="7" t="s">
        <v>31</v>
      </c>
      <c r="K106" s="7" t="str">
        <f>CONCATENATE("")</f>
        <v/>
      </c>
      <c r="L106" s="7" t="str">
        <f>CONCATENATE("11 11.2 4b")</f>
        <v>11 11.2 4b</v>
      </c>
      <c r="M106" s="7" t="str">
        <f>CONCATENATE("RZZMNC79C65A462E")</f>
        <v>RZZMNC79C65A462E</v>
      </c>
      <c r="N106" s="7" t="s">
        <v>200</v>
      </c>
      <c r="O106" s="7" t="s">
        <v>78</v>
      </c>
      <c r="P106" s="8">
        <v>44334</v>
      </c>
      <c r="Q106" s="7" t="s">
        <v>32</v>
      </c>
      <c r="R106" s="7" t="s">
        <v>33</v>
      </c>
      <c r="S106" s="7" t="s">
        <v>34</v>
      </c>
      <c r="T106" s="7"/>
      <c r="U106" s="7" t="s">
        <v>35</v>
      </c>
      <c r="V106" s="9">
        <v>7342.04</v>
      </c>
      <c r="W106" s="9">
        <v>3165.89</v>
      </c>
      <c r="X106" s="9">
        <v>2923.6</v>
      </c>
      <c r="Y106" s="7">
        <v>0</v>
      </c>
      <c r="Z106" s="9">
        <v>1252.55</v>
      </c>
    </row>
    <row r="107" spans="1:26" x14ac:dyDescent="0.35">
      <c r="A107" s="7" t="s">
        <v>27</v>
      </c>
      <c r="B107" s="7" t="s">
        <v>47</v>
      </c>
      <c r="C107" s="7" t="s">
        <v>50</v>
      </c>
      <c r="D107" s="7" t="s">
        <v>54</v>
      </c>
      <c r="E107" s="7" t="s">
        <v>42</v>
      </c>
      <c r="F107" s="7" t="s">
        <v>76</v>
      </c>
      <c r="G107" s="7">
        <v>2020</v>
      </c>
      <c r="H107" s="7" t="str">
        <f>CONCATENATE("04241096983")</f>
        <v>04241096983</v>
      </c>
      <c r="I107" s="7" t="s">
        <v>43</v>
      </c>
      <c r="J107" s="7" t="s">
        <v>31</v>
      </c>
      <c r="K107" s="7" t="str">
        <f>CONCATENATE("")</f>
        <v/>
      </c>
      <c r="L107" s="7" t="str">
        <f>CONCATENATE("11 11.2 4b")</f>
        <v>11 11.2 4b</v>
      </c>
      <c r="M107" s="7" t="str">
        <f>CONCATENATE("RNZLNZ87T23L191N")</f>
        <v>RNZLNZ87T23L191N</v>
      </c>
      <c r="N107" s="7" t="s">
        <v>201</v>
      </c>
      <c r="O107" s="7" t="s">
        <v>78</v>
      </c>
      <c r="P107" s="8">
        <v>44334</v>
      </c>
      <c r="Q107" s="7" t="s">
        <v>32</v>
      </c>
      <c r="R107" s="7" t="s">
        <v>33</v>
      </c>
      <c r="S107" s="7" t="s">
        <v>34</v>
      </c>
      <c r="T107" s="7"/>
      <c r="U107" s="7" t="s">
        <v>35</v>
      </c>
      <c r="V107" s="7">
        <v>92.69</v>
      </c>
      <c r="W107" s="7">
        <v>39.97</v>
      </c>
      <c r="X107" s="7">
        <v>36.909999999999997</v>
      </c>
      <c r="Y107" s="7">
        <v>0</v>
      </c>
      <c r="Z107" s="7">
        <v>15.81</v>
      </c>
    </row>
    <row r="108" spans="1:26" x14ac:dyDescent="0.35">
      <c r="A108" s="7" t="s">
        <v>27</v>
      </c>
      <c r="B108" s="7" t="s">
        <v>47</v>
      </c>
      <c r="C108" s="7" t="s">
        <v>50</v>
      </c>
      <c r="D108" s="7" t="s">
        <v>54</v>
      </c>
      <c r="E108" s="7" t="s">
        <v>39</v>
      </c>
      <c r="F108" s="7" t="s">
        <v>79</v>
      </c>
      <c r="G108" s="7">
        <v>2020</v>
      </c>
      <c r="H108" s="7" t="str">
        <f>CONCATENATE("04241136615")</f>
        <v>04241136615</v>
      </c>
      <c r="I108" s="7" t="s">
        <v>30</v>
      </c>
      <c r="J108" s="7" t="s">
        <v>31</v>
      </c>
      <c r="K108" s="7" t="str">
        <f>CONCATENATE("")</f>
        <v/>
      </c>
      <c r="L108" s="7" t="str">
        <f>CONCATENATE("11 11.2 4b")</f>
        <v>11 11.2 4b</v>
      </c>
      <c r="M108" s="7" t="str">
        <f>CONCATENATE("BRTMNL69L44E783V")</f>
        <v>BRTMNL69L44E783V</v>
      </c>
      <c r="N108" s="7" t="s">
        <v>202</v>
      </c>
      <c r="O108" s="7" t="s">
        <v>78</v>
      </c>
      <c r="P108" s="8">
        <v>44334</v>
      </c>
      <c r="Q108" s="7" t="s">
        <v>32</v>
      </c>
      <c r="R108" s="7" t="s">
        <v>33</v>
      </c>
      <c r="S108" s="7" t="s">
        <v>34</v>
      </c>
      <c r="T108" s="7"/>
      <c r="U108" s="7" t="s">
        <v>35</v>
      </c>
      <c r="V108" s="7">
        <v>209.99</v>
      </c>
      <c r="W108" s="7">
        <v>90.55</v>
      </c>
      <c r="X108" s="7">
        <v>83.62</v>
      </c>
      <c r="Y108" s="7">
        <v>0</v>
      </c>
      <c r="Z108" s="7">
        <v>35.82</v>
      </c>
    </row>
    <row r="109" spans="1:26" x14ac:dyDescent="0.35">
      <c r="A109" s="7" t="s">
        <v>27</v>
      </c>
      <c r="B109" s="7" t="s">
        <v>47</v>
      </c>
      <c r="C109" s="7" t="s">
        <v>50</v>
      </c>
      <c r="D109" s="7" t="s">
        <v>54</v>
      </c>
      <c r="E109" s="7" t="s">
        <v>39</v>
      </c>
      <c r="F109" s="7" t="s">
        <v>62</v>
      </c>
      <c r="G109" s="7">
        <v>2020</v>
      </c>
      <c r="H109" s="7" t="str">
        <f>CONCATENATE("04241072158")</f>
        <v>04241072158</v>
      </c>
      <c r="I109" s="7" t="s">
        <v>43</v>
      </c>
      <c r="J109" s="7" t="s">
        <v>31</v>
      </c>
      <c r="K109" s="7" t="str">
        <f>CONCATENATE("")</f>
        <v/>
      </c>
      <c r="L109" s="7" t="str">
        <f>CONCATENATE("11 11.2 4b")</f>
        <v>11 11.2 4b</v>
      </c>
      <c r="M109" s="7" t="str">
        <f>CONCATENATE("VSSCLD43S05C886A")</f>
        <v>VSSCLD43S05C886A</v>
      </c>
      <c r="N109" s="7" t="s">
        <v>203</v>
      </c>
      <c r="O109" s="7" t="s">
        <v>78</v>
      </c>
      <c r="P109" s="8">
        <v>44334</v>
      </c>
      <c r="Q109" s="7" t="s">
        <v>32</v>
      </c>
      <c r="R109" s="7" t="s">
        <v>33</v>
      </c>
      <c r="S109" s="7" t="s">
        <v>34</v>
      </c>
      <c r="T109" s="7"/>
      <c r="U109" s="7" t="s">
        <v>35</v>
      </c>
      <c r="V109" s="9">
        <v>3270.77</v>
      </c>
      <c r="W109" s="9">
        <v>1410.36</v>
      </c>
      <c r="X109" s="9">
        <v>1302.42</v>
      </c>
      <c r="Y109" s="7">
        <v>0</v>
      </c>
      <c r="Z109" s="7">
        <v>557.99</v>
      </c>
    </row>
    <row r="110" spans="1:26" x14ac:dyDescent="0.35">
      <c r="A110" s="7" t="s">
        <v>27</v>
      </c>
      <c r="B110" s="7" t="s">
        <v>47</v>
      </c>
      <c r="C110" s="7" t="s">
        <v>50</v>
      </c>
      <c r="D110" s="7" t="s">
        <v>54</v>
      </c>
      <c r="E110" s="7" t="s">
        <v>42</v>
      </c>
      <c r="F110" s="7" t="s">
        <v>184</v>
      </c>
      <c r="G110" s="7">
        <v>2020</v>
      </c>
      <c r="H110" s="7" t="str">
        <f>CONCATENATE("04240254716")</f>
        <v>04240254716</v>
      </c>
      <c r="I110" s="7" t="s">
        <v>30</v>
      </c>
      <c r="J110" s="7" t="s">
        <v>31</v>
      </c>
      <c r="K110" s="7" t="str">
        <f>CONCATENATE("")</f>
        <v/>
      </c>
      <c r="L110" s="7" t="str">
        <f>CONCATENATE("11 11.2 4b")</f>
        <v>11 11.2 4b</v>
      </c>
      <c r="M110" s="7" t="str">
        <f>CONCATENATE("BRNNDR91E21B474D")</f>
        <v>BRNNDR91E21B474D</v>
      </c>
      <c r="N110" s="7" t="s">
        <v>204</v>
      </c>
      <c r="O110" s="7" t="s">
        <v>78</v>
      </c>
      <c r="P110" s="8">
        <v>44334</v>
      </c>
      <c r="Q110" s="7" t="s">
        <v>32</v>
      </c>
      <c r="R110" s="7" t="s">
        <v>33</v>
      </c>
      <c r="S110" s="7" t="s">
        <v>34</v>
      </c>
      <c r="T110" s="7"/>
      <c r="U110" s="7" t="s">
        <v>35</v>
      </c>
      <c r="V110" s="9">
        <v>1816.19</v>
      </c>
      <c r="W110" s="7">
        <v>783.14</v>
      </c>
      <c r="X110" s="7">
        <v>723.21</v>
      </c>
      <c r="Y110" s="7">
        <v>0</v>
      </c>
      <c r="Z110" s="7">
        <v>309.83999999999997</v>
      </c>
    </row>
    <row r="111" spans="1:26" x14ac:dyDescent="0.35">
      <c r="A111" s="7" t="s">
        <v>27</v>
      </c>
      <c r="B111" s="7" t="s">
        <v>47</v>
      </c>
      <c r="C111" s="7" t="s">
        <v>50</v>
      </c>
      <c r="D111" s="7" t="s">
        <v>54</v>
      </c>
      <c r="E111" s="7" t="s">
        <v>45</v>
      </c>
      <c r="F111" s="7" t="s">
        <v>49</v>
      </c>
      <c r="G111" s="7">
        <v>2020</v>
      </c>
      <c r="H111" s="7" t="str">
        <f>CONCATENATE("04240959777")</f>
        <v>04240959777</v>
      </c>
      <c r="I111" s="7" t="s">
        <v>43</v>
      </c>
      <c r="J111" s="7" t="s">
        <v>31</v>
      </c>
      <c r="K111" s="7" t="str">
        <f>CONCATENATE("")</f>
        <v/>
      </c>
      <c r="L111" s="7" t="str">
        <f>CONCATENATE("11 11.2 4b")</f>
        <v>11 11.2 4b</v>
      </c>
      <c r="M111" s="7" t="str">
        <f>CONCATENATE("DMBMRN80C05I377Y")</f>
        <v>DMBMRN80C05I377Y</v>
      </c>
      <c r="N111" s="7" t="s">
        <v>205</v>
      </c>
      <c r="O111" s="7" t="s">
        <v>78</v>
      </c>
      <c r="P111" s="8">
        <v>44334</v>
      </c>
      <c r="Q111" s="7" t="s">
        <v>32</v>
      </c>
      <c r="R111" s="7" t="s">
        <v>33</v>
      </c>
      <c r="S111" s="7" t="s">
        <v>34</v>
      </c>
      <c r="T111" s="7"/>
      <c r="U111" s="7" t="s">
        <v>35</v>
      </c>
      <c r="V111" s="9">
        <v>1152.4000000000001</v>
      </c>
      <c r="W111" s="7">
        <v>496.91</v>
      </c>
      <c r="X111" s="7">
        <v>458.89</v>
      </c>
      <c r="Y111" s="7">
        <v>0</v>
      </c>
      <c r="Z111" s="7">
        <v>196.6</v>
      </c>
    </row>
    <row r="112" spans="1:26" x14ac:dyDescent="0.35">
      <c r="A112" s="7" t="s">
        <v>27</v>
      </c>
      <c r="B112" s="7" t="s">
        <v>47</v>
      </c>
      <c r="C112" s="7" t="s">
        <v>50</v>
      </c>
      <c r="D112" s="7" t="s">
        <v>54</v>
      </c>
      <c r="E112" s="7" t="s">
        <v>39</v>
      </c>
      <c r="F112" s="7" t="s">
        <v>107</v>
      </c>
      <c r="G112" s="7">
        <v>2020</v>
      </c>
      <c r="H112" s="7" t="str">
        <f>CONCATENATE("04240250474")</f>
        <v>04240250474</v>
      </c>
      <c r="I112" s="7" t="s">
        <v>30</v>
      </c>
      <c r="J112" s="7" t="s">
        <v>31</v>
      </c>
      <c r="K112" s="7" t="str">
        <f>CONCATENATE("")</f>
        <v/>
      </c>
      <c r="L112" s="7" t="str">
        <f>CONCATENATE("11 11.2 4b")</f>
        <v>11 11.2 4b</v>
      </c>
      <c r="M112" s="7" t="str">
        <f>CONCATENATE("SLVMFR63D08G690U")</f>
        <v>SLVMFR63D08G690U</v>
      </c>
      <c r="N112" s="7" t="s">
        <v>206</v>
      </c>
      <c r="O112" s="7" t="s">
        <v>78</v>
      </c>
      <c r="P112" s="8">
        <v>44334</v>
      </c>
      <c r="Q112" s="7" t="s">
        <v>32</v>
      </c>
      <c r="R112" s="7" t="s">
        <v>33</v>
      </c>
      <c r="S112" s="7" t="s">
        <v>34</v>
      </c>
      <c r="T112" s="7"/>
      <c r="U112" s="7" t="s">
        <v>35</v>
      </c>
      <c r="V112" s="7">
        <v>876.12</v>
      </c>
      <c r="W112" s="7">
        <v>377.78</v>
      </c>
      <c r="X112" s="7">
        <v>348.87</v>
      </c>
      <c r="Y112" s="7">
        <v>0</v>
      </c>
      <c r="Z112" s="7">
        <v>149.47</v>
      </c>
    </row>
    <row r="113" spans="1:26" x14ac:dyDescent="0.35">
      <c r="A113" s="7" t="s">
        <v>27</v>
      </c>
      <c r="B113" s="7" t="s">
        <v>47</v>
      </c>
      <c r="C113" s="7" t="s">
        <v>50</v>
      </c>
      <c r="D113" s="7" t="s">
        <v>51</v>
      </c>
      <c r="E113" s="7" t="s">
        <v>39</v>
      </c>
      <c r="F113" s="7" t="s">
        <v>125</v>
      </c>
      <c r="G113" s="7">
        <v>2020</v>
      </c>
      <c r="H113" s="7" t="str">
        <f>CONCATENATE("04210095131")</f>
        <v>04210095131</v>
      </c>
      <c r="I113" s="7" t="s">
        <v>30</v>
      </c>
      <c r="J113" s="7" t="s">
        <v>31</v>
      </c>
      <c r="K113" s="7" t="str">
        <f>CONCATENATE("")</f>
        <v/>
      </c>
      <c r="L113" s="7" t="str">
        <f>CONCATENATE("13 13.1 4a")</f>
        <v>13 13.1 4a</v>
      </c>
      <c r="M113" s="7" t="str">
        <f>CONCATENATE("RSTRLF56L22D791V")</f>
        <v>RSTRLF56L22D791V</v>
      </c>
      <c r="N113" s="7" t="s">
        <v>207</v>
      </c>
      <c r="O113" s="7" t="s">
        <v>115</v>
      </c>
      <c r="P113" s="8">
        <v>44334</v>
      </c>
      <c r="Q113" s="7" t="s">
        <v>32</v>
      </c>
      <c r="R113" s="7" t="s">
        <v>33</v>
      </c>
      <c r="S113" s="7" t="s">
        <v>34</v>
      </c>
      <c r="T113" s="7"/>
      <c r="U113" s="7" t="s">
        <v>35</v>
      </c>
      <c r="V113" s="9">
        <v>5545.71</v>
      </c>
      <c r="W113" s="9">
        <v>2391.31</v>
      </c>
      <c r="X113" s="9">
        <v>2208.3000000000002</v>
      </c>
      <c r="Y113" s="7">
        <v>0</v>
      </c>
      <c r="Z113" s="7">
        <v>946.1</v>
      </c>
    </row>
    <row r="114" spans="1:26" x14ac:dyDescent="0.35">
      <c r="A114" s="7" t="s">
        <v>27</v>
      </c>
      <c r="B114" s="7" t="s">
        <v>47</v>
      </c>
      <c r="C114" s="7" t="s">
        <v>50</v>
      </c>
      <c r="D114" s="7" t="s">
        <v>54</v>
      </c>
      <c r="E114" s="7" t="s">
        <v>39</v>
      </c>
      <c r="F114" s="7" t="s">
        <v>79</v>
      </c>
      <c r="G114" s="7">
        <v>2020</v>
      </c>
      <c r="H114" s="7" t="str">
        <f>CONCATENATE("04240884488")</f>
        <v>04240884488</v>
      </c>
      <c r="I114" s="7" t="s">
        <v>30</v>
      </c>
      <c r="J114" s="7" t="s">
        <v>31</v>
      </c>
      <c r="K114" s="7" t="str">
        <f>CONCATENATE("")</f>
        <v/>
      </c>
      <c r="L114" s="7" t="str">
        <f>CONCATENATE("11 11.2 4b")</f>
        <v>11 11.2 4b</v>
      </c>
      <c r="M114" s="7" t="str">
        <f>CONCATENATE("01727390435")</f>
        <v>01727390435</v>
      </c>
      <c r="N114" s="7" t="s">
        <v>208</v>
      </c>
      <c r="O114" s="7" t="s">
        <v>78</v>
      </c>
      <c r="P114" s="8">
        <v>44334</v>
      </c>
      <c r="Q114" s="7" t="s">
        <v>32</v>
      </c>
      <c r="R114" s="7" t="s">
        <v>33</v>
      </c>
      <c r="S114" s="7" t="s">
        <v>34</v>
      </c>
      <c r="T114" s="7"/>
      <c r="U114" s="7" t="s">
        <v>35</v>
      </c>
      <c r="V114" s="9">
        <v>33372.620000000003</v>
      </c>
      <c r="W114" s="9">
        <v>14390.27</v>
      </c>
      <c r="X114" s="9">
        <v>13288.98</v>
      </c>
      <c r="Y114" s="7">
        <v>0</v>
      </c>
      <c r="Z114" s="9">
        <v>5693.37</v>
      </c>
    </row>
    <row r="115" spans="1:26" x14ac:dyDescent="0.35">
      <c r="A115" s="7" t="s">
        <v>27</v>
      </c>
      <c r="B115" s="7" t="s">
        <v>47</v>
      </c>
      <c r="C115" s="7" t="s">
        <v>50</v>
      </c>
      <c r="D115" s="7" t="s">
        <v>54</v>
      </c>
      <c r="E115" s="7" t="s">
        <v>39</v>
      </c>
      <c r="F115" s="7" t="s">
        <v>89</v>
      </c>
      <c r="G115" s="7">
        <v>2020</v>
      </c>
      <c r="H115" s="7" t="str">
        <f>CONCATENATE("04240977985")</f>
        <v>04240977985</v>
      </c>
      <c r="I115" s="7" t="s">
        <v>30</v>
      </c>
      <c r="J115" s="7" t="s">
        <v>31</v>
      </c>
      <c r="K115" s="7" t="str">
        <f>CONCATENATE("")</f>
        <v/>
      </c>
      <c r="L115" s="7" t="str">
        <f>CONCATENATE("11 11.2 4b")</f>
        <v>11 11.2 4b</v>
      </c>
      <c r="M115" s="7" t="str">
        <f>CONCATENATE("PCCGNN75R08D211D")</f>
        <v>PCCGNN75R08D211D</v>
      </c>
      <c r="N115" s="7" t="s">
        <v>209</v>
      </c>
      <c r="O115" s="7" t="s">
        <v>78</v>
      </c>
      <c r="P115" s="8">
        <v>44334</v>
      </c>
      <c r="Q115" s="7" t="s">
        <v>32</v>
      </c>
      <c r="R115" s="7" t="s">
        <v>33</v>
      </c>
      <c r="S115" s="7" t="s">
        <v>34</v>
      </c>
      <c r="T115" s="7"/>
      <c r="U115" s="7" t="s">
        <v>35</v>
      </c>
      <c r="V115" s="9">
        <v>2072.64</v>
      </c>
      <c r="W115" s="7">
        <v>893.72</v>
      </c>
      <c r="X115" s="7">
        <v>825.33</v>
      </c>
      <c r="Y115" s="7">
        <v>0</v>
      </c>
      <c r="Z115" s="7">
        <v>353.59</v>
      </c>
    </row>
    <row r="116" spans="1:26" x14ac:dyDescent="0.35">
      <c r="A116" s="7" t="s">
        <v>27</v>
      </c>
      <c r="B116" s="7" t="s">
        <v>28</v>
      </c>
      <c r="C116" s="7" t="s">
        <v>50</v>
      </c>
      <c r="D116" s="7" t="s">
        <v>51</v>
      </c>
      <c r="E116" s="7" t="s">
        <v>40</v>
      </c>
      <c r="F116" s="7" t="s">
        <v>98</v>
      </c>
      <c r="G116" s="7">
        <v>2017</v>
      </c>
      <c r="H116" s="7" t="str">
        <f>CONCATENATE("14270141444")</f>
        <v>14270141444</v>
      </c>
      <c r="I116" s="7" t="s">
        <v>30</v>
      </c>
      <c r="J116" s="7" t="s">
        <v>31</v>
      </c>
      <c r="K116" s="7" t="str">
        <f>CONCATENATE("")</f>
        <v/>
      </c>
      <c r="L116" s="7" t="str">
        <f>CONCATENATE("21 21.1 2a")</f>
        <v>21 21.1 2a</v>
      </c>
      <c r="M116" s="7" t="str">
        <f>CONCATENATE("02393300419")</f>
        <v>02393300419</v>
      </c>
      <c r="N116" s="7" t="s">
        <v>210</v>
      </c>
      <c r="O116" s="7" t="s">
        <v>152</v>
      </c>
      <c r="P116" s="8">
        <v>44334</v>
      </c>
      <c r="Q116" s="7" t="s">
        <v>32</v>
      </c>
      <c r="R116" s="7" t="s">
        <v>33</v>
      </c>
      <c r="S116" s="7" t="s">
        <v>34</v>
      </c>
      <c r="T116" s="7"/>
      <c r="U116" s="7" t="s">
        <v>35</v>
      </c>
      <c r="V116" s="9">
        <v>6825</v>
      </c>
      <c r="W116" s="9">
        <v>2942.94</v>
      </c>
      <c r="X116" s="9">
        <v>2717.72</v>
      </c>
      <c r="Y116" s="7">
        <v>0</v>
      </c>
      <c r="Z116" s="9">
        <v>1164.3399999999999</v>
      </c>
    </row>
    <row r="117" spans="1:26" x14ac:dyDescent="0.35">
      <c r="A117" s="7" t="s">
        <v>27</v>
      </c>
      <c r="B117" s="7" t="s">
        <v>47</v>
      </c>
      <c r="C117" s="7" t="s">
        <v>50</v>
      </c>
      <c r="D117" s="7" t="s">
        <v>54</v>
      </c>
      <c r="E117" s="7" t="s">
        <v>42</v>
      </c>
      <c r="F117" s="7" t="s">
        <v>76</v>
      </c>
      <c r="G117" s="7">
        <v>2020</v>
      </c>
      <c r="H117" s="7" t="str">
        <f>CONCATENATE("04240968901")</f>
        <v>04240968901</v>
      </c>
      <c r="I117" s="7" t="s">
        <v>30</v>
      </c>
      <c r="J117" s="7" t="s">
        <v>31</v>
      </c>
      <c r="K117" s="7" t="str">
        <f>CONCATENATE("")</f>
        <v/>
      </c>
      <c r="L117" s="7" t="str">
        <f>CONCATENATE("11 11.2 4b")</f>
        <v>11 11.2 4b</v>
      </c>
      <c r="M117" s="7" t="str">
        <f>CONCATENATE("RCCCLD60E31I324Z")</f>
        <v>RCCCLD60E31I324Z</v>
      </c>
      <c r="N117" s="7" t="s">
        <v>211</v>
      </c>
      <c r="O117" s="7" t="s">
        <v>78</v>
      </c>
      <c r="P117" s="8">
        <v>44334</v>
      </c>
      <c r="Q117" s="7" t="s">
        <v>32</v>
      </c>
      <c r="R117" s="7" t="s">
        <v>33</v>
      </c>
      <c r="S117" s="7" t="s">
        <v>34</v>
      </c>
      <c r="T117" s="7"/>
      <c r="U117" s="7" t="s">
        <v>35</v>
      </c>
      <c r="V117" s="7">
        <v>890.94</v>
      </c>
      <c r="W117" s="7">
        <v>384.17</v>
      </c>
      <c r="X117" s="7">
        <v>354.77</v>
      </c>
      <c r="Y117" s="7">
        <v>0</v>
      </c>
      <c r="Z117" s="7">
        <v>152</v>
      </c>
    </row>
    <row r="118" spans="1:26" x14ac:dyDescent="0.35">
      <c r="A118" s="7" t="s">
        <v>27</v>
      </c>
      <c r="B118" s="7" t="s">
        <v>47</v>
      </c>
      <c r="C118" s="7" t="s">
        <v>50</v>
      </c>
      <c r="D118" s="7" t="s">
        <v>54</v>
      </c>
      <c r="E118" s="7" t="s">
        <v>39</v>
      </c>
      <c r="F118" s="7" t="s">
        <v>79</v>
      </c>
      <c r="G118" s="7">
        <v>2020</v>
      </c>
      <c r="H118" s="7" t="str">
        <f>CONCATENATE("04240897589")</f>
        <v>04240897589</v>
      </c>
      <c r="I118" s="7" t="s">
        <v>30</v>
      </c>
      <c r="J118" s="7" t="s">
        <v>31</v>
      </c>
      <c r="K118" s="7" t="str">
        <f>CONCATENATE("")</f>
        <v/>
      </c>
      <c r="L118" s="7" t="str">
        <f>CONCATENATE("11 11.2 4b")</f>
        <v>11 11.2 4b</v>
      </c>
      <c r="M118" s="7" t="str">
        <f>CONCATENATE("BCCNRC78C21I436T")</f>
        <v>BCCNRC78C21I436T</v>
      </c>
      <c r="N118" s="7" t="s">
        <v>212</v>
      </c>
      <c r="O118" s="7" t="s">
        <v>78</v>
      </c>
      <c r="P118" s="8">
        <v>44334</v>
      </c>
      <c r="Q118" s="7" t="s">
        <v>32</v>
      </c>
      <c r="R118" s="7" t="s">
        <v>33</v>
      </c>
      <c r="S118" s="7" t="s">
        <v>34</v>
      </c>
      <c r="T118" s="7"/>
      <c r="U118" s="7" t="s">
        <v>35</v>
      </c>
      <c r="V118" s="9">
        <v>24508.34</v>
      </c>
      <c r="W118" s="9">
        <v>10568</v>
      </c>
      <c r="X118" s="9">
        <v>9759.2199999999993</v>
      </c>
      <c r="Y118" s="7">
        <v>0</v>
      </c>
      <c r="Z118" s="9">
        <v>4181.12</v>
      </c>
    </row>
    <row r="119" spans="1:26" x14ac:dyDescent="0.35">
      <c r="A119" s="7" t="s">
        <v>27</v>
      </c>
      <c r="B119" s="7" t="s">
        <v>47</v>
      </c>
      <c r="C119" s="7" t="s">
        <v>50</v>
      </c>
      <c r="D119" s="7" t="s">
        <v>54</v>
      </c>
      <c r="E119" s="7" t="s">
        <v>39</v>
      </c>
      <c r="F119" s="7" t="s">
        <v>79</v>
      </c>
      <c r="G119" s="7">
        <v>2020</v>
      </c>
      <c r="H119" s="7" t="str">
        <f>CONCATENATE("04240873762")</f>
        <v>04240873762</v>
      </c>
      <c r="I119" s="7" t="s">
        <v>30</v>
      </c>
      <c r="J119" s="7" t="s">
        <v>31</v>
      </c>
      <c r="K119" s="7" t="str">
        <f>CONCATENATE("")</f>
        <v/>
      </c>
      <c r="L119" s="7" t="str">
        <f>CONCATENATE("11 11.2 4b")</f>
        <v>11 11.2 4b</v>
      </c>
      <c r="M119" s="7" t="str">
        <f>CONCATENATE("01907690430")</f>
        <v>01907690430</v>
      </c>
      <c r="N119" s="7" t="s">
        <v>213</v>
      </c>
      <c r="O119" s="7" t="s">
        <v>78</v>
      </c>
      <c r="P119" s="8">
        <v>44334</v>
      </c>
      <c r="Q119" s="7" t="s">
        <v>32</v>
      </c>
      <c r="R119" s="7" t="s">
        <v>33</v>
      </c>
      <c r="S119" s="7" t="s">
        <v>34</v>
      </c>
      <c r="T119" s="7"/>
      <c r="U119" s="7" t="s">
        <v>35</v>
      </c>
      <c r="V119" s="9">
        <v>8194.5300000000007</v>
      </c>
      <c r="W119" s="9">
        <v>3533.48</v>
      </c>
      <c r="X119" s="9">
        <v>3263.06</v>
      </c>
      <c r="Y119" s="7">
        <v>0</v>
      </c>
      <c r="Z119" s="9">
        <v>1397.99</v>
      </c>
    </row>
    <row r="120" spans="1:26" x14ac:dyDescent="0.35">
      <c r="A120" s="7" t="s">
        <v>27</v>
      </c>
      <c r="B120" s="7" t="s">
        <v>47</v>
      </c>
      <c r="C120" s="7" t="s">
        <v>50</v>
      </c>
      <c r="D120" s="7" t="s">
        <v>54</v>
      </c>
      <c r="E120" s="7" t="s">
        <v>39</v>
      </c>
      <c r="F120" s="7" t="s">
        <v>79</v>
      </c>
      <c r="G120" s="7">
        <v>2020</v>
      </c>
      <c r="H120" s="7" t="str">
        <f>CONCATENATE("04240873713")</f>
        <v>04240873713</v>
      </c>
      <c r="I120" s="7" t="s">
        <v>30</v>
      </c>
      <c r="J120" s="7" t="s">
        <v>31</v>
      </c>
      <c r="K120" s="7" t="str">
        <f>CONCATENATE("")</f>
        <v/>
      </c>
      <c r="L120" s="7" t="str">
        <f>CONCATENATE("11 11.1 4b")</f>
        <v>11 11.1 4b</v>
      </c>
      <c r="M120" s="7" t="str">
        <f>CONCATENATE("01907690430")</f>
        <v>01907690430</v>
      </c>
      <c r="N120" s="7" t="s">
        <v>213</v>
      </c>
      <c r="O120" s="7" t="s">
        <v>78</v>
      </c>
      <c r="P120" s="8">
        <v>44334</v>
      </c>
      <c r="Q120" s="7" t="s">
        <v>32</v>
      </c>
      <c r="R120" s="7" t="s">
        <v>33</v>
      </c>
      <c r="S120" s="7" t="s">
        <v>34</v>
      </c>
      <c r="T120" s="7"/>
      <c r="U120" s="7" t="s">
        <v>35</v>
      </c>
      <c r="V120" s="9">
        <v>16688.900000000001</v>
      </c>
      <c r="W120" s="9">
        <v>7196.25</v>
      </c>
      <c r="X120" s="9">
        <v>6645.52</v>
      </c>
      <c r="Y120" s="7">
        <v>0</v>
      </c>
      <c r="Z120" s="9">
        <v>2847.13</v>
      </c>
    </row>
    <row r="121" spans="1:26" x14ac:dyDescent="0.35">
      <c r="A121" s="7" t="s">
        <v>27</v>
      </c>
      <c r="B121" s="7" t="s">
        <v>28</v>
      </c>
      <c r="C121" s="7" t="s">
        <v>50</v>
      </c>
      <c r="D121" s="7" t="s">
        <v>64</v>
      </c>
      <c r="E121" s="7" t="s">
        <v>36</v>
      </c>
      <c r="F121" s="7" t="s">
        <v>36</v>
      </c>
      <c r="G121" s="7">
        <v>2017</v>
      </c>
      <c r="H121" s="7" t="str">
        <f>CONCATENATE("14270141576")</f>
        <v>14270141576</v>
      </c>
      <c r="I121" s="7" t="s">
        <v>30</v>
      </c>
      <c r="J121" s="7" t="s">
        <v>31</v>
      </c>
      <c r="K121" s="7" t="str">
        <f>CONCATENATE("")</f>
        <v/>
      </c>
      <c r="L121" s="7" t="str">
        <f>CONCATENATE("21 21.1 2a")</f>
        <v>21 21.1 2a</v>
      </c>
      <c r="M121" s="7" t="str">
        <f>CONCATENATE("02269060444")</f>
        <v>02269060444</v>
      </c>
      <c r="N121" s="7" t="s">
        <v>214</v>
      </c>
      <c r="O121" s="7" t="s">
        <v>152</v>
      </c>
      <c r="P121" s="8">
        <v>44334</v>
      </c>
      <c r="Q121" s="7" t="s">
        <v>32</v>
      </c>
      <c r="R121" s="7" t="s">
        <v>33</v>
      </c>
      <c r="S121" s="7" t="s">
        <v>34</v>
      </c>
      <c r="T121" s="7"/>
      <c r="U121" s="7" t="s">
        <v>35</v>
      </c>
      <c r="V121" s="9">
        <v>1680</v>
      </c>
      <c r="W121" s="7">
        <v>724.42</v>
      </c>
      <c r="X121" s="7">
        <v>668.98</v>
      </c>
      <c r="Y121" s="7">
        <v>0</v>
      </c>
      <c r="Z121" s="7">
        <v>286.60000000000002</v>
      </c>
    </row>
    <row r="122" spans="1:26" x14ac:dyDescent="0.35">
      <c r="A122" s="7" t="s">
        <v>27</v>
      </c>
      <c r="B122" s="7" t="s">
        <v>47</v>
      </c>
      <c r="C122" s="7" t="s">
        <v>50</v>
      </c>
      <c r="D122" s="7" t="s">
        <v>54</v>
      </c>
      <c r="E122" s="7" t="s">
        <v>39</v>
      </c>
      <c r="F122" s="7" t="s">
        <v>107</v>
      </c>
      <c r="G122" s="7">
        <v>2020</v>
      </c>
      <c r="H122" s="7" t="str">
        <f>CONCATENATE("04240241275")</f>
        <v>04240241275</v>
      </c>
      <c r="I122" s="7" t="s">
        <v>30</v>
      </c>
      <c r="J122" s="7" t="s">
        <v>31</v>
      </c>
      <c r="K122" s="7" t="str">
        <f>CONCATENATE("")</f>
        <v/>
      </c>
      <c r="L122" s="7" t="str">
        <f>CONCATENATE("11 11.2 4b")</f>
        <v>11 11.2 4b</v>
      </c>
      <c r="M122" s="7" t="str">
        <f>CONCATENATE("NGLMRK78A11B474J")</f>
        <v>NGLMRK78A11B474J</v>
      </c>
      <c r="N122" s="7" t="s">
        <v>215</v>
      </c>
      <c r="O122" s="7" t="s">
        <v>78</v>
      </c>
      <c r="P122" s="8">
        <v>44334</v>
      </c>
      <c r="Q122" s="7" t="s">
        <v>32</v>
      </c>
      <c r="R122" s="7" t="s">
        <v>33</v>
      </c>
      <c r="S122" s="7" t="s">
        <v>34</v>
      </c>
      <c r="T122" s="7"/>
      <c r="U122" s="7" t="s">
        <v>35</v>
      </c>
      <c r="V122" s="9">
        <v>5825.89</v>
      </c>
      <c r="W122" s="9">
        <v>2512.12</v>
      </c>
      <c r="X122" s="9">
        <v>2319.87</v>
      </c>
      <c r="Y122" s="7">
        <v>0</v>
      </c>
      <c r="Z122" s="7">
        <v>993.9</v>
      </c>
    </row>
    <row r="123" spans="1:26" x14ac:dyDescent="0.35">
      <c r="A123" s="7" t="s">
        <v>27</v>
      </c>
      <c r="B123" s="7" t="s">
        <v>47</v>
      </c>
      <c r="C123" s="7" t="s">
        <v>50</v>
      </c>
      <c r="D123" s="7" t="s">
        <v>54</v>
      </c>
      <c r="E123" s="7" t="s">
        <v>39</v>
      </c>
      <c r="F123" s="7" t="s">
        <v>107</v>
      </c>
      <c r="G123" s="7">
        <v>2018</v>
      </c>
      <c r="H123" s="7" t="str">
        <f>CONCATENATE("84241040561")</f>
        <v>84241040561</v>
      </c>
      <c r="I123" s="7" t="s">
        <v>30</v>
      </c>
      <c r="J123" s="7" t="s">
        <v>31</v>
      </c>
      <c r="K123" s="7" t="str">
        <f>CONCATENATE("")</f>
        <v/>
      </c>
      <c r="L123" s="7" t="str">
        <f>CONCATENATE("11 11.2 4b")</f>
        <v>11 11.2 4b</v>
      </c>
      <c r="M123" s="7" t="str">
        <f>CONCATENATE("00395910433")</f>
        <v>00395910433</v>
      </c>
      <c r="N123" s="7" t="s">
        <v>216</v>
      </c>
      <c r="O123" s="7" t="s">
        <v>78</v>
      </c>
      <c r="P123" s="8">
        <v>44334</v>
      </c>
      <c r="Q123" s="7" t="s">
        <v>32</v>
      </c>
      <c r="R123" s="7" t="s">
        <v>33</v>
      </c>
      <c r="S123" s="7" t="s">
        <v>34</v>
      </c>
      <c r="T123" s="7"/>
      <c r="U123" s="7" t="s">
        <v>35</v>
      </c>
      <c r="V123" s="9">
        <v>5580.64</v>
      </c>
      <c r="W123" s="9">
        <v>2406.37</v>
      </c>
      <c r="X123" s="9">
        <v>2222.21</v>
      </c>
      <c r="Y123" s="7">
        <v>0</v>
      </c>
      <c r="Z123" s="7">
        <v>952.06</v>
      </c>
    </row>
    <row r="124" spans="1:26" x14ac:dyDescent="0.35">
      <c r="A124" s="7" t="s">
        <v>27</v>
      </c>
      <c r="B124" s="7" t="s">
        <v>28</v>
      </c>
      <c r="C124" s="7" t="s">
        <v>50</v>
      </c>
      <c r="D124" s="7" t="s">
        <v>51</v>
      </c>
      <c r="E124" s="7" t="s">
        <v>39</v>
      </c>
      <c r="F124" s="7" t="s">
        <v>119</v>
      </c>
      <c r="G124" s="7">
        <v>2017</v>
      </c>
      <c r="H124" s="7" t="str">
        <f>CONCATENATE("14270141725")</f>
        <v>14270141725</v>
      </c>
      <c r="I124" s="7" t="s">
        <v>30</v>
      </c>
      <c r="J124" s="7" t="s">
        <v>31</v>
      </c>
      <c r="K124" s="7" t="str">
        <f>CONCATENATE("")</f>
        <v/>
      </c>
      <c r="L124" s="7" t="str">
        <f>CONCATENATE("21 21.1 2a")</f>
        <v>21 21.1 2a</v>
      </c>
      <c r="M124" s="7" t="str">
        <f>CONCATENATE("02010570410")</f>
        <v>02010570410</v>
      </c>
      <c r="N124" s="7" t="s">
        <v>217</v>
      </c>
      <c r="O124" s="7" t="s">
        <v>152</v>
      </c>
      <c r="P124" s="8">
        <v>44334</v>
      </c>
      <c r="Q124" s="7" t="s">
        <v>32</v>
      </c>
      <c r="R124" s="7" t="s">
        <v>33</v>
      </c>
      <c r="S124" s="7" t="s">
        <v>34</v>
      </c>
      <c r="T124" s="7"/>
      <c r="U124" s="7" t="s">
        <v>35</v>
      </c>
      <c r="V124" s="9">
        <v>7000</v>
      </c>
      <c r="W124" s="9">
        <v>3018.4</v>
      </c>
      <c r="X124" s="9">
        <v>2787.4</v>
      </c>
      <c r="Y124" s="7">
        <v>0</v>
      </c>
      <c r="Z124" s="9">
        <v>1194.2</v>
      </c>
    </row>
    <row r="125" spans="1:26" x14ac:dyDescent="0.35">
      <c r="A125" s="7" t="s">
        <v>27</v>
      </c>
      <c r="B125" s="7" t="s">
        <v>47</v>
      </c>
      <c r="C125" s="7" t="s">
        <v>50</v>
      </c>
      <c r="D125" s="7" t="s">
        <v>54</v>
      </c>
      <c r="E125" s="7" t="s">
        <v>39</v>
      </c>
      <c r="F125" s="7" t="s">
        <v>107</v>
      </c>
      <c r="G125" s="7">
        <v>2018</v>
      </c>
      <c r="H125" s="7" t="str">
        <f>CONCATENATE("84240425292")</f>
        <v>84240425292</v>
      </c>
      <c r="I125" s="7" t="s">
        <v>30</v>
      </c>
      <c r="J125" s="7" t="s">
        <v>31</v>
      </c>
      <c r="K125" s="7" t="str">
        <f>CONCATENATE("")</f>
        <v/>
      </c>
      <c r="L125" s="7" t="str">
        <f>CONCATENATE("11 11.2 4b")</f>
        <v>11 11.2 4b</v>
      </c>
      <c r="M125" s="7" t="str">
        <f>CONCATENATE("BSLMRA61L17B474C")</f>
        <v>BSLMRA61L17B474C</v>
      </c>
      <c r="N125" s="7" t="s">
        <v>218</v>
      </c>
      <c r="O125" s="7" t="s">
        <v>78</v>
      </c>
      <c r="P125" s="8">
        <v>44334</v>
      </c>
      <c r="Q125" s="7" t="s">
        <v>32</v>
      </c>
      <c r="R125" s="7" t="s">
        <v>33</v>
      </c>
      <c r="S125" s="7" t="s">
        <v>34</v>
      </c>
      <c r="T125" s="7"/>
      <c r="U125" s="7" t="s">
        <v>35</v>
      </c>
      <c r="V125" s="7">
        <v>975.23</v>
      </c>
      <c r="W125" s="7">
        <v>420.52</v>
      </c>
      <c r="X125" s="7">
        <v>388.34</v>
      </c>
      <c r="Y125" s="7">
        <v>0</v>
      </c>
      <c r="Z125" s="7">
        <v>166.37</v>
      </c>
    </row>
    <row r="126" spans="1:26" x14ac:dyDescent="0.35">
      <c r="A126" s="7" t="s">
        <v>27</v>
      </c>
      <c r="B126" s="7" t="s">
        <v>47</v>
      </c>
      <c r="C126" s="7" t="s">
        <v>50</v>
      </c>
      <c r="D126" s="7" t="s">
        <v>54</v>
      </c>
      <c r="E126" s="7" t="s">
        <v>39</v>
      </c>
      <c r="F126" s="7" t="s">
        <v>79</v>
      </c>
      <c r="G126" s="7">
        <v>2018</v>
      </c>
      <c r="H126" s="7" t="str">
        <f>CONCATENATE("84240993422")</f>
        <v>84240993422</v>
      </c>
      <c r="I126" s="7" t="s">
        <v>30</v>
      </c>
      <c r="J126" s="7" t="s">
        <v>31</v>
      </c>
      <c r="K126" s="7" t="str">
        <f>CONCATENATE("")</f>
        <v/>
      </c>
      <c r="L126" s="7" t="str">
        <f>CONCATENATE("11 11.2 4b")</f>
        <v>11 11.2 4b</v>
      </c>
      <c r="M126" s="7" t="str">
        <f>CONCATENATE("MRZLGN75A18L191E")</f>
        <v>MRZLGN75A18L191E</v>
      </c>
      <c r="N126" s="7" t="s">
        <v>219</v>
      </c>
      <c r="O126" s="7" t="s">
        <v>78</v>
      </c>
      <c r="P126" s="8">
        <v>44334</v>
      </c>
      <c r="Q126" s="7" t="s">
        <v>32</v>
      </c>
      <c r="R126" s="7" t="s">
        <v>33</v>
      </c>
      <c r="S126" s="7" t="s">
        <v>34</v>
      </c>
      <c r="T126" s="7"/>
      <c r="U126" s="7" t="s">
        <v>35</v>
      </c>
      <c r="V126" s="9">
        <v>6759.75</v>
      </c>
      <c r="W126" s="9">
        <v>2914.8</v>
      </c>
      <c r="X126" s="9">
        <v>2691.73</v>
      </c>
      <c r="Y126" s="7">
        <v>0</v>
      </c>
      <c r="Z126" s="9">
        <v>1153.22</v>
      </c>
    </row>
    <row r="127" spans="1:26" x14ac:dyDescent="0.35">
      <c r="A127" s="7" t="s">
        <v>27</v>
      </c>
      <c r="B127" s="7" t="s">
        <v>47</v>
      </c>
      <c r="C127" s="7" t="s">
        <v>50</v>
      </c>
      <c r="D127" s="7" t="s">
        <v>54</v>
      </c>
      <c r="E127" s="7" t="s">
        <v>39</v>
      </c>
      <c r="F127" s="7" t="s">
        <v>107</v>
      </c>
      <c r="G127" s="7">
        <v>2020</v>
      </c>
      <c r="H127" s="7" t="str">
        <f>CONCATENATE("04240139545")</f>
        <v>04240139545</v>
      </c>
      <c r="I127" s="7" t="s">
        <v>30</v>
      </c>
      <c r="J127" s="7" t="s">
        <v>31</v>
      </c>
      <c r="K127" s="7" t="str">
        <f>CONCATENATE("")</f>
        <v/>
      </c>
      <c r="L127" s="7" t="str">
        <f>CONCATENATE("11 11.2 4b")</f>
        <v>11 11.2 4b</v>
      </c>
      <c r="M127" s="7" t="str">
        <f>CONCATENATE("01058860436")</f>
        <v>01058860436</v>
      </c>
      <c r="N127" s="7" t="s">
        <v>220</v>
      </c>
      <c r="O127" s="7" t="s">
        <v>78</v>
      </c>
      <c r="P127" s="8">
        <v>44334</v>
      </c>
      <c r="Q127" s="7" t="s">
        <v>32</v>
      </c>
      <c r="R127" s="7" t="s">
        <v>33</v>
      </c>
      <c r="S127" s="7" t="s">
        <v>34</v>
      </c>
      <c r="T127" s="7"/>
      <c r="U127" s="7" t="s">
        <v>35</v>
      </c>
      <c r="V127" s="9">
        <v>24876.95</v>
      </c>
      <c r="W127" s="9">
        <v>10726.94</v>
      </c>
      <c r="X127" s="9">
        <v>9906</v>
      </c>
      <c r="Y127" s="7">
        <v>0</v>
      </c>
      <c r="Z127" s="9">
        <v>4244.01</v>
      </c>
    </row>
    <row r="128" spans="1:26" x14ac:dyDescent="0.35">
      <c r="A128" s="7" t="s">
        <v>27</v>
      </c>
      <c r="B128" s="7" t="s">
        <v>47</v>
      </c>
      <c r="C128" s="7" t="s">
        <v>50</v>
      </c>
      <c r="D128" s="7" t="s">
        <v>54</v>
      </c>
      <c r="E128" s="7" t="s">
        <v>39</v>
      </c>
      <c r="F128" s="7" t="s">
        <v>79</v>
      </c>
      <c r="G128" s="7">
        <v>2020</v>
      </c>
      <c r="H128" s="7" t="str">
        <f>CONCATENATE("04240091431")</f>
        <v>04240091431</v>
      </c>
      <c r="I128" s="7" t="s">
        <v>30</v>
      </c>
      <c r="J128" s="7" t="s">
        <v>31</v>
      </c>
      <c r="K128" s="7" t="str">
        <f>CONCATENATE("")</f>
        <v/>
      </c>
      <c r="L128" s="7" t="str">
        <f>CONCATENATE("11 11.1 4b")</f>
        <v>11 11.1 4b</v>
      </c>
      <c r="M128" s="7" t="str">
        <f>CONCATENATE("CNCPTR50B08I436G")</f>
        <v>CNCPTR50B08I436G</v>
      </c>
      <c r="N128" s="7" t="s">
        <v>221</v>
      </c>
      <c r="O128" s="7" t="s">
        <v>78</v>
      </c>
      <c r="P128" s="8">
        <v>44334</v>
      </c>
      <c r="Q128" s="7" t="s">
        <v>32</v>
      </c>
      <c r="R128" s="7" t="s">
        <v>33</v>
      </c>
      <c r="S128" s="7" t="s">
        <v>34</v>
      </c>
      <c r="T128" s="7"/>
      <c r="U128" s="7" t="s">
        <v>35</v>
      </c>
      <c r="V128" s="9">
        <v>1096.73</v>
      </c>
      <c r="W128" s="7">
        <v>472.91</v>
      </c>
      <c r="X128" s="7">
        <v>436.72</v>
      </c>
      <c r="Y128" s="7">
        <v>0</v>
      </c>
      <c r="Z128" s="7">
        <v>187.1</v>
      </c>
    </row>
    <row r="129" spans="1:26" x14ac:dyDescent="0.35">
      <c r="A129" s="7" t="s">
        <v>27</v>
      </c>
      <c r="B129" s="7" t="s">
        <v>47</v>
      </c>
      <c r="C129" s="7" t="s">
        <v>50</v>
      </c>
      <c r="D129" s="7" t="s">
        <v>54</v>
      </c>
      <c r="E129" s="7" t="s">
        <v>39</v>
      </c>
      <c r="F129" s="7" t="s">
        <v>62</v>
      </c>
      <c r="G129" s="7">
        <v>2020</v>
      </c>
      <c r="H129" s="7" t="str">
        <f>CONCATENATE("04241046194")</f>
        <v>04241046194</v>
      </c>
      <c r="I129" s="7" t="s">
        <v>30</v>
      </c>
      <c r="J129" s="7" t="s">
        <v>31</v>
      </c>
      <c r="K129" s="7" t="str">
        <f>CONCATENATE("")</f>
        <v/>
      </c>
      <c r="L129" s="7" t="str">
        <f>CONCATENATE("11 11.2 4b")</f>
        <v>11 11.2 4b</v>
      </c>
      <c r="M129" s="7" t="str">
        <f>CONCATENATE("GMNLRT72P15L191L")</f>
        <v>GMNLRT72P15L191L</v>
      </c>
      <c r="N129" s="7" t="s">
        <v>222</v>
      </c>
      <c r="O129" s="7" t="s">
        <v>78</v>
      </c>
      <c r="P129" s="8">
        <v>44334</v>
      </c>
      <c r="Q129" s="7" t="s">
        <v>32</v>
      </c>
      <c r="R129" s="7" t="s">
        <v>33</v>
      </c>
      <c r="S129" s="7" t="s">
        <v>34</v>
      </c>
      <c r="T129" s="7"/>
      <c r="U129" s="7" t="s">
        <v>35</v>
      </c>
      <c r="V129" s="9">
        <v>2796.31</v>
      </c>
      <c r="W129" s="9">
        <v>1205.77</v>
      </c>
      <c r="X129" s="9">
        <v>1113.49</v>
      </c>
      <c r="Y129" s="7">
        <v>0</v>
      </c>
      <c r="Z129" s="7">
        <v>477.05</v>
      </c>
    </row>
    <row r="130" spans="1:26" x14ac:dyDescent="0.35">
      <c r="A130" s="7" t="s">
        <v>27</v>
      </c>
      <c r="B130" s="7" t="s">
        <v>47</v>
      </c>
      <c r="C130" s="7" t="s">
        <v>50</v>
      </c>
      <c r="D130" s="7" t="s">
        <v>54</v>
      </c>
      <c r="E130" s="7" t="s">
        <v>44</v>
      </c>
      <c r="F130" s="7" t="s">
        <v>223</v>
      </c>
      <c r="G130" s="7">
        <v>2020</v>
      </c>
      <c r="H130" s="7" t="str">
        <f>CONCATENATE("04241055328")</f>
        <v>04241055328</v>
      </c>
      <c r="I130" s="7" t="s">
        <v>30</v>
      </c>
      <c r="J130" s="7" t="s">
        <v>31</v>
      </c>
      <c r="K130" s="7" t="str">
        <f>CONCATENATE("")</f>
        <v/>
      </c>
      <c r="L130" s="7" t="str">
        <f>CONCATENATE("11 11.1 4b")</f>
        <v>11 11.1 4b</v>
      </c>
      <c r="M130" s="7" t="str">
        <f>CONCATENATE("01806130439")</f>
        <v>01806130439</v>
      </c>
      <c r="N130" s="7" t="s">
        <v>224</v>
      </c>
      <c r="O130" s="7" t="s">
        <v>78</v>
      </c>
      <c r="P130" s="8">
        <v>44334</v>
      </c>
      <c r="Q130" s="7" t="s">
        <v>32</v>
      </c>
      <c r="R130" s="7" t="s">
        <v>33</v>
      </c>
      <c r="S130" s="7" t="s">
        <v>34</v>
      </c>
      <c r="T130" s="7"/>
      <c r="U130" s="7" t="s">
        <v>35</v>
      </c>
      <c r="V130" s="9">
        <v>4761.1400000000003</v>
      </c>
      <c r="W130" s="9">
        <v>2053</v>
      </c>
      <c r="X130" s="9">
        <v>1895.89</v>
      </c>
      <c r="Y130" s="7">
        <v>0</v>
      </c>
      <c r="Z130" s="7">
        <v>812.25</v>
      </c>
    </row>
    <row r="131" spans="1:26" x14ac:dyDescent="0.35">
      <c r="A131" s="7" t="s">
        <v>27</v>
      </c>
      <c r="B131" s="7" t="s">
        <v>47</v>
      </c>
      <c r="C131" s="7" t="s">
        <v>50</v>
      </c>
      <c r="D131" s="7" t="s">
        <v>54</v>
      </c>
      <c r="E131" s="7" t="s">
        <v>42</v>
      </c>
      <c r="F131" s="7" t="s">
        <v>225</v>
      </c>
      <c r="G131" s="7">
        <v>2018</v>
      </c>
      <c r="H131" s="7" t="str">
        <f>CONCATENATE("84240459507")</f>
        <v>84240459507</v>
      </c>
      <c r="I131" s="7" t="s">
        <v>30</v>
      </c>
      <c r="J131" s="7" t="s">
        <v>31</v>
      </c>
      <c r="K131" s="7" t="str">
        <f>CONCATENATE("")</f>
        <v/>
      </c>
      <c r="L131" s="7" t="str">
        <f>CONCATENATE("11 11.1 4b")</f>
        <v>11 11.1 4b</v>
      </c>
      <c r="M131" s="7" t="str">
        <f>CONCATENATE("01929950432")</f>
        <v>01929950432</v>
      </c>
      <c r="N131" s="7" t="s">
        <v>226</v>
      </c>
      <c r="O131" s="7" t="s">
        <v>78</v>
      </c>
      <c r="P131" s="8">
        <v>44334</v>
      </c>
      <c r="Q131" s="7" t="s">
        <v>32</v>
      </c>
      <c r="R131" s="7" t="s">
        <v>33</v>
      </c>
      <c r="S131" s="7" t="s">
        <v>34</v>
      </c>
      <c r="T131" s="7"/>
      <c r="U131" s="7" t="s">
        <v>35</v>
      </c>
      <c r="V131" s="9">
        <v>1175.74</v>
      </c>
      <c r="W131" s="7">
        <v>506.98</v>
      </c>
      <c r="X131" s="7">
        <v>468.18</v>
      </c>
      <c r="Y131" s="7">
        <v>0</v>
      </c>
      <c r="Z131" s="7">
        <v>200.58</v>
      </c>
    </row>
    <row r="132" spans="1:26" x14ac:dyDescent="0.35">
      <c r="A132" s="7" t="s">
        <v>27</v>
      </c>
      <c r="B132" s="7" t="s">
        <v>47</v>
      </c>
      <c r="C132" s="7" t="s">
        <v>50</v>
      </c>
      <c r="D132" s="7" t="s">
        <v>54</v>
      </c>
      <c r="E132" s="7" t="s">
        <v>42</v>
      </c>
      <c r="F132" s="7" t="s">
        <v>225</v>
      </c>
      <c r="G132" s="7">
        <v>2018</v>
      </c>
      <c r="H132" s="7" t="str">
        <f>CONCATENATE("84240460885")</f>
        <v>84240460885</v>
      </c>
      <c r="I132" s="7" t="s">
        <v>30</v>
      </c>
      <c r="J132" s="7" t="s">
        <v>31</v>
      </c>
      <c r="K132" s="7" t="str">
        <f>CONCATENATE("")</f>
        <v/>
      </c>
      <c r="L132" s="7" t="str">
        <f>CONCATENATE("11 11.1 4b")</f>
        <v>11 11.1 4b</v>
      </c>
      <c r="M132" s="7" t="str">
        <f>CONCATENATE("VNCMNL71D55H501E")</f>
        <v>VNCMNL71D55H501E</v>
      </c>
      <c r="N132" s="7" t="s">
        <v>227</v>
      </c>
      <c r="O132" s="7" t="s">
        <v>78</v>
      </c>
      <c r="P132" s="8">
        <v>44334</v>
      </c>
      <c r="Q132" s="7" t="s">
        <v>32</v>
      </c>
      <c r="R132" s="7" t="s">
        <v>33</v>
      </c>
      <c r="S132" s="7" t="s">
        <v>34</v>
      </c>
      <c r="T132" s="7"/>
      <c r="U132" s="7" t="s">
        <v>35</v>
      </c>
      <c r="V132" s="7">
        <v>236.92</v>
      </c>
      <c r="W132" s="7">
        <v>102.16</v>
      </c>
      <c r="X132" s="7">
        <v>94.34</v>
      </c>
      <c r="Y132" s="7">
        <v>0</v>
      </c>
      <c r="Z132" s="7">
        <v>40.42</v>
      </c>
    </row>
    <row r="133" spans="1:26" x14ac:dyDescent="0.35">
      <c r="A133" s="7" t="s">
        <v>27</v>
      </c>
      <c r="B133" s="7" t="s">
        <v>47</v>
      </c>
      <c r="C133" s="7" t="s">
        <v>50</v>
      </c>
      <c r="D133" s="7" t="s">
        <v>54</v>
      </c>
      <c r="E133" s="7" t="s">
        <v>39</v>
      </c>
      <c r="F133" s="7" t="s">
        <v>79</v>
      </c>
      <c r="G133" s="7">
        <v>2020</v>
      </c>
      <c r="H133" s="7" t="str">
        <f>CONCATENATE("04240053365")</f>
        <v>04240053365</v>
      </c>
      <c r="I133" s="7" t="s">
        <v>30</v>
      </c>
      <c r="J133" s="7" t="s">
        <v>31</v>
      </c>
      <c r="K133" s="7" t="str">
        <f>CONCATENATE("")</f>
        <v/>
      </c>
      <c r="L133" s="7" t="str">
        <f>CONCATENATE("11 11.2 4b")</f>
        <v>11 11.2 4b</v>
      </c>
      <c r="M133" s="7" t="str">
        <f>CONCATENATE("MRCNNA44H51I436N")</f>
        <v>MRCNNA44H51I436N</v>
      </c>
      <c r="N133" s="7" t="s">
        <v>228</v>
      </c>
      <c r="O133" s="7" t="s">
        <v>78</v>
      </c>
      <c r="P133" s="8">
        <v>44334</v>
      </c>
      <c r="Q133" s="7" t="s">
        <v>32</v>
      </c>
      <c r="R133" s="7" t="s">
        <v>33</v>
      </c>
      <c r="S133" s="7" t="s">
        <v>34</v>
      </c>
      <c r="T133" s="7"/>
      <c r="U133" s="7" t="s">
        <v>35</v>
      </c>
      <c r="V133" s="9">
        <v>2659.87</v>
      </c>
      <c r="W133" s="9">
        <v>1146.94</v>
      </c>
      <c r="X133" s="9">
        <v>1059.1600000000001</v>
      </c>
      <c r="Y133" s="7">
        <v>0</v>
      </c>
      <c r="Z133" s="7">
        <v>453.77</v>
      </c>
    </row>
    <row r="134" spans="1:26" x14ac:dyDescent="0.35">
      <c r="A134" s="7" t="s">
        <v>27</v>
      </c>
      <c r="B134" s="7" t="s">
        <v>47</v>
      </c>
      <c r="C134" s="7" t="s">
        <v>50</v>
      </c>
      <c r="D134" s="7" t="s">
        <v>54</v>
      </c>
      <c r="E134" s="7" t="s">
        <v>41</v>
      </c>
      <c r="F134" s="7" t="s">
        <v>229</v>
      </c>
      <c r="G134" s="7">
        <v>2020</v>
      </c>
      <c r="H134" s="7" t="str">
        <f>CONCATENATE("04241092859")</f>
        <v>04241092859</v>
      </c>
      <c r="I134" s="7" t="s">
        <v>30</v>
      </c>
      <c r="J134" s="7" t="s">
        <v>31</v>
      </c>
      <c r="K134" s="7" t="str">
        <f>CONCATENATE("")</f>
        <v/>
      </c>
      <c r="L134" s="7" t="str">
        <f>CONCATENATE("11 11.1 4b")</f>
        <v>11 11.1 4b</v>
      </c>
      <c r="M134" s="7" t="str">
        <f>CONCATENATE("01640490437")</f>
        <v>01640490437</v>
      </c>
      <c r="N134" s="7" t="s">
        <v>230</v>
      </c>
      <c r="O134" s="7" t="s">
        <v>78</v>
      </c>
      <c r="P134" s="8">
        <v>44334</v>
      </c>
      <c r="Q134" s="7" t="s">
        <v>32</v>
      </c>
      <c r="R134" s="7" t="s">
        <v>33</v>
      </c>
      <c r="S134" s="7" t="s">
        <v>34</v>
      </c>
      <c r="T134" s="7"/>
      <c r="U134" s="7" t="s">
        <v>35</v>
      </c>
      <c r="V134" s="7">
        <v>421.87</v>
      </c>
      <c r="W134" s="7">
        <v>181.91</v>
      </c>
      <c r="X134" s="7">
        <v>167.99</v>
      </c>
      <c r="Y134" s="7">
        <v>0</v>
      </c>
      <c r="Z134" s="7">
        <v>71.97</v>
      </c>
    </row>
    <row r="135" spans="1:26" x14ac:dyDescent="0.35">
      <c r="A135" s="7" t="s">
        <v>27</v>
      </c>
      <c r="B135" s="7" t="s">
        <v>47</v>
      </c>
      <c r="C135" s="7" t="s">
        <v>50</v>
      </c>
      <c r="D135" s="7" t="s">
        <v>54</v>
      </c>
      <c r="E135" s="7" t="s">
        <v>39</v>
      </c>
      <c r="F135" s="7" t="s">
        <v>107</v>
      </c>
      <c r="G135" s="7">
        <v>2020</v>
      </c>
      <c r="H135" s="7" t="str">
        <f>CONCATENATE("04240153868")</f>
        <v>04240153868</v>
      </c>
      <c r="I135" s="7" t="s">
        <v>30</v>
      </c>
      <c r="J135" s="7" t="s">
        <v>31</v>
      </c>
      <c r="K135" s="7" t="str">
        <f>CONCATENATE("")</f>
        <v/>
      </c>
      <c r="L135" s="7" t="str">
        <f>CONCATENATE("11 11.2 4b")</f>
        <v>11 11.2 4b</v>
      </c>
      <c r="M135" s="7" t="str">
        <f>CONCATENATE("TRTRNN46S55C524K")</f>
        <v>TRTRNN46S55C524K</v>
      </c>
      <c r="N135" s="7" t="s">
        <v>231</v>
      </c>
      <c r="O135" s="7" t="s">
        <v>78</v>
      </c>
      <c r="P135" s="8">
        <v>44334</v>
      </c>
      <c r="Q135" s="7" t="s">
        <v>32</v>
      </c>
      <c r="R135" s="7" t="s">
        <v>33</v>
      </c>
      <c r="S135" s="7" t="s">
        <v>34</v>
      </c>
      <c r="T135" s="7"/>
      <c r="U135" s="7" t="s">
        <v>35</v>
      </c>
      <c r="V135" s="9">
        <v>2578.75</v>
      </c>
      <c r="W135" s="9">
        <v>1111.96</v>
      </c>
      <c r="X135" s="9">
        <v>1026.8599999999999</v>
      </c>
      <c r="Y135" s="7">
        <v>0</v>
      </c>
      <c r="Z135" s="7">
        <v>439.93</v>
      </c>
    </row>
    <row r="136" spans="1:26" x14ac:dyDescent="0.35">
      <c r="A136" s="7" t="s">
        <v>27</v>
      </c>
      <c r="B136" s="7" t="s">
        <v>47</v>
      </c>
      <c r="C136" s="7" t="s">
        <v>50</v>
      </c>
      <c r="D136" s="7" t="s">
        <v>54</v>
      </c>
      <c r="E136" s="7" t="s">
        <v>39</v>
      </c>
      <c r="F136" s="7" t="s">
        <v>232</v>
      </c>
      <c r="G136" s="7">
        <v>2020</v>
      </c>
      <c r="H136" s="7" t="str">
        <f>CONCATENATE("04240752149")</f>
        <v>04240752149</v>
      </c>
      <c r="I136" s="7" t="s">
        <v>30</v>
      </c>
      <c r="J136" s="7" t="s">
        <v>31</v>
      </c>
      <c r="K136" s="7" t="str">
        <f>CONCATENATE("")</f>
        <v/>
      </c>
      <c r="L136" s="7" t="str">
        <f>CONCATENATE("11 11.2 4b")</f>
        <v>11 11.2 4b</v>
      </c>
      <c r="M136" s="7" t="str">
        <f>CONCATENATE("01878840436")</f>
        <v>01878840436</v>
      </c>
      <c r="N136" s="7" t="s">
        <v>233</v>
      </c>
      <c r="O136" s="7" t="s">
        <v>78</v>
      </c>
      <c r="P136" s="8">
        <v>44334</v>
      </c>
      <c r="Q136" s="7" t="s">
        <v>32</v>
      </c>
      <c r="R136" s="7" t="s">
        <v>33</v>
      </c>
      <c r="S136" s="7" t="s">
        <v>34</v>
      </c>
      <c r="T136" s="7"/>
      <c r="U136" s="7" t="s">
        <v>35</v>
      </c>
      <c r="V136" s="9">
        <v>5519.7</v>
      </c>
      <c r="W136" s="9">
        <v>2380.09</v>
      </c>
      <c r="X136" s="9">
        <v>2197.94</v>
      </c>
      <c r="Y136" s="7">
        <v>0</v>
      </c>
      <c r="Z136" s="7">
        <v>941.67</v>
      </c>
    </row>
    <row r="137" spans="1:26" x14ac:dyDescent="0.35">
      <c r="A137" s="7" t="s">
        <v>27</v>
      </c>
      <c r="B137" s="7" t="s">
        <v>47</v>
      </c>
      <c r="C137" s="7" t="s">
        <v>50</v>
      </c>
      <c r="D137" s="7" t="s">
        <v>54</v>
      </c>
      <c r="E137" s="7" t="s">
        <v>39</v>
      </c>
      <c r="F137" s="7" t="s">
        <v>107</v>
      </c>
      <c r="G137" s="7">
        <v>2020</v>
      </c>
      <c r="H137" s="7" t="str">
        <f>CONCATENATE("04240147209")</f>
        <v>04240147209</v>
      </c>
      <c r="I137" s="7" t="s">
        <v>30</v>
      </c>
      <c r="J137" s="7" t="s">
        <v>31</v>
      </c>
      <c r="K137" s="7" t="str">
        <f>CONCATENATE("")</f>
        <v/>
      </c>
      <c r="L137" s="7" t="str">
        <f>CONCATENATE("11 11.2 4b")</f>
        <v>11 11.2 4b</v>
      </c>
      <c r="M137" s="7" t="str">
        <f>CONCATENATE("01926590439")</f>
        <v>01926590439</v>
      </c>
      <c r="N137" s="7" t="s">
        <v>234</v>
      </c>
      <c r="O137" s="7" t="s">
        <v>78</v>
      </c>
      <c r="P137" s="8">
        <v>44334</v>
      </c>
      <c r="Q137" s="7" t="s">
        <v>32</v>
      </c>
      <c r="R137" s="7" t="s">
        <v>33</v>
      </c>
      <c r="S137" s="7" t="s">
        <v>34</v>
      </c>
      <c r="T137" s="7"/>
      <c r="U137" s="7" t="s">
        <v>35</v>
      </c>
      <c r="V137" s="7">
        <v>102.58</v>
      </c>
      <c r="W137" s="7">
        <v>44.23</v>
      </c>
      <c r="X137" s="7">
        <v>40.85</v>
      </c>
      <c r="Y137" s="7">
        <v>0</v>
      </c>
      <c r="Z137" s="7">
        <v>17.5</v>
      </c>
    </row>
    <row r="138" spans="1:26" x14ac:dyDescent="0.35">
      <c r="A138" s="7" t="s">
        <v>27</v>
      </c>
      <c r="B138" s="7" t="s">
        <v>47</v>
      </c>
      <c r="C138" s="7" t="s">
        <v>50</v>
      </c>
      <c r="D138" s="7" t="s">
        <v>54</v>
      </c>
      <c r="E138" s="7" t="s">
        <v>39</v>
      </c>
      <c r="F138" s="7" t="s">
        <v>62</v>
      </c>
      <c r="G138" s="7">
        <v>2020</v>
      </c>
      <c r="H138" s="7" t="str">
        <f>CONCATENATE("04241076969")</f>
        <v>04241076969</v>
      </c>
      <c r="I138" s="7" t="s">
        <v>30</v>
      </c>
      <c r="J138" s="7" t="s">
        <v>31</v>
      </c>
      <c r="K138" s="7" t="str">
        <f>CONCATENATE("")</f>
        <v/>
      </c>
      <c r="L138" s="7" t="str">
        <f>CONCATENATE("11 11.2 4b")</f>
        <v>11 11.2 4b</v>
      </c>
      <c r="M138" s="7" t="str">
        <f>CONCATENATE("SNCMRA82P08L191J")</f>
        <v>SNCMRA82P08L191J</v>
      </c>
      <c r="N138" s="7" t="s">
        <v>235</v>
      </c>
      <c r="O138" s="7" t="s">
        <v>78</v>
      </c>
      <c r="P138" s="8">
        <v>44334</v>
      </c>
      <c r="Q138" s="7" t="s">
        <v>32</v>
      </c>
      <c r="R138" s="7" t="s">
        <v>33</v>
      </c>
      <c r="S138" s="7" t="s">
        <v>34</v>
      </c>
      <c r="T138" s="7"/>
      <c r="U138" s="7" t="s">
        <v>35</v>
      </c>
      <c r="V138" s="9">
        <v>23477.14</v>
      </c>
      <c r="W138" s="9">
        <v>10123.34</v>
      </c>
      <c r="X138" s="9">
        <v>9348.6</v>
      </c>
      <c r="Y138" s="7">
        <v>0</v>
      </c>
      <c r="Z138" s="9">
        <v>4005.2</v>
      </c>
    </row>
    <row r="139" spans="1:26" x14ac:dyDescent="0.35">
      <c r="A139" s="7" t="s">
        <v>27</v>
      </c>
      <c r="B139" s="7" t="s">
        <v>47</v>
      </c>
      <c r="C139" s="7" t="s">
        <v>50</v>
      </c>
      <c r="D139" s="7" t="s">
        <v>54</v>
      </c>
      <c r="E139" s="7" t="s">
        <v>36</v>
      </c>
      <c r="F139" s="7" t="s">
        <v>36</v>
      </c>
      <c r="G139" s="7">
        <v>2020</v>
      </c>
      <c r="H139" s="7" t="str">
        <f>CONCATENATE("04241083015")</f>
        <v>04241083015</v>
      </c>
      <c r="I139" s="7" t="s">
        <v>30</v>
      </c>
      <c r="J139" s="7" t="s">
        <v>31</v>
      </c>
      <c r="K139" s="7" t="str">
        <f>CONCATENATE("")</f>
        <v/>
      </c>
      <c r="L139" s="7" t="str">
        <f>CONCATENATE("11 11.2 4b")</f>
        <v>11 11.2 4b</v>
      </c>
      <c r="M139" s="7" t="str">
        <f>CONCATENATE("01297880435")</f>
        <v>01297880435</v>
      </c>
      <c r="N139" s="7" t="s">
        <v>236</v>
      </c>
      <c r="O139" s="7" t="s">
        <v>78</v>
      </c>
      <c r="P139" s="8">
        <v>44334</v>
      </c>
      <c r="Q139" s="7" t="s">
        <v>32</v>
      </c>
      <c r="R139" s="7" t="s">
        <v>33</v>
      </c>
      <c r="S139" s="7" t="s">
        <v>34</v>
      </c>
      <c r="T139" s="7"/>
      <c r="U139" s="7" t="s">
        <v>35</v>
      </c>
      <c r="V139" s="9">
        <v>1253.8</v>
      </c>
      <c r="W139" s="7">
        <v>540.64</v>
      </c>
      <c r="X139" s="7">
        <v>499.26</v>
      </c>
      <c r="Y139" s="7">
        <v>0</v>
      </c>
      <c r="Z139" s="7">
        <v>213.9</v>
      </c>
    </row>
    <row r="140" spans="1:26" x14ac:dyDescent="0.35">
      <c r="A140" s="7" t="s">
        <v>27</v>
      </c>
      <c r="B140" s="7" t="s">
        <v>28</v>
      </c>
      <c r="C140" s="7" t="s">
        <v>50</v>
      </c>
      <c r="D140" s="7" t="s">
        <v>64</v>
      </c>
      <c r="E140" s="7" t="s">
        <v>36</v>
      </c>
      <c r="F140" s="7" t="s">
        <v>36</v>
      </c>
      <c r="G140" s="7">
        <v>2017</v>
      </c>
      <c r="H140" s="7" t="str">
        <f>CONCATENATE("14270141261")</f>
        <v>14270141261</v>
      </c>
      <c r="I140" s="7" t="s">
        <v>30</v>
      </c>
      <c r="J140" s="7" t="s">
        <v>31</v>
      </c>
      <c r="K140" s="7" t="str">
        <f>CONCATENATE("")</f>
        <v/>
      </c>
      <c r="L140" s="7" t="str">
        <f>CONCATENATE("21 21.1 2a")</f>
        <v>21 21.1 2a</v>
      </c>
      <c r="M140" s="7" t="str">
        <f>CONCATENATE("02215890449")</f>
        <v>02215890449</v>
      </c>
      <c r="N140" s="7" t="s">
        <v>237</v>
      </c>
      <c r="O140" s="7" t="s">
        <v>152</v>
      </c>
      <c r="P140" s="8">
        <v>44334</v>
      </c>
      <c r="Q140" s="7" t="s">
        <v>32</v>
      </c>
      <c r="R140" s="7" t="s">
        <v>33</v>
      </c>
      <c r="S140" s="7" t="s">
        <v>34</v>
      </c>
      <c r="T140" s="7"/>
      <c r="U140" s="7" t="s">
        <v>35</v>
      </c>
      <c r="V140" s="9">
        <v>1260</v>
      </c>
      <c r="W140" s="7">
        <v>543.30999999999995</v>
      </c>
      <c r="X140" s="7">
        <v>501.73</v>
      </c>
      <c r="Y140" s="7">
        <v>0</v>
      </c>
      <c r="Z140" s="7">
        <v>214.96</v>
      </c>
    </row>
    <row r="141" spans="1:26" x14ac:dyDescent="0.35">
      <c r="A141" s="7" t="s">
        <v>27</v>
      </c>
      <c r="B141" s="7" t="s">
        <v>47</v>
      </c>
      <c r="C141" s="7" t="s">
        <v>50</v>
      </c>
      <c r="D141" s="7" t="s">
        <v>104</v>
      </c>
      <c r="E141" s="7" t="s">
        <v>39</v>
      </c>
      <c r="F141" s="7" t="s">
        <v>232</v>
      </c>
      <c r="G141" s="7">
        <v>2020</v>
      </c>
      <c r="H141" s="7" t="str">
        <f>CONCATENATE("04240046609")</f>
        <v>04240046609</v>
      </c>
      <c r="I141" s="7" t="s">
        <v>30</v>
      </c>
      <c r="J141" s="7" t="s">
        <v>31</v>
      </c>
      <c r="K141" s="7" t="str">
        <f>CONCATENATE("")</f>
        <v/>
      </c>
      <c r="L141" s="7" t="str">
        <f>CONCATENATE("11 11.2 4b")</f>
        <v>11 11.2 4b</v>
      </c>
      <c r="M141" s="7" t="str">
        <f>CONCATENATE("SMNLLN57A70I643F")</f>
        <v>SMNLLN57A70I643F</v>
      </c>
      <c r="N141" s="7" t="s">
        <v>238</v>
      </c>
      <c r="O141" s="7" t="s">
        <v>78</v>
      </c>
      <c r="P141" s="8">
        <v>44334</v>
      </c>
      <c r="Q141" s="7" t="s">
        <v>32</v>
      </c>
      <c r="R141" s="7" t="s">
        <v>33</v>
      </c>
      <c r="S141" s="7" t="s">
        <v>34</v>
      </c>
      <c r="T141" s="7"/>
      <c r="U141" s="7" t="s">
        <v>35</v>
      </c>
      <c r="V141" s="9">
        <v>2830.76</v>
      </c>
      <c r="W141" s="9">
        <v>1220.6199999999999</v>
      </c>
      <c r="X141" s="9">
        <v>1127.21</v>
      </c>
      <c r="Y141" s="7">
        <v>0</v>
      </c>
      <c r="Z141" s="7">
        <v>482.93</v>
      </c>
    </row>
    <row r="142" spans="1:26" x14ac:dyDescent="0.35">
      <c r="A142" s="7" t="s">
        <v>27</v>
      </c>
      <c r="B142" s="7" t="s">
        <v>47</v>
      </c>
      <c r="C142" s="7" t="s">
        <v>50</v>
      </c>
      <c r="D142" s="7" t="s">
        <v>54</v>
      </c>
      <c r="E142" s="7" t="s">
        <v>40</v>
      </c>
      <c r="F142" s="7" t="s">
        <v>239</v>
      </c>
      <c r="G142" s="7">
        <v>2020</v>
      </c>
      <c r="H142" s="7" t="str">
        <f>CONCATENATE("04240394108")</f>
        <v>04240394108</v>
      </c>
      <c r="I142" s="7" t="s">
        <v>30</v>
      </c>
      <c r="J142" s="7" t="s">
        <v>31</v>
      </c>
      <c r="K142" s="7" t="str">
        <f>CONCATENATE("")</f>
        <v/>
      </c>
      <c r="L142" s="7" t="str">
        <f>CONCATENATE("11 11.2 4b")</f>
        <v>11 11.2 4b</v>
      </c>
      <c r="M142" s="7" t="str">
        <f>CONCATENATE("CRRSMN78S09F051S")</f>
        <v>CRRSMN78S09F051S</v>
      </c>
      <c r="N142" s="7" t="s">
        <v>240</v>
      </c>
      <c r="O142" s="7" t="s">
        <v>78</v>
      </c>
      <c r="P142" s="8">
        <v>44334</v>
      </c>
      <c r="Q142" s="7" t="s">
        <v>32</v>
      </c>
      <c r="R142" s="7" t="s">
        <v>33</v>
      </c>
      <c r="S142" s="7" t="s">
        <v>34</v>
      </c>
      <c r="T142" s="7"/>
      <c r="U142" s="7" t="s">
        <v>35</v>
      </c>
      <c r="V142" s="9">
        <v>6117.64</v>
      </c>
      <c r="W142" s="9">
        <v>2637.93</v>
      </c>
      <c r="X142" s="9">
        <v>2436.04</v>
      </c>
      <c r="Y142" s="7">
        <v>0</v>
      </c>
      <c r="Z142" s="9">
        <v>1043.67</v>
      </c>
    </row>
    <row r="143" spans="1:26" ht="17.5" x14ac:dyDescent="0.35">
      <c r="A143" s="7" t="s">
        <v>27</v>
      </c>
      <c r="B143" s="7" t="s">
        <v>47</v>
      </c>
      <c r="C143" s="7" t="s">
        <v>50</v>
      </c>
      <c r="D143" s="7" t="s">
        <v>64</v>
      </c>
      <c r="E143" s="7" t="s">
        <v>39</v>
      </c>
      <c r="F143" s="7" t="s">
        <v>241</v>
      </c>
      <c r="G143" s="7">
        <v>2020</v>
      </c>
      <c r="H143" s="7" t="str">
        <f>CONCATENATE("04241318361")</f>
        <v>04241318361</v>
      </c>
      <c r="I143" s="7" t="s">
        <v>30</v>
      </c>
      <c r="J143" s="7" t="s">
        <v>31</v>
      </c>
      <c r="K143" s="7" t="str">
        <f>CONCATENATE("")</f>
        <v/>
      </c>
      <c r="L143" s="7" t="str">
        <f>CONCATENATE("11 11.2 4b")</f>
        <v>11 11.2 4b</v>
      </c>
      <c r="M143" s="7" t="str">
        <f>CONCATENATE("MRACMN73B07A462W")</f>
        <v>MRACMN73B07A462W</v>
      </c>
      <c r="N143" s="7" t="s">
        <v>242</v>
      </c>
      <c r="O143" s="7" t="s">
        <v>78</v>
      </c>
      <c r="P143" s="8">
        <v>44334</v>
      </c>
      <c r="Q143" s="7" t="s">
        <v>32</v>
      </c>
      <c r="R143" s="7" t="s">
        <v>33</v>
      </c>
      <c r="S143" s="7" t="s">
        <v>34</v>
      </c>
      <c r="T143" s="7"/>
      <c r="U143" s="7" t="s">
        <v>35</v>
      </c>
      <c r="V143" s="9">
        <v>3757.37</v>
      </c>
      <c r="W143" s="9">
        <v>1620.18</v>
      </c>
      <c r="X143" s="9">
        <v>1496.18</v>
      </c>
      <c r="Y143" s="7">
        <v>0</v>
      </c>
      <c r="Z143" s="7">
        <v>641.01</v>
      </c>
    </row>
    <row r="144" spans="1:26" x14ac:dyDescent="0.35">
      <c r="A144" s="7" t="s">
        <v>27</v>
      </c>
      <c r="B144" s="7" t="s">
        <v>47</v>
      </c>
      <c r="C144" s="7" t="s">
        <v>50</v>
      </c>
      <c r="D144" s="7" t="s">
        <v>64</v>
      </c>
      <c r="E144" s="7" t="s">
        <v>36</v>
      </c>
      <c r="F144" s="7" t="s">
        <v>36</v>
      </c>
      <c r="G144" s="7">
        <v>2020</v>
      </c>
      <c r="H144" s="7" t="str">
        <f>CONCATENATE("04240956898")</f>
        <v>04240956898</v>
      </c>
      <c r="I144" s="7" t="s">
        <v>43</v>
      </c>
      <c r="J144" s="7" t="s">
        <v>31</v>
      </c>
      <c r="K144" s="7" t="str">
        <f>CONCATENATE("")</f>
        <v/>
      </c>
      <c r="L144" s="7" t="str">
        <f>CONCATENATE("11 11.2 4b")</f>
        <v>11 11.2 4b</v>
      </c>
      <c r="M144" s="7" t="str">
        <f>CONCATENATE("FDLSMN82A30H769Q")</f>
        <v>FDLSMN82A30H769Q</v>
      </c>
      <c r="N144" s="7" t="s">
        <v>243</v>
      </c>
      <c r="O144" s="7" t="s">
        <v>78</v>
      </c>
      <c r="P144" s="8">
        <v>44334</v>
      </c>
      <c r="Q144" s="7" t="s">
        <v>32</v>
      </c>
      <c r="R144" s="7" t="s">
        <v>33</v>
      </c>
      <c r="S144" s="7" t="s">
        <v>34</v>
      </c>
      <c r="T144" s="7"/>
      <c r="U144" s="7" t="s">
        <v>35</v>
      </c>
      <c r="V144" s="7">
        <v>126.01</v>
      </c>
      <c r="W144" s="7">
        <v>54.34</v>
      </c>
      <c r="X144" s="7">
        <v>50.18</v>
      </c>
      <c r="Y144" s="7">
        <v>0</v>
      </c>
      <c r="Z144" s="7">
        <v>21.49</v>
      </c>
    </row>
    <row r="145" spans="1:26" x14ac:dyDescent="0.35">
      <c r="A145" s="7" t="s">
        <v>27</v>
      </c>
      <c r="B145" s="7" t="s">
        <v>47</v>
      </c>
      <c r="C145" s="7" t="s">
        <v>50</v>
      </c>
      <c r="D145" s="7" t="s">
        <v>64</v>
      </c>
      <c r="E145" s="7" t="s">
        <v>36</v>
      </c>
      <c r="F145" s="7" t="s">
        <v>36</v>
      </c>
      <c r="G145" s="7">
        <v>2020</v>
      </c>
      <c r="H145" s="7" t="str">
        <f>CONCATENATE("04240960999")</f>
        <v>04240960999</v>
      </c>
      <c r="I145" s="7" t="s">
        <v>43</v>
      </c>
      <c r="J145" s="7" t="s">
        <v>31</v>
      </c>
      <c r="K145" s="7" t="str">
        <f>CONCATENATE("")</f>
        <v/>
      </c>
      <c r="L145" s="7" t="str">
        <f>CONCATENATE("11 11.2 4b")</f>
        <v>11 11.2 4b</v>
      </c>
      <c r="M145" s="7" t="str">
        <f>CONCATENATE("FDLSMN82A30H769Q")</f>
        <v>FDLSMN82A30H769Q</v>
      </c>
      <c r="N145" s="7" t="s">
        <v>243</v>
      </c>
      <c r="O145" s="7" t="s">
        <v>78</v>
      </c>
      <c r="P145" s="8">
        <v>44334</v>
      </c>
      <c r="Q145" s="7" t="s">
        <v>32</v>
      </c>
      <c r="R145" s="7" t="s">
        <v>33</v>
      </c>
      <c r="S145" s="7" t="s">
        <v>34</v>
      </c>
      <c r="T145" s="7"/>
      <c r="U145" s="7" t="s">
        <v>35</v>
      </c>
      <c r="V145" s="9">
        <v>1208.8599999999999</v>
      </c>
      <c r="W145" s="7">
        <v>521.26</v>
      </c>
      <c r="X145" s="7">
        <v>481.37</v>
      </c>
      <c r="Y145" s="7">
        <v>0</v>
      </c>
      <c r="Z145" s="7">
        <v>206.23</v>
      </c>
    </row>
    <row r="146" spans="1:26" x14ac:dyDescent="0.35">
      <c r="A146" s="7" t="s">
        <v>27</v>
      </c>
      <c r="B146" s="7" t="s">
        <v>47</v>
      </c>
      <c r="C146" s="7" t="s">
        <v>50</v>
      </c>
      <c r="D146" s="7" t="s">
        <v>64</v>
      </c>
      <c r="E146" s="7" t="s">
        <v>36</v>
      </c>
      <c r="F146" s="7" t="s">
        <v>36</v>
      </c>
      <c r="G146" s="7">
        <v>2020</v>
      </c>
      <c r="H146" s="7" t="str">
        <f>CONCATENATE("04240958548")</f>
        <v>04240958548</v>
      </c>
      <c r="I146" s="7" t="s">
        <v>43</v>
      </c>
      <c r="J146" s="7" t="s">
        <v>31</v>
      </c>
      <c r="K146" s="7" t="str">
        <f>CONCATENATE("")</f>
        <v/>
      </c>
      <c r="L146" s="7" t="str">
        <f>CONCATENATE("11 11.1 4b")</f>
        <v>11 11.1 4b</v>
      </c>
      <c r="M146" s="7" t="str">
        <f>CONCATENATE("FDLSMN82A30H769Q")</f>
        <v>FDLSMN82A30H769Q</v>
      </c>
      <c r="N146" s="7" t="s">
        <v>243</v>
      </c>
      <c r="O146" s="7" t="s">
        <v>78</v>
      </c>
      <c r="P146" s="8">
        <v>44334</v>
      </c>
      <c r="Q146" s="7" t="s">
        <v>32</v>
      </c>
      <c r="R146" s="7" t="s">
        <v>33</v>
      </c>
      <c r="S146" s="7" t="s">
        <v>34</v>
      </c>
      <c r="T146" s="7"/>
      <c r="U146" s="7" t="s">
        <v>35</v>
      </c>
      <c r="V146" s="7">
        <v>416.22</v>
      </c>
      <c r="W146" s="7">
        <v>179.47</v>
      </c>
      <c r="X146" s="7">
        <v>165.74</v>
      </c>
      <c r="Y146" s="7">
        <v>0</v>
      </c>
      <c r="Z146" s="7">
        <v>71.010000000000005</v>
      </c>
    </row>
    <row r="147" spans="1:26" x14ac:dyDescent="0.35">
      <c r="A147" s="7" t="s">
        <v>27</v>
      </c>
      <c r="B147" s="7" t="s">
        <v>47</v>
      </c>
      <c r="C147" s="7" t="s">
        <v>50</v>
      </c>
      <c r="D147" s="7" t="s">
        <v>64</v>
      </c>
      <c r="E147" s="7" t="s">
        <v>46</v>
      </c>
      <c r="F147" s="7" t="s">
        <v>244</v>
      </c>
      <c r="G147" s="7">
        <v>2020</v>
      </c>
      <c r="H147" s="7" t="str">
        <f>CONCATENATE("04241152844")</f>
        <v>04241152844</v>
      </c>
      <c r="I147" s="7" t="s">
        <v>30</v>
      </c>
      <c r="J147" s="7" t="s">
        <v>31</v>
      </c>
      <c r="K147" s="7" t="str">
        <f>CONCATENATE("")</f>
        <v/>
      </c>
      <c r="L147" s="7" t="str">
        <f>CONCATENATE("11 11.1 4b")</f>
        <v>11 11.1 4b</v>
      </c>
      <c r="M147" s="7" t="str">
        <f>CONCATENATE("SREGZL51B45C886X")</f>
        <v>SREGZL51B45C886X</v>
      </c>
      <c r="N147" s="7" t="s">
        <v>245</v>
      </c>
      <c r="O147" s="7" t="s">
        <v>78</v>
      </c>
      <c r="P147" s="8">
        <v>44334</v>
      </c>
      <c r="Q147" s="7" t="s">
        <v>32</v>
      </c>
      <c r="R147" s="7" t="s">
        <v>33</v>
      </c>
      <c r="S147" s="7" t="s">
        <v>34</v>
      </c>
      <c r="T147" s="7"/>
      <c r="U147" s="7" t="s">
        <v>35</v>
      </c>
      <c r="V147" s="7">
        <v>657.58</v>
      </c>
      <c r="W147" s="7">
        <v>283.55</v>
      </c>
      <c r="X147" s="7">
        <v>261.85000000000002</v>
      </c>
      <c r="Y147" s="7">
        <v>0</v>
      </c>
      <c r="Z147" s="7">
        <v>112.18</v>
      </c>
    </row>
    <row r="148" spans="1:26" x14ac:dyDescent="0.35">
      <c r="A148" s="7" t="s">
        <v>27</v>
      </c>
      <c r="B148" s="7" t="s">
        <v>47</v>
      </c>
      <c r="C148" s="7" t="s">
        <v>50</v>
      </c>
      <c r="D148" s="7" t="s">
        <v>64</v>
      </c>
      <c r="E148" s="7" t="s">
        <v>39</v>
      </c>
      <c r="F148" s="7" t="s">
        <v>241</v>
      </c>
      <c r="G148" s="7">
        <v>2020</v>
      </c>
      <c r="H148" s="7" t="str">
        <f>CONCATENATE("04241316118")</f>
        <v>04241316118</v>
      </c>
      <c r="I148" s="7" t="s">
        <v>30</v>
      </c>
      <c r="J148" s="7" t="s">
        <v>31</v>
      </c>
      <c r="K148" s="7" t="str">
        <f>CONCATENATE("")</f>
        <v/>
      </c>
      <c r="L148" s="7" t="str">
        <f>CONCATENATE("11 11.2 4b")</f>
        <v>11 11.2 4b</v>
      </c>
      <c r="M148" s="7" t="str">
        <f>CONCATENATE("SNTSNT61L55A437H")</f>
        <v>SNTSNT61L55A437H</v>
      </c>
      <c r="N148" s="7" t="s">
        <v>246</v>
      </c>
      <c r="O148" s="7" t="s">
        <v>78</v>
      </c>
      <c r="P148" s="8">
        <v>44334</v>
      </c>
      <c r="Q148" s="7" t="s">
        <v>32</v>
      </c>
      <c r="R148" s="7" t="s">
        <v>33</v>
      </c>
      <c r="S148" s="7" t="s">
        <v>34</v>
      </c>
      <c r="T148" s="7"/>
      <c r="U148" s="7" t="s">
        <v>35</v>
      </c>
      <c r="V148" s="9">
        <v>1881.72</v>
      </c>
      <c r="W148" s="7">
        <v>811.4</v>
      </c>
      <c r="X148" s="7">
        <v>749.3</v>
      </c>
      <c r="Y148" s="7">
        <v>0</v>
      </c>
      <c r="Z148" s="7">
        <v>321.02</v>
      </c>
    </row>
    <row r="149" spans="1:26" x14ac:dyDescent="0.35">
      <c r="A149" s="7" t="s">
        <v>27</v>
      </c>
      <c r="B149" s="7" t="s">
        <v>47</v>
      </c>
      <c r="C149" s="7" t="s">
        <v>50</v>
      </c>
      <c r="D149" s="7" t="s">
        <v>64</v>
      </c>
      <c r="E149" s="7" t="s">
        <v>36</v>
      </c>
      <c r="F149" s="7" t="s">
        <v>36</v>
      </c>
      <c r="G149" s="7">
        <v>2020</v>
      </c>
      <c r="H149" s="7" t="str">
        <f>CONCATENATE("04241121989")</f>
        <v>04241121989</v>
      </c>
      <c r="I149" s="7" t="s">
        <v>30</v>
      </c>
      <c r="J149" s="7" t="s">
        <v>31</v>
      </c>
      <c r="K149" s="7" t="str">
        <f>CONCATENATE("")</f>
        <v/>
      </c>
      <c r="L149" s="7" t="str">
        <f>CONCATENATE("11 11.1 4b")</f>
        <v>11 11.1 4b</v>
      </c>
      <c r="M149" s="7" t="str">
        <f>CONCATENATE("ZZIGPP68M14I774B")</f>
        <v>ZZIGPP68M14I774B</v>
      </c>
      <c r="N149" s="7" t="s">
        <v>247</v>
      </c>
      <c r="O149" s="7" t="s">
        <v>78</v>
      </c>
      <c r="P149" s="8">
        <v>44334</v>
      </c>
      <c r="Q149" s="7" t="s">
        <v>32</v>
      </c>
      <c r="R149" s="7" t="s">
        <v>33</v>
      </c>
      <c r="S149" s="7" t="s">
        <v>34</v>
      </c>
      <c r="T149" s="7"/>
      <c r="U149" s="7" t="s">
        <v>35</v>
      </c>
      <c r="V149" s="9">
        <v>3659</v>
      </c>
      <c r="W149" s="9">
        <v>1577.76</v>
      </c>
      <c r="X149" s="9">
        <v>1457.01</v>
      </c>
      <c r="Y149" s="7">
        <v>0</v>
      </c>
      <c r="Z149" s="7">
        <v>624.23</v>
      </c>
    </row>
    <row r="150" spans="1:26" x14ac:dyDescent="0.35">
      <c r="A150" s="7" t="s">
        <v>27</v>
      </c>
      <c r="B150" s="7" t="s">
        <v>47</v>
      </c>
      <c r="C150" s="7" t="s">
        <v>50</v>
      </c>
      <c r="D150" s="7" t="s">
        <v>51</v>
      </c>
      <c r="E150" s="7" t="s">
        <v>39</v>
      </c>
      <c r="F150" s="7" t="s">
        <v>123</v>
      </c>
      <c r="G150" s="7">
        <v>2020</v>
      </c>
      <c r="H150" s="7" t="str">
        <f>CONCATENATE("04210848935")</f>
        <v>04210848935</v>
      </c>
      <c r="I150" s="7" t="s">
        <v>30</v>
      </c>
      <c r="J150" s="7" t="s">
        <v>31</v>
      </c>
      <c r="K150" s="7" t="str">
        <f>CONCATENATE("")</f>
        <v/>
      </c>
      <c r="L150" s="7" t="str">
        <f>CONCATENATE("13 13.1 4a")</f>
        <v>13 13.1 4a</v>
      </c>
      <c r="M150" s="7" t="str">
        <f>CONCATENATE("CLMTLI41S19B352X")</f>
        <v>CLMTLI41S19B352X</v>
      </c>
      <c r="N150" s="7" t="s">
        <v>248</v>
      </c>
      <c r="O150" s="7" t="s">
        <v>115</v>
      </c>
      <c r="P150" s="8">
        <v>44334</v>
      </c>
      <c r="Q150" s="7" t="s">
        <v>32</v>
      </c>
      <c r="R150" s="7" t="s">
        <v>33</v>
      </c>
      <c r="S150" s="7" t="s">
        <v>34</v>
      </c>
      <c r="T150" s="7"/>
      <c r="U150" s="7" t="s">
        <v>35</v>
      </c>
      <c r="V150" s="7">
        <v>500.23</v>
      </c>
      <c r="W150" s="7">
        <v>215.7</v>
      </c>
      <c r="X150" s="7">
        <v>199.19</v>
      </c>
      <c r="Y150" s="7">
        <v>0</v>
      </c>
      <c r="Z150" s="7">
        <v>85.34</v>
      </c>
    </row>
    <row r="151" spans="1:26" x14ac:dyDescent="0.35">
      <c r="A151" s="7" t="s">
        <v>27</v>
      </c>
      <c r="B151" s="7" t="s">
        <v>47</v>
      </c>
      <c r="C151" s="7" t="s">
        <v>50</v>
      </c>
      <c r="D151" s="7" t="s">
        <v>51</v>
      </c>
      <c r="E151" s="7" t="s">
        <v>40</v>
      </c>
      <c r="F151" s="7" t="s">
        <v>249</v>
      </c>
      <c r="G151" s="7">
        <v>2020</v>
      </c>
      <c r="H151" s="7" t="str">
        <f>CONCATENATE("04210849487")</f>
        <v>04210849487</v>
      </c>
      <c r="I151" s="7" t="s">
        <v>30</v>
      </c>
      <c r="J151" s="7" t="s">
        <v>31</v>
      </c>
      <c r="K151" s="7" t="str">
        <f>CONCATENATE("")</f>
        <v/>
      </c>
      <c r="L151" s="7" t="str">
        <f>CONCATENATE("13 13.1 4a")</f>
        <v>13 13.1 4a</v>
      </c>
      <c r="M151" s="7" t="str">
        <f>CONCATENATE("PRSDVD84P20L500Y")</f>
        <v>PRSDVD84P20L500Y</v>
      </c>
      <c r="N151" s="7" t="s">
        <v>250</v>
      </c>
      <c r="O151" s="7" t="s">
        <v>115</v>
      </c>
      <c r="P151" s="8">
        <v>44334</v>
      </c>
      <c r="Q151" s="7" t="s">
        <v>32</v>
      </c>
      <c r="R151" s="7" t="s">
        <v>33</v>
      </c>
      <c r="S151" s="7" t="s">
        <v>34</v>
      </c>
      <c r="T151" s="7"/>
      <c r="U151" s="7" t="s">
        <v>35</v>
      </c>
      <c r="V151" s="9">
        <v>1068.07</v>
      </c>
      <c r="W151" s="7">
        <v>460.55</v>
      </c>
      <c r="X151" s="7">
        <v>425.31</v>
      </c>
      <c r="Y151" s="7">
        <v>0</v>
      </c>
      <c r="Z151" s="7">
        <v>182.21</v>
      </c>
    </row>
    <row r="152" spans="1:26" x14ac:dyDescent="0.35">
      <c r="A152" s="7" t="s">
        <v>27</v>
      </c>
      <c r="B152" s="7" t="s">
        <v>47</v>
      </c>
      <c r="C152" s="7" t="s">
        <v>50</v>
      </c>
      <c r="D152" s="7" t="s">
        <v>54</v>
      </c>
      <c r="E152" s="7" t="s">
        <v>39</v>
      </c>
      <c r="F152" s="7" t="s">
        <v>107</v>
      </c>
      <c r="G152" s="7">
        <v>2020</v>
      </c>
      <c r="H152" s="7" t="str">
        <f>CONCATENATE("04240759086")</f>
        <v>04240759086</v>
      </c>
      <c r="I152" s="7" t="s">
        <v>30</v>
      </c>
      <c r="J152" s="7" t="s">
        <v>31</v>
      </c>
      <c r="K152" s="7" t="str">
        <f>CONCATENATE("")</f>
        <v/>
      </c>
      <c r="L152" s="7" t="str">
        <f>CONCATENATE("11 11.2 4b")</f>
        <v>11 11.2 4b</v>
      </c>
      <c r="M152" s="7" t="str">
        <f>CONCATENATE("01761610433")</f>
        <v>01761610433</v>
      </c>
      <c r="N152" s="7" t="s">
        <v>251</v>
      </c>
      <c r="O152" s="7" t="s">
        <v>78</v>
      </c>
      <c r="P152" s="8">
        <v>44334</v>
      </c>
      <c r="Q152" s="7" t="s">
        <v>32</v>
      </c>
      <c r="R152" s="7" t="s">
        <v>33</v>
      </c>
      <c r="S152" s="7" t="s">
        <v>34</v>
      </c>
      <c r="T152" s="7"/>
      <c r="U152" s="7" t="s">
        <v>35</v>
      </c>
      <c r="V152" s="9">
        <v>29077.7</v>
      </c>
      <c r="W152" s="9">
        <v>12538.3</v>
      </c>
      <c r="X152" s="9">
        <v>11578.74</v>
      </c>
      <c r="Y152" s="7">
        <v>0</v>
      </c>
      <c r="Z152" s="9">
        <v>4960.66</v>
      </c>
    </row>
    <row r="153" spans="1:26" x14ac:dyDescent="0.35">
      <c r="A153" s="7" t="s">
        <v>27</v>
      </c>
      <c r="B153" s="7" t="s">
        <v>47</v>
      </c>
      <c r="C153" s="7" t="s">
        <v>50</v>
      </c>
      <c r="D153" s="7" t="s">
        <v>51</v>
      </c>
      <c r="E153" s="7" t="s">
        <v>44</v>
      </c>
      <c r="F153" s="7" t="s">
        <v>101</v>
      </c>
      <c r="G153" s="7">
        <v>2020</v>
      </c>
      <c r="H153" s="7" t="str">
        <f>CONCATENATE("04210347060")</f>
        <v>04210347060</v>
      </c>
      <c r="I153" s="7" t="s">
        <v>30</v>
      </c>
      <c r="J153" s="7" t="s">
        <v>31</v>
      </c>
      <c r="K153" s="7" t="str">
        <f>CONCATENATE("")</f>
        <v/>
      </c>
      <c r="L153" s="7" t="str">
        <f>CONCATENATE("13 13.1 4a")</f>
        <v>13 13.1 4a</v>
      </c>
      <c r="M153" s="7" t="str">
        <f>CONCATENATE("PRRSNT44A12I287N")</f>
        <v>PRRSNT44A12I287N</v>
      </c>
      <c r="N153" s="7" t="s">
        <v>252</v>
      </c>
      <c r="O153" s="7" t="s">
        <v>160</v>
      </c>
      <c r="P153" s="8">
        <v>44334</v>
      </c>
      <c r="Q153" s="7" t="s">
        <v>32</v>
      </c>
      <c r="R153" s="7" t="s">
        <v>33</v>
      </c>
      <c r="S153" s="7" t="s">
        <v>34</v>
      </c>
      <c r="T153" s="7"/>
      <c r="U153" s="7" t="s">
        <v>35</v>
      </c>
      <c r="V153" s="9">
        <v>2250.8200000000002</v>
      </c>
      <c r="W153" s="7">
        <v>970.55</v>
      </c>
      <c r="X153" s="7">
        <v>896.28</v>
      </c>
      <c r="Y153" s="7">
        <v>0</v>
      </c>
      <c r="Z153" s="7">
        <v>383.99</v>
      </c>
    </row>
    <row r="154" spans="1:26" x14ac:dyDescent="0.35">
      <c r="A154" s="7" t="s">
        <v>27</v>
      </c>
      <c r="B154" s="7" t="s">
        <v>47</v>
      </c>
      <c r="C154" s="7" t="s">
        <v>50</v>
      </c>
      <c r="D154" s="7" t="s">
        <v>54</v>
      </c>
      <c r="E154" s="7" t="s">
        <v>39</v>
      </c>
      <c r="F154" s="7" t="s">
        <v>195</v>
      </c>
      <c r="G154" s="7">
        <v>2020</v>
      </c>
      <c r="H154" s="7" t="str">
        <f>CONCATENATE("04240635153")</f>
        <v>04240635153</v>
      </c>
      <c r="I154" s="7" t="s">
        <v>43</v>
      </c>
      <c r="J154" s="7" t="s">
        <v>31</v>
      </c>
      <c r="K154" s="7" t="str">
        <f>CONCATENATE("")</f>
        <v/>
      </c>
      <c r="L154" s="7" t="str">
        <f>CONCATENATE("11 11.2 4b")</f>
        <v>11 11.2 4b</v>
      </c>
      <c r="M154" s="7" t="str">
        <f>CONCATENATE("FTTSMN98H29I156K")</f>
        <v>FTTSMN98H29I156K</v>
      </c>
      <c r="N154" s="7" t="s">
        <v>253</v>
      </c>
      <c r="O154" s="7" t="s">
        <v>78</v>
      </c>
      <c r="P154" s="8">
        <v>44334</v>
      </c>
      <c r="Q154" s="7" t="s">
        <v>32</v>
      </c>
      <c r="R154" s="7" t="s">
        <v>33</v>
      </c>
      <c r="S154" s="7" t="s">
        <v>34</v>
      </c>
      <c r="T154" s="7"/>
      <c r="U154" s="7" t="s">
        <v>35</v>
      </c>
      <c r="V154" s="7">
        <v>904.99</v>
      </c>
      <c r="W154" s="7">
        <v>390.23</v>
      </c>
      <c r="X154" s="7">
        <v>360.37</v>
      </c>
      <c r="Y154" s="7">
        <v>0</v>
      </c>
      <c r="Z154" s="7">
        <v>154.38999999999999</v>
      </c>
    </row>
    <row r="155" spans="1:26" x14ac:dyDescent="0.35">
      <c r="A155" s="7" t="s">
        <v>27</v>
      </c>
      <c r="B155" s="7" t="s">
        <v>47</v>
      </c>
      <c r="C155" s="7" t="s">
        <v>50</v>
      </c>
      <c r="D155" s="7" t="s">
        <v>104</v>
      </c>
      <c r="E155" s="7" t="s">
        <v>39</v>
      </c>
      <c r="F155" s="7" t="s">
        <v>87</v>
      </c>
      <c r="G155" s="7">
        <v>2020</v>
      </c>
      <c r="H155" s="7" t="str">
        <f>CONCATENATE("04240978264")</f>
        <v>04240978264</v>
      </c>
      <c r="I155" s="7" t="s">
        <v>30</v>
      </c>
      <c r="J155" s="7" t="s">
        <v>31</v>
      </c>
      <c r="K155" s="7" t="str">
        <f>CONCATENATE("")</f>
        <v/>
      </c>
      <c r="L155" s="7" t="str">
        <f>CONCATENATE("11 11.2 4b")</f>
        <v>11 11.2 4b</v>
      </c>
      <c r="M155" s="7" t="str">
        <f>CONCATENATE("LCCMRA42R13F745T")</f>
        <v>LCCMRA42R13F745T</v>
      </c>
      <c r="N155" s="7" t="s">
        <v>254</v>
      </c>
      <c r="O155" s="7" t="s">
        <v>78</v>
      </c>
      <c r="P155" s="8">
        <v>44334</v>
      </c>
      <c r="Q155" s="7" t="s">
        <v>32</v>
      </c>
      <c r="R155" s="7" t="s">
        <v>33</v>
      </c>
      <c r="S155" s="7" t="s">
        <v>34</v>
      </c>
      <c r="T155" s="7"/>
      <c r="U155" s="7" t="s">
        <v>35</v>
      </c>
      <c r="V155" s="7">
        <v>354.73</v>
      </c>
      <c r="W155" s="7">
        <v>152.96</v>
      </c>
      <c r="X155" s="7">
        <v>141.25</v>
      </c>
      <c r="Y155" s="7">
        <v>0</v>
      </c>
      <c r="Z155" s="7">
        <v>60.52</v>
      </c>
    </row>
    <row r="156" spans="1:26" x14ac:dyDescent="0.35">
      <c r="A156" s="7" t="s">
        <v>27</v>
      </c>
      <c r="B156" s="7" t="s">
        <v>47</v>
      </c>
      <c r="C156" s="7" t="s">
        <v>50</v>
      </c>
      <c r="D156" s="7" t="s">
        <v>64</v>
      </c>
      <c r="E156" s="7" t="s">
        <v>36</v>
      </c>
      <c r="F156" s="7" t="s">
        <v>36</v>
      </c>
      <c r="G156" s="7">
        <v>2020</v>
      </c>
      <c r="H156" s="7" t="str">
        <f>CONCATENATE("04240963993")</f>
        <v>04240963993</v>
      </c>
      <c r="I156" s="7" t="s">
        <v>30</v>
      </c>
      <c r="J156" s="7" t="s">
        <v>31</v>
      </c>
      <c r="K156" s="7" t="str">
        <f>CONCATENATE("")</f>
        <v/>
      </c>
      <c r="L156" s="7" t="str">
        <f>CONCATENATE("11 11.2 4b")</f>
        <v>11 11.2 4b</v>
      </c>
      <c r="M156" s="7" t="str">
        <f>CONCATENATE("NCCRNN81C14H769H")</f>
        <v>NCCRNN81C14H769H</v>
      </c>
      <c r="N156" s="7" t="s">
        <v>255</v>
      </c>
      <c r="O156" s="7" t="s">
        <v>78</v>
      </c>
      <c r="P156" s="8">
        <v>44334</v>
      </c>
      <c r="Q156" s="7" t="s">
        <v>32</v>
      </c>
      <c r="R156" s="7" t="s">
        <v>33</v>
      </c>
      <c r="S156" s="7" t="s">
        <v>34</v>
      </c>
      <c r="T156" s="7"/>
      <c r="U156" s="7" t="s">
        <v>35</v>
      </c>
      <c r="V156" s="9">
        <v>1063.8599999999999</v>
      </c>
      <c r="W156" s="7">
        <v>458.74</v>
      </c>
      <c r="X156" s="7">
        <v>423.63</v>
      </c>
      <c r="Y156" s="7">
        <v>0</v>
      </c>
      <c r="Z156" s="7">
        <v>181.49</v>
      </c>
    </row>
    <row r="157" spans="1:26" x14ac:dyDescent="0.35">
      <c r="A157" s="7" t="s">
        <v>27</v>
      </c>
      <c r="B157" s="7" t="s">
        <v>47</v>
      </c>
      <c r="C157" s="7" t="s">
        <v>50</v>
      </c>
      <c r="D157" s="7" t="s">
        <v>64</v>
      </c>
      <c r="E157" s="7" t="s">
        <v>36</v>
      </c>
      <c r="F157" s="7" t="s">
        <v>36</v>
      </c>
      <c r="G157" s="7">
        <v>2020</v>
      </c>
      <c r="H157" s="7" t="str">
        <f>CONCATENATE("04240680365")</f>
        <v>04240680365</v>
      </c>
      <c r="I157" s="7" t="s">
        <v>30</v>
      </c>
      <c r="J157" s="7" t="s">
        <v>31</v>
      </c>
      <c r="K157" s="7" t="str">
        <f>CONCATENATE("")</f>
        <v/>
      </c>
      <c r="L157" s="7" t="str">
        <f>CONCATENATE("11 11.2 4b")</f>
        <v>11 11.2 4b</v>
      </c>
      <c r="M157" s="7" t="str">
        <f>CONCATENATE("NCCRNN81C14H769H")</f>
        <v>NCCRNN81C14H769H</v>
      </c>
      <c r="N157" s="7" t="s">
        <v>255</v>
      </c>
      <c r="O157" s="7" t="s">
        <v>78</v>
      </c>
      <c r="P157" s="8">
        <v>44334</v>
      </c>
      <c r="Q157" s="7" t="s">
        <v>32</v>
      </c>
      <c r="R157" s="7" t="s">
        <v>33</v>
      </c>
      <c r="S157" s="7" t="s">
        <v>34</v>
      </c>
      <c r="T157" s="7"/>
      <c r="U157" s="7" t="s">
        <v>35</v>
      </c>
      <c r="V157" s="9">
        <v>15561.78</v>
      </c>
      <c r="W157" s="9">
        <v>6710.24</v>
      </c>
      <c r="X157" s="9">
        <v>6196.7</v>
      </c>
      <c r="Y157" s="7">
        <v>0</v>
      </c>
      <c r="Z157" s="9">
        <v>2654.84</v>
      </c>
    </row>
    <row r="158" spans="1:26" x14ac:dyDescent="0.35">
      <c r="A158" s="7" t="s">
        <v>27</v>
      </c>
      <c r="B158" s="7" t="s">
        <v>47</v>
      </c>
      <c r="C158" s="7" t="s">
        <v>50</v>
      </c>
      <c r="D158" s="7" t="s">
        <v>64</v>
      </c>
      <c r="E158" s="7" t="s">
        <v>39</v>
      </c>
      <c r="F158" s="7" t="s">
        <v>241</v>
      </c>
      <c r="G158" s="7">
        <v>2020</v>
      </c>
      <c r="H158" s="7" t="str">
        <f>CONCATENATE("04241031345")</f>
        <v>04241031345</v>
      </c>
      <c r="I158" s="7" t="s">
        <v>30</v>
      </c>
      <c r="J158" s="7" t="s">
        <v>31</v>
      </c>
      <c r="K158" s="7" t="str">
        <f>CONCATENATE("")</f>
        <v/>
      </c>
      <c r="L158" s="7" t="str">
        <f>CONCATENATE("11 11.2 4b")</f>
        <v>11 11.2 4b</v>
      </c>
      <c r="M158" s="7" t="str">
        <f>CONCATENATE("01692240441")</f>
        <v>01692240441</v>
      </c>
      <c r="N158" s="7" t="s">
        <v>256</v>
      </c>
      <c r="O158" s="7" t="s">
        <v>78</v>
      </c>
      <c r="P158" s="8">
        <v>44334</v>
      </c>
      <c r="Q158" s="7" t="s">
        <v>32</v>
      </c>
      <c r="R158" s="7" t="s">
        <v>33</v>
      </c>
      <c r="S158" s="7" t="s">
        <v>34</v>
      </c>
      <c r="T158" s="7"/>
      <c r="U158" s="7" t="s">
        <v>35</v>
      </c>
      <c r="V158" s="9">
        <v>2130.66</v>
      </c>
      <c r="W158" s="7">
        <v>918.74</v>
      </c>
      <c r="X158" s="7">
        <v>848.43</v>
      </c>
      <c r="Y158" s="7">
        <v>0</v>
      </c>
      <c r="Z158" s="7">
        <v>363.49</v>
      </c>
    </row>
    <row r="159" spans="1:26" x14ac:dyDescent="0.35">
      <c r="A159" s="7" t="s">
        <v>27</v>
      </c>
      <c r="B159" s="7" t="s">
        <v>47</v>
      </c>
      <c r="C159" s="7" t="s">
        <v>50</v>
      </c>
      <c r="D159" s="7" t="s">
        <v>104</v>
      </c>
      <c r="E159" s="7" t="s">
        <v>39</v>
      </c>
      <c r="F159" s="7" t="s">
        <v>162</v>
      </c>
      <c r="G159" s="7">
        <v>2020</v>
      </c>
      <c r="H159" s="7" t="str">
        <f>CONCATENATE("04210073138")</f>
        <v>04210073138</v>
      </c>
      <c r="I159" s="7" t="s">
        <v>43</v>
      </c>
      <c r="J159" s="7" t="s">
        <v>31</v>
      </c>
      <c r="K159" s="7" t="str">
        <f>CONCATENATE("")</f>
        <v/>
      </c>
      <c r="L159" s="7" t="str">
        <f>CONCATENATE("13 13.1 4a")</f>
        <v>13 13.1 4a</v>
      </c>
      <c r="M159" s="7" t="str">
        <f>CONCATENATE("TRTNLN59D64C524P")</f>
        <v>TRTNLN59D64C524P</v>
      </c>
      <c r="N159" s="7" t="s">
        <v>257</v>
      </c>
      <c r="O159" s="7" t="s">
        <v>160</v>
      </c>
      <c r="P159" s="8">
        <v>44334</v>
      </c>
      <c r="Q159" s="7" t="s">
        <v>32</v>
      </c>
      <c r="R159" s="7" t="s">
        <v>33</v>
      </c>
      <c r="S159" s="7" t="s">
        <v>34</v>
      </c>
      <c r="T159" s="7"/>
      <c r="U159" s="7" t="s">
        <v>35</v>
      </c>
      <c r="V159" s="7">
        <v>86.5</v>
      </c>
      <c r="W159" s="7">
        <v>37.299999999999997</v>
      </c>
      <c r="X159" s="7">
        <v>34.44</v>
      </c>
      <c r="Y159" s="7">
        <v>0</v>
      </c>
      <c r="Z159" s="7">
        <v>14.76</v>
      </c>
    </row>
    <row r="160" spans="1:26" x14ac:dyDescent="0.35">
      <c r="A160" s="7" t="s">
        <v>27</v>
      </c>
      <c r="B160" s="7" t="s">
        <v>47</v>
      </c>
      <c r="C160" s="7" t="s">
        <v>50</v>
      </c>
      <c r="D160" s="7" t="s">
        <v>64</v>
      </c>
      <c r="E160" s="7" t="s">
        <v>39</v>
      </c>
      <c r="F160" s="7" t="s">
        <v>93</v>
      </c>
      <c r="G160" s="7">
        <v>2018</v>
      </c>
      <c r="H160" s="7" t="str">
        <f>CONCATENATE("84240643910")</f>
        <v>84240643910</v>
      </c>
      <c r="I160" s="7" t="s">
        <v>30</v>
      </c>
      <c r="J160" s="7" t="s">
        <v>31</v>
      </c>
      <c r="K160" s="7" t="str">
        <f>CONCATENATE("")</f>
        <v/>
      </c>
      <c r="L160" s="7" t="str">
        <f>CONCATENATE("11 11.1 4b")</f>
        <v>11 11.1 4b</v>
      </c>
      <c r="M160" s="7" t="str">
        <f>CONCATENATE("PCTCPI97L27D542E")</f>
        <v>PCTCPI97L27D542E</v>
      </c>
      <c r="N160" s="7" t="s">
        <v>258</v>
      </c>
      <c r="O160" s="7" t="s">
        <v>78</v>
      </c>
      <c r="P160" s="8">
        <v>44334</v>
      </c>
      <c r="Q160" s="7" t="s">
        <v>32</v>
      </c>
      <c r="R160" s="7" t="s">
        <v>33</v>
      </c>
      <c r="S160" s="7" t="s">
        <v>34</v>
      </c>
      <c r="T160" s="7"/>
      <c r="U160" s="7" t="s">
        <v>35</v>
      </c>
      <c r="V160" s="9">
        <v>1599.36</v>
      </c>
      <c r="W160" s="7">
        <v>689.64</v>
      </c>
      <c r="X160" s="7">
        <v>636.87</v>
      </c>
      <c r="Y160" s="7">
        <v>0</v>
      </c>
      <c r="Z160" s="7">
        <v>272.85000000000002</v>
      </c>
    </row>
    <row r="161" spans="1:26" x14ac:dyDescent="0.35">
      <c r="A161" s="7" t="s">
        <v>27</v>
      </c>
      <c r="B161" s="7" t="s">
        <v>47</v>
      </c>
      <c r="C161" s="7" t="s">
        <v>50</v>
      </c>
      <c r="D161" s="7" t="s">
        <v>64</v>
      </c>
      <c r="E161" s="7" t="s">
        <v>39</v>
      </c>
      <c r="F161" s="7" t="s">
        <v>93</v>
      </c>
      <c r="G161" s="7">
        <v>2020</v>
      </c>
      <c r="H161" s="7" t="str">
        <f>CONCATENATE("04240720351")</f>
        <v>04240720351</v>
      </c>
      <c r="I161" s="7" t="s">
        <v>30</v>
      </c>
      <c r="J161" s="7" t="s">
        <v>31</v>
      </c>
      <c r="K161" s="7" t="str">
        <f>CONCATENATE("")</f>
        <v/>
      </c>
      <c r="L161" s="7" t="str">
        <f>CONCATENATE("11 11.1 4b")</f>
        <v>11 11.1 4b</v>
      </c>
      <c r="M161" s="7" t="str">
        <f>CONCATENATE("PCTCPI97L27D542E")</f>
        <v>PCTCPI97L27D542E</v>
      </c>
      <c r="N161" s="7" t="s">
        <v>258</v>
      </c>
      <c r="O161" s="7" t="s">
        <v>78</v>
      </c>
      <c r="P161" s="8">
        <v>44334</v>
      </c>
      <c r="Q161" s="7" t="s">
        <v>32</v>
      </c>
      <c r="R161" s="7" t="s">
        <v>33</v>
      </c>
      <c r="S161" s="7" t="s">
        <v>34</v>
      </c>
      <c r="T161" s="7"/>
      <c r="U161" s="7" t="s">
        <v>35</v>
      </c>
      <c r="V161" s="9">
        <v>1608.6</v>
      </c>
      <c r="W161" s="7">
        <v>693.63</v>
      </c>
      <c r="X161" s="7">
        <v>640.54</v>
      </c>
      <c r="Y161" s="7">
        <v>0</v>
      </c>
      <c r="Z161" s="7">
        <v>274.43</v>
      </c>
    </row>
    <row r="162" spans="1:26" x14ac:dyDescent="0.35">
      <c r="A162" s="7" t="s">
        <v>27</v>
      </c>
      <c r="B162" s="7" t="s">
        <v>47</v>
      </c>
      <c r="C162" s="7" t="s">
        <v>50</v>
      </c>
      <c r="D162" s="7" t="s">
        <v>51</v>
      </c>
      <c r="E162" s="7" t="s">
        <v>39</v>
      </c>
      <c r="F162" s="7" t="s">
        <v>145</v>
      </c>
      <c r="G162" s="7">
        <v>2020</v>
      </c>
      <c r="H162" s="7" t="str">
        <f>CONCATENATE("04240444762")</f>
        <v>04240444762</v>
      </c>
      <c r="I162" s="7" t="s">
        <v>30</v>
      </c>
      <c r="J162" s="7" t="s">
        <v>31</v>
      </c>
      <c r="K162" s="7" t="str">
        <f>CONCATENATE("")</f>
        <v/>
      </c>
      <c r="L162" s="7" t="str">
        <f>CONCATENATE("11 11.1 4b")</f>
        <v>11 11.1 4b</v>
      </c>
      <c r="M162" s="7" t="str">
        <f>CONCATENATE("PZZDRN64R17F135L")</f>
        <v>PZZDRN64R17F135L</v>
      </c>
      <c r="N162" s="7" t="s">
        <v>259</v>
      </c>
      <c r="O162" s="7" t="s">
        <v>78</v>
      </c>
      <c r="P162" s="8">
        <v>44334</v>
      </c>
      <c r="Q162" s="7" t="s">
        <v>32</v>
      </c>
      <c r="R162" s="7" t="s">
        <v>33</v>
      </c>
      <c r="S162" s="7" t="s">
        <v>34</v>
      </c>
      <c r="T162" s="7"/>
      <c r="U162" s="7" t="s">
        <v>35</v>
      </c>
      <c r="V162" s="7">
        <v>369.87</v>
      </c>
      <c r="W162" s="7">
        <v>159.49</v>
      </c>
      <c r="X162" s="7">
        <v>147.28</v>
      </c>
      <c r="Y162" s="7">
        <v>0</v>
      </c>
      <c r="Z162" s="7">
        <v>63.1</v>
      </c>
    </row>
    <row r="163" spans="1:26" x14ac:dyDescent="0.35">
      <c r="A163" s="7" t="s">
        <v>27</v>
      </c>
      <c r="B163" s="7" t="s">
        <v>47</v>
      </c>
      <c r="C163" s="7" t="s">
        <v>50</v>
      </c>
      <c r="D163" s="7" t="s">
        <v>51</v>
      </c>
      <c r="E163" s="7" t="s">
        <v>39</v>
      </c>
      <c r="F163" s="7" t="s">
        <v>128</v>
      </c>
      <c r="G163" s="7">
        <v>2020</v>
      </c>
      <c r="H163" s="7" t="str">
        <f>CONCATENATE("04210374056")</f>
        <v>04210374056</v>
      </c>
      <c r="I163" s="7" t="s">
        <v>30</v>
      </c>
      <c r="J163" s="7" t="s">
        <v>31</v>
      </c>
      <c r="K163" s="7" t="str">
        <f>CONCATENATE("")</f>
        <v/>
      </c>
      <c r="L163" s="7" t="str">
        <f>CONCATENATE("13 13.1 4a")</f>
        <v>13 13.1 4a</v>
      </c>
      <c r="M163" s="7" t="str">
        <f>CONCATENATE("SLCMRC75D17B352L")</f>
        <v>SLCMRC75D17B352L</v>
      </c>
      <c r="N163" s="7" t="s">
        <v>260</v>
      </c>
      <c r="O163" s="7" t="s">
        <v>115</v>
      </c>
      <c r="P163" s="8">
        <v>44334</v>
      </c>
      <c r="Q163" s="7" t="s">
        <v>32</v>
      </c>
      <c r="R163" s="7" t="s">
        <v>33</v>
      </c>
      <c r="S163" s="7" t="s">
        <v>34</v>
      </c>
      <c r="T163" s="7"/>
      <c r="U163" s="7" t="s">
        <v>35</v>
      </c>
      <c r="V163" s="9">
        <v>2344.6999999999998</v>
      </c>
      <c r="W163" s="9">
        <v>1011.03</v>
      </c>
      <c r="X163" s="7">
        <v>933.66</v>
      </c>
      <c r="Y163" s="7">
        <v>0</v>
      </c>
      <c r="Z163" s="7">
        <v>400.01</v>
      </c>
    </row>
    <row r="164" spans="1:26" x14ac:dyDescent="0.35">
      <c r="A164" s="7" t="s">
        <v>27</v>
      </c>
      <c r="B164" s="7" t="s">
        <v>47</v>
      </c>
      <c r="C164" s="7" t="s">
        <v>50</v>
      </c>
      <c r="D164" s="7" t="s">
        <v>104</v>
      </c>
      <c r="E164" s="7" t="s">
        <v>40</v>
      </c>
      <c r="F164" s="7" t="s">
        <v>261</v>
      </c>
      <c r="G164" s="7">
        <v>2020</v>
      </c>
      <c r="H164" s="7" t="str">
        <f>CONCATENATE("04240280422")</f>
        <v>04240280422</v>
      </c>
      <c r="I164" s="7" t="s">
        <v>30</v>
      </c>
      <c r="J164" s="7" t="s">
        <v>31</v>
      </c>
      <c r="K164" s="7" t="str">
        <f>CONCATENATE("")</f>
        <v/>
      </c>
      <c r="L164" s="7" t="str">
        <f>CONCATENATE("11 11.2 4b")</f>
        <v>11 11.2 4b</v>
      </c>
      <c r="M164" s="7" t="str">
        <f>CONCATENATE("BRSLRT40A29I608M")</f>
        <v>BRSLRT40A29I608M</v>
      </c>
      <c r="N164" s="7" t="s">
        <v>262</v>
      </c>
      <c r="O164" s="7" t="s">
        <v>78</v>
      </c>
      <c r="P164" s="8">
        <v>44334</v>
      </c>
      <c r="Q164" s="7" t="s">
        <v>32</v>
      </c>
      <c r="R164" s="7" t="s">
        <v>33</v>
      </c>
      <c r="S164" s="7" t="s">
        <v>34</v>
      </c>
      <c r="T164" s="7"/>
      <c r="U164" s="7" t="s">
        <v>35</v>
      </c>
      <c r="V164" s="7">
        <v>34.79</v>
      </c>
      <c r="W164" s="7">
        <v>15</v>
      </c>
      <c r="X164" s="7">
        <v>13.85</v>
      </c>
      <c r="Y164" s="7">
        <v>0</v>
      </c>
      <c r="Z164" s="7">
        <v>5.94</v>
      </c>
    </row>
    <row r="165" spans="1:26" x14ac:dyDescent="0.35">
      <c r="A165" s="7" t="s">
        <v>27</v>
      </c>
      <c r="B165" s="7" t="s">
        <v>47</v>
      </c>
      <c r="C165" s="7" t="s">
        <v>50</v>
      </c>
      <c r="D165" s="7" t="s">
        <v>51</v>
      </c>
      <c r="E165" s="7" t="s">
        <v>40</v>
      </c>
      <c r="F165" s="7" t="s">
        <v>98</v>
      </c>
      <c r="G165" s="7">
        <v>2020</v>
      </c>
      <c r="H165" s="7" t="str">
        <f>CONCATENATE("04210321701")</f>
        <v>04210321701</v>
      </c>
      <c r="I165" s="7" t="s">
        <v>30</v>
      </c>
      <c r="J165" s="7" t="s">
        <v>31</v>
      </c>
      <c r="K165" s="7" t="str">
        <f>CONCATENATE("")</f>
        <v/>
      </c>
      <c r="L165" s="7" t="str">
        <f>CONCATENATE("13 13.1 4a")</f>
        <v>13 13.1 4a</v>
      </c>
      <c r="M165" s="7" t="str">
        <f>CONCATENATE("CSANGL30E41A895U")</f>
        <v>CSANGL30E41A895U</v>
      </c>
      <c r="N165" s="7" t="s">
        <v>263</v>
      </c>
      <c r="O165" s="7" t="s">
        <v>115</v>
      </c>
      <c r="P165" s="8">
        <v>44334</v>
      </c>
      <c r="Q165" s="7" t="s">
        <v>32</v>
      </c>
      <c r="R165" s="7" t="s">
        <v>33</v>
      </c>
      <c r="S165" s="7" t="s">
        <v>34</v>
      </c>
      <c r="T165" s="7"/>
      <c r="U165" s="7" t="s">
        <v>35</v>
      </c>
      <c r="V165" s="9">
        <v>7168.51</v>
      </c>
      <c r="W165" s="9">
        <v>3091.06</v>
      </c>
      <c r="X165" s="9">
        <v>2854.5</v>
      </c>
      <c r="Y165" s="7">
        <v>0</v>
      </c>
      <c r="Z165" s="9">
        <v>1222.95</v>
      </c>
    </row>
    <row r="166" spans="1:26" x14ac:dyDescent="0.35">
      <c r="A166" s="7" t="s">
        <v>27</v>
      </c>
      <c r="B166" s="7" t="s">
        <v>47</v>
      </c>
      <c r="C166" s="7" t="s">
        <v>50</v>
      </c>
      <c r="D166" s="7" t="s">
        <v>51</v>
      </c>
      <c r="E166" s="7" t="s">
        <v>48</v>
      </c>
      <c r="F166" s="7" t="s">
        <v>264</v>
      </c>
      <c r="G166" s="7">
        <v>2020</v>
      </c>
      <c r="H166" s="7" t="str">
        <f>CONCATENATE("04210803906")</f>
        <v>04210803906</v>
      </c>
      <c r="I166" s="7" t="s">
        <v>30</v>
      </c>
      <c r="J166" s="7" t="s">
        <v>31</v>
      </c>
      <c r="K166" s="7" t="str">
        <f>CONCATENATE("")</f>
        <v/>
      </c>
      <c r="L166" s="7" t="str">
        <f>CONCATENATE("13 13.1 4a")</f>
        <v>13 13.1 4a</v>
      </c>
      <c r="M166" s="7" t="str">
        <f>CONCATENATE("02610780419")</f>
        <v>02610780419</v>
      </c>
      <c r="N166" s="7" t="s">
        <v>265</v>
      </c>
      <c r="O166" s="7" t="s">
        <v>115</v>
      </c>
      <c r="P166" s="8">
        <v>44334</v>
      </c>
      <c r="Q166" s="7" t="s">
        <v>32</v>
      </c>
      <c r="R166" s="7" t="s">
        <v>33</v>
      </c>
      <c r="S166" s="7" t="s">
        <v>34</v>
      </c>
      <c r="T166" s="7"/>
      <c r="U166" s="7" t="s">
        <v>35</v>
      </c>
      <c r="V166" s="9">
        <v>4162.8599999999997</v>
      </c>
      <c r="W166" s="9">
        <v>1795.03</v>
      </c>
      <c r="X166" s="9">
        <v>1657.65</v>
      </c>
      <c r="Y166" s="7">
        <v>0</v>
      </c>
      <c r="Z166" s="7">
        <v>710.18</v>
      </c>
    </row>
    <row r="167" spans="1:26" x14ac:dyDescent="0.35">
      <c r="A167" s="7" t="s">
        <v>27</v>
      </c>
      <c r="B167" s="7" t="s">
        <v>47</v>
      </c>
      <c r="C167" s="7" t="s">
        <v>50</v>
      </c>
      <c r="D167" s="7" t="s">
        <v>51</v>
      </c>
      <c r="E167" s="7" t="s">
        <v>44</v>
      </c>
      <c r="F167" s="7" t="s">
        <v>101</v>
      </c>
      <c r="G167" s="7">
        <v>2020</v>
      </c>
      <c r="H167" s="7" t="str">
        <f>CONCATENATE("04210882843")</f>
        <v>04210882843</v>
      </c>
      <c r="I167" s="7" t="s">
        <v>30</v>
      </c>
      <c r="J167" s="7" t="s">
        <v>31</v>
      </c>
      <c r="K167" s="7" t="str">
        <f>CONCATENATE("")</f>
        <v/>
      </c>
      <c r="L167" s="7" t="str">
        <f>CONCATENATE("13 13.1 4a")</f>
        <v>13 13.1 4a</v>
      </c>
      <c r="M167" s="7" t="str">
        <f>CONCATENATE("CNCMRZ62L09F467R")</f>
        <v>CNCMRZ62L09F467R</v>
      </c>
      <c r="N167" s="7" t="s">
        <v>266</v>
      </c>
      <c r="O167" s="7" t="s">
        <v>115</v>
      </c>
      <c r="P167" s="8">
        <v>44334</v>
      </c>
      <c r="Q167" s="7" t="s">
        <v>32</v>
      </c>
      <c r="R167" s="7" t="s">
        <v>33</v>
      </c>
      <c r="S167" s="7" t="s">
        <v>34</v>
      </c>
      <c r="T167" s="7"/>
      <c r="U167" s="7" t="s">
        <v>35</v>
      </c>
      <c r="V167" s="9">
        <v>2773.46</v>
      </c>
      <c r="W167" s="9">
        <v>1195.92</v>
      </c>
      <c r="X167" s="9">
        <v>1104.3900000000001</v>
      </c>
      <c r="Y167" s="7">
        <v>0</v>
      </c>
      <c r="Z167" s="7">
        <v>473.15</v>
      </c>
    </row>
    <row r="168" spans="1:26" x14ac:dyDescent="0.35">
      <c r="A168" s="7" t="s">
        <v>27</v>
      </c>
      <c r="B168" s="7" t="s">
        <v>47</v>
      </c>
      <c r="C168" s="7" t="s">
        <v>50</v>
      </c>
      <c r="D168" s="7" t="s">
        <v>51</v>
      </c>
      <c r="E168" s="7" t="s">
        <v>39</v>
      </c>
      <c r="F168" s="7" t="s">
        <v>125</v>
      </c>
      <c r="G168" s="7">
        <v>2020</v>
      </c>
      <c r="H168" s="7" t="str">
        <f>CONCATENATE("04210294015")</f>
        <v>04210294015</v>
      </c>
      <c r="I168" s="7" t="s">
        <v>30</v>
      </c>
      <c r="J168" s="7" t="s">
        <v>31</v>
      </c>
      <c r="K168" s="7" t="str">
        <f>CONCATENATE("")</f>
        <v/>
      </c>
      <c r="L168" s="7" t="str">
        <f>CONCATENATE("13 13.1 4a")</f>
        <v>13 13.1 4a</v>
      </c>
      <c r="M168" s="7" t="str">
        <f>CONCATENATE("DRGGBR48T03I654H")</f>
        <v>DRGGBR48T03I654H</v>
      </c>
      <c r="N168" s="7" t="s">
        <v>267</v>
      </c>
      <c r="O168" s="7" t="s">
        <v>115</v>
      </c>
      <c r="P168" s="8">
        <v>44334</v>
      </c>
      <c r="Q168" s="7" t="s">
        <v>32</v>
      </c>
      <c r="R168" s="7" t="s">
        <v>33</v>
      </c>
      <c r="S168" s="7" t="s">
        <v>34</v>
      </c>
      <c r="T168" s="7"/>
      <c r="U168" s="7" t="s">
        <v>35</v>
      </c>
      <c r="V168" s="9">
        <v>1176.8399999999999</v>
      </c>
      <c r="W168" s="7">
        <v>507.45</v>
      </c>
      <c r="X168" s="7">
        <v>468.62</v>
      </c>
      <c r="Y168" s="7">
        <v>0</v>
      </c>
      <c r="Z168" s="7">
        <v>200.77</v>
      </c>
    </row>
    <row r="169" spans="1:26" x14ac:dyDescent="0.35">
      <c r="A169" s="7" t="s">
        <v>27</v>
      </c>
      <c r="B169" s="7" t="s">
        <v>47</v>
      </c>
      <c r="C169" s="7" t="s">
        <v>50</v>
      </c>
      <c r="D169" s="7" t="s">
        <v>51</v>
      </c>
      <c r="E169" s="7" t="s">
        <v>39</v>
      </c>
      <c r="F169" s="7" t="s">
        <v>123</v>
      </c>
      <c r="G169" s="7">
        <v>2020</v>
      </c>
      <c r="H169" s="7" t="str">
        <f>CONCATENATE("04210088144")</f>
        <v>04210088144</v>
      </c>
      <c r="I169" s="7" t="s">
        <v>30</v>
      </c>
      <c r="J169" s="7" t="s">
        <v>31</v>
      </c>
      <c r="K169" s="7" t="str">
        <f>CONCATENATE("")</f>
        <v/>
      </c>
      <c r="L169" s="7" t="str">
        <f>CONCATENATE("13 13.1 4a")</f>
        <v>13 13.1 4a</v>
      </c>
      <c r="M169" s="7" t="str">
        <f>CONCATENATE("MTTLVN48P48L500X")</f>
        <v>MTTLVN48P48L500X</v>
      </c>
      <c r="N169" s="7" t="s">
        <v>268</v>
      </c>
      <c r="O169" s="7" t="s">
        <v>115</v>
      </c>
      <c r="P169" s="8">
        <v>44334</v>
      </c>
      <c r="Q169" s="7" t="s">
        <v>32</v>
      </c>
      <c r="R169" s="7" t="s">
        <v>33</v>
      </c>
      <c r="S169" s="7" t="s">
        <v>34</v>
      </c>
      <c r="T169" s="7"/>
      <c r="U169" s="7" t="s">
        <v>35</v>
      </c>
      <c r="V169" s="9">
        <v>2333.34</v>
      </c>
      <c r="W169" s="9">
        <v>1006.14</v>
      </c>
      <c r="X169" s="7">
        <v>929.14</v>
      </c>
      <c r="Y169" s="7">
        <v>0</v>
      </c>
      <c r="Z169" s="7">
        <v>398.06</v>
      </c>
    </row>
    <row r="170" spans="1:26" x14ac:dyDescent="0.35">
      <c r="A170" s="7" t="s">
        <v>27</v>
      </c>
      <c r="B170" s="7" t="s">
        <v>47</v>
      </c>
      <c r="C170" s="7" t="s">
        <v>50</v>
      </c>
      <c r="D170" s="7" t="s">
        <v>51</v>
      </c>
      <c r="E170" s="7" t="s">
        <v>39</v>
      </c>
      <c r="F170" s="7" t="s">
        <v>123</v>
      </c>
      <c r="G170" s="7">
        <v>2020</v>
      </c>
      <c r="H170" s="7" t="str">
        <f>CONCATENATE("04210831048")</f>
        <v>04210831048</v>
      </c>
      <c r="I170" s="7" t="s">
        <v>30</v>
      </c>
      <c r="J170" s="7" t="s">
        <v>31</v>
      </c>
      <c r="K170" s="7" t="str">
        <f>CONCATENATE("")</f>
        <v/>
      </c>
      <c r="L170" s="7" t="str">
        <f>CONCATENATE("13 13.1 4a")</f>
        <v>13 13.1 4a</v>
      </c>
      <c r="M170" s="7" t="str">
        <f>CONCATENATE("02055070417")</f>
        <v>02055070417</v>
      </c>
      <c r="N170" s="7" t="s">
        <v>269</v>
      </c>
      <c r="O170" s="7" t="s">
        <v>115</v>
      </c>
      <c r="P170" s="8">
        <v>44334</v>
      </c>
      <c r="Q170" s="7" t="s">
        <v>32</v>
      </c>
      <c r="R170" s="7" t="s">
        <v>33</v>
      </c>
      <c r="S170" s="7" t="s">
        <v>34</v>
      </c>
      <c r="T170" s="7"/>
      <c r="U170" s="7" t="s">
        <v>35</v>
      </c>
      <c r="V170" s="9">
        <v>5032.8500000000004</v>
      </c>
      <c r="W170" s="9">
        <v>2170.16</v>
      </c>
      <c r="X170" s="9">
        <v>2004.08</v>
      </c>
      <c r="Y170" s="7">
        <v>0</v>
      </c>
      <c r="Z170" s="7">
        <v>858.61</v>
      </c>
    </row>
    <row r="171" spans="1:26" x14ac:dyDescent="0.35">
      <c r="A171" s="7" t="s">
        <v>27</v>
      </c>
      <c r="B171" s="7" t="s">
        <v>47</v>
      </c>
      <c r="C171" s="7" t="s">
        <v>50</v>
      </c>
      <c r="D171" s="7" t="s">
        <v>51</v>
      </c>
      <c r="E171" s="7" t="s">
        <v>39</v>
      </c>
      <c r="F171" s="7" t="s">
        <v>121</v>
      </c>
      <c r="G171" s="7">
        <v>2020</v>
      </c>
      <c r="H171" s="7" t="str">
        <f>CONCATENATE("04210736981")</f>
        <v>04210736981</v>
      </c>
      <c r="I171" s="7" t="s">
        <v>30</v>
      </c>
      <c r="J171" s="7" t="s">
        <v>31</v>
      </c>
      <c r="K171" s="7" t="str">
        <f>CONCATENATE("")</f>
        <v/>
      </c>
      <c r="L171" s="7" t="str">
        <f>CONCATENATE("13 13.1 4a")</f>
        <v>13 13.1 4a</v>
      </c>
      <c r="M171" s="7" t="str">
        <f>CONCATENATE("LZZNDR66E22D488J")</f>
        <v>LZZNDR66E22D488J</v>
      </c>
      <c r="N171" s="7" t="s">
        <v>270</v>
      </c>
      <c r="O171" s="7" t="s">
        <v>115</v>
      </c>
      <c r="P171" s="8">
        <v>44334</v>
      </c>
      <c r="Q171" s="7" t="s">
        <v>32</v>
      </c>
      <c r="R171" s="7" t="s">
        <v>33</v>
      </c>
      <c r="S171" s="7" t="s">
        <v>34</v>
      </c>
      <c r="T171" s="7"/>
      <c r="U171" s="7" t="s">
        <v>35</v>
      </c>
      <c r="V171" s="9">
        <v>1119.1400000000001</v>
      </c>
      <c r="W171" s="7">
        <v>482.57</v>
      </c>
      <c r="X171" s="7">
        <v>445.64</v>
      </c>
      <c r="Y171" s="7">
        <v>0</v>
      </c>
      <c r="Z171" s="7">
        <v>190.93</v>
      </c>
    </row>
    <row r="172" spans="1:26" x14ac:dyDescent="0.35">
      <c r="A172" s="7" t="s">
        <v>27</v>
      </c>
      <c r="B172" s="7" t="s">
        <v>47</v>
      </c>
      <c r="C172" s="7" t="s">
        <v>50</v>
      </c>
      <c r="D172" s="7" t="s">
        <v>51</v>
      </c>
      <c r="E172" s="7" t="s">
        <v>39</v>
      </c>
      <c r="F172" s="7" t="s">
        <v>125</v>
      </c>
      <c r="G172" s="7">
        <v>2020</v>
      </c>
      <c r="H172" s="7" t="str">
        <f>CONCATENATE("04210090637")</f>
        <v>04210090637</v>
      </c>
      <c r="I172" s="7" t="s">
        <v>30</v>
      </c>
      <c r="J172" s="7" t="s">
        <v>31</v>
      </c>
      <c r="K172" s="7" t="str">
        <f>CONCATENATE("")</f>
        <v/>
      </c>
      <c r="L172" s="7" t="str">
        <f>CONCATENATE("13 13.1 4a")</f>
        <v>13 13.1 4a</v>
      </c>
      <c r="M172" s="7" t="str">
        <f>CONCATENATE("SPDRRT48C09I654C")</f>
        <v>SPDRRT48C09I654C</v>
      </c>
      <c r="N172" s="7" t="s">
        <v>271</v>
      </c>
      <c r="O172" s="7" t="s">
        <v>115</v>
      </c>
      <c r="P172" s="8">
        <v>44334</v>
      </c>
      <c r="Q172" s="7" t="s">
        <v>32</v>
      </c>
      <c r="R172" s="7" t="s">
        <v>33</v>
      </c>
      <c r="S172" s="7" t="s">
        <v>34</v>
      </c>
      <c r="T172" s="7"/>
      <c r="U172" s="7" t="s">
        <v>35</v>
      </c>
      <c r="V172" s="9">
        <v>1123.74</v>
      </c>
      <c r="W172" s="7">
        <v>484.56</v>
      </c>
      <c r="X172" s="7">
        <v>447.47</v>
      </c>
      <c r="Y172" s="7">
        <v>0</v>
      </c>
      <c r="Z172" s="7">
        <v>191.71</v>
      </c>
    </row>
    <row r="173" spans="1:26" x14ac:dyDescent="0.35">
      <c r="A173" s="7" t="s">
        <v>27</v>
      </c>
      <c r="B173" s="7" t="s">
        <v>47</v>
      </c>
      <c r="C173" s="7" t="s">
        <v>50</v>
      </c>
      <c r="D173" s="7" t="s">
        <v>51</v>
      </c>
      <c r="E173" s="7" t="s">
        <v>39</v>
      </c>
      <c r="F173" s="7" t="s">
        <v>121</v>
      </c>
      <c r="G173" s="7">
        <v>2020</v>
      </c>
      <c r="H173" s="7" t="str">
        <f>CONCATENATE("04210536241")</f>
        <v>04210536241</v>
      </c>
      <c r="I173" s="7" t="s">
        <v>30</v>
      </c>
      <c r="J173" s="7" t="s">
        <v>31</v>
      </c>
      <c r="K173" s="7" t="str">
        <f>CONCATENATE("")</f>
        <v/>
      </c>
      <c r="L173" s="7" t="str">
        <f>CONCATENATE("13 13.1 4a")</f>
        <v>13 13.1 4a</v>
      </c>
      <c r="M173" s="7" t="str">
        <f>CONCATENATE("02599280415")</f>
        <v>02599280415</v>
      </c>
      <c r="N173" s="7" t="s">
        <v>272</v>
      </c>
      <c r="O173" s="7" t="s">
        <v>115</v>
      </c>
      <c r="P173" s="8">
        <v>44334</v>
      </c>
      <c r="Q173" s="7" t="s">
        <v>32</v>
      </c>
      <c r="R173" s="7" t="s">
        <v>33</v>
      </c>
      <c r="S173" s="7" t="s">
        <v>34</v>
      </c>
      <c r="T173" s="7"/>
      <c r="U173" s="7" t="s">
        <v>35</v>
      </c>
      <c r="V173" s="9">
        <v>1350</v>
      </c>
      <c r="W173" s="7">
        <v>582.12</v>
      </c>
      <c r="X173" s="7">
        <v>537.57000000000005</v>
      </c>
      <c r="Y173" s="7">
        <v>0</v>
      </c>
      <c r="Z173" s="7">
        <v>230.31</v>
      </c>
    </row>
    <row r="174" spans="1:26" x14ac:dyDescent="0.35">
      <c r="A174" s="7" t="s">
        <v>27</v>
      </c>
      <c r="B174" s="7" t="s">
        <v>47</v>
      </c>
      <c r="C174" s="7" t="s">
        <v>50</v>
      </c>
      <c r="D174" s="7" t="s">
        <v>51</v>
      </c>
      <c r="E174" s="7" t="s">
        <v>39</v>
      </c>
      <c r="F174" s="7" t="s">
        <v>128</v>
      </c>
      <c r="G174" s="7">
        <v>2020</v>
      </c>
      <c r="H174" s="7" t="str">
        <f>CONCATENATE("04210835635")</f>
        <v>04210835635</v>
      </c>
      <c r="I174" s="7" t="s">
        <v>30</v>
      </c>
      <c r="J174" s="7" t="s">
        <v>31</v>
      </c>
      <c r="K174" s="7" t="str">
        <f>CONCATENATE("")</f>
        <v/>
      </c>
      <c r="L174" s="7" t="str">
        <f>CONCATENATE("13 13.1 4a")</f>
        <v>13 13.1 4a</v>
      </c>
      <c r="M174" s="7" t="str">
        <f>CONCATENATE("02444870410")</f>
        <v>02444870410</v>
      </c>
      <c r="N174" s="7" t="s">
        <v>273</v>
      </c>
      <c r="O174" s="7" t="s">
        <v>115</v>
      </c>
      <c r="P174" s="8">
        <v>44334</v>
      </c>
      <c r="Q174" s="7" t="s">
        <v>32</v>
      </c>
      <c r="R174" s="7" t="s">
        <v>33</v>
      </c>
      <c r="S174" s="7" t="s">
        <v>34</v>
      </c>
      <c r="T174" s="7"/>
      <c r="U174" s="7" t="s">
        <v>35</v>
      </c>
      <c r="V174" s="9">
        <v>3299.22</v>
      </c>
      <c r="W174" s="9">
        <v>1422.62</v>
      </c>
      <c r="X174" s="9">
        <v>1313.75</v>
      </c>
      <c r="Y174" s="7">
        <v>0</v>
      </c>
      <c r="Z174" s="7">
        <v>562.85</v>
      </c>
    </row>
    <row r="175" spans="1:26" x14ac:dyDescent="0.35">
      <c r="A175" s="7" t="s">
        <v>27</v>
      </c>
      <c r="B175" s="7" t="s">
        <v>47</v>
      </c>
      <c r="C175" s="7" t="s">
        <v>50</v>
      </c>
      <c r="D175" s="7" t="s">
        <v>51</v>
      </c>
      <c r="E175" s="7" t="s">
        <v>39</v>
      </c>
      <c r="F175" s="7" t="s">
        <v>128</v>
      </c>
      <c r="G175" s="7">
        <v>2020</v>
      </c>
      <c r="H175" s="7" t="str">
        <f>CONCATENATE("04210508117")</f>
        <v>04210508117</v>
      </c>
      <c r="I175" s="7" t="s">
        <v>30</v>
      </c>
      <c r="J175" s="7" t="s">
        <v>31</v>
      </c>
      <c r="K175" s="7" t="str">
        <f>CONCATENATE("")</f>
        <v/>
      </c>
      <c r="L175" s="7" t="str">
        <f>CONCATENATE("13 13.1 4a")</f>
        <v>13 13.1 4a</v>
      </c>
      <c r="M175" s="7" t="str">
        <f>CONCATENATE("02534490418")</f>
        <v>02534490418</v>
      </c>
      <c r="N175" s="7" t="s">
        <v>274</v>
      </c>
      <c r="O175" s="7" t="s">
        <v>115</v>
      </c>
      <c r="P175" s="8">
        <v>44334</v>
      </c>
      <c r="Q175" s="7" t="s">
        <v>32</v>
      </c>
      <c r="R175" s="7" t="s">
        <v>33</v>
      </c>
      <c r="S175" s="7" t="s">
        <v>34</v>
      </c>
      <c r="T175" s="7"/>
      <c r="U175" s="7" t="s">
        <v>35</v>
      </c>
      <c r="V175" s="9">
        <v>1759.15</v>
      </c>
      <c r="W175" s="7">
        <v>758.55</v>
      </c>
      <c r="X175" s="7">
        <v>700.49</v>
      </c>
      <c r="Y175" s="7">
        <v>0</v>
      </c>
      <c r="Z175" s="7">
        <v>300.11</v>
      </c>
    </row>
    <row r="176" spans="1:26" x14ac:dyDescent="0.35">
      <c r="A176" s="7" t="s">
        <v>27</v>
      </c>
      <c r="B176" s="7" t="s">
        <v>47</v>
      </c>
      <c r="C176" s="7" t="s">
        <v>50</v>
      </c>
      <c r="D176" s="7" t="s">
        <v>51</v>
      </c>
      <c r="E176" s="7" t="s">
        <v>39</v>
      </c>
      <c r="F176" s="7" t="s">
        <v>128</v>
      </c>
      <c r="G176" s="7">
        <v>2020</v>
      </c>
      <c r="H176" s="7" t="str">
        <f>CONCATENATE("04210374155")</f>
        <v>04210374155</v>
      </c>
      <c r="I176" s="7" t="s">
        <v>43</v>
      </c>
      <c r="J176" s="7" t="s">
        <v>31</v>
      </c>
      <c r="K176" s="7" t="str">
        <f>CONCATENATE("")</f>
        <v/>
      </c>
      <c r="L176" s="7" t="str">
        <f>CONCATENATE("13 13.1 4a")</f>
        <v>13 13.1 4a</v>
      </c>
      <c r="M176" s="7" t="str">
        <f>CONCATENATE("SBBDVD76E01B352B")</f>
        <v>SBBDVD76E01B352B</v>
      </c>
      <c r="N176" s="7" t="s">
        <v>275</v>
      </c>
      <c r="O176" s="7" t="s">
        <v>115</v>
      </c>
      <c r="P176" s="8">
        <v>44334</v>
      </c>
      <c r="Q176" s="7" t="s">
        <v>32</v>
      </c>
      <c r="R176" s="7" t="s">
        <v>33</v>
      </c>
      <c r="S176" s="7" t="s">
        <v>34</v>
      </c>
      <c r="T176" s="7"/>
      <c r="U176" s="7" t="s">
        <v>35</v>
      </c>
      <c r="V176" s="7">
        <v>160.25</v>
      </c>
      <c r="W176" s="7">
        <v>69.099999999999994</v>
      </c>
      <c r="X176" s="7">
        <v>63.81</v>
      </c>
      <c r="Y176" s="7">
        <v>0</v>
      </c>
      <c r="Z176" s="7">
        <v>27.34</v>
      </c>
    </row>
    <row r="177" spans="1:26" ht="17.5" x14ac:dyDescent="0.35">
      <c r="A177" s="7" t="s">
        <v>27</v>
      </c>
      <c r="B177" s="7" t="s">
        <v>47</v>
      </c>
      <c r="C177" s="7" t="s">
        <v>50</v>
      </c>
      <c r="D177" s="7" t="s">
        <v>104</v>
      </c>
      <c r="E177" s="7" t="s">
        <v>39</v>
      </c>
      <c r="F177" s="7" t="s">
        <v>276</v>
      </c>
      <c r="G177" s="7">
        <v>2020</v>
      </c>
      <c r="H177" s="7" t="str">
        <f>CONCATENATE("04210454890")</f>
        <v>04210454890</v>
      </c>
      <c r="I177" s="7" t="s">
        <v>30</v>
      </c>
      <c r="J177" s="7" t="s">
        <v>31</v>
      </c>
      <c r="K177" s="7" t="str">
        <f>CONCATENATE("")</f>
        <v/>
      </c>
      <c r="L177" s="7" t="str">
        <f>CONCATENATE("13 13.1 4a")</f>
        <v>13 13.1 4a</v>
      </c>
      <c r="M177" s="7" t="str">
        <f>CONCATENATE("MNRSRG61B24A366W")</f>
        <v>MNRSRG61B24A366W</v>
      </c>
      <c r="N177" s="7" t="s">
        <v>277</v>
      </c>
      <c r="O177" s="7" t="s">
        <v>160</v>
      </c>
      <c r="P177" s="8">
        <v>44334</v>
      </c>
      <c r="Q177" s="7" t="s">
        <v>32</v>
      </c>
      <c r="R177" s="7" t="s">
        <v>33</v>
      </c>
      <c r="S177" s="7" t="s">
        <v>34</v>
      </c>
      <c r="T177" s="7"/>
      <c r="U177" s="7" t="s">
        <v>35</v>
      </c>
      <c r="V177" s="9">
        <v>5545.27</v>
      </c>
      <c r="W177" s="9">
        <v>2391.12</v>
      </c>
      <c r="X177" s="9">
        <v>2208.13</v>
      </c>
      <c r="Y177" s="7">
        <v>0</v>
      </c>
      <c r="Z177" s="7">
        <v>946.02</v>
      </c>
    </row>
    <row r="178" spans="1:26" x14ac:dyDescent="0.35">
      <c r="A178" s="7" t="s">
        <v>27</v>
      </c>
      <c r="B178" s="7" t="s">
        <v>47</v>
      </c>
      <c r="C178" s="7" t="s">
        <v>50</v>
      </c>
      <c r="D178" s="7" t="s">
        <v>51</v>
      </c>
      <c r="E178" s="7" t="s">
        <v>39</v>
      </c>
      <c r="F178" s="7" t="s">
        <v>123</v>
      </c>
      <c r="G178" s="7">
        <v>2020</v>
      </c>
      <c r="H178" s="7" t="str">
        <f>CONCATENATE("04210063006")</f>
        <v>04210063006</v>
      </c>
      <c r="I178" s="7" t="s">
        <v>30</v>
      </c>
      <c r="J178" s="7" t="s">
        <v>31</v>
      </c>
      <c r="K178" s="7" t="str">
        <f>CONCATENATE("")</f>
        <v/>
      </c>
      <c r="L178" s="7" t="str">
        <f>CONCATENATE("13 13.1 4a")</f>
        <v>13 13.1 4a</v>
      </c>
      <c r="M178" s="7" t="str">
        <f>CONCATENATE("GNCPRN36L21L500J")</f>
        <v>GNCPRN36L21L500J</v>
      </c>
      <c r="N178" s="7" t="s">
        <v>278</v>
      </c>
      <c r="O178" s="7" t="s">
        <v>115</v>
      </c>
      <c r="P178" s="8">
        <v>44334</v>
      </c>
      <c r="Q178" s="7" t="s">
        <v>32</v>
      </c>
      <c r="R178" s="7" t="s">
        <v>33</v>
      </c>
      <c r="S178" s="7" t="s">
        <v>34</v>
      </c>
      <c r="T178" s="7"/>
      <c r="U178" s="7" t="s">
        <v>35</v>
      </c>
      <c r="V178" s="9">
        <v>1962.26</v>
      </c>
      <c r="W178" s="7">
        <v>846.13</v>
      </c>
      <c r="X178" s="7">
        <v>781.37</v>
      </c>
      <c r="Y178" s="7">
        <v>0</v>
      </c>
      <c r="Z178" s="7">
        <v>334.76</v>
      </c>
    </row>
    <row r="179" spans="1:26" x14ac:dyDescent="0.35">
      <c r="A179" s="7" t="s">
        <v>27</v>
      </c>
      <c r="B179" s="7" t="s">
        <v>47</v>
      </c>
      <c r="C179" s="7" t="s">
        <v>50</v>
      </c>
      <c r="D179" s="7" t="s">
        <v>64</v>
      </c>
      <c r="E179" s="7" t="s">
        <v>39</v>
      </c>
      <c r="F179" s="7" t="s">
        <v>279</v>
      </c>
      <c r="G179" s="7">
        <v>2018</v>
      </c>
      <c r="H179" s="7" t="str">
        <f>CONCATENATE("84240606636")</f>
        <v>84240606636</v>
      </c>
      <c r="I179" s="7" t="s">
        <v>30</v>
      </c>
      <c r="J179" s="7" t="s">
        <v>31</v>
      </c>
      <c r="K179" s="7" t="str">
        <f>CONCATENATE("")</f>
        <v/>
      </c>
      <c r="L179" s="7" t="str">
        <f>CONCATENATE("11 11.2 4b")</f>
        <v>11 11.2 4b</v>
      </c>
      <c r="M179" s="7" t="str">
        <f>CONCATENATE("01468430440")</f>
        <v>01468430440</v>
      </c>
      <c r="N179" s="7" t="s">
        <v>280</v>
      </c>
      <c r="O179" s="7" t="s">
        <v>78</v>
      </c>
      <c r="P179" s="8">
        <v>44334</v>
      </c>
      <c r="Q179" s="7" t="s">
        <v>32</v>
      </c>
      <c r="R179" s="7" t="s">
        <v>33</v>
      </c>
      <c r="S179" s="7" t="s">
        <v>34</v>
      </c>
      <c r="T179" s="7"/>
      <c r="U179" s="7" t="s">
        <v>35</v>
      </c>
      <c r="V179" s="9">
        <v>1499.74</v>
      </c>
      <c r="W179" s="7">
        <v>646.69000000000005</v>
      </c>
      <c r="X179" s="7">
        <v>597.20000000000005</v>
      </c>
      <c r="Y179" s="7">
        <v>0</v>
      </c>
      <c r="Z179" s="7">
        <v>255.85</v>
      </c>
    </row>
    <row r="180" spans="1:26" x14ac:dyDescent="0.35">
      <c r="A180" s="7" t="s">
        <v>27</v>
      </c>
      <c r="B180" s="7" t="s">
        <v>47</v>
      </c>
      <c r="C180" s="7" t="s">
        <v>50</v>
      </c>
      <c r="D180" s="7" t="s">
        <v>51</v>
      </c>
      <c r="E180" s="7" t="s">
        <v>29</v>
      </c>
      <c r="F180" s="7" t="s">
        <v>113</v>
      </c>
      <c r="G180" s="7">
        <v>2020</v>
      </c>
      <c r="H180" s="7" t="str">
        <f>CONCATENATE("04240980534")</f>
        <v>04240980534</v>
      </c>
      <c r="I180" s="7" t="s">
        <v>30</v>
      </c>
      <c r="J180" s="7" t="s">
        <v>31</v>
      </c>
      <c r="K180" s="7" t="str">
        <f>CONCATENATE("")</f>
        <v/>
      </c>
      <c r="L180" s="7" t="str">
        <f>CONCATENATE("11 11.1 4b")</f>
        <v>11 11.1 4b</v>
      </c>
      <c r="M180" s="7" t="str">
        <f>CONCATENATE("01379100413")</f>
        <v>01379100413</v>
      </c>
      <c r="N180" s="7" t="s">
        <v>281</v>
      </c>
      <c r="O180" s="7" t="s">
        <v>78</v>
      </c>
      <c r="P180" s="8">
        <v>44334</v>
      </c>
      <c r="Q180" s="7" t="s">
        <v>32</v>
      </c>
      <c r="R180" s="7" t="s">
        <v>33</v>
      </c>
      <c r="S180" s="7" t="s">
        <v>34</v>
      </c>
      <c r="T180" s="7"/>
      <c r="U180" s="7" t="s">
        <v>35</v>
      </c>
      <c r="V180" s="9">
        <v>4264.08</v>
      </c>
      <c r="W180" s="9">
        <v>1838.67</v>
      </c>
      <c r="X180" s="9">
        <v>1697.96</v>
      </c>
      <c r="Y180" s="7">
        <v>0</v>
      </c>
      <c r="Z180" s="7">
        <v>727.45</v>
      </c>
    </row>
    <row r="181" spans="1:26" x14ac:dyDescent="0.35">
      <c r="A181" s="7" t="s">
        <v>27</v>
      </c>
      <c r="B181" s="7" t="s">
        <v>47</v>
      </c>
      <c r="C181" s="7" t="s">
        <v>50</v>
      </c>
      <c r="D181" s="7" t="s">
        <v>51</v>
      </c>
      <c r="E181" s="7" t="s">
        <v>41</v>
      </c>
      <c r="F181" s="7" t="s">
        <v>282</v>
      </c>
      <c r="G181" s="7">
        <v>2020</v>
      </c>
      <c r="H181" s="7" t="str">
        <f>CONCATENATE("04241037219")</f>
        <v>04241037219</v>
      </c>
      <c r="I181" s="7" t="s">
        <v>30</v>
      </c>
      <c r="J181" s="7" t="s">
        <v>31</v>
      </c>
      <c r="K181" s="7" t="str">
        <f>CONCATENATE("")</f>
        <v/>
      </c>
      <c r="L181" s="7" t="str">
        <f>CONCATENATE("11 11.1 4b")</f>
        <v>11 11.1 4b</v>
      </c>
      <c r="M181" s="7" t="str">
        <f>CONCATENATE("02134170410")</f>
        <v>02134170410</v>
      </c>
      <c r="N181" s="7" t="s">
        <v>283</v>
      </c>
      <c r="O181" s="7" t="s">
        <v>78</v>
      </c>
      <c r="P181" s="8">
        <v>44334</v>
      </c>
      <c r="Q181" s="7" t="s">
        <v>32</v>
      </c>
      <c r="R181" s="7" t="s">
        <v>33</v>
      </c>
      <c r="S181" s="7" t="s">
        <v>34</v>
      </c>
      <c r="T181" s="7"/>
      <c r="U181" s="7" t="s">
        <v>35</v>
      </c>
      <c r="V181" s="7">
        <v>365.49</v>
      </c>
      <c r="W181" s="7">
        <v>157.6</v>
      </c>
      <c r="X181" s="7">
        <v>145.54</v>
      </c>
      <c r="Y181" s="7">
        <v>0</v>
      </c>
      <c r="Z181" s="7">
        <v>62.35</v>
      </c>
    </row>
    <row r="182" spans="1:26" ht="17.5" x14ac:dyDescent="0.35">
      <c r="A182" s="7" t="s">
        <v>27</v>
      </c>
      <c r="B182" s="7" t="s">
        <v>28</v>
      </c>
      <c r="C182" s="7" t="s">
        <v>50</v>
      </c>
      <c r="D182" s="7" t="s">
        <v>64</v>
      </c>
      <c r="E182" s="7" t="s">
        <v>36</v>
      </c>
      <c r="F182" s="7" t="s">
        <v>36</v>
      </c>
      <c r="G182" s="7">
        <v>2017</v>
      </c>
      <c r="H182" s="7" t="str">
        <f>CONCATENATE("04270232798")</f>
        <v>04270232798</v>
      </c>
      <c r="I182" s="7" t="s">
        <v>30</v>
      </c>
      <c r="J182" s="7" t="s">
        <v>31</v>
      </c>
      <c r="K182" s="7" t="str">
        <f>CONCATENATE("")</f>
        <v/>
      </c>
      <c r="L182" s="7" t="str">
        <f>CONCATENATE("4 4.1 2a")</f>
        <v>4 4.1 2a</v>
      </c>
      <c r="M182" s="7" t="str">
        <f>CONCATENATE("02179520446")</f>
        <v>02179520446</v>
      </c>
      <c r="N182" s="7" t="s">
        <v>284</v>
      </c>
      <c r="O182" s="7" t="s">
        <v>174</v>
      </c>
      <c r="P182" s="8">
        <v>44330</v>
      </c>
      <c r="Q182" s="7" t="s">
        <v>32</v>
      </c>
      <c r="R182" s="7" t="s">
        <v>33</v>
      </c>
      <c r="S182" s="7" t="s">
        <v>34</v>
      </c>
      <c r="T182" s="7"/>
      <c r="U182" s="7" t="s">
        <v>35</v>
      </c>
      <c r="V182" s="9">
        <v>22276.799999999999</v>
      </c>
      <c r="W182" s="9">
        <v>9605.76</v>
      </c>
      <c r="X182" s="9">
        <v>8870.6200000000008</v>
      </c>
      <c r="Y182" s="7">
        <v>0</v>
      </c>
      <c r="Z182" s="9">
        <v>3800.42</v>
      </c>
    </row>
    <row r="183" spans="1:26" x14ac:dyDescent="0.35">
      <c r="A183" s="7" t="s">
        <v>27</v>
      </c>
      <c r="B183" s="7" t="s">
        <v>28</v>
      </c>
      <c r="C183" s="7" t="s">
        <v>50</v>
      </c>
      <c r="D183" s="7" t="s">
        <v>51</v>
      </c>
      <c r="E183" s="7" t="s">
        <v>36</v>
      </c>
      <c r="F183" s="7" t="s">
        <v>36</v>
      </c>
      <c r="G183" s="7">
        <v>2017</v>
      </c>
      <c r="H183" s="7" t="str">
        <f>CONCATENATE("04270233093")</f>
        <v>04270233093</v>
      </c>
      <c r="I183" s="7" t="s">
        <v>30</v>
      </c>
      <c r="J183" s="7" t="s">
        <v>31</v>
      </c>
      <c r="K183" s="7" t="str">
        <f>CONCATENATE("")</f>
        <v/>
      </c>
      <c r="L183" s="7" t="str">
        <f>CONCATENATE("4 4.1 2a")</f>
        <v>4 4.1 2a</v>
      </c>
      <c r="M183" s="7" t="str">
        <f>CONCATENATE("FRNCRL72S55I608G")</f>
        <v>FRNCRL72S55I608G</v>
      </c>
      <c r="N183" s="7" t="s">
        <v>285</v>
      </c>
      <c r="O183" s="7" t="s">
        <v>174</v>
      </c>
      <c r="P183" s="8">
        <v>44330</v>
      </c>
      <c r="Q183" s="7" t="s">
        <v>32</v>
      </c>
      <c r="R183" s="7" t="s">
        <v>33</v>
      </c>
      <c r="S183" s="7" t="s">
        <v>34</v>
      </c>
      <c r="T183" s="7"/>
      <c r="U183" s="7" t="s">
        <v>35</v>
      </c>
      <c r="V183" s="9">
        <v>10198.219999999999</v>
      </c>
      <c r="W183" s="9">
        <v>4397.47</v>
      </c>
      <c r="X183" s="9">
        <v>4060.93</v>
      </c>
      <c r="Y183" s="7">
        <v>0</v>
      </c>
      <c r="Z183" s="9">
        <v>1739.82</v>
      </c>
    </row>
    <row r="184" spans="1:26" x14ac:dyDescent="0.35">
      <c r="A184" s="7" t="s">
        <v>27</v>
      </c>
      <c r="B184" s="7" t="s">
        <v>28</v>
      </c>
      <c r="C184" s="7" t="s">
        <v>50</v>
      </c>
      <c r="D184" s="7" t="s">
        <v>51</v>
      </c>
      <c r="E184" s="7" t="s">
        <v>39</v>
      </c>
      <c r="F184" s="7" t="s">
        <v>119</v>
      </c>
      <c r="G184" s="7">
        <v>2017</v>
      </c>
      <c r="H184" s="7" t="str">
        <f>CONCATENATE("14270141840")</f>
        <v>14270141840</v>
      </c>
      <c r="I184" s="7" t="s">
        <v>30</v>
      </c>
      <c r="J184" s="7" t="s">
        <v>31</v>
      </c>
      <c r="K184" s="7" t="str">
        <f>CONCATENATE("")</f>
        <v/>
      </c>
      <c r="L184" s="7" t="str">
        <f>CONCATENATE("21 21.1 2a")</f>
        <v>21 21.1 2a</v>
      </c>
      <c r="M184" s="7" t="str">
        <f>CONCATENATE("01180010413")</f>
        <v>01180010413</v>
      </c>
      <c r="N184" s="7" t="s">
        <v>286</v>
      </c>
      <c r="O184" s="7" t="s">
        <v>152</v>
      </c>
      <c r="P184" s="8">
        <v>44334</v>
      </c>
      <c r="Q184" s="7" t="s">
        <v>32</v>
      </c>
      <c r="R184" s="7" t="s">
        <v>33</v>
      </c>
      <c r="S184" s="7" t="s">
        <v>34</v>
      </c>
      <c r="T184" s="7"/>
      <c r="U184" s="7" t="s">
        <v>35</v>
      </c>
      <c r="V184" s="9">
        <v>3000</v>
      </c>
      <c r="W184" s="9">
        <v>1293.5999999999999</v>
      </c>
      <c r="X184" s="9">
        <v>1194.5999999999999</v>
      </c>
      <c r="Y184" s="7">
        <v>0</v>
      </c>
      <c r="Z184" s="7">
        <v>511.8</v>
      </c>
    </row>
    <row r="185" spans="1:26" x14ac:dyDescent="0.35">
      <c r="A185" s="7" t="s">
        <v>27</v>
      </c>
      <c r="B185" s="7" t="s">
        <v>28</v>
      </c>
      <c r="C185" s="7" t="s">
        <v>50</v>
      </c>
      <c r="D185" s="7" t="s">
        <v>64</v>
      </c>
      <c r="E185" s="7" t="s">
        <v>39</v>
      </c>
      <c r="F185" s="7" t="s">
        <v>279</v>
      </c>
      <c r="G185" s="7">
        <v>2017</v>
      </c>
      <c r="H185" s="7" t="str">
        <f>CONCATENATE("14270141295")</f>
        <v>14270141295</v>
      </c>
      <c r="I185" s="7" t="s">
        <v>30</v>
      </c>
      <c r="J185" s="7" t="s">
        <v>31</v>
      </c>
      <c r="K185" s="7" t="str">
        <f>CONCATENATE("")</f>
        <v/>
      </c>
      <c r="L185" s="7" t="str">
        <f>CONCATENATE("21 21.1 2a")</f>
        <v>21 21.1 2a</v>
      </c>
      <c r="M185" s="7" t="str">
        <f>CONCATENATE("01507720447")</f>
        <v>01507720447</v>
      </c>
      <c r="N185" s="7" t="s">
        <v>287</v>
      </c>
      <c r="O185" s="7" t="s">
        <v>152</v>
      </c>
      <c r="P185" s="8">
        <v>44334</v>
      </c>
      <c r="Q185" s="7" t="s">
        <v>32</v>
      </c>
      <c r="R185" s="7" t="s">
        <v>33</v>
      </c>
      <c r="S185" s="7" t="s">
        <v>34</v>
      </c>
      <c r="T185" s="7"/>
      <c r="U185" s="7" t="s">
        <v>35</v>
      </c>
      <c r="V185" s="9">
        <v>1050</v>
      </c>
      <c r="W185" s="7">
        <v>452.76</v>
      </c>
      <c r="X185" s="7">
        <v>418.11</v>
      </c>
      <c r="Y185" s="7">
        <v>0</v>
      </c>
      <c r="Z185" s="7">
        <v>179.13</v>
      </c>
    </row>
    <row r="186" spans="1:26" x14ac:dyDescent="0.35">
      <c r="A186" s="7" t="s">
        <v>27</v>
      </c>
      <c r="B186" s="7" t="s">
        <v>28</v>
      </c>
      <c r="C186" s="7" t="s">
        <v>50</v>
      </c>
      <c r="D186" s="7" t="s">
        <v>54</v>
      </c>
      <c r="E186" s="7" t="s">
        <v>39</v>
      </c>
      <c r="F186" s="7" t="s">
        <v>107</v>
      </c>
      <c r="G186" s="7">
        <v>2017</v>
      </c>
      <c r="H186" s="7" t="str">
        <f>CONCATENATE("14270141287")</f>
        <v>14270141287</v>
      </c>
      <c r="I186" s="7" t="s">
        <v>43</v>
      </c>
      <c r="J186" s="7" t="s">
        <v>31</v>
      </c>
      <c r="K186" s="7" t="str">
        <f>CONCATENATE("")</f>
        <v/>
      </c>
      <c r="L186" s="7" t="str">
        <f>CONCATENATE("21 21.1 2a")</f>
        <v>21 21.1 2a</v>
      </c>
      <c r="M186" s="7" t="str">
        <f>CONCATENATE("01286440431")</f>
        <v>01286440431</v>
      </c>
      <c r="N186" s="7" t="s">
        <v>288</v>
      </c>
      <c r="O186" s="7" t="s">
        <v>152</v>
      </c>
      <c r="P186" s="8">
        <v>44334</v>
      </c>
      <c r="Q186" s="7" t="s">
        <v>32</v>
      </c>
      <c r="R186" s="7" t="s">
        <v>33</v>
      </c>
      <c r="S186" s="7" t="s">
        <v>34</v>
      </c>
      <c r="T186" s="7"/>
      <c r="U186" s="7" t="s">
        <v>35</v>
      </c>
      <c r="V186" s="9">
        <v>1740</v>
      </c>
      <c r="W186" s="7">
        <v>750.29</v>
      </c>
      <c r="X186" s="7">
        <v>692.87</v>
      </c>
      <c r="Y186" s="7">
        <v>0</v>
      </c>
      <c r="Z186" s="7">
        <v>296.83999999999997</v>
      </c>
    </row>
    <row r="187" spans="1:26" x14ac:dyDescent="0.35">
      <c r="A187" s="7" t="s">
        <v>27</v>
      </c>
      <c r="B187" s="7" t="s">
        <v>28</v>
      </c>
      <c r="C187" s="7" t="s">
        <v>50</v>
      </c>
      <c r="D187" s="7" t="s">
        <v>64</v>
      </c>
      <c r="E187" s="7" t="s">
        <v>41</v>
      </c>
      <c r="F187" s="7" t="s">
        <v>65</v>
      </c>
      <c r="G187" s="7">
        <v>2017</v>
      </c>
      <c r="H187" s="7" t="str">
        <f>CONCATENATE("04270232814")</f>
        <v>04270232814</v>
      </c>
      <c r="I187" s="7" t="s">
        <v>30</v>
      </c>
      <c r="J187" s="7" t="s">
        <v>31</v>
      </c>
      <c r="K187" s="7" t="str">
        <f>CONCATENATE("")</f>
        <v/>
      </c>
      <c r="L187" s="7" t="str">
        <f>CONCATENATE("4 4.1 2a")</f>
        <v>4 4.1 2a</v>
      </c>
      <c r="M187" s="7" t="str">
        <f>CONCATENATE("CTTPPL64P19H769G")</f>
        <v>CTTPPL64P19H769G</v>
      </c>
      <c r="N187" s="7" t="s">
        <v>289</v>
      </c>
      <c r="O187" s="7" t="s">
        <v>174</v>
      </c>
      <c r="P187" s="8">
        <v>44330</v>
      </c>
      <c r="Q187" s="7" t="s">
        <v>32</v>
      </c>
      <c r="R187" s="7" t="s">
        <v>33</v>
      </c>
      <c r="S187" s="7" t="s">
        <v>34</v>
      </c>
      <c r="T187" s="7"/>
      <c r="U187" s="7" t="s">
        <v>35</v>
      </c>
      <c r="V187" s="9">
        <v>3963.58</v>
      </c>
      <c r="W187" s="9">
        <v>1709.1</v>
      </c>
      <c r="X187" s="9">
        <v>1578.3</v>
      </c>
      <c r="Y187" s="7">
        <v>0</v>
      </c>
      <c r="Z187" s="7">
        <v>676.18</v>
      </c>
    </row>
    <row r="188" spans="1:26" x14ac:dyDescent="0.35">
      <c r="A188" s="7" t="s">
        <v>27</v>
      </c>
      <c r="B188" s="7" t="s">
        <v>47</v>
      </c>
      <c r="C188" s="7" t="s">
        <v>50</v>
      </c>
      <c r="D188" s="7" t="s">
        <v>51</v>
      </c>
      <c r="E188" s="7" t="s">
        <v>39</v>
      </c>
      <c r="F188" s="7" t="s">
        <v>125</v>
      </c>
      <c r="G188" s="7">
        <v>2020</v>
      </c>
      <c r="H188" s="7" t="str">
        <f>CONCATENATE("04210088177")</f>
        <v>04210088177</v>
      </c>
      <c r="I188" s="7" t="s">
        <v>30</v>
      </c>
      <c r="J188" s="7" t="s">
        <v>31</v>
      </c>
      <c r="K188" s="7" t="str">
        <f>CONCATENATE("")</f>
        <v/>
      </c>
      <c r="L188" s="7" t="str">
        <f>CONCATENATE("13 13.1 4a")</f>
        <v>13 13.1 4a</v>
      </c>
      <c r="M188" s="7" t="str">
        <f>CONCATENATE("PLDLCN48A22D749Q")</f>
        <v>PLDLCN48A22D749Q</v>
      </c>
      <c r="N188" s="7" t="s">
        <v>290</v>
      </c>
      <c r="O188" s="7" t="s">
        <v>115</v>
      </c>
      <c r="P188" s="8">
        <v>44334</v>
      </c>
      <c r="Q188" s="7" t="s">
        <v>32</v>
      </c>
      <c r="R188" s="7" t="s">
        <v>33</v>
      </c>
      <c r="S188" s="7" t="s">
        <v>34</v>
      </c>
      <c r="T188" s="7"/>
      <c r="U188" s="7" t="s">
        <v>35</v>
      </c>
      <c r="V188" s="7">
        <v>614.04</v>
      </c>
      <c r="W188" s="7">
        <v>264.77</v>
      </c>
      <c r="X188" s="7">
        <v>244.51</v>
      </c>
      <c r="Y188" s="7">
        <v>0</v>
      </c>
      <c r="Z188" s="7">
        <v>104.76</v>
      </c>
    </row>
    <row r="189" spans="1:26" x14ac:dyDescent="0.35">
      <c r="A189" s="7" t="s">
        <v>27</v>
      </c>
      <c r="B189" s="7" t="s">
        <v>47</v>
      </c>
      <c r="C189" s="7" t="s">
        <v>50</v>
      </c>
      <c r="D189" s="7" t="s">
        <v>51</v>
      </c>
      <c r="E189" s="7" t="s">
        <v>39</v>
      </c>
      <c r="F189" s="7" t="s">
        <v>121</v>
      </c>
      <c r="G189" s="7">
        <v>2020</v>
      </c>
      <c r="H189" s="7" t="str">
        <f>CONCATENATE("04210120020")</f>
        <v>04210120020</v>
      </c>
      <c r="I189" s="7" t="s">
        <v>30</v>
      </c>
      <c r="J189" s="7" t="s">
        <v>31</v>
      </c>
      <c r="K189" s="7" t="str">
        <f>CONCATENATE("")</f>
        <v/>
      </c>
      <c r="L189" s="7" t="str">
        <f>CONCATENATE("13 13.1 4a")</f>
        <v>13 13.1 4a</v>
      </c>
      <c r="M189" s="7" t="str">
        <f>CONCATENATE("BRLRRT69A11D749G")</f>
        <v>BRLRRT69A11D749G</v>
      </c>
      <c r="N189" s="7" t="s">
        <v>291</v>
      </c>
      <c r="O189" s="7" t="s">
        <v>115</v>
      </c>
      <c r="P189" s="8">
        <v>44334</v>
      </c>
      <c r="Q189" s="7" t="s">
        <v>32</v>
      </c>
      <c r="R189" s="7" t="s">
        <v>33</v>
      </c>
      <c r="S189" s="7" t="s">
        <v>34</v>
      </c>
      <c r="T189" s="7"/>
      <c r="U189" s="7" t="s">
        <v>35</v>
      </c>
      <c r="V189" s="9">
        <v>1560.44</v>
      </c>
      <c r="W189" s="7">
        <v>672.86</v>
      </c>
      <c r="X189" s="7">
        <v>621.37</v>
      </c>
      <c r="Y189" s="7">
        <v>0</v>
      </c>
      <c r="Z189" s="7">
        <v>266.20999999999998</v>
      </c>
    </row>
    <row r="190" spans="1:26" x14ac:dyDescent="0.35">
      <c r="A190" s="7" t="s">
        <v>27</v>
      </c>
      <c r="B190" s="7" t="s">
        <v>47</v>
      </c>
      <c r="C190" s="7" t="s">
        <v>50</v>
      </c>
      <c r="D190" s="7" t="s">
        <v>51</v>
      </c>
      <c r="E190" s="7" t="s">
        <v>39</v>
      </c>
      <c r="F190" s="7" t="s">
        <v>121</v>
      </c>
      <c r="G190" s="7">
        <v>2020</v>
      </c>
      <c r="H190" s="7" t="str">
        <f>CONCATENATE("04210121408")</f>
        <v>04210121408</v>
      </c>
      <c r="I190" s="7" t="s">
        <v>30</v>
      </c>
      <c r="J190" s="7" t="s">
        <v>31</v>
      </c>
      <c r="K190" s="7" t="str">
        <f>CONCATENATE("")</f>
        <v/>
      </c>
      <c r="L190" s="7" t="str">
        <f>CONCATENATE("13 13.1 4a")</f>
        <v>13 13.1 4a</v>
      </c>
      <c r="M190" s="7" t="str">
        <f>CONCATENATE("MRNMRP40H51I344T")</f>
        <v>MRNMRP40H51I344T</v>
      </c>
      <c r="N190" s="7" t="s">
        <v>292</v>
      </c>
      <c r="O190" s="7" t="s">
        <v>115</v>
      </c>
      <c r="P190" s="8">
        <v>44334</v>
      </c>
      <c r="Q190" s="7" t="s">
        <v>32</v>
      </c>
      <c r="R190" s="7" t="s">
        <v>33</v>
      </c>
      <c r="S190" s="7" t="s">
        <v>34</v>
      </c>
      <c r="T190" s="7"/>
      <c r="U190" s="7" t="s">
        <v>35</v>
      </c>
      <c r="V190" s="7">
        <v>451.22</v>
      </c>
      <c r="W190" s="7">
        <v>194.57</v>
      </c>
      <c r="X190" s="7">
        <v>179.68</v>
      </c>
      <c r="Y190" s="7">
        <v>0</v>
      </c>
      <c r="Z190" s="7">
        <v>76.97</v>
      </c>
    </row>
    <row r="191" spans="1:26" x14ac:dyDescent="0.35">
      <c r="A191" s="7" t="s">
        <v>27</v>
      </c>
      <c r="B191" s="7" t="s">
        <v>28</v>
      </c>
      <c r="C191" s="7" t="s">
        <v>50</v>
      </c>
      <c r="D191" s="7" t="s">
        <v>51</v>
      </c>
      <c r="E191" s="7" t="s">
        <v>42</v>
      </c>
      <c r="F191" s="7" t="s">
        <v>293</v>
      </c>
      <c r="G191" s="7">
        <v>2017</v>
      </c>
      <c r="H191" s="7" t="str">
        <f>CONCATENATE("14270141568")</f>
        <v>14270141568</v>
      </c>
      <c r="I191" s="7" t="s">
        <v>30</v>
      </c>
      <c r="J191" s="7" t="s">
        <v>31</v>
      </c>
      <c r="K191" s="7" t="str">
        <f>CONCATENATE("")</f>
        <v/>
      </c>
      <c r="L191" s="7" t="str">
        <f>CONCATENATE("21 21.1 2a")</f>
        <v>21 21.1 2a</v>
      </c>
      <c r="M191" s="7" t="str">
        <f>CONCATENATE("02099510410")</f>
        <v>02099510410</v>
      </c>
      <c r="N191" s="7" t="s">
        <v>294</v>
      </c>
      <c r="O191" s="7" t="s">
        <v>152</v>
      </c>
      <c r="P191" s="8">
        <v>44334</v>
      </c>
      <c r="Q191" s="7" t="s">
        <v>32</v>
      </c>
      <c r="R191" s="7" t="s">
        <v>33</v>
      </c>
      <c r="S191" s="7" t="s">
        <v>34</v>
      </c>
      <c r="T191" s="7"/>
      <c r="U191" s="7" t="s">
        <v>35</v>
      </c>
      <c r="V191" s="9">
        <v>1680</v>
      </c>
      <c r="W191" s="7">
        <v>724.42</v>
      </c>
      <c r="X191" s="7">
        <v>668.98</v>
      </c>
      <c r="Y191" s="7">
        <v>0</v>
      </c>
      <c r="Z191" s="7">
        <v>286.60000000000002</v>
      </c>
    </row>
    <row r="192" spans="1:26" ht="17.5" x14ac:dyDescent="0.35">
      <c r="A192" s="7" t="s">
        <v>27</v>
      </c>
      <c r="B192" s="7" t="s">
        <v>28</v>
      </c>
      <c r="C192" s="7" t="s">
        <v>50</v>
      </c>
      <c r="D192" s="7" t="s">
        <v>51</v>
      </c>
      <c r="E192" s="7" t="s">
        <v>40</v>
      </c>
      <c r="F192" s="7" t="s">
        <v>98</v>
      </c>
      <c r="G192" s="7">
        <v>2017</v>
      </c>
      <c r="H192" s="7" t="str">
        <f>CONCATENATE("14270141360")</f>
        <v>14270141360</v>
      </c>
      <c r="I192" s="7" t="s">
        <v>30</v>
      </c>
      <c r="J192" s="7" t="s">
        <v>31</v>
      </c>
      <c r="K192" s="7" t="str">
        <f>CONCATENATE("")</f>
        <v/>
      </c>
      <c r="L192" s="7" t="str">
        <f>CONCATENATE("21 21.1 2a")</f>
        <v>21 21.1 2a</v>
      </c>
      <c r="M192" s="7" t="str">
        <f>CONCATENATE("01159570413")</f>
        <v>01159570413</v>
      </c>
      <c r="N192" s="7" t="s">
        <v>295</v>
      </c>
      <c r="O192" s="7" t="s">
        <v>152</v>
      </c>
      <c r="P192" s="8">
        <v>44334</v>
      </c>
      <c r="Q192" s="7" t="s">
        <v>32</v>
      </c>
      <c r="R192" s="7" t="s">
        <v>33</v>
      </c>
      <c r="S192" s="7" t="s">
        <v>34</v>
      </c>
      <c r="T192" s="7"/>
      <c r="U192" s="7" t="s">
        <v>35</v>
      </c>
      <c r="V192" s="9">
        <v>1800</v>
      </c>
      <c r="W192" s="7">
        <v>776.16</v>
      </c>
      <c r="X192" s="7">
        <v>716.76</v>
      </c>
      <c r="Y192" s="7">
        <v>0</v>
      </c>
      <c r="Z192" s="7">
        <v>307.08</v>
      </c>
    </row>
    <row r="193" spans="1:26" x14ac:dyDescent="0.35">
      <c r="A193" s="7" t="s">
        <v>27</v>
      </c>
      <c r="B193" s="7" t="s">
        <v>28</v>
      </c>
      <c r="C193" s="7" t="s">
        <v>50</v>
      </c>
      <c r="D193" s="7" t="s">
        <v>51</v>
      </c>
      <c r="E193" s="7" t="s">
        <v>39</v>
      </c>
      <c r="F193" s="7" t="s">
        <v>128</v>
      </c>
      <c r="G193" s="7">
        <v>2017</v>
      </c>
      <c r="H193" s="7" t="str">
        <f>CONCATENATE("14270141741")</f>
        <v>14270141741</v>
      </c>
      <c r="I193" s="7" t="s">
        <v>30</v>
      </c>
      <c r="J193" s="7" t="s">
        <v>31</v>
      </c>
      <c r="K193" s="7" t="str">
        <f>CONCATENATE("")</f>
        <v/>
      </c>
      <c r="L193" s="7" t="str">
        <f>CONCATENATE("21 21.1 2a")</f>
        <v>21 21.1 2a</v>
      </c>
      <c r="M193" s="7" t="str">
        <f>CONCATENATE("CTNSNO63R48G479G")</f>
        <v>CTNSNO63R48G479G</v>
      </c>
      <c r="N193" s="7" t="s">
        <v>296</v>
      </c>
      <c r="O193" s="7" t="s">
        <v>152</v>
      </c>
      <c r="P193" s="8">
        <v>44334</v>
      </c>
      <c r="Q193" s="7" t="s">
        <v>32</v>
      </c>
      <c r="R193" s="7" t="s">
        <v>33</v>
      </c>
      <c r="S193" s="7" t="s">
        <v>34</v>
      </c>
      <c r="T193" s="7"/>
      <c r="U193" s="7" t="s">
        <v>35</v>
      </c>
      <c r="V193" s="9">
        <v>1260</v>
      </c>
      <c r="W193" s="7">
        <v>543.30999999999995</v>
      </c>
      <c r="X193" s="7">
        <v>501.73</v>
      </c>
      <c r="Y193" s="7">
        <v>0</v>
      </c>
      <c r="Z193" s="7">
        <v>214.96</v>
      </c>
    </row>
    <row r="194" spans="1:26" x14ac:dyDescent="0.35">
      <c r="A194" s="7" t="s">
        <v>27</v>
      </c>
      <c r="B194" s="7" t="s">
        <v>28</v>
      </c>
      <c r="C194" s="7" t="s">
        <v>50</v>
      </c>
      <c r="D194" s="7" t="s">
        <v>51</v>
      </c>
      <c r="E194" s="7" t="s">
        <v>40</v>
      </c>
      <c r="F194" s="7" t="s">
        <v>59</v>
      </c>
      <c r="G194" s="7">
        <v>2017</v>
      </c>
      <c r="H194" s="7" t="str">
        <f>CONCATENATE("14270141220")</f>
        <v>14270141220</v>
      </c>
      <c r="I194" s="7" t="s">
        <v>30</v>
      </c>
      <c r="J194" s="7" t="s">
        <v>31</v>
      </c>
      <c r="K194" s="7" t="str">
        <f>CONCATENATE("")</f>
        <v/>
      </c>
      <c r="L194" s="7" t="str">
        <f>CONCATENATE("21 21.1 2a")</f>
        <v>21 21.1 2a</v>
      </c>
      <c r="M194" s="7" t="str">
        <f>CONCATENATE("CSTNTN50H12B352B")</f>
        <v>CSTNTN50H12B352B</v>
      </c>
      <c r="N194" s="7" t="s">
        <v>297</v>
      </c>
      <c r="O194" s="7" t="s">
        <v>152</v>
      </c>
      <c r="P194" s="8">
        <v>44334</v>
      </c>
      <c r="Q194" s="7" t="s">
        <v>32</v>
      </c>
      <c r="R194" s="7" t="s">
        <v>33</v>
      </c>
      <c r="S194" s="7" t="s">
        <v>34</v>
      </c>
      <c r="T194" s="7"/>
      <c r="U194" s="7" t="s">
        <v>35</v>
      </c>
      <c r="V194" s="9">
        <v>4200</v>
      </c>
      <c r="W194" s="9">
        <v>1811.04</v>
      </c>
      <c r="X194" s="9">
        <v>1672.44</v>
      </c>
      <c r="Y194" s="7">
        <v>0</v>
      </c>
      <c r="Z194" s="7">
        <v>716.52</v>
      </c>
    </row>
    <row r="195" spans="1:26" x14ac:dyDescent="0.35">
      <c r="A195" s="7" t="s">
        <v>27</v>
      </c>
      <c r="B195" s="7" t="s">
        <v>28</v>
      </c>
      <c r="C195" s="7" t="s">
        <v>50</v>
      </c>
      <c r="D195" s="7" t="s">
        <v>64</v>
      </c>
      <c r="E195" s="7" t="s">
        <v>39</v>
      </c>
      <c r="F195" s="7" t="s">
        <v>241</v>
      </c>
      <c r="G195" s="7">
        <v>2017</v>
      </c>
      <c r="H195" s="7" t="str">
        <f>CONCATENATE("14270141386")</f>
        <v>14270141386</v>
      </c>
      <c r="I195" s="7" t="s">
        <v>30</v>
      </c>
      <c r="J195" s="7" t="s">
        <v>31</v>
      </c>
      <c r="K195" s="7" t="str">
        <f>CONCATENATE("")</f>
        <v/>
      </c>
      <c r="L195" s="7" t="str">
        <f>CONCATENATE("21 21.1 2a")</f>
        <v>21 21.1 2a</v>
      </c>
      <c r="M195" s="7" t="str">
        <f>CONCATENATE("DCSCLD86E47A258K")</f>
        <v>DCSCLD86E47A258K</v>
      </c>
      <c r="N195" s="7" t="s">
        <v>298</v>
      </c>
      <c r="O195" s="7" t="s">
        <v>152</v>
      </c>
      <c r="P195" s="8">
        <v>44334</v>
      </c>
      <c r="Q195" s="7" t="s">
        <v>32</v>
      </c>
      <c r="R195" s="7" t="s">
        <v>33</v>
      </c>
      <c r="S195" s="7" t="s">
        <v>34</v>
      </c>
      <c r="T195" s="7"/>
      <c r="U195" s="7" t="s">
        <v>35</v>
      </c>
      <c r="V195" s="9">
        <v>1050</v>
      </c>
      <c r="W195" s="7">
        <v>452.76</v>
      </c>
      <c r="X195" s="7">
        <v>418.11</v>
      </c>
      <c r="Y195" s="7">
        <v>0</v>
      </c>
      <c r="Z195" s="7">
        <v>179.13</v>
      </c>
    </row>
    <row r="196" spans="1:26" x14ac:dyDescent="0.35">
      <c r="A196" s="7" t="s">
        <v>27</v>
      </c>
      <c r="B196" s="7" t="s">
        <v>28</v>
      </c>
      <c r="C196" s="7" t="s">
        <v>50</v>
      </c>
      <c r="D196" s="7" t="s">
        <v>51</v>
      </c>
      <c r="E196" s="7" t="s">
        <v>39</v>
      </c>
      <c r="F196" s="7" t="s">
        <v>119</v>
      </c>
      <c r="G196" s="7">
        <v>2017</v>
      </c>
      <c r="H196" s="7" t="str">
        <f>CONCATENATE("14270141402")</f>
        <v>14270141402</v>
      </c>
      <c r="I196" s="7" t="s">
        <v>30</v>
      </c>
      <c r="J196" s="7" t="s">
        <v>31</v>
      </c>
      <c r="K196" s="7" t="str">
        <f>CONCATENATE("")</f>
        <v/>
      </c>
      <c r="L196" s="7" t="str">
        <f>CONCATENATE("21 21.1 2a")</f>
        <v>21 21.1 2a</v>
      </c>
      <c r="M196" s="7" t="str">
        <f>CONCATENATE("GRSMNL61D65F205W")</f>
        <v>GRSMNL61D65F205W</v>
      </c>
      <c r="N196" s="7" t="s">
        <v>299</v>
      </c>
      <c r="O196" s="7" t="s">
        <v>152</v>
      </c>
      <c r="P196" s="8">
        <v>44334</v>
      </c>
      <c r="Q196" s="7" t="s">
        <v>32</v>
      </c>
      <c r="R196" s="7" t="s">
        <v>33</v>
      </c>
      <c r="S196" s="7" t="s">
        <v>34</v>
      </c>
      <c r="T196" s="7"/>
      <c r="U196" s="7" t="s">
        <v>35</v>
      </c>
      <c r="V196" s="9">
        <v>2625</v>
      </c>
      <c r="W196" s="9">
        <v>1131.9000000000001</v>
      </c>
      <c r="X196" s="9">
        <v>1045.28</v>
      </c>
      <c r="Y196" s="7">
        <v>0</v>
      </c>
      <c r="Z196" s="7">
        <v>447.82</v>
      </c>
    </row>
    <row r="197" spans="1:26" x14ac:dyDescent="0.35">
      <c r="A197" s="7" t="s">
        <v>27</v>
      </c>
      <c r="B197" s="7" t="s">
        <v>28</v>
      </c>
      <c r="C197" s="7" t="s">
        <v>50</v>
      </c>
      <c r="D197" s="7" t="s">
        <v>51</v>
      </c>
      <c r="E197" s="7" t="s">
        <v>36</v>
      </c>
      <c r="F197" s="7" t="s">
        <v>36</v>
      </c>
      <c r="G197" s="7">
        <v>2017</v>
      </c>
      <c r="H197" s="7" t="str">
        <f>CONCATENATE("14270141618")</f>
        <v>14270141618</v>
      </c>
      <c r="I197" s="7" t="s">
        <v>30</v>
      </c>
      <c r="J197" s="7" t="s">
        <v>31</v>
      </c>
      <c r="K197" s="7" t="str">
        <f>CONCATENATE("")</f>
        <v/>
      </c>
      <c r="L197" s="7" t="str">
        <f>CONCATENATE("21 21.1 2a")</f>
        <v>21 21.1 2a</v>
      </c>
      <c r="M197" s="7" t="str">
        <f>CONCATENATE("MRNFNC68C21I459Z")</f>
        <v>MRNFNC68C21I459Z</v>
      </c>
      <c r="N197" s="7" t="s">
        <v>300</v>
      </c>
      <c r="O197" s="7" t="s">
        <v>152</v>
      </c>
      <c r="P197" s="8">
        <v>44334</v>
      </c>
      <c r="Q197" s="7" t="s">
        <v>32</v>
      </c>
      <c r="R197" s="7" t="s">
        <v>33</v>
      </c>
      <c r="S197" s="7" t="s">
        <v>34</v>
      </c>
      <c r="T197" s="7"/>
      <c r="U197" s="7" t="s">
        <v>35</v>
      </c>
      <c r="V197" s="9">
        <v>1575</v>
      </c>
      <c r="W197" s="7">
        <v>679.14</v>
      </c>
      <c r="X197" s="7">
        <v>627.16999999999996</v>
      </c>
      <c r="Y197" s="7">
        <v>0</v>
      </c>
      <c r="Z197" s="7">
        <v>268.69</v>
      </c>
    </row>
    <row r="198" spans="1:26" x14ac:dyDescent="0.35">
      <c r="A198" s="7" t="s">
        <v>27</v>
      </c>
      <c r="B198" s="7" t="s">
        <v>28</v>
      </c>
      <c r="C198" s="7" t="s">
        <v>50</v>
      </c>
      <c r="D198" s="7" t="s">
        <v>51</v>
      </c>
      <c r="E198" s="7" t="s">
        <v>39</v>
      </c>
      <c r="F198" s="7" t="s">
        <v>119</v>
      </c>
      <c r="G198" s="7">
        <v>2017</v>
      </c>
      <c r="H198" s="7" t="str">
        <f>CONCATENATE("14270141659")</f>
        <v>14270141659</v>
      </c>
      <c r="I198" s="7" t="s">
        <v>30</v>
      </c>
      <c r="J198" s="7" t="s">
        <v>31</v>
      </c>
      <c r="K198" s="7" t="str">
        <f>CONCATENATE("")</f>
        <v/>
      </c>
      <c r="L198" s="7" t="str">
        <f>CONCATENATE("21 21.1 2a")</f>
        <v>21 21.1 2a</v>
      </c>
      <c r="M198" s="7" t="str">
        <f>CONCATENATE("MRTDNL86S18I459B")</f>
        <v>MRTDNL86S18I459B</v>
      </c>
      <c r="N198" s="7" t="s">
        <v>301</v>
      </c>
      <c r="O198" s="7" t="s">
        <v>152</v>
      </c>
      <c r="P198" s="8">
        <v>44334</v>
      </c>
      <c r="Q198" s="7" t="s">
        <v>32</v>
      </c>
      <c r="R198" s="7" t="s">
        <v>33</v>
      </c>
      <c r="S198" s="7" t="s">
        <v>34</v>
      </c>
      <c r="T198" s="7"/>
      <c r="U198" s="7" t="s">
        <v>35</v>
      </c>
      <c r="V198" s="9">
        <v>5850</v>
      </c>
      <c r="W198" s="9">
        <v>2522.52</v>
      </c>
      <c r="X198" s="9">
        <v>2329.4699999999998</v>
      </c>
      <c r="Y198" s="7">
        <v>0</v>
      </c>
      <c r="Z198" s="7">
        <v>998.01</v>
      </c>
    </row>
    <row r="199" spans="1:26" x14ac:dyDescent="0.35">
      <c r="A199" s="7" t="s">
        <v>27</v>
      </c>
      <c r="B199" s="7" t="s">
        <v>28</v>
      </c>
      <c r="C199" s="7" t="s">
        <v>50</v>
      </c>
      <c r="D199" s="7" t="s">
        <v>64</v>
      </c>
      <c r="E199" s="7" t="s">
        <v>40</v>
      </c>
      <c r="F199" s="7" t="s">
        <v>302</v>
      </c>
      <c r="G199" s="7">
        <v>2017</v>
      </c>
      <c r="H199" s="7" t="str">
        <f>CONCATENATE("14270141485")</f>
        <v>14270141485</v>
      </c>
      <c r="I199" s="7" t="s">
        <v>30</v>
      </c>
      <c r="J199" s="7" t="s">
        <v>31</v>
      </c>
      <c r="K199" s="7" t="str">
        <f>CONCATENATE("")</f>
        <v/>
      </c>
      <c r="L199" s="7" t="str">
        <f>CONCATENATE("21 21.1 2a")</f>
        <v>21 21.1 2a</v>
      </c>
      <c r="M199" s="7" t="str">
        <f>CONCATENATE("SCBDRN58S27E208O")</f>
        <v>SCBDRN58S27E208O</v>
      </c>
      <c r="N199" s="7" t="s">
        <v>303</v>
      </c>
      <c r="O199" s="7" t="s">
        <v>152</v>
      </c>
      <c r="P199" s="8">
        <v>44334</v>
      </c>
      <c r="Q199" s="7" t="s">
        <v>32</v>
      </c>
      <c r="R199" s="7" t="s">
        <v>33</v>
      </c>
      <c r="S199" s="7" t="s">
        <v>34</v>
      </c>
      <c r="T199" s="7"/>
      <c r="U199" s="7" t="s">
        <v>35</v>
      </c>
      <c r="V199" s="9">
        <v>2100</v>
      </c>
      <c r="W199" s="7">
        <v>905.52</v>
      </c>
      <c r="X199" s="7">
        <v>836.22</v>
      </c>
      <c r="Y199" s="7">
        <v>0</v>
      </c>
      <c r="Z199" s="7">
        <v>358.26</v>
      </c>
    </row>
    <row r="200" spans="1:26" ht="17.5" x14ac:dyDescent="0.35">
      <c r="A200" s="7" t="s">
        <v>27</v>
      </c>
      <c r="B200" s="7" t="s">
        <v>28</v>
      </c>
      <c r="C200" s="7" t="s">
        <v>50</v>
      </c>
      <c r="D200" s="7" t="s">
        <v>64</v>
      </c>
      <c r="E200" s="7" t="s">
        <v>40</v>
      </c>
      <c r="F200" s="7" t="s">
        <v>304</v>
      </c>
      <c r="G200" s="7">
        <v>2017</v>
      </c>
      <c r="H200" s="7" t="str">
        <f>CONCATENATE("14270141675")</f>
        <v>14270141675</v>
      </c>
      <c r="I200" s="7" t="s">
        <v>30</v>
      </c>
      <c r="J200" s="7" t="s">
        <v>31</v>
      </c>
      <c r="K200" s="7" t="str">
        <f>CONCATENATE("")</f>
        <v/>
      </c>
      <c r="L200" s="7" t="str">
        <f>CONCATENATE("21 21.1 2a")</f>
        <v>21 21.1 2a</v>
      </c>
      <c r="M200" s="7" t="str">
        <f>CONCATENATE("02068010442")</f>
        <v>02068010442</v>
      </c>
      <c r="N200" s="7" t="s">
        <v>305</v>
      </c>
      <c r="O200" s="7" t="s">
        <v>152</v>
      </c>
      <c r="P200" s="8">
        <v>44334</v>
      </c>
      <c r="Q200" s="7" t="s">
        <v>32</v>
      </c>
      <c r="R200" s="7" t="s">
        <v>33</v>
      </c>
      <c r="S200" s="7" t="s">
        <v>34</v>
      </c>
      <c r="T200" s="7"/>
      <c r="U200" s="7" t="s">
        <v>35</v>
      </c>
      <c r="V200" s="9">
        <v>2700</v>
      </c>
      <c r="W200" s="9">
        <v>1164.24</v>
      </c>
      <c r="X200" s="9">
        <v>1075.1400000000001</v>
      </c>
      <c r="Y200" s="7">
        <v>0</v>
      </c>
      <c r="Z200" s="7">
        <v>460.62</v>
      </c>
    </row>
    <row r="201" spans="1:26" x14ac:dyDescent="0.35">
      <c r="A201" s="7" t="s">
        <v>27</v>
      </c>
      <c r="B201" s="7" t="s">
        <v>28</v>
      </c>
      <c r="C201" s="7" t="s">
        <v>50</v>
      </c>
      <c r="D201" s="7" t="s">
        <v>64</v>
      </c>
      <c r="E201" s="7" t="s">
        <v>36</v>
      </c>
      <c r="F201" s="7" t="s">
        <v>36</v>
      </c>
      <c r="G201" s="7">
        <v>2017</v>
      </c>
      <c r="H201" s="7" t="str">
        <f>CONCATENATE("14270141238")</f>
        <v>14270141238</v>
      </c>
      <c r="I201" s="7" t="s">
        <v>30</v>
      </c>
      <c r="J201" s="7" t="s">
        <v>31</v>
      </c>
      <c r="K201" s="7" t="str">
        <f>CONCATENATE("")</f>
        <v/>
      </c>
      <c r="L201" s="7" t="str">
        <f>CONCATENATE("21 21.1 2a")</f>
        <v>21 21.1 2a</v>
      </c>
      <c r="M201" s="7" t="str">
        <f>CONCATENATE("01517310445")</f>
        <v>01517310445</v>
      </c>
      <c r="N201" s="7" t="s">
        <v>306</v>
      </c>
      <c r="O201" s="7" t="s">
        <v>152</v>
      </c>
      <c r="P201" s="8">
        <v>44334</v>
      </c>
      <c r="Q201" s="7" t="s">
        <v>32</v>
      </c>
      <c r="R201" s="7" t="s">
        <v>33</v>
      </c>
      <c r="S201" s="7" t="s">
        <v>34</v>
      </c>
      <c r="T201" s="7"/>
      <c r="U201" s="7" t="s">
        <v>35</v>
      </c>
      <c r="V201" s="9">
        <v>4620</v>
      </c>
      <c r="W201" s="9">
        <v>1992.14</v>
      </c>
      <c r="X201" s="9">
        <v>1839.68</v>
      </c>
      <c r="Y201" s="7">
        <v>0</v>
      </c>
      <c r="Z201" s="7">
        <v>788.18</v>
      </c>
    </row>
    <row r="202" spans="1:26" x14ac:dyDescent="0.35">
      <c r="A202" s="7" t="s">
        <v>27</v>
      </c>
      <c r="B202" s="7" t="s">
        <v>28</v>
      </c>
      <c r="C202" s="7" t="s">
        <v>50</v>
      </c>
      <c r="D202" s="7" t="s">
        <v>51</v>
      </c>
      <c r="E202" s="7" t="s">
        <v>40</v>
      </c>
      <c r="F202" s="7" t="s">
        <v>307</v>
      </c>
      <c r="G202" s="7">
        <v>2017</v>
      </c>
      <c r="H202" s="7" t="str">
        <f>CONCATENATE("14270141451")</f>
        <v>14270141451</v>
      </c>
      <c r="I202" s="7" t="s">
        <v>30</v>
      </c>
      <c r="J202" s="7" t="s">
        <v>31</v>
      </c>
      <c r="K202" s="7" t="str">
        <f>CONCATENATE("")</f>
        <v/>
      </c>
      <c r="L202" s="7" t="str">
        <f>CONCATENATE("21 21.1 2a")</f>
        <v>21 21.1 2a</v>
      </c>
      <c r="M202" s="7" t="str">
        <f>CONCATENATE("02621430418")</f>
        <v>02621430418</v>
      </c>
      <c r="N202" s="7" t="s">
        <v>308</v>
      </c>
      <c r="O202" s="7" t="s">
        <v>152</v>
      </c>
      <c r="P202" s="8">
        <v>44334</v>
      </c>
      <c r="Q202" s="7" t="s">
        <v>32</v>
      </c>
      <c r="R202" s="7" t="s">
        <v>33</v>
      </c>
      <c r="S202" s="7" t="s">
        <v>34</v>
      </c>
      <c r="T202" s="7"/>
      <c r="U202" s="7" t="s">
        <v>35</v>
      </c>
      <c r="V202" s="9">
        <v>2520</v>
      </c>
      <c r="W202" s="9">
        <v>1086.6199999999999</v>
      </c>
      <c r="X202" s="9">
        <v>1003.46</v>
      </c>
      <c r="Y202" s="7">
        <v>0</v>
      </c>
      <c r="Z202" s="7">
        <v>429.92</v>
      </c>
    </row>
    <row r="203" spans="1:26" x14ac:dyDescent="0.35">
      <c r="A203" s="7" t="s">
        <v>27</v>
      </c>
      <c r="B203" s="7" t="s">
        <v>28</v>
      </c>
      <c r="C203" s="7" t="s">
        <v>50</v>
      </c>
      <c r="D203" s="7" t="s">
        <v>64</v>
      </c>
      <c r="E203" s="7" t="s">
        <v>36</v>
      </c>
      <c r="F203" s="7" t="s">
        <v>36</v>
      </c>
      <c r="G203" s="7">
        <v>2017</v>
      </c>
      <c r="H203" s="7" t="str">
        <f>CONCATENATE("14270141352")</f>
        <v>14270141352</v>
      </c>
      <c r="I203" s="7" t="s">
        <v>30</v>
      </c>
      <c r="J203" s="7" t="s">
        <v>31</v>
      </c>
      <c r="K203" s="7" t="str">
        <f>CONCATENATE("")</f>
        <v/>
      </c>
      <c r="L203" s="7" t="str">
        <f>CONCATENATE("21 21.1 2a")</f>
        <v>21 21.1 2a</v>
      </c>
      <c r="M203" s="7" t="str">
        <f>CONCATENATE("01875750448")</f>
        <v>01875750448</v>
      </c>
      <c r="N203" s="7" t="s">
        <v>309</v>
      </c>
      <c r="O203" s="7" t="s">
        <v>152</v>
      </c>
      <c r="P203" s="8">
        <v>44334</v>
      </c>
      <c r="Q203" s="7" t="s">
        <v>32</v>
      </c>
      <c r="R203" s="7" t="s">
        <v>33</v>
      </c>
      <c r="S203" s="7" t="s">
        <v>34</v>
      </c>
      <c r="T203" s="7"/>
      <c r="U203" s="7" t="s">
        <v>35</v>
      </c>
      <c r="V203" s="9">
        <v>2160</v>
      </c>
      <c r="W203" s="7">
        <v>931.39</v>
      </c>
      <c r="X203" s="7">
        <v>860.11</v>
      </c>
      <c r="Y203" s="7">
        <v>0</v>
      </c>
      <c r="Z203" s="7">
        <v>368.5</v>
      </c>
    </row>
    <row r="204" spans="1:26" x14ac:dyDescent="0.35">
      <c r="A204" s="7" t="s">
        <v>27</v>
      </c>
      <c r="B204" s="7" t="s">
        <v>28</v>
      </c>
      <c r="C204" s="7" t="s">
        <v>50</v>
      </c>
      <c r="D204" s="7" t="s">
        <v>51</v>
      </c>
      <c r="E204" s="7" t="s">
        <v>41</v>
      </c>
      <c r="F204" s="7" t="s">
        <v>229</v>
      </c>
      <c r="G204" s="7">
        <v>2017</v>
      </c>
      <c r="H204" s="7" t="str">
        <f>CONCATENATE("14270141394")</f>
        <v>14270141394</v>
      </c>
      <c r="I204" s="7" t="s">
        <v>30</v>
      </c>
      <c r="J204" s="7" t="s">
        <v>31</v>
      </c>
      <c r="K204" s="7" t="str">
        <f>CONCATENATE("")</f>
        <v/>
      </c>
      <c r="L204" s="7" t="str">
        <f>CONCATENATE("21 21.1 2a")</f>
        <v>21 21.1 2a</v>
      </c>
      <c r="M204" s="7" t="str">
        <f>CONCATENATE("TNGMRA53S69H958N")</f>
        <v>TNGMRA53S69H958N</v>
      </c>
      <c r="N204" s="7" t="s">
        <v>310</v>
      </c>
      <c r="O204" s="7" t="s">
        <v>152</v>
      </c>
      <c r="P204" s="8">
        <v>44334</v>
      </c>
      <c r="Q204" s="7" t="s">
        <v>32</v>
      </c>
      <c r="R204" s="7" t="s">
        <v>33</v>
      </c>
      <c r="S204" s="7" t="s">
        <v>34</v>
      </c>
      <c r="T204" s="7"/>
      <c r="U204" s="7" t="s">
        <v>35</v>
      </c>
      <c r="V204" s="9">
        <v>5250</v>
      </c>
      <c r="W204" s="9">
        <v>2263.8000000000002</v>
      </c>
      <c r="X204" s="9">
        <v>2090.5500000000002</v>
      </c>
      <c r="Y204" s="7">
        <v>0</v>
      </c>
      <c r="Z204" s="7">
        <v>895.65</v>
      </c>
    </row>
    <row r="205" spans="1:26" x14ac:dyDescent="0.35">
      <c r="A205" s="7" t="s">
        <v>27</v>
      </c>
      <c r="B205" s="7" t="s">
        <v>28</v>
      </c>
      <c r="C205" s="7" t="s">
        <v>50</v>
      </c>
      <c r="D205" s="7" t="s">
        <v>51</v>
      </c>
      <c r="E205" s="7" t="s">
        <v>39</v>
      </c>
      <c r="F205" s="7" t="s">
        <v>121</v>
      </c>
      <c r="G205" s="7">
        <v>2017</v>
      </c>
      <c r="H205" s="7" t="str">
        <f>CONCATENATE("14270141592")</f>
        <v>14270141592</v>
      </c>
      <c r="I205" s="7" t="s">
        <v>30</v>
      </c>
      <c r="J205" s="7" t="s">
        <v>31</v>
      </c>
      <c r="K205" s="7" t="str">
        <f>CONCATENATE("")</f>
        <v/>
      </c>
      <c r="L205" s="7" t="str">
        <f>CONCATENATE("21 21.1 2a")</f>
        <v>21 21.1 2a</v>
      </c>
      <c r="M205" s="7" t="str">
        <f>CONCATENATE("VRDGNI67M21D749Z")</f>
        <v>VRDGNI67M21D749Z</v>
      </c>
      <c r="N205" s="7" t="s">
        <v>311</v>
      </c>
      <c r="O205" s="7" t="s">
        <v>152</v>
      </c>
      <c r="P205" s="8">
        <v>44334</v>
      </c>
      <c r="Q205" s="7" t="s">
        <v>32</v>
      </c>
      <c r="R205" s="7" t="s">
        <v>33</v>
      </c>
      <c r="S205" s="7" t="s">
        <v>34</v>
      </c>
      <c r="T205" s="7"/>
      <c r="U205" s="7" t="s">
        <v>35</v>
      </c>
      <c r="V205" s="9">
        <v>2415</v>
      </c>
      <c r="W205" s="9">
        <v>1041.3499999999999</v>
      </c>
      <c r="X205" s="7">
        <v>961.65</v>
      </c>
      <c r="Y205" s="7">
        <v>0</v>
      </c>
      <c r="Z205" s="7">
        <v>412</v>
      </c>
    </row>
    <row r="206" spans="1:26" x14ac:dyDescent="0.35">
      <c r="A206" s="7" t="s">
        <v>27</v>
      </c>
      <c r="B206" s="7" t="s">
        <v>47</v>
      </c>
      <c r="C206" s="7" t="s">
        <v>50</v>
      </c>
      <c r="D206" s="7" t="s">
        <v>51</v>
      </c>
      <c r="E206" s="7" t="s">
        <v>39</v>
      </c>
      <c r="F206" s="7" t="s">
        <v>128</v>
      </c>
      <c r="G206" s="7">
        <v>2020</v>
      </c>
      <c r="H206" s="7" t="str">
        <f>CONCATENATE("04210889699")</f>
        <v>04210889699</v>
      </c>
      <c r="I206" s="7" t="s">
        <v>30</v>
      </c>
      <c r="J206" s="7" t="s">
        <v>31</v>
      </c>
      <c r="K206" s="7" t="str">
        <f>CONCATENATE("")</f>
        <v/>
      </c>
      <c r="L206" s="7" t="str">
        <f>CONCATENATE("13 13.1 4a")</f>
        <v>13 13.1 4a</v>
      </c>
      <c r="M206" s="7" t="str">
        <f>CONCATENATE("01407060415")</f>
        <v>01407060415</v>
      </c>
      <c r="N206" s="7" t="s">
        <v>312</v>
      </c>
      <c r="O206" s="7" t="s">
        <v>160</v>
      </c>
      <c r="P206" s="8">
        <v>44334</v>
      </c>
      <c r="Q206" s="7" t="s">
        <v>32</v>
      </c>
      <c r="R206" s="7" t="s">
        <v>33</v>
      </c>
      <c r="S206" s="7" t="s">
        <v>34</v>
      </c>
      <c r="T206" s="7"/>
      <c r="U206" s="7" t="s">
        <v>35</v>
      </c>
      <c r="V206" s="9">
        <v>3508.73</v>
      </c>
      <c r="W206" s="9">
        <v>1512.96</v>
      </c>
      <c r="X206" s="9">
        <v>1397.18</v>
      </c>
      <c r="Y206" s="7">
        <v>0</v>
      </c>
      <c r="Z206" s="7">
        <v>598.59</v>
      </c>
    </row>
    <row r="207" spans="1:26" x14ac:dyDescent="0.35">
      <c r="A207" s="7" t="s">
        <v>27</v>
      </c>
      <c r="B207" s="7" t="s">
        <v>47</v>
      </c>
      <c r="C207" s="7" t="s">
        <v>50</v>
      </c>
      <c r="D207" s="7" t="s">
        <v>51</v>
      </c>
      <c r="E207" s="7" t="s">
        <v>29</v>
      </c>
      <c r="F207" s="7" t="s">
        <v>113</v>
      </c>
      <c r="G207" s="7">
        <v>2020</v>
      </c>
      <c r="H207" s="7" t="str">
        <f>CONCATENATE("04210836245")</f>
        <v>04210836245</v>
      </c>
      <c r="I207" s="7" t="s">
        <v>30</v>
      </c>
      <c r="J207" s="7" t="s">
        <v>31</v>
      </c>
      <c r="K207" s="7" t="str">
        <f>CONCATENATE("")</f>
        <v/>
      </c>
      <c r="L207" s="7" t="str">
        <f>CONCATENATE("13 13.1 4a")</f>
        <v>13 13.1 4a</v>
      </c>
      <c r="M207" s="7" t="str">
        <f>CONCATENATE("BNNGLN61P12Z404U")</f>
        <v>BNNGLN61P12Z404U</v>
      </c>
      <c r="N207" s="7" t="s">
        <v>313</v>
      </c>
      <c r="O207" s="7" t="s">
        <v>160</v>
      </c>
      <c r="P207" s="8">
        <v>44334</v>
      </c>
      <c r="Q207" s="7" t="s">
        <v>32</v>
      </c>
      <c r="R207" s="7" t="s">
        <v>33</v>
      </c>
      <c r="S207" s="7" t="s">
        <v>34</v>
      </c>
      <c r="T207" s="7"/>
      <c r="U207" s="7" t="s">
        <v>35</v>
      </c>
      <c r="V207" s="7">
        <v>473.26</v>
      </c>
      <c r="W207" s="7">
        <v>204.07</v>
      </c>
      <c r="X207" s="7">
        <v>188.45</v>
      </c>
      <c r="Y207" s="7">
        <v>0</v>
      </c>
      <c r="Z207" s="7">
        <v>80.739999999999995</v>
      </c>
    </row>
    <row r="208" spans="1:26" x14ac:dyDescent="0.35">
      <c r="A208" s="7" t="s">
        <v>27</v>
      </c>
      <c r="B208" s="7" t="s">
        <v>47</v>
      </c>
      <c r="C208" s="7" t="s">
        <v>50</v>
      </c>
      <c r="D208" s="7" t="s">
        <v>51</v>
      </c>
      <c r="E208" s="7" t="s">
        <v>44</v>
      </c>
      <c r="F208" s="7" t="s">
        <v>101</v>
      </c>
      <c r="G208" s="7">
        <v>2020</v>
      </c>
      <c r="H208" s="7" t="str">
        <f>CONCATENATE("04210888592")</f>
        <v>04210888592</v>
      </c>
      <c r="I208" s="7" t="s">
        <v>30</v>
      </c>
      <c r="J208" s="7" t="s">
        <v>31</v>
      </c>
      <c r="K208" s="7" t="str">
        <f>CONCATENATE("")</f>
        <v/>
      </c>
      <c r="L208" s="7" t="str">
        <f>CONCATENATE("13 13.1 4a")</f>
        <v>13 13.1 4a</v>
      </c>
      <c r="M208" s="7" t="str">
        <f>CONCATENATE("GNTMRN72M20E785B")</f>
        <v>GNTMRN72M20E785B</v>
      </c>
      <c r="N208" s="7" t="s">
        <v>314</v>
      </c>
      <c r="O208" s="7" t="s">
        <v>160</v>
      </c>
      <c r="P208" s="8">
        <v>44334</v>
      </c>
      <c r="Q208" s="7" t="s">
        <v>32</v>
      </c>
      <c r="R208" s="7" t="s">
        <v>33</v>
      </c>
      <c r="S208" s="7" t="s">
        <v>34</v>
      </c>
      <c r="T208" s="7"/>
      <c r="U208" s="7" t="s">
        <v>35</v>
      </c>
      <c r="V208" s="9">
        <v>2203.6799999999998</v>
      </c>
      <c r="W208" s="7">
        <v>950.23</v>
      </c>
      <c r="X208" s="7">
        <v>877.51</v>
      </c>
      <c r="Y208" s="7">
        <v>0</v>
      </c>
      <c r="Z208" s="7">
        <v>375.94</v>
      </c>
    </row>
    <row r="209" spans="1:26" x14ac:dyDescent="0.35">
      <c r="A209" s="7" t="s">
        <v>27</v>
      </c>
      <c r="B209" s="7" t="s">
        <v>47</v>
      </c>
      <c r="C209" s="7" t="s">
        <v>50</v>
      </c>
      <c r="D209" s="7" t="s">
        <v>51</v>
      </c>
      <c r="E209" s="7" t="s">
        <v>29</v>
      </c>
      <c r="F209" s="7" t="s">
        <v>113</v>
      </c>
      <c r="G209" s="7">
        <v>2020</v>
      </c>
      <c r="H209" s="7" t="str">
        <f>CONCATENATE("04210648475")</f>
        <v>04210648475</v>
      </c>
      <c r="I209" s="7" t="s">
        <v>30</v>
      </c>
      <c r="J209" s="7" t="s">
        <v>31</v>
      </c>
      <c r="K209" s="7" t="str">
        <f>CONCATENATE("")</f>
        <v/>
      </c>
      <c r="L209" s="7" t="str">
        <f>CONCATENATE("13 13.1 4a")</f>
        <v>13 13.1 4a</v>
      </c>
      <c r="M209" s="7" t="str">
        <f>CONCATENATE("BRTNMR43D66H958P")</f>
        <v>BRTNMR43D66H958P</v>
      </c>
      <c r="N209" s="7" t="s">
        <v>315</v>
      </c>
      <c r="O209" s="7" t="s">
        <v>160</v>
      </c>
      <c r="P209" s="8">
        <v>44334</v>
      </c>
      <c r="Q209" s="7" t="s">
        <v>32</v>
      </c>
      <c r="R209" s="7" t="s">
        <v>33</v>
      </c>
      <c r="S209" s="7" t="s">
        <v>34</v>
      </c>
      <c r="T209" s="7"/>
      <c r="U209" s="7" t="s">
        <v>35</v>
      </c>
      <c r="V209" s="9">
        <v>3817.64</v>
      </c>
      <c r="W209" s="9">
        <v>1646.17</v>
      </c>
      <c r="X209" s="9">
        <v>1520.18</v>
      </c>
      <c r="Y209" s="7">
        <v>0</v>
      </c>
      <c r="Z209" s="7">
        <v>651.29</v>
      </c>
    </row>
    <row r="210" spans="1:26" x14ac:dyDescent="0.35">
      <c r="A210" s="7" t="s">
        <v>27</v>
      </c>
      <c r="B210" s="7" t="s">
        <v>47</v>
      </c>
      <c r="C210" s="7" t="s">
        <v>50</v>
      </c>
      <c r="D210" s="7" t="s">
        <v>51</v>
      </c>
      <c r="E210" s="7" t="s">
        <v>40</v>
      </c>
      <c r="F210" s="7" t="s">
        <v>59</v>
      </c>
      <c r="G210" s="7">
        <v>2020</v>
      </c>
      <c r="H210" s="7" t="str">
        <f>CONCATENATE("04210343887")</f>
        <v>04210343887</v>
      </c>
      <c r="I210" s="7" t="s">
        <v>30</v>
      </c>
      <c r="J210" s="7" t="s">
        <v>31</v>
      </c>
      <c r="K210" s="7" t="str">
        <f>CONCATENATE("")</f>
        <v/>
      </c>
      <c r="L210" s="7" t="str">
        <f>CONCATENATE("13 13.1 4a")</f>
        <v>13 13.1 4a</v>
      </c>
      <c r="M210" s="7" t="str">
        <f>CONCATENATE("MGAGPP40L08B352V")</f>
        <v>MGAGPP40L08B352V</v>
      </c>
      <c r="N210" s="7" t="s">
        <v>316</v>
      </c>
      <c r="O210" s="7" t="s">
        <v>160</v>
      </c>
      <c r="P210" s="8">
        <v>44334</v>
      </c>
      <c r="Q210" s="7" t="s">
        <v>32</v>
      </c>
      <c r="R210" s="7" t="s">
        <v>33</v>
      </c>
      <c r="S210" s="7" t="s">
        <v>34</v>
      </c>
      <c r="T210" s="7"/>
      <c r="U210" s="7" t="s">
        <v>35</v>
      </c>
      <c r="V210" s="9">
        <v>1038.48</v>
      </c>
      <c r="W210" s="7">
        <v>447.79</v>
      </c>
      <c r="X210" s="7">
        <v>413.52</v>
      </c>
      <c r="Y210" s="7">
        <v>0</v>
      </c>
      <c r="Z210" s="7">
        <v>177.17</v>
      </c>
    </row>
    <row r="211" spans="1:26" x14ac:dyDescent="0.35">
      <c r="A211" s="7" t="s">
        <v>27</v>
      </c>
      <c r="B211" s="7" t="s">
        <v>47</v>
      </c>
      <c r="C211" s="7" t="s">
        <v>50</v>
      </c>
      <c r="D211" s="7" t="s">
        <v>51</v>
      </c>
      <c r="E211" s="7" t="s">
        <v>44</v>
      </c>
      <c r="F211" s="7" t="s">
        <v>101</v>
      </c>
      <c r="G211" s="7">
        <v>2020</v>
      </c>
      <c r="H211" s="7" t="str">
        <f>CONCATENATE("04210459485")</f>
        <v>04210459485</v>
      </c>
      <c r="I211" s="7" t="s">
        <v>30</v>
      </c>
      <c r="J211" s="7" t="s">
        <v>31</v>
      </c>
      <c r="K211" s="7" t="str">
        <f>CONCATENATE("")</f>
        <v/>
      </c>
      <c r="L211" s="7" t="str">
        <f>CONCATENATE("13 13.1 4a")</f>
        <v>13 13.1 4a</v>
      </c>
      <c r="M211" s="7" t="str">
        <f>CONCATENATE("GGLMRA78C05I287W")</f>
        <v>GGLMRA78C05I287W</v>
      </c>
      <c r="N211" s="7" t="s">
        <v>317</v>
      </c>
      <c r="O211" s="7" t="s">
        <v>160</v>
      </c>
      <c r="P211" s="8">
        <v>44334</v>
      </c>
      <c r="Q211" s="7" t="s">
        <v>32</v>
      </c>
      <c r="R211" s="7" t="s">
        <v>33</v>
      </c>
      <c r="S211" s="7" t="s">
        <v>34</v>
      </c>
      <c r="T211" s="7"/>
      <c r="U211" s="7" t="s">
        <v>35</v>
      </c>
      <c r="V211" s="9">
        <v>2618.3200000000002</v>
      </c>
      <c r="W211" s="9">
        <v>1129.02</v>
      </c>
      <c r="X211" s="9">
        <v>1042.6199999999999</v>
      </c>
      <c r="Y211" s="7">
        <v>0</v>
      </c>
      <c r="Z211" s="7">
        <v>446.68</v>
      </c>
    </row>
    <row r="212" spans="1:26" x14ac:dyDescent="0.35">
      <c r="A212" s="7" t="s">
        <v>27</v>
      </c>
      <c r="B212" s="7" t="s">
        <v>47</v>
      </c>
      <c r="C212" s="7" t="s">
        <v>50</v>
      </c>
      <c r="D212" s="7" t="s">
        <v>51</v>
      </c>
      <c r="E212" s="7" t="s">
        <v>29</v>
      </c>
      <c r="F212" s="7" t="s">
        <v>113</v>
      </c>
      <c r="G212" s="7">
        <v>2020</v>
      </c>
      <c r="H212" s="7" t="str">
        <f>CONCATENATE("04210615912")</f>
        <v>04210615912</v>
      </c>
      <c r="I212" s="7" t="s">
        <v>30</v>
      </c>
      <c r="J212" s="7" t="s">
        <v>31</v>
      </c>
      <c r="K212" s="7" t="str">
        <f>CONCATENATE("")</f>
        <v/>
      </c>
      <c r="L212" s="7" t="str">
        <f>CONCATENATE("13 13.1 4a")</f>
        <v>13 13.1 4a</v>
      </c>
      <c r="M212" s="7" t="str">
        <f>CONCATENATE("MSCLCU93S03H501K")</f>
        <v>MSCLCU93S03H501K</v>
      </c>
      <c r="N212" s="7" t="s">
        <v>318</v>
      </c>
      <c r="O212" s="7" t="s">
        <v>160</v>
      </c>
      <c r="P212" s="8">
        <v>44334</v>
      </c>
      <c r="Q212" s="7" t="s">
        <v>32</v>
      </c>
      <c r="R212" s="7" t="s">
        <v>33</v>
      </c>
      <c r="S212" s="7" t="s">
        <v>34</v>
      </c>
      <c r="T212" s="7"/>
      <c r="U212" s="7" t="s">
        <v>35</v>
      </c>
      <c r="V212" s="9">
        <v>1599.98</v>
      </c>
      <c r="W212" s="7">
        <v>689.91</v>
      </c>
      <c r="X212" s="7">
        <v>637.11</v>
      </c>
      <c r="Y212" s="7">
        <v>0</v>
      </c>
      <c r="Z212" s="7">
        <v>272.95999999999998</v>
      </c>
    </row>
    <row r="213" spans="1:26" x14ac:dyDescent="0.35">
      <c r="A213" s="7" t="s">
        <v>27</v>
      </c>
      <c r="B213" s="7" t="s">
        <v>47</v>
      </c>
      <c r="C213" s="7" t="s">
        <v>50</v>
      </c>
      <c r="D213" s="7" t="s">
        <v>104</v>
      </c>
      <c r="E213" s="7" t="s">
        <v>39</v>
      </c>
      <c r="F213" s="7" t="s">
        <v>162</v>
      </c>
      <c r="G213" s="7">
        <v>2020</v>
      </c>
      <c r="H213" s="7" t="str">
        <f>CONCATENATE("04210210276")</f>
        <v>04210210276</v>
      </c>
      <c r="I213" s="7" t="s">
        <v>43</v>
      </c>
      <c r="J213" s="7" t="s">
        <v>31</v>
      </c>
      <c r="K213" s="7" t="str">
        <f>CONCATENATE("")</f>
        <v/>
      </c>
      <c r="L213" s="7" t="str">
        <f>CONCATENATE("13 13.1 4a")</f>
        <v>13 13.1 4a</v>
      </c>
      <c r="M213" s="7" t="str">
        <f>CONCATENATE("GLMMRA73C43D451N")</f>
        <v>GLMMRA73C43D451N</v>
      </c>
      <c r="N213" s="7" t="s">
        <v>319</v>
      </c>
      <c r="O213" s="7" t="s">
        <v>160</v>
      </c>
      <c r="P213" s="8">
        <v>44334</v>
      </c>
      <c r="Q213" s="7" t="s">
        <v>32</v>
      </c>
      <c r="R213" s="7" t="s">
        <v>33</v>
      </c>
      <c r="S213" s="7" t="s">
        <v>34</v>
      </c>
      <c r="T213" s="7"/>
      <c r="U213" s="7" t="s">
        <v>35</v>
      </c>
      <c r="V213" s="7">
        <v>773.58</v>
      </c>
      <c r="W213" s="7">
        <v>333.57</v>
      </c>
      <c r="X213" s="7">
        <v>308.04000000000002</v>
      </c>
      <c r="Y213" s="7">
        <v>0</v>
      </c>
      <c r="Z213" s="7">
        <v>131.97</v>
      </c>
    </row>
    <row r="214" spans="1:26" x14ac:dyDescent="0.35">
      <c r="A214" s="7" t="s">
        <v>27</v>
      </c>
      <c r="B214" s="7" t="s">
        <v>47</v>
      </c>
      <c r="C214" s="7" t="s">
        <v>50</v>
      </c>
      <c r="D214" s="7" t="s">
        <v>104</v>
      </c>
      <c r="E214" s="7" t="s">
        <v>39</v>
      </c>
      <c r="F214" s="7" t="s">
        <v>162</v>
      </c>
      <c r="G214" s="7">
        <v>2020</v>
      </c>
      <c r="H214" s="7" t="str">
        <f>CONCATENATE("04210130326")</f>
        <v>04210130326</v>
      </c>
      <c r="I214" s="7" t="s">
        <v>43</v>
      </c>
      <c r="J214" s="7" t="s">
        <v>31</v>
      </c>
      <c r="K214" s="7" t="str">
        <f>CONCATENATE("")</f>
        <v/>
      </c>
      <c r="L214" s="7" t="str">
        <f>CONCATENATE("13 13.1 4a")</f>
        <v>13 13.1 4a</v>
      </c>
      <c r="M214" s="7" t="str">
        <f>CONCATENATE("GRNNZE61S20D451K")</f>
        <v>GRNNZE61S20D451K</v>
      </c>
      <c r="N214" s="7" t="s">
        <v>320</v>
      </c>
      <c r="O214" s="7" t="s">
        <v>160</v>
      </c>
      <c r="P214" s="8">
        <v>44334</v>
      </c>
      <c r="Q214" s="7" t="s">
        <v>32</v>
      </c>
      <c r="R214" s="7" t="s">
        <v>33</v>
      </c>
      <c r="S214" s="7" t="s">
        <v>34</v>
      </c>
      <c r="T214" s="7"/>
      <c r="U214" s="7" t="s">
        <v>35</v>
      </c>
      <c r="V214" s="9">
        <v>1838.68</v>
      </c>
      <c r="W214" s="7">
        <v>792.84</v>
      </c>
      <c r="X214" s="7">
        <v>732.16</v>
      </c>
      <c r="Y214" s="7">
        <v>0</v>
      </c>
      <c r="Z214" s="7">
        <v>313.68</v>
      </c>
    </row>
    <row r="215" spans="1:26" x14ac:dyDescent="0.35">
      <c r="A215" s="7" t="s">
        <v>27</v>
      </c>
      <c r="B215" s="7" t="s">
        <v>47</v>
      </c>
      <c r="C215" s="7" t="s">
        <v>50</v>
      </c>
      <c r="D215" s="7" t="s">
        <v>104</v>
      </c>
      <c r="E215" s="7" t="s">
        <v>39</v>
      </c>
      <c r="F215" s="7" t="s">
        <v>276</v>
      </c>
      <c r="G215" s="7">
        <v>2020</v>
      </c>
      <c r="H215" s="7" t="str">
        <f>CONCATENATE("04210479566")</f>
        <v>04210479566</v>
      </c>
      <c r="I215" s="7" t="s">
        <v>30</v>
      </c>
      <c r="J215" s="7" t="s">
        <v>31</v>
      </c>
      <c r="K215" s="7" t="str">
        <f>CONCATENATE("")</f>
        <v/>
      </c>
      <c r="L215" s="7" t="str">
        <f>CONCATENATE("13 13.1 4a")</f>
        <v>13 13.1 4a</v>
      </c>
      <c r="M215" s="7" t="str">
        <f>CONCATENATE("PTRSDR56M66I653J")</f>
        <v>PTRSDR56M66I653J</v>
      </c>
      <c r="N215" s="7" t="s">
        <v>321</v>
      </c>
      <c r="O215" s="7" t="s">
        <v>160</v>
      </c>
      <c r="P215" s="8">
        <v>44334</v>
      </c>
      <c r="Q215" s="7" t="s">
        <v>32</v>
      </c>
      <c r="R215" s="7" t="s">
        <v>33</v>
      </c>
      <c r="S215" s="7" t="s">
        <v>34</v>
      </c>
      <c r="T215" s="7"/>
      <c r="U215" s="7" t="s">
        <v>35</v>
      </c>
      <c r="V215" s="7">
        <v>986.41</v>
      </c>
      <c r="W215" s="7">
        <v>425.34</v>
      </c>
      <c r="X215" s="7">
        <v>392.79</v>
      </c>
      <c r="Y215" s="7">
        <v>0</v>
      </c>
      <c r="Z215" s="7">
        <v>168.28</v>
      </c>
    </row>
    <row r="216" spans="1:26" x14ac:dyDescent="0.35">
      <c r="A216" s="7" t="s">
        <v>27</v>
      </c>
      <c r="B216" s="7" t="s">
        <v>47</v>
      </c>
      <c r="C216" s="7" t="s">
        <v>50</v>
      </c>
      <c r="D216" s="7" t="s">
        <v>51</v>
      </c>
      <c r="E216" s="7" t="s">
        <v>40</v>
      </c>
      <c r="F216" s="7" t="s">
        <v>59</v>
      </c>
      <c r="G216" s="7">
        <v>2020</v>
      </c>
      <c r="H216" s="7" t="str">
        <f>CONCATENATE("04210352979")</f>
        <v>04210352979</v>
      </c>
      <c r="I216" s="7" t="s">
        <v>30</v>
      </c>
      <c r="J216" s="7" t="s">
        <v>31</v>
      </c>
      <c r="K216" s="7" t="str">
        <f>CONCATENATE("")</f>
        <v/>
      </c>
      <c r="L216" s="7" t="str">
        <f>CONCATENATE("13 13.1 4a")</f>
        <v>13 13.1 4a</v>
      </c>
      <c r="M216" s="7" t="str">
        <f>CONCATENATE("VLPLSN82M67G999X")</f>
        <v>VLPLSN82M67G999X</v>
      </c>
      <c r="N216" s="7" t="s">
        <v>322</v>
      </c>
      <c r="O216" s="7" t="s">
        <v>160</v>
      </c>
      <c r="P216" s="8">
        <v>44334</v>
      </c>
      <c r="Q216" s="7" t="s">
        <v>32</v>
      </c>
      <c r="R216" s="7" t="s">
        <v>33</v>
      </c>
      <c r="S216" s="7" t="s">
        <v>34</v>
      </c>
      <c r="T216" s="7"/>
      <c r="U216" s="7" t="s">
        <v>35</v>
      </c>
      <c r="V216" s="9">
        <v>1146.52</v>
      </c>
      <c r="W216" s="7">
        <v>494.38</v>
      </c>
      <c r="X216" s="7">
        <v>456.54</v>
      </c>
      <c r="Y216" s="7">
        <v>0</v>
      </c>
      <c r="Z216" s="7">
        <v>195.6</v>
      </c>
    </row>
    <row r="217" spans="1:26" x14ac:dyDescent="0.35">
      <c r="A217" s="7" t="s">
        <v>27</v>
      </c>
      <c r="B217" s="7" t="s">
        <v>47</v>
      </c>
      <c r="C217" s="7" t="s">
        <v>50</v>
      </c>
      <c r="D217" s="7" t="s">
        <v>51</v>
      </c>
      <c r="E217" s="7" t="s">
        <v>40</v>
      </c>
      <c r="F217" s="7" t="s">
        <v>249</v>
      </c>
      <c r="G217" s="7">
        <v>2020</v>
      </c>
      <c r="H217" s="7" t="str">
        <f>CONCATENATE("04210209500")</f>
        <v>04210209500</v>
      </c>
      <c r="I217" s="7" t="s">
        <v>30</v>
      </c>
      <c r="J217" s="7" t="s">
        <v>31</v>
      </c>
      <c r="K217" s="7" t="str">
        <f>CONCATENATE("")</f>
        <v/>
      </c>
      <c r="L217" s="7" t="str">
        <f>CONCATENATE("13 13.1 4a")</f>
        <v>13 13.1 4a</v>
      </c>
      <c r="M217" s="7" t="str">
        <f>CONCATENATE("SPSTTN63S60Z110T")</f>
        <v>SPSTTN63S60Z110T</v>
      </c>
      <c r="N217" s="7" t="s">
        <v>323</v>
      </c>
      <c r="O217" s="7" t="s">
        <v>160</v>
      </c>
      <c r="P217" s="8">
        <v>44334</v>
      </c>
      <c r="Q217" s="7" t="s">
        <v>32</v>
      </c>
      <c r="R217" s="7" t="s">
        <v>33</v>
      </c>
      <c r="S217" s="7" t="s">
        <v>34</v>
      </c>
      <c r="T217" s="7"/>
      <c r="U217" s="7" t="s">
        <v>35</v>
      </c>
      <c r="V217" s="9">
        <v>1554.28</v>
      </c>
      <c r="W217" s="7">
        <v>670.21</v>
      </c>
      <c r="X217" s="7">
        <v>618.91</v>
      </c>
      <c r="Y217" s="7">
        <v>0</v>
      </c>
      <c r="Z217" s="7">
        <v>265.16000000000003</v>
      </c>
    </row>
    <row r="218" spans="1:26" x14ac:dyDescent="0.35">
      <c r="A218" s="7" t="s">
        <v>27</v>
      </c>
      <c r="B218" s="7" t="s">
        <v>47</v>
      </c>
      <c r="C218" s="7" t="s">
        <v>50</v>
      </c>
      <c r="D218" s="7" t="s">
        <v>104</v>
      </c>
      <c r="E218" s="7" t="s">
        <v>39</v>
      </c>
      <c r="F218" s="7" t="s">
        <v>276</v>
      </c>
      <c r="G218" s="7">
        <v>2020</v>
      </c>
      <c r="H218" s="7" t="str">
        <f>CONCATENATE("04210478972")</f>
        <v>04210478972</v>
      </c>
      <c r="I218" s="7" t="s">
        <v>30</v>
      </c>
      <c r="J218" s="7" t="s">
        <v>31</v>
      </c>
      <c r="K218" s="7" t="str">
        <f>CONCATENATE("")</f>
        <v/>
      </c>
      <c r="L218" s="7" t="str">
        <f>CONCATENATE("13 13.1 4a")</f>
        <v>13 13.1 4a</v>
      </c>
      <c r="M218" s="7" t="str">
        <f>CONCATENATE("PRSCRS92T30D451O")</f>
        <v>PRSCRS92T30D451O</v>
      </c>
      <c r="N218" s="7" t="s">
        <v>324</v>
      </c>
      <c r="O218" s="7" t="s">
        <v>160</v>
      </c>
      <c r="P218" s="8">
        <v>44334</v>
      </c>
      <c r="Q218" s="7" t="s">
        <v>32</v>
      </c>
      <c r="R218" s="7" t="s">
        <v>33</v>
      </c>
      <c r="S218" s="7" t="s">
        <v>34</v>
      </c>
      <c r="T218" s="7"/>
      <c r="U218" s="7" t="s">
        <v>35</v>
      </c>
      <c r="V218" s="9">
        <v>4522.84</v>
      </c>
      <c r="W218" s="9">
        <v>1950.25</v>
      </c>
      <c r="X218" s="9">
        <v>1800.99</v>
      </c>
      <c r="Y218" s="7">
        <v>0</v>
      </c>
      <c r="Z218" s="7">
        <v>771.6</v>
      </c>
    </row>
    <row r="219" spans="1:26" x14ac:dyDescent="0.35">
      <c r="A219" s="7" t="s">
        <v>27</v>
      </c>
      <c r="B219" s="7" t="s">
        <v>47</v>
      </c>
      <c r="C219" s="7" t="s">
        <v>50</v>
      </c>
      <c r="D219" s="7" t="s">
        <v>51</v>
      </c>
      <c r="E219" s="7" t="s">
        <v>40</v>
      </c>
      <c r="F219" s="7" t="s">
        <v>249</v>
      </c>
      <c r="G219" s="7">
        <v>2020</v>
      </c>
      <c r="H219" s="7" t="str">
        <f>CONCATENATE("04210362614")</f>
        <v>04210362614</v>
      </c>
      <c r="I219" s="7" t="s">
        <v>30</v>
      </c>
      <c r="J219" s="7" t="s">
        <v>31</v>
      </c>
      <c r="K219" s="7" t="str">
        <f>CONCATENATE("")</f>
        <v/>
      </c>
      <c r="L219" s="7" t="str">
        <f>CONCATENATE("13 13.1 4a")</f>
        <v>13 13.1 4a</v>
      </c>
      <c r="M219" s="7" t="str">
        <f>CONCATENATE("PZZLSN77T22D488P")</f>
        <v>PZZLSN77T22D488P</v>
      </c>
      <c r="N219" s="7" t="s">
        <v>325</v>
      </c>
      <c r="O219" s="7" t="s">
        <v>160</v>
      </c>
      <c r="P219" s="8">
        <v>44334</v>
      </c>
      <c r="Q219" s="7" t="s">
        <v>32</v>
      </c>
      <c r="R219" s="7" t="s">
        <v>33</v>
      </c>
      <c r="S219" s="7" t="s">
        <v>34</v>
      </c>
      <c r="T219" s="7"/>
      <c r="U219" s="7" t="s">
        <v>35</v>
      </c>
      <c r="V219" s="7">
        <v>675.8</v>
      </c>
      <c r="W219" s="7">
        <v>291.39999999999998</v>
      </c>
      <c r="X219" s="7">
        <v>269.10000000000002</v>
      </c>
      <c r="Y219" s="7">
        <v>0</v>
      </c>
      <c r="Z219" s="7">
        <v>115.3</v>
      </c>
    </row>
    <row r="220" spans="1:26" x14ac:dyDescent="0.35">
      <c r="A220" s="7" t="s">
        <v>27</v>
      </c>
      <c r="B220" s="7" t="s">
        <v>47</v>
      </c>
      <c r="C220" s="7" t="s">
        <v>50</v>
      </c>
      <c r="D220" s="7" t="s">
        <v>64</v>
      </c>
      <c r="E220" s="7" t="s">
        <v>39</v>
      </c>
      <c r="F220" s="7" t="s">
        <v>241</v>
      </c>
      <c r="G220" s="7">
        <v>2020</v>
      </c>
      <c r="H220" s="7" t="str">
        <f>CONCATENATE("04210239861")</f>
        <v>04210239861</v>
      </c>
      <c r="I220" s="7" t="s">
        <v>30</v>
      </c>
      <c r="J220" s="7" t="s">
        <v>31</v>
      </c>
      <c r="K220" s="7" t="str">
        <f>CONCATENATE("")</f>
        <v/>
      </c>
      <c r="L220" s="7" t="str">
        <f>CONCATENATE("13 13.1 4a")</f>
        <v>13 13.1 4a</v>
      </c>
      <c r="M220" s="7" t="str">
        <f>CONCATENATE("FLPLGU62P03L728T")</f>
        <v>FLPLGU62P03L728T</v>
      </c>
      <c r="N220" s="7" t="s">
        <v>326</v>
      </c>
      <c r="O220" s="7" t="s">
        <v>160</v>
      </c>
      <c r="P220" s="8">
        <v>44334</v>
      </c>
      <c r="Q220" s="7" t="s">
        <v>32</v>
      </c>
      <c r="R220" s="7" t="s">
        <v>33</v>
      </c>
      <c r="S220" s="7" t="s">
        <v>34</v>
      </c>
      <c r="T220" s="7"/>
      <c r="U220" s="7" t="s">
        <v>35</v>
      </c>
      <c r="V220" s="9">
        <v>1767.19</v>
      </c>
      <c r="W220" s="7">
        <v>762.01</v>
      </c>
      <c r="X220" s="7">
        <v>703.7</v>
      </c>
      <c r="Y220" s="7">
        <v>0</v>
      </c>
      <c r="Z220" s="7">
        <v>301.48</v>
      </c>
    </row>
    <row r="221" spans="1:26" x14ac:dyDescent="0.35">
      <c r="A221" s="7" t="s">
        <v>27</v>
      </c>
      <c r="B221" s="7" t="s">
        <v>47</v>
      </c>
      <c r="C221" s="7" t="s">
        <v>50</v>
      </c>
      <c r="D221" s="7" t="s">
        <v>104</v>
      </c>
      <c r="E221" s="7" t="s">
        <v>39</v>
      </c>
      <c r="F221" s="7" t="s">
        <v>276</v>
      </c>
      <c r="G221" s="7">
        <v>2020</v>
      </c>
      <c r="H221" s="7" t="str">
        <f>CONCATENATE("04210401297")</f>
        <v>04210401297</v>
      </c>
      <c r="I221" s="7" t="s">
        <v>30</v>
      </c>
      <c r="J221" s="7" t="s">
        <v>31</v>
      </c>
      <c r="K221" s="7" t="str">
        <f>CONCATENATE("")</f>
        <v/>
      </c>
      <c r="L221" s="7" t="str">
        <f>CONCATENATE("13 13.1 4a")</f>
        <v>13 13.1 4a</v>
      </c>
      <c r="M221" s="7" t="str">
        <f>CONCATENATE("GRTNND33D03H958C")</f>
        <v>GRTNND33D03H958C</v>
      </c>
      <c r="N221" s="7" t="s">
        <v>327</v>
      </c>
      <c r="O221" s="7" t="s">
        <v>160</v>
      </c>
      <c r="P221" s="8">
        <v>44334</v>
      </c>
      <c r="Q221" s="7" t="s">
        <v>32</v>
      </c>
      <c r="R221" s="7" t="s">
        <v>33</v>
      </c>
      <c r="S221" s="7" t="s">
        <v>34</v>
      </c>
      <c r="T221" s="7"/>
      <c r="U221" s="7" t="s">
        <v>35</v>
      </c>
      <c r="V221" s="9">
        <v>4154.22</v>
      </c>
      <c r="W221" s="9">
        <v>1791.3</v>
      </c>
      <c r="X221" s="9">
        <v>1654.21</v>
      </c>
      <c r="Y221" s="7">
        <v>0</v>
      </c>
      <c r="Z221" s="7">
        <v>708.71</v>
      </c>
    </row>
    <row r="222" spans="1:26" ht="17.5" x14ac:dyDescent="0.35">
      <c r="A222" s="7" t="s">
        <v>27</v>
      </c>
      <c r="B222" s="7" t="s">
        <v>47</v>
      </c>
      <c r="C222" s="7" t="s">
        <v>50</v>
      </c>
      <c r="D222" s="7" t="s">
        <v>51</v>
      </c>
      <c r="E222" s="7" t="s">
        <v>29</v>
      </c>
      <c r="F222" s="7" t="s">
        <v>95</v>
      </c>
      <c r="G222" s="7">
        <v>2020</v>
      </c>
      <c r="H222" s="7" t="str">
        <f>CONCATENATE("04210676971")</f>
        <v>04210676971</v>
      </c>
      <c r="I222" s="7" t="s">
        <v>30</v>
      </c>
      <c r="J222" s="7" t="s">
        <v>31</v>
      </c>
      <c r="K222" s="7" t="str">
        <f>CONCATENATE("")</f>
        <v/>
      </c>
      <c r="L222" s="7" t="str">
        <f>CONCATENATE("13 13.1 4a")</f>
        <v>13 13.1 4a</v>
      </c>
      <c r="M222" s="7" t="str">
        <f>CONCATENATE("02229300419")</f>
        <v>02229300419</v>
      </c>
      <c r="N222" s="7" t="s">
        <v>328</v>
      </c>
      <c r="O222" s="7" t="s">
        <v>160</v>
      </c>
      <c r="P222" s="8">
        <v>44334</v>
      </c>
      <c r="Q222" s="7" t="s">
        <v>32</v>
      </c>
      <c r="R222" s="7" t="s">
        <v>33</v>
      </c>
      <c r="S222" s="7" t="s">
        <v>34</v>
      </c>
      <c r="T222" s="7"/>
      <c r="U222" s="7" t="s">
        <v>35</v>
      </c>
      <c r="V222" s="9">
        <v>4428.13</v>
      </c>
      <c r="W222" s="9">
        <v>1909.41</v>
      </c>
      <c r="X222" s="9">
        <v>1763.28</v>
      </c>
      <c r="Y222" s="7">
        <v>0</v>
      </c>
      <c r="Z222" s="7">
        <v>755.44</v>
      </c>
    </row>
    <row r="223" spans="1:26" x14ac:dyDescent="0.35">
      <c r="A223" s="7" t="s">
        <v>27</v>
      </c>
      <c r="B223" s="7" t="s">
        <v>47</v>
      </c>
      <c r="C223" s="7" t="s">
        <v>50</v>
      </c>
      <c r="D223" s="7" t="s">
        <v>104</v>
      </c>
      <c r="E223" s="7" t="s">
        <v>39</v>
      </c>
      <c r="F223" s="7" t="s">
        <v>162</v>
      </c>
      <c r="G223" s="7">
        <v>2020</v>
      </c>
      <c r="H223" s="7" t="str">
        <f>CONCATENATE("04210635159")</f>
        <v>04210635159</v>
      </c>
      <c r="I223" s="7" t="s">
        <v>43</v>
      </c>
      <c r="J223" s="7" t="s">
        <v>31</v>
      </c>
      <c r="K223" s="7" t="str">
        <f>CONCATENATE("")</f>
        <v/>
      </c>
      <c r="L223" s="7" t="str">
        <f>CONCATENATE("13 13.1 4a")</f>
        <v>13 13.1 4a</v>
      </c>
      <c r="M223" s="7" t="str">
        <f>CONCATENATE("LCCRTM46T20D965Z")</f>
        <v>LCCRTM46T20D965Z</v>
      </c>
      <c r="N223" s="7" t="s">
        <v>329</v>
      </c>
      <c r="O223" s="7" t="s">
        <v>160</v>
      </c>
      <c r="P223" s="8">
        <v>44334</v>
      </c>
      <c r="Q223" s="7" t="s">
        <v>32</v>
      </c>
      <c r="R223" s="7" t="s">
        <v>33</v>
      </c>
      <c r="S223" s="7" t="s">
        <v>34</v>
      </c>
      <c r="T223" s="7"/>
      <c r="U223" s="7" t="s">
        <v>35</v>
      </c>
      <c r="V223" s="9">
        <v>1121.47</v>
      </c>
      <c r="W223" s="7">
        <v>483.58</v>
      </c>
      <c r="X223" s="7">
        <v>446.57</v>
      </c>
      <c r="Y223" s="7">
        <v>0</v>
      </c>
      <c r="Z223" s="7">
        <v>191.32</v>
      </c>
    </row>
    <row r="224" spans="1:26" x14ac:dyDescent="0.35">
      <c r="A224" s="7" t="s">
        <v>27</v>
      </c>
      <c r="B224" s="7" t="s">
        <v>47</v>
      </c>
      <c r="C224" s="7" t="s">
        <v>50</v>
      </c>
      <c r="D224" s="7" t="s">
        <v>51</v>
      </c>
      <c r="E224" s="7" t="s">
        <v>44</v>
      </c>
      <c r="F224" s="7" t="s">
        <v>101</v>
      </c>
      <c r="G224" s="7">
        <v>2020</v>
      </c>
      <c r="H224" s="7" t="str">
        <f>CONCATENATE("04210822468")</f>
        <v>04210822468</v>
      </c>
      <c r="I224" s="7" t="s">
        <v>30</v>
      </c>
      <c r="J224" s="7" t="s">
        <v>31</v>
      </c>
      <c r="K224" s="7" t="str">
        <f>CONCATENATE("")</f>
        <v/>
      </c>
      <c r="L224" s="7" t="str">
        <f>CONCATENATE("13 13.1 4a")</f>
        <v>13 13.1 4a</v>
      </c>
      <c r="M224" s="7" t="str">
        <f>CONCATENATE("FRNSMN91M17H294F")</f>
        <v>FRNSMN91M17H294F</v>
      </c>
      <c r="N224" s="7" t="s">
        <v>330</v>
      </c>
      <c r="O224" s="7" t="s">
        <v>160</v>
      </c>
      <c r="P224" s="8">
        <v>44334</v>
      </c>
      <c r="Q224" s="7" t="s">
        <v>32</v>
      </c>
      <c r="R224" s="7" t="s">
        <v>33</v>
      </c>
      <c r="S224" s="7" t="s">
        <v>34</v>
      </c>
      <c r="T224" s="7"/>
      <c r="U224" s="7" t="s">
        <v>35</v>
      </c>
      <c r="V224" s="9">
        <v>5821.79</v>
      </c>
      <c r="W224" s="9">
        <v>2510.36</v>
      </c>
      <c r="X224" s="9">
        <v>2318.2399999999998</v>
      </c>
      <c r="Y224" s="7">
        <v>0</v>
      </c>
      <c r="Z224" s="7">
        <v>993.19</v>
      </c>
    </row>
    <row r="225" spans="1:26" x14ac:dyDescent="0.35">
      <c r="A225" s="7" t="s">
        <v>27</v>
      </c>
      <c r="B225" s="7" t="s">
        <v>47</v>
      </c>
      <c r="C225" s="7" t="s">
        <v>50</v>
      </c>
      <c r="D225" s="7" t="s">
        <v>51</v>
      </c>
      <c r="E225" s="7" t="s">
        <v>29</v>
      </c>
      <c r="F225" s="7" t="s">
        <v>113</v>
      </c>
      <c r="G225" s="7">
        <v>2020</v>
      </c>
      <c r="H225" s="7" t="str">
        <f>CONCATENATE("04210756377")</f>
        <v>04210756377</v>
      </c>
      <c r="I225" s="7" t="s">
        <v>30</v>
      </c>
      <c r="J225" s="7" t="s">
        <v>31</v>
      </c>
      <c r="K225" s="7" t="str">
        <f>CONCATENATE("")</f>
        <v/>
      </c>
      <c r="L225" s="7" t="str">
        <f>CONCATENATE("13 13.1 4a")</f>
        <v>13 13.1 4a</v>
      </c>
      <c r="M225" s="7" t="str">
        <f>CONCATENATE("02468780412")</f>
        <v>02468780412</v>
      </c>
      <c r="N225" s="7" t="s">
        <v>331</v>
      </c>
      <c r="O225" s="7" t="s">
        <v>160</v>
      </c>
      <c r="P225" s="8">
        <v>44334</v>
      </c>
      <c r="Q225" s="7" t="s">
        <v>32</v>
      </c>
      <c r="R225" s="7" t="s">
        <v>33</v>
      </c>
      <c r="S225" s="7" t="s">
        <v>34</v>
      </c>
      <c r="T225" s="7"/>
      <c r="U225" s="7" t="s">
        <v>35</v>
      </c>
      <c r="V225" s="9">
        <v>3330.58</v>
      </c>
      <c r="W225" s="9">
        <v>1436.15</v>
      </c>
      <c r="X225" s="9">
        <v>1326.24</v>
      </c>
      <c r="Y225" s="7">
        <v>0</v>
      </c>
      <c r="Z225" s="7">
        <v>568.19000000000005</v>
      </c>
    </row>
    <row r="226" spans="1:26" x14ac:dyDescent="0.35">
      <c r="A226" s="7" t="s">
        <v>27</v>
      </c>
      <c r="B226" s="7" t="s">
        <v>47</v>
      </c>
      <c r="C226" s="7" t="s">
        <v>50</v>
      </c>
      <c r="D226" s="7" t="s">
        <v>104</v>
      </c>
      <c r="E226" s="7" t="s">
        <v>42</v>
      </c>
      <c r="F226" s="7" t="s">
        <v>332</v>
      </c>
      <c r="G226" s="7">
        <v>2020</v>
      </c>
      <c r="H226" s="7" t="str">
        <f>CONCATENATE("04210741577")</f>
        <v>04210741577</v>
      </c>
      <c r="I226" s="7" t="s">
        <v>43</v>
      </c>
      <c r="J226" s="7" t="s">
        <v>31</v>
      </c>
      <c r="K226" s="7" t="str">
        <f>CONCATENATE("")</f>
        <v/>
      </c>
      <c r="L226" s="7" t="str">
        <f>CONCATENATE("13 13.1 4a")</f>
        <v>13 13.1 4a</v>
      </c>
      <c r="M226" s="7" t="str">
        <f>CONCATENATE("02850780426")</f>
        <v>02850780426</v>
      </c>
      <c r="N226" s="7" t="s">
        <v>333</v>
      </c>
      <c r="O226" s="7" t="s">
        <v>160</v>
      </c>
      <c r="P226" s="8">
        <v>44334</v>
      </c>
      <c r="Q226" s="7" t="s">
        <v>32</v>
      </c>
      <c r="R226" s="7" t="s">
        <v>33</v>
      </c>
      <c r="S226" s="7" t="s">
        <v>34</v>
      </c>
      <c r="T226" s="7"/>
      <c r="U226" s="7" t="s">
        <v>35</v>
      </c>
      <c r="V226" s="7">
        <v>317.98</v>
      </c>
      <c r="W226" s="7">
        <v>137.11000000000001</v>
      </c>
      <c r="X226" s="7">
        <v>126.62</v>
      </c>
      <c r="Y226" s="7">
        <v>0</v>
      </c>
      <c r="Z226" s="7">
        <v>54.25</v>
      </c>
    </row>
    <row r="227" spans="1:26" x14ac:dyDescent="0.35">
      <c r="A227" s="7" t="s">
        <v>27</v>
      </c>
      <c r="B227" s="7" t="s">
        <v>47</v>
      </c>
      <c r="C227" s="7" t="s">
        <v>50</v>
      </c>
      <c r="D227" s="7" t="s">
        <v>104</v>
      </c>
      <c r="E227" s="7" t="s">
        <v>39</v>
      </c>
      <c r="F227" s="7" t="s">
        <v>162</v>
      </c>
      <c r="G227" s="7">
        <v>2020</v>
      </c>
      <c r="H227" s="7" t="str">
        <f>CONCATENATE("04210686699")</f>
        <v>04210686699</v>
      </c>
      <c r="I227" s="7" t="s">
        <v>43</v>
      </c>
      <c r="J227" s="7" t="s">
        <v>31</v>
      </c>
      <c r="K227" s="7" t="str">
        <f>CONCATENATE("")</f>
        <v/>
      </c>
      <c r="L227" s="7" t="str">
        <f>CONCATENATE("13 13.1 4a")</f>
        <v>13 13.1 4a</v>
      </c>
      <c r="M227" s="7" t="str">
        <f>CONCATENATE("PCCMHL84C16D451H")</f>
        <v>PCCMHL84C16D451H</v>
      </c>
      <c r="N227" s="7" t="s">
        <v>334</v>
      </c>
      <c r="O227" s="7" t="s">
        <v>160</v>
      </c>
      <c r="P227" s="8">
        <v>44334</v>
      </c>
      <c r="Q227" s="7" t="s">
        <v>32</v>
      </c>
      <c r="R227" s="7" t="s">
        <v>33</v>
      </c>
      <c r="S227" s="7" t="s">
        <v>34</v>
      </c>
      <c r="T227" s="7"/>
      <c r="U227" s="7" t="s">
        <v>35</v>
      </c>
      <c r="V227" s="7">
        <v>825.19</v>
      </c>
      <c r="W227" s="7">
        <v>355.82</v>
      </c>
      <c r="X227" s="7">
        <v>328.59</v>
      </c>
      <c r="Y227" s="7">
        <v>0</v>
      </c>
      <c r="Z227" s="7">
        <v>140.78</v>
      </c>
    </row>
    <row r="228" spans="1:26" x14ac:dyDescent="0.35">
      <c r="A228" s="7" t="s">
        <v>27</v>
      </c>
      <c r="B228" s="7" t="s">
        <v>47</v>
      </c>
      <c r="C228" s="7" t="s">
        <v>50</v>
      </c>
      <c r="D228" s="7" t="s">
        <v>51</v>
      </c>
      <c r="E228" s="7" t="s">
        <v>29</v>
      </c>
      <c r="F228" s="7" t="s">
        <v>113</v>
      </c>
      <c r="G228" s="7">
        <v>2020</v>
      </c>
      <c r="H228" s="7" t="str">
        <f>CONCATENATE("04210399012")</f>
        <v>04210399012</v>
      </c>
      <c r="I228" s="7" t="s">
        <v>30</v>
      </c>
      <c r="J228" s="7" t="s">
        <v>31</v>
      </c>
      <c r="K228" s="7" t="str">
        <f>CONCATENATE("")</f>
        <v/>
      </c>
      <c r="L228" s="7" t="str">
        <f>CONCATENATE("13 13.1 4a")</f>
        <v>13 13.1 4a</v>
      </c>
      <c r="M228" s="7" t="str">
        <f>CONCATENATE("RNZMRA41B28H501L")</f>
        <v>RNZMRA41B28H501L</v>
      </c>
      <c r="N228" s="7" t="s">
        <v>335</v>
      </c>
      <c r="O228" s="7" t="s">
        <v>160</v>
      </c>
      <c r="P228" s="8">
        <v>44334</v>
      </c>
      <c r="Q228" s="7" t="s">
        <v>32</v>
      </c>
      <c r="R228" s="7" t="s">
        <v>33</v>
      </c>
      <c r="S228" s="7" t="s">
        <v>34</v>
      </c>
      <c r="T228" s="7"/>
      <c r="U228" s="7" t="s">
        <v>35</v>
      </c>
      <c r="V228" s="9">
        <v>8618.6299999999992</v>
      </c>
      <c r="W228" s="9">
        <v>3716.35</v>
      </c>
      <c r="X228" s="9">
        <v>3431.94</v>
      </c>
      <c r="Y228" s="7">
        <v>0</v>
      </c>
      <c r="Z228" s="9">
        <v>1470.34</v>
      </c>
    </row>
    <row r="229" spans="1:26" x14ac:dyDescent="0.35">
      <c r="A229" s="7" t="s">
        <v>27</v>
      </c>
      <c r="B229" s="7" t="s">
        <v>47</v>
      </c>
      <c r="C229" s="7" t="s">
        <v>50</v>
      </c>
      <c r="D229" s="7" t="s">
        <v>51</v>
      </c>
      <c r="E229" s="7" t="s">
        <v>29</v>
      </c>
      <c r="F229" s="7" t="s">
        <v>113</v>
      </c>
      <c r="G229" s="7">
        <v>2020</v>
      </c>
      <c r="H229" s="7" t="str">
        <f>CONCATENATE("04210493195")</f>
        <v>04210493195</v>
      </c>
      <c r="I229" s="7" t="s">
        <v>30</v>
      </c>
      <c r="J229" s="7" t="s">
        <v>31</v>
      </c>
      <c r="K229" s="7" t="str">
        <f>CONCATENATE("")</f>
        <v/>
      </c>
      <c r="L229" s="7" t="str">
        <f>CONCATENATE("13 13.1 4a")</f>
        <v>13 13.1 4a</v>
      </c>
      <c r="M229" s="7" t="str">
        <f>CONCATENATE("LRNGBR66B11D791L")</f>
        <v>LRNGBR66B11D791L</v>
      </c>
      <c r="N229" s="7" t="s">
        <v>336</v>
      </c>
      <c r="O229" s="7" t="s">
        <v>160</v>
      </c>
      <c r="P229" s="8">
        <v>44334</v>
      </c>
      <c r="Q229" s="7" t="s">
        <v>32</v>
      </c>
      <c r="R229" s="7" t="s">
        <v>33</v>
      </c>
      <c r="S229" s="7" t="s">
        <v>34</v>
      </c>
      <c r="T229" s="7"/>
      <c r="U229" s="7" t="s">
        <v>35</v>
      </c>
      <c r="V229" s="9">
        <v>3030.88</v>
      </c>
      <c r="W229" s="9">
        <v>1306.92</v>
      </c>
      <c r="X229" s="9">
        <v>1206.9000000000001</v>
      </c>
      <c r="Y229" s="7">
        <v>0</v>
      </c>
      <c r="Z229" s="7">
        <v>517.05999999999995</v>
      </c>
    </row>
    <row r="230" spans="1:26" x14ac:dyDescent="0.35">
      <c r="A230" s="7" t="s">
        <v>27</v>
      </c>
      <c r="B230" s="7" t="s">
        <v>47</v>
      </c>
      <c r="C230" s="7" t="s">
        <v>50</v>
      </c>
      <c r="D230" s="7" t="s">
        <v>51</v>
      </c>
      <c r="E230" s="7" t="s">
        <v>39</v>
      </c>
      <c r="F230" s="7" t="s">
        <v>123</v>
      </c>
      <c r="G230" s="7">
        <v>2020</v>
      </c>
      <c r="H230" s="7" t="str">
        <f>CONCATENATE("04210662997")</f>
        <v>04210662997</v>
      </c>
      <c r="I230" s="7" t="s">
        <v>30</v>
      </c>
      <c r="J230" s="7" t="s">
        <v>31</v>
      </c>
      <c r="K230" s="7" t="str">
        <f>CONCATENATE("")</f>
        <v/>
      </c>
      <c r="L230" s="7" t="str">
        <f>CONCATENATE("13 13.1 4a")</f>
        <v>13 13.1 4a</v>
      </c>
      <c r="M230" s="7" t="str">
        <f>CONCATENATE("BLLFNC69C54I459Y")</f>
        <v>BLLFNC69C54I459Y</v>
      </c>
      <c r="N230" s="7" t="s">
        <v>337</v>
      </c>
      <c r="O230" s="7" t="s">
        <v>160</v>
      </c>
      <c r="P230" s="8">
        <v>44334</v>
      </c>
      <c r="Q230" s="7" t="s">
        <v>32</v>
      </c>
      <c r="R230" s="7" t="s">
        <v>33</v>
      </c>
      <c r="S230" s="7" t="s">
        <v>34</v>
      </c>
      <c r="T230" s="7"/>
      <c r="U230" s="7" t="s">
        <v>35</v>
      </c>
      <c r="V230" s="7">
        <v>364.53</v>
      </c>
      <c r="W230" s="7">
        <v>157.19</v>
      </c>
      <c r="X230" s="7">
        <v>145.16</v>
      </c>
      <c r="Y230" s="7">
        <v>0</v>
      </c>
      <c r="Z230" s="7">
        <v>62.18</v>
      </c>
    </row>
    <row r="231" spans="1:26" x14ac:dyDescent="0.35">
      <c r="A231" s="7" t="s">
        <v>27</v>
      </c>
      <c r="B231" s="7" t="s">
        <v>47</v>
      </c>
      <c r="C231" s="7" t="s">
        <v>50</v>
      </c>
      <c r="D231" s="7" t="s">
        <v>104</v>
      </c>
      <c r="E231" s="7" t="s">
        <v>39</v>
      </c>
      <c r="F231" s="7" t="s">
        <v>162</v>
      </c>
      <c r="G231" s="7">
        <v>2020</v>
      </c>
      <c r="H231" s="7" t="str">
        <f>CONCATENATE("04210074565")</f>
        <v>04210074565</v>
      </c>
      <c r="I231" s="7" t="s">
        <v>43</v>
      </c>
      <c r="J231" s="7" t="s">
        <v>31</v>
      </c>
      <c r="K231" s="7" t="str">
        <f>CONCATENATE("")</f>
        <v/>
      </c>
      <c r="L231" s="7" t="str">
        <f>CONCATENATE("13 13.1 4a")</f>
        <v>13 13.1 4a</v>
      </c>
      <c r="M231" s="7" t="str">
        <f>CONCATENATE("PRRRLD60D19C524S")</f>
        <v>PRRRLD60D19C524S</v>
      </c>
      <c r="N231" s="7" t="s">
        <v>338</v>
      </c>
      <c r="O231" s="7" t="s">
        <v>160</v>
      </c>
      <c r="P231" s="8">
        <v>44334</v>
      </c>
      <c r="Q231" s="7" t="s">
        <v>32</v>
      </c>
      <c r="R231" s="7" t="s">
        <v>33</v>
      </c>
      <c r="S231" s="7" t="s">
        <v>34</v>
      </c>
      <c r="T231" s="7"/>
      <c r="U231" s="7" t="s">
        <v>35</v>
      </c>
      <c r="V231" s="7">
        <v>685.83</v>
      </c>
      <c r="W231" s="7">
        <v>295.73</v>
      </c>
      <c r="X231" s="7">
        <v>273.10000000000002</v>
      </c>
      <c r="Y231" s="7">
        <v>0</v>
      </c>
      <c r="Z231" s="7">
        <v>117</v>
      </c>
    </row>
    <row r="232" spans="1:26" x14ac:dyDescent="0.35">
      <c r="A232" s="7" t="s">
        <v>27</v>
      </c>
      <c r="B232" s="7" t="s">
        <v>47</v>
      </c>
      <c r="C232" s="7" t="s">
        <v>50</v>
      </c>
      <c r="D232" s="7" t="s">
        <v>104</v>
      </c>
      <c r="E232" s="7" t="s">
        <v>39</v>
      </c>
      <c r="F232" s="7" t="s">
        <v>162</v>
      </c>
      <c r="G232" s="7">
        <v>2020</v>
      </c>
      <c r="H232" s="7" t="str">
        <f>CONCATENATE("04210255271")</f>
        <v>04210255271</v>
      </c>
      <c r="I232" s="7" t="s">
        <v>43</v>
      </c>
      <c r="J232" s="7" t="s">
        <v>31</v>
      </c>
      <c r="K232" s="7" t="str">
        <f>CONCATENATE("")</f>
        <v/>
      </c>
      <c r="L232" s="7" t="str">
        <f>CONCATENATE("13 13.1 4a")</f>
        <v>13 13.1 4a</v>
      </c>
      <c r="M232" s="7" t="str">
        <f>CONCATENATE("MRALCN59C28D451A")</f>
        <v>MRALCN59C28D451A</v>
      </c>
      <c r="N232" s="7" t="s">
        <v>339</v>
      </c>
      <c r="O232" s="7" t="s">
        <v>160</v>
      </c>
      <c r="P232" s="8">
        <v>44334</v>
      </c>
      <c r="Q232" s="7" t="s">
        <v>32</v>
      </c>
      <c r="R232" s="7" t="s">
        <v>33</v>
      </c>
      <c r="S232" s="7" t="s">
        <v>34</v>
      </c>
      <c r="T232" s="7"/>
      <c r="U232" s="7" t="s">
        <v>35</v>
      </c>
      <c r="V232" s="7">
        <v>146.69999999999999</v>
      </c>
      <c r="W232" s="7">
        <v>63.26</v>
      </c>
      <c r="X232" s="7">
        <v>58.42</v>
      </c>
      <c r="Y232" s="7">
        <v>0</v>
      </c>
      <c r="Z232" s="7">
        <v>25.02</v>
      </c>
    </row>
    <row r="233" spans="1:26" x14ac:dyDescent="0.35">
      <c r="A233" s="7" t="s">
        <v>27</v>
      </c>
      <c r="B233" s="7" t="s">
        <v>47</v>
      </c>
      <c r="C233" s="7" t="s">
        <v>50</v>
      </c>
      <c r="D233" s="7" t="s">
        <v>104</v>
      </c>
      <c r="E233" s="7" t="s">
        <v>39</v>
      </c>
      <c r="F233" s="7" t="s">
        <v>276</v>
      </c>
      <c r="G233" s="7">
        <v>2020</v>
      </c>
      <c r="H233" s="7" t="str">
        <f>CONCATENATE("04210478295")</f>
        <v>04210478295</v>
      </c>
      <c r="I233" s="7" t="s">
        <v>30</v>
      </c>
      <c r="J233" s="7" t="s">
        <v>31</v>
      </c>
      <c r="K233" s="7" t="str">
        <f>CONCATENATE("")</f>
        <v/>
      </c>
      <c r="L233" s="7" t="str">
        <f>CONCATENATE("13 13.1 4a")</f>
        <v>13 13.1 4a</v>
      </c>
      <c r="M233" s="7" t="str">
        <f>CONCATENATE("MLTCTN40S05D965T")</f>
        <v>MLTCTN40S05D965T</v>
      </c>
      <c r="N233" s="7" t="s">
        <v>340</v>
      </c>
      <c r="O233" s="7" t="s">
        <v>160</v>
      </c>
      <c r="P233" s="8">
        <v>44334</v>
      </c>
      <c r="Q233" s="7" t="s">
        <v>32</v>
      </c>
      <c r="R233" s="7" t="s">
        <v>33</v>
      </c>
      <c r="S233" s="7" t="s">
        <v>34</v>
      </c>
      <c r="T233" s="7"/>
      <c r="U233" s="7" t="s">
        <v>35</v>
      </c>
      <c r="V233" s="9">
        <v>1021.26</v>
      </c>
      <c r="W233" s="7">
        <v>440.37</v>
      </c>
      <c r="X233" s="7">
        <v>406.67</v>
      </c>
      <c r="Y233" s="7">
        <v>0</v>
      </c>
      <c r="Z233" s="7">
        <v>174.22</v>
      </c>
    </row>
    <row r="234" spans="1:26" x14ac:dyDescent="0.35">
      <c r="A234" s="7" t="s">
        <v>27</v>
      </c>
      <c r="B234" s="7" t="s">
        <v>47</v>
      </c>
      <c r="C234" s="7" t="s">
        <v>50</v>
      </c>
      <c r="D234" s="7" t="s">
        <v>104</v>
      </c>
      <c r="E234" s="7" t="s">
        <v>39</v>
      </c>
      <c r="F234" s="7" t="s">
        <v>276</v>
      </c>
      <c r="G234" s="7">
        <v>2020</v>
      </c>
      <c r="H234" s="7" t="str">
        <f>CONCATENATE("04210478360")</f>
        <v>04210478360</v>
      </c>
      <c r="I234" s="7" t="s">
        <v>30</v>
      </c>
      <c r="J234" s="7" t="s">
        <v>31</v>
      </c>
      <c r="K234" s="7" t="str">
        <f>CONCATENATE("")</f>
        <v/>
      </c>
      <c r="L234" s="7" t="str">
        <f>CONCATENATE("13 13.1 4a")</f>
        <v>13 13.1 4a</v>
      </c>
      <c r="M234" s="7" t="str">
        <f>CONCATENATE("MLTDRD38R13D965B")</f>
        <v>MLTDRD38R13D965B</v>
      </c>
      <c r="N234" s="7" t="s">
        <v>341</v>
      </c>
      <c r="O234" s="7" t="s">
        <v>160</v>
      </c>
      <c r="P234" s="8">
        <v>44334</v>
      </c>
      <c r="Q234" s="7" t="s">
        <v>32</v>
      </c>
      <c r="R234" s="7" t="s">
        <v>33</v>
      </c>
      <c r="S234" s="7" t="s">
        <v>34</v>
      </c>
      <c r="T234" s="7"/>
      <c r="U234" s="7" t="s">
        <v>35</v>
      </c>
      <c r="V234" s="7">
        <v>698.45</v>
      </c>
      <c r="W234" s="7">
        <v>301.17</v>
      </c>
      <c r="X234" s="7">
        <v>278.12</v>
      </c>
      <c r="Y234" s="7">
        <v>0</v>
      </c>
      <c r="Z234" s="7">
        <v>119.16</v>
      </c>
    </row>
    <row r="235" spans="1:26" x14ac:dyDescent="0.35">
      <c r="A235" s="7" t="s">
        <v>27</v>
      </c>
      <c r="B235" s="7" t="s">
        <v>47</v>
      </c>
      <c r="C235" s="7" t="s">
        <v>50</v>
      </c>
      <c r="D235" s="7" t="s">
        <v>104</v>
      </c>
      <c r="E235" s="7" t="s">
        <v>39</v>
      </c>
      <c r="F235" s="7" t="s">
        <v>276</v>
      </c>
      <c r="G235" s="7">
        <v>2020</v>
      </c>
      <c r="H235" s="7" t="str">
        <f>CONCATENATE("04210481901")</f>
        <v>04210481901</v>
      </c>
      <c r="I235" s="7" t="s">
        <v>30</v>
      </c>
      <c r="J235" s="7" t="s">
        <v>31</v>
      </c>
      <c r="K235" s="7" t="str">
        <f>CONCATENATE("")</f>
        <v/>
      </c>
      <c r="L235" s="7" t="str">
        <f>CONCATENATE("13 13.1 4a")</f>
        <v>13 13.1 4a</v>
      </c>
      <c r="M235" s="7" t="str">
        <f>CONCATENATE("PSSPRN40L52D965F")</f>
        <v>PSSPRN40L52D965F</v>
      </c>
      <c r="N235" s="7" t="s">
        <v>342</v>
      </c>
      <c r="O235" s="7" t="s">
        <v>160</v>
      </c>
      <c r="P235" s="8">
        <v>44334</v>
      </c>
      <c r="Q235" s="7" t="s">
        <v>32</v>
      </c>
      <c r="R235" s="7" t="s">
        <v>33</v>
      </c>
      <c r="S235" s="7" t="s">
        <v>34</v>
      </c>
      <c r="T235" s="7"/>
      <c r="U235" s="7" t="s">
        <v>35</v>
      </c>
      <c r="V235" s="9">
        <v>2766.89</v>
      </c>
      <c r="W235" s="9">
        <v>1193.08</v>
      </c>
      <c r="X235" s="9">
        <v>1101.78</v>
      </c>
      <c r="Y235" s="7">
        <v>0</v>
      </c>
      <c r="Z235" s="7">
        <v>472.03</v>
      </c>
    </row>
    <row r="236" spans="1:26" x14ac:dyDescent="0.35">
      <c r="A236" s="7" t="s">
        <v>27</v>
      </c>
      <c r="B236" s="7" t="s">
        <v>47</v>
      </c>
      <c r="C236" s="7" t="s">
        <v>50</v>
      </c>
      <c r="D236" s="7" t="s">
        <v>104</v>
      </c>
      <c r="E236" s="7" t="s">
        <v>39</v>
      </c>
      <c r="F236" s="7" t="s">
        <v>162</v>
      </c>
      <c r="G236" s="7">
        <v>2020</v>
      </c>
      <c r="H236" s="7" t="str">
        <f>CONCATENATE("04210346336")</f>
        <v>04210346336</v>
      </c>
      <c r="I236" s="7" t="s">
        <v>43</v>
      </c>
      <c r="J236" s="7" t="s">
        <v>31</v>
      </c>
      <c r="K236" s="7" t="str">
        <f>CONCATENATE("")</f>
        <v/>
      </c>
      <c r="L236" s="7" t="str">
        <f>CONCATENATE("13 13.1 4a")</f>
        <v>13 13.1 4a</v>
      </c>
      <c r="M236" s="7" t="str">
        <f>CONCATENATE("RCCNTL36T23D451C")</f>
        <v>RCCNTL36T23D451C</v>
      </c>
      <c r="N236" s="7" t="s">
        <v>343</v>
      </c>
      <c r="O236" s="7" t="s">
        <v>160</v>
      </c>
      <c r="P236" s="8">
        <v>44334</v>
      </c>
      <c r="Q236" s="7" t="s">
        <v>32</v>
      </c>
      <c r="R236" s="7" t="s">
        <v>33</v>
      </c>
      <c r="S236" s="7" t="s">
        <v>34</v>
      </c>
      <c r="T236" s="7"/>
      <c r="U236" s="7" t="s">
        <v>35</v>
      </c>
      <c r="V236" s="7">
        <v>522.03</v>
      </c>
      <c r="W236" s="7">
        <v>225.1</v>
      </c>
      <c r="X236" s="7">
        <v>207.87</v>
      </c>
      <c r="Y236" s="7">
        <v>0</v>
      </c>
      <c r="Z236" s="7">
        <v>89.06</v>
      </c>
    </row>
    <row r="237" spans="1:26" x14ac:dyDescent="0.35">
      <c r="A237" s="7" t="s">
        <v>27</v>
      </c>
      <c r="B237" s="7" t="s">
        <v>47</v>
      </c>
      <c r="C237" s="7" t="s">
        <v>50</v>
      </c>
      <c r="D237" s="7" t="s">
        <v>104</v>
      </c>
      <c r="E237" s="7" t="s">
        <v>39</v>
      </c>
      <c r="F237" s="7" t="s">
        <v>162</v>
      </c>
      <c r="G237" s="7">
        <v>2020</v>
      </c>
      <c r="H237" s="7" t="str">
        <f>CONCATENATE("04210357101")</f>
        <v>04210357101</v>
      </c>
      <c r="I237" s="7" t="s">
        <v>43</v>
      </c>
      <c r="J237" s="7" t="s">
        <v>31</v>
      </c>
      <c r="K237" s="7" t="str">
        <f>CONCATENATE("")</f>
        <v/>
      </c>
      <c r="L237" s="7" t="str">
        <f>CONCATENATE("13 13.1 4a")</f>
        <v>13 13.1 4a</v>
      </c>
      <c r="M237" s="7" t="str">
        <f>CONCATENATE("SLVDEI66S26Z133I")</f>
        <v>SLVDEI66S26Z133I</v>
      </c>
      <c r="N237" s="7" t="s">
        <v>344</v>
      </c>
      <c r="O237" s="7" t="s">
        <v>160</v>
      </c>
      <c r="P237" s="8">
        <v>44334</v>
      </c>
      <c r="Q237" s="7" t="s">
        <v>32</v>
      </c>
      <c r="R237" s="7" t="s">
        <v>33</v>
      </c>
      <c r="S237" s="7" t="s">
        <v>34</v>
      </c>
      <c r="T237" s="7"/>
      <c r="U237" s="7" t="s">
        <v>35</v>
      </c>
      <c r="V237" s="7">
        <v>69.430000000000007</v>
      </c>
      <c r="W237" s="7">
        <v>29.94</v>
      </c>
      <c r="X237" s="7">
        <v>27.65</v>
      </c>
      <c r="Y237" s="7">
        <v>0</v>
      </c>
      <c r="Z237" s="7">
        <v>11.84</v>
      </c>
    </row>
    <row r="238" spans="1:26" x14ac:dyDescent="0.35">
      <c r="A238" s="7" t="s">
        <v>27</v>
      </c>
      <c r="B238" s="7" t="s">
        <v>28</v>
      </c>
      <c r="C238" s="7" t="s">
        <v>50</v>
      </c>
      <c r="D238" s="7" t="s">
        <v>51</v>
      </c>
      <c r="E238" s="7" t="s">
        <v>39</v>
      </c>
      <c r="F238" s="7" t="s">
        <v>121</v>
      </c>
      <c r="G238" s="7">
        <v>2017</v>
      </c>
      <c r="H238" s="7" t="str">
        <f>CONCATENATE("14270141311")</f>
        <v>14270141311</v>
      </c>
      <c r="I238" s="7" t="s">
        <v>30</v>
      </c>
      <c r="J238" s="7" t="s">
        <v>31</v>
      </c>
      <c r="K238" s="7" t="str">
        <f>CONCATENATE("")</f>
        <v/>
      </c>
      <c r="L238" s="7" t="str">
        <f>CONCATENATE("21 21.1 2a")</f>
        <v>21 21.1 2a</v>
      </c>
      <c r="M238" s="7" t="str">
        <f>CONCATENATE("02393390410")</f>
        <v>02393390410</v>
      </c>
      <c r="N238" s="7" t="s">
        <v>345</v>
      </c>
      <c r="O238" s="7" t="s">
        <v>152</v>
      </c>
      <c r="P238" s="8">
        <v>44334</v>
      </c>
      <c r="Q238" s="7" t="s">
        <v>32</v>
      </c>
      <c r="R238" s="7" t="s">
        <v>33</v>
      </c>
      <c r="S238" s="7" t="s">
        <v>34</v>
      </c>
      <c r="T238" s="7"/>
      <c r="U238" s="7" t="s">
        <v>35</v>
      </c>
      <c r="V238" s="9">
        <v>5940</v>
      </c>
      <c r="W238" s="9">
        <v>2561.33</v>
      </c>
      <c r="X238" s="9">
        <v>2365.31</v>
      </c>
      <c r="Y238" s="7">
        <v>0</v>
      </c>
      <c r="Z238" s="9">
        <v>1013.36</v>
      </c>
    </row>
    <row r="239" spans="1:26" x14ac:dyDescent="0.35">
      <c r="A239" s="7" t="s">
        <v>27</v>
      </c>
      <c r="B239" s="7" t="s">
        <v>28</v>
      </c>
      <c r="C239" s="7" t="s">
        <v>50</v>
      </c>
      <c r="D239" s="7" t="s">
        <v>54</v>
      </c>
      <c r="E239" s="7" t="s">
        <v>42</v>
      </c>
      <c r="F239" s="7" t="s">
        <v>332</v>
      </c>
      <c r="G239" s="7">
        <v>2017</v>
      </c>
      <c r="H239" s="7" t="str">
        <f>CONCATENATE("14270141683")</f>
        <v>14270141683</v>
      </c>
      <c r="I239" s="7" t="s">
        <v>43</v>
      </c>
      <c r="J239" s="7" t="s">
        <v>31</v>
      </c>
      <c r="K239" s="7" t="str">
        <f>CONCATENATE("")</f>
        <v/>
      </c>
      <c r="L239" s="7" t="str">
        <f>CONCATENATE("21 21.1 2a")</f>
        <v>21 21.1 2a</v>
      </c>
      <c r="M239" s="7" t="str">
        <f>CONCATENATE("01222440438")</f>
        <v>01222440438</v>
      </c>
      <c r="N239" s="7" t="s">
        <v>346</v>
      </c>
      <c r="O239" s="7" t="s">
        <v>152</v>
      </c>
      <c r="P239" s="8">
        <v>44334</v>
      </c>
      <c r="Q239" s="7" t="s">
        <v>32</v>
      </c>
      <c r="R239" s="7" t="s">
        <v>33</v>
      </c>
      <c r="S239" s="7" t="s">
        <v>34</v>
      </c>
      <c r="T239" s="7"/>
      <c r="U239" s="7" t="s">
        <v>35</v>
      </c>
      <c r="V239" s="9">
        <v>7000</v>
      </c>
      <c r="W239" s="9">
        <v>3018.4</v>
      </c>
      <c r="X239" s="9">
        <v>2787.4</v>
      </c>
      <c r="Y239" s="7">
        <v>0</v>
      </c>
      <c r="Z239" s="9">
        <v>1194.2</v>
      </c>
    </row>
    <row r="240" spans="1:26" x14ac:dyDescent="0.35">
      <c r="A240" s="7" t="s">
        <v>27</v>
      </c>
      <c r="B240" s="7" t="s">
        <v>47</v>
      </c>
      <c r="C240" s="7" t="s">
        <v>50</v>
      </c>
      <c r="D240" s="7" t="s">
        <v>51</v>
      </c>
      <c r="E240" s="7" t="s">
        <v>39</v>
      </c>
      <c r="F240" s="7" t="s">
        <v>119</v>
      </c>
      <c r="G240" s="7">
        <v>2020</v>
      </c>
      <c r="H240" s="7" t="str">
        <f>CONCATENATE("04210028769")</f>
        <v>04210028769</v>
      </c>
      <c r="I240" s="7" t="s">
        <v>30</v>
      </c>
      <c r="J240" s="7" t="s">
        <v>31</v>
      </c>
      <c r="K240" s="7" t="str">
        <f>CONCATENATE("")</f>
        <v/>
      </c>
      <c r="L240" s="7" t="str">
        <f>CONCATENATE("13 13.1 4a")</f>
        <v>13 13.1 4a</v>
      </c>
      <c r="M240" s="7" t="str">
        <f>CONCATENATE("BLDGZN55M21G551S")</f>
        <v>BLDGZN55M21G551S</v>
      </c>
      <c r="N240" s="7" t="s">
        <v>347</v>
      </c>
      <c r="O240" s="7" t="s">
        <v>115</v>
      </c>
      <c r="P240" s="8">
        <v>44334</v>
      </c>
      <c r="Q240" s="7" t="s">
        <v>32</v>
      </c>
      <c r="R240" s="7" t="s">
        <v>33</v>
      </c>
      <c r="S240" s="7" t="s">
        <v>34</v>
      </c>
      <c r="T240" s="7"/>
      <c r="U240" s="7" t="s">
        <v>35</v>
      </c>
      <c r="V240" s="9">
        <v>3972.24</v>
      </c>
      <c r="W240" s="9">
        <v>1712.83</v>
      </c>
      <c r="X240" s="9">
        <v>1581.75</v>
      </c>
      <c r="Y240" s="7">
        <v>0</v>
      </c>
      <c r="Z240" s="7">
        <v>677.66</v>
      </c>
    </row>
    <row r="241" spans="1:26" x14ac:dyDescent="0.35">
      <c r="A241" s="7" t="s">
        <v>27</v>
      </c>
      <c r="B241" s="7" t="s">
        <v>47</v>
      </c>
      <c r="C241" s="7" t="s">
        <v>50</v>
      </c>
      <c r="D241" s="7" t="s">
        <v>54</v>
      </c>
      <c r="E241" s="7" t="s">
        <v>39</v>
      </c>
      <c r="F241" s="7" t="s">
        <v>107</v>
      </c>
      <c r="G241" s="7">
        <v>2020</v>
      </c>
      <c r="H241" s="7" t="str">
        <f>CONCATENATE("04210331239")</f>
        <v>04210331239</v>
      </c>
      <c r="I241" s="7" t="s">
        <v>30</v>
      </c>
      <c r="J241" s="7" t="s">
        <v>31</v>
      </c>
      <c r="K241" s="7" t="str">
        <f>CONCATENATE("")</f>
        <v/>
      </c>
      <c r="L241" s="7" t="str">
        <f>CONCATENATE("13 13.1 4a")</f>
        <v>13 13.1 4a</v>
      </c>
      <c r="M241" s="7" t="str">
        <f>CONCATENATE("01710780436")</f>
        <v>01710780436</v>
      </c>
      <c r="N241" s="7" t="s">
        <v>348</v>
      </c>
      <c r="O241" s="7" t="s">
        <v>349</v>
      </c>
      <c r="P241" s="8">
        <v>44334</v>
      </c>
      <c r="Q241" s="7" t="s">
        <v>32</v>
      </c>
      <c r="R241" s="7" t="s">
        <v>33</v>
      </c>
      <c r="S241" s="7" t="s">
        <v>34</v>
      </c>
      <c r="T241" s="7"/>
      <c r="U241" s="7" t="s">
        <v>35</v>
      </c>
      <c r="V241" s="7">
        <v>89.32</v>
      </c>
      <c r="W241" s="7">
        <v>38.51</v>
      </c>
      <c r="X241" s="7">
        <v>35.57</v>
      </c>
      <c r="Y241" s="7">
        <v>0</v>
      </c>
      <c r="Z241" s="7">
        <v>15.24</v>
      </c>
    </row>
    <row r="242" spans="1:26" x14ac:dyDescent="0.35">
      <c r="A242" s="7" t="s">
        <v>27</v>
      </c>
      <c r="B242" s="7" t="s">
        <v>47</v>
      </c>
      <c r="C242" s="7" t="s">
        <v>50</v>
      </c>
      <c r="D242" s="7" t="s">
        <v>104</v>
      </c>
      <c r="E242" s="7" t="s">
        <v>39</v>
      </c>
      <c r="F242" s="7" t="s">
        <v>276</v>
      </c>
      <c r="G242" s="7">
        <v>2020</v>
      </c>
      <c r="H242" s="7" t="str">
        <f>CONCATENATE("04210454957")</f>
        <v>04210454957</v>
      </c>
      <c r="I242" s="7" t="s">
        <v>30</v>
      </c>
      <c r="J242" s="7" t="s">
        <v>31</v>
      </c>
      <c r="K242" s="7" t="str">
        <f>CONCATENATE("")</f>
        <v/>
      </c>
      <c r="L242" s="7" t="str">
        <f>CONCATENATE("13 13.1 4a")</f>
        <v>13 13.1 4a</v>
      </c>
      <c r="M242" s="7" t="str">
        <f>CONCATENATE("02350940421")</f>
        <v>02350940421</v>
      </c>
      <c r="N242" s="7" t="s">
        <v>350</v>
      </c>
      <c r="O242" s="7" t="s">
        <v>349</v>
      </c>
      <c r="P242" s="8">
        <v>44334</v>
      </c>
      <c r="Q242" s="7" t="s">
        <v>32</v>
      </c>
      <c r="R242" s="7" t="s">
        <v>33</v>
      </c>
      <c r="S242" s="7" t="s">
        <v>34</v>
      </c>
      <c r="T242" s="7"/>
      <c r="U242" s="7" t="s">
        <v>35</v>
      </c>
      <c r="V242" s="9">
        <v>4579.5200000000004</v>
      </c>
      <c r="W242" s="9">
        <v>1974.69</v>
      </c>
      <c r="X242" s="9">
        <v>1823.56</v>
      </c>
      <c r="Y242" s="7">
        <v>0</v>
      </c>
      <c r="Z242" s="7">
        <v>781.27</v>
      </c>
    </row>
    <row r="243" spans="1:26" x14ac:dyDescent="0.35">
      <c r="A243" s="7" t="s">
        <v>27</v>
      </c>
      <c r="B243" s="7" t="s">
        <v>47</v>
      </c>
      <c r="C243" s="7" t="s">
        <v>50</v>
      </c>
      <c r="D243" s="7" t="s">
        <v>104</v>
      </c>
      <c r="E243" s="7" t="s">
        <v>39</v>
      </c>
      <c r="F243" s="7" t="s">
        <v>276</v>
      </c>
      <c r="G243" s="7">
        <v>2020</v>
      </c>
      <c r="H243" s="7" t="str">
        <f>CONCATENATE("04210455616")</f>
        <v>04210455616</v>
      </c>
      <c r="I243" s="7" t="s">
        <v>30</v>
      </c>
      <c r="J243" s="7" t="s">
        <v>31</v>
      </c>
      <c r="K243" s="7" t="str">
        <f>CONCATENATE("")</f>
        <v/>
      </c>
      <c r="L243" s="7" t="str">
        <f>CONCATENATE("13 13.1 4a")</f>
        <v>13 13.1 4a</v>
      </c>
      <c r="M243" s="7" t="str">
        <f>CONCATENATE("MNGFTN38L24I461B")</f>
        <v>MNGFTN38L24I461B</v>
      </c>
      <c r="N243" s="7" t="s">
        <v>351</v>
      </c>
      <c r="O243" s="7" t="s">
        <v>349</v>
      </c>
      <c r="P243" s="8">
        <v>44334</v>
      </c>
      <c r="Q243" s="7" t="s">
        <v>32</v>
      </c>
      <c r="R243" s="7" t="s">
        <v>33</v>
      </c>
      <c r="S243" s="7" t="s">
        <v>34</v>
      </c>
      <c r="T243" s="7"/>
      <c r="U243" s="7" t="s">
        <v>35</v>
      </c>
      <c r="V243" s="9">
        <v>4362.8</v>
      </c>
      <c r="W243" s="9">
        <v>1881.24</v>
      </c>
      <c r="X243" s="9">
        <v>1737.27</v>
      </c>
      <c r="Y243" s="7">
        <v>0</v>
      </c>
      <c r="Z243" s="7">
        <v>744.29</v>
      </c>
    </row>
    <row r="244" spans="1:26" x14ac:dyDescent="0.35">
      <c r="A244" s="7" t="s">
        <v>27</v>
      </c>
      <c r="B244" s="7" t="s">
        <v>47</v>
      </c>
      <c r="C244" s="7" t="s">
        <v>50</v>
      </c>
      <c r="D244" s="7" t="s">
        <v>104</v>
      </c>
      <c r="E244" s="7" t="s">
        <v>29</v>
      </c>
      <c r="F244" s="7" t="s">
        <v>105</v>
      </c>
      <c r="G244" s="7">
        <v>2020</v>
      </c>
      <c r="H244" s="7" t="str">
        <f>CONCATENATE("04210601284")</f>
        <v>04210601284</v>
      </c>
      <c r="I244" s="7" t="s">
        <v>30</v>
      </c>
      <c r="J244" s="7" t="s">
        <v>31</v>
      </c>
      <c r="K244" s="7" t="str">
        <f>CONCATENATE("")</f>
        <v/>
      </c>
      <c r="L244" s="7" t="str">
        <f>CONCATENATE("13 13.1 4a")</f>
        <v>13 13.1 4a</v>
      </c>
      <c r="M244" s="7" t="str">
        <f>CONCATENATE("02713340426")</f>
        <v>02713340426</v>
      </c>
      <c r="N244" s="7" t="s">
        <v>352</v>
      </c>
      <c r="O244" s="7" t="s">
        <v>349</v>
      </c>
      <c r="P244" s="8">
        <v>44334</v>
      </c>
      <c r="Q244" s="7" t="s">
        <v>32</v>
      </c>
      <c r="R244" s="7" t="s">
        <v>33</v>
      </c>
      <c r="S244" s="7" t="s">
        <v>34</v>
      </c>
      <c r="T244" s="7"/>
      <c r="U244" s="7" t="s">
        <v>35</v>
      </c>
      <c r="V244" s="9">
        <v>6186.11</v>
      </c>
      <c r="W244" s="9">
        <v>2667.45</v>
      </c>
      <c r="X244" s="9">
        <v>2463.31</v>
      </c>
      <c r="Y244" s="7">
        <v>0</v>
      </c>
      <c r="Z244" s="9">
        <v>1055.3499999999999</v>
      </c>
    </row>
    <row r="245" spans="1:26" x14ac:dyDescent="0.35">
      <c r="A245" s="7" t="s">
        <v>27</v>
      </c>
      <c r="B245" s="7" t="s">
        <v>47</v>
      </c>
      <c r="C245" s="7" t="s">
        <v>50</v>
      </c>
      <c r="D245" s="7" t="s">
        <v>54</v>
      </c>
      <c r="E245" s="7" t="s">
        <v>39</v>
      </c>
      <c r="F245" s="7" t="s">
        <v>107</v>
      </c>
      <c r="G245" s="7">
        <v>2016</v>
      </c>
      <c r="H245" s="7" t="str">
        <f>CONCATENATE("64210537946")</f>
        <v>64210537946</v>
      </c>
      <c r="I245" s="7" t="s">
        <v>30</v>
      </c>
      <c r="J245" s="7" t="s">
        <v>31</v>
      </c>
      <c r="K245" s="7" t="str">
        <f>CONCATENATE("")</f>
        <v/>
      </c>
      <c r="L245" s="7" t="str">
        <f>CONCATENATE("13 13.1 4a")</f>
        <v>13 13.1 4a</v>
      </c>
      <c r="M245" s="7" t="str">
        <f>CONCATENATE("NTNGUO24L04B474N")</f>
        <v>NTNGUO24L04B474N</v>
      </c>
      <c r="N245" s="7" t="s">
        <v>353</v>
      </c>
      <c r="O245" s="7" t="s">
        <v>349</v>
      </c>
      <c r="P245" s="8">
        <v>44334</v>
      </c>
      <c r="Q245" s="7" t="s">
        <v>32</v>
      </c>
      <c r="R245" s="7" t="s">
        <v>33</v>
      </c>
      <c r="S245" s="7" t="s">
        <v>34</v>
      </c>
      <c r="T245" s="7"/>
      <c r="U245" s="7" t="s">
        <v>35</v>
      </c>
      <c r="V245" s="7">
        <v>80.22</v>
      </c>
      <c r="W245" s="7">
        <v>34.590000000000003</v>
      </c>
      <c r="X245" s="7">
        <v>31.94</v>
      </c>
      <c r="Y245" s="7">
        <v>0</v>
      </c>
      <c r="Z245" s="7">
        <v>13.69</v>
      </c>
    </row>
    <row r="246" spans="1:26" x14ac:dyDescent="0.35">
      <c r="A246" s="7" t="s">
        <v>27</v>
      </c>
      <c r="B246" s="7" t="s">
        <v>47</v>
      </c>
      <c r="C246" s="7" t="s">
        <v>50</v>
      </c>
      <c r="D246" s="7" t="s">
        <v>104</v>
      </c>
      <c r="E246" s="7" t="s">
        <v>39</v>
      </c>
      <c r="F246" s="7" t="s">
        <v>162</v>
      </c>
      <c r="G246" s="7">
        <v>2020</v>
      </c>
      <c r="H246" s="7" t="str">
        <f>CONCATENATE("04210058766")</f>
        <v>04210058766</v>
      </c>
      <c r="I246" s="7" t="s">
        <v>43</v>
      </c>
      <c r="J246" s="7" t="s">
        <v>31</v>
      </c>
      <c r="K246" s="7" t="str">
        <f>CONCATENATE("")</f>
        <v/>
      </c>
      <c r="L246" s="7" t="str">
        <f>CONCATENATE("13 13.1 4a")</f>
        <v>13 13.1 4a</v>
      </c>
      <c r="M246" s="7" t="str">
        <f>CONCATENATE("STRCLL99C58D451C")</f>
        <v>STRCLL99C58D451C</v>
      </c>
      <c r="N246" s="7" t="s">
        <v>354</v>
      </c>
      <c r="O246" s="7" t="s">
        <v>349</v>
      </c>
      <c r="P246" s="8">
        <v>44334</v>
      </c>
      <c r="Q246" s="7" t="s">
        <v>32</v>
      </c>
      <c r="R246" s="7" t="s">
        <v>33</v>
      </c>
      <c r="S246" s="7" t="s">
        <v>34</v>
      </c>
      <c r="T246" s="7"/>
      <c r="U246" s="7" t="s">
        <v>35</v>
      </c>
      <c r="V246" s="7">
        <v>807.96</v>
      </c>
      <c r="W246" s="7">
        <v>348.39</v>
      </c>
      <c r="X246" s="7">
        <v>321.73</v>
      </c>
      <c r="Y246" s="7">
        <v>0</v>
      </c>
      <c r="Z246" s="7">
        <v>137.84</v>
      </c>
    </row>
    <row r="247" spans="1:26" x14ac:dyDescent="0.35">
      <c r="A247" s="7" t="s">
        <v>27</v>
      </c>
      <c r="B247" s="7" t="s">
        <v>47</v>
      </c>
      <c r="C247" s="7" t="s">
        <v>50</v>
      </c>
      <c r="D247" s="7" t="s">
        <v>104</v>
      </c>
      <c r="E247" s="7" t="s">
        <v>39</v>
      </c>
      <c r="F247" s="7" t="s">
        <v>162</v>
      </c>
      <c r="G247" s="7">
        <v>2020</v>
      </c>
      <c r="H247" s="7" t="str">
        <f>CONCATENATE("04210673770")</f>
        <v>04210673770</v>
      </c>
      <c r="I247" s="7" t="s">
        <v>30</v>
      </c>
      <c r="J247" s="7" t="s">
        <v>31</v>
      </c>
      <c r="K247" s="7" t="str">
        <f>CONCATENATE("")</f>
        <v/>
      </c>
      <c r="L247" s="7" t="str">
        <f>CONCATENATE("13 13.1 4a")</f>
        <v>13 13.1 4a</v>
      </c>
      <c r="M247" s="7" t="str">
        <f>CONCATENATE("PCRTTL84T19D451D")</f>
        <v>PCRTTL84T19D451D</v>
      </c>
      <c r="N247" s="7" t="s">
        <v>355</v>
      </c>
      <c r="O247" s="7" t="s">
        <v>349</v>
      </c>
      <c r="P247" s="8">
        <v>44334</v>
      </c>
      <c r="Q247" s="7" t="s">
        <v>32</v>
      </c>
      <c r="R247" s="7" t="s">
        <v>33</v>
      </c>
      <c r="S247" s="7" t="s">
        <v>34</v>
      </c>
      <c r="T247" s="7"/>
      <c r="U247" s="7" t="s">
        <v>35</v>
      </c>
      <c r="V247" s="9">
        <v>5899.91</v>
      </c>
      <c r="W247" s="9">
        <v>2544.04</v>
      </c>
      <c r="X247" s="9">
        <v>2349.34</v>
      </c>
      <c r="Y247" s="7">
        <v>0</v>
      </c>
      <c r="Z247" s="9">
        <v>1006.53</v>
      </c>
    </row>
    <row r="248" spans="1:26" x14ac:dyDescent="0.35">
      <c r="A248" s="7" t="s">
        <v>27</v>
      </c>
      <c r="B248" s="7" t="s">
        <v>47</v>
      </c>
      <c r="C248" s="7" t="s">
        <v>50</v>
      </c>
      <c r="D248" s="7" t="s">
        <v>104</v>
      </c>
      <c r="E248" s="7" t="s">
        <v>39</v>
      </c>
      <c r="F248" s="7" t="s">
        <v>162</v>
      </c>
      <c r="G248" s="7">
        <v>2020</v>
      </c>
      <c r="H248" s="7" t="str">
        <f>CONCATENATE("04210014553")</f>
        <v>04210014553</v>
      </c>
      <c r="I248" s="7" t="s">
        <v>30</v>
      </c>
      <c r="J248" s="7" t="s">
        <v>31</v>
      </c>
      <c r="K248" s="7" t="str">
        <f>CONCATENATE("")</f>
        <v/>
      </c>
      <c r="L248" s="7" t="str">
        <f>CONCATENATE("13 13.1 4a")</f>
        <v>13 13.1 4a</v>
      </c>
      <c r="M248" s="7" t="str">
        <f>CONCATENATE("LCCMRP44B52A132Z")</f>
        <v>LCCMRP44B52A132Z</v>
      </c>
      <c r="N248" s="7" t="s">
        <v>356</v>
      </c>
      <c r="O248" s="7" t="s">
        <v>349</v>
      </c>
      <c r="P248" s="8">
        <v>44334</v>
      </c>
      <c r="Q248" s="7" t="s">
        <v>32</v>
      </c>
      <c r="R248" s="7" t="s">
        <v>33</v>
      </c>
      <c r="S248" s="7" t="s">
        <v>34</v>
      </c>
      <c r="T248" s="7"/>
      <c r="U248" s="7" t="s">
        <v>35</v>
      </c>
      <c r="V248" s="7">
        <v>455.66</v>
      </c>
      <c r="W248" s="7">
        <v>196.48</v>
      </c>
      <c r="X248" s="7">
        <v>181.44</v>
      </c>
      <c r="Y248" s="7">
        <v>0</v>
      </c>
      <c r="Z248" s="7">
        <v>77.739999999999995</v>
      </c>
    </row>
    <row r="249" spans="1:26" ht="17.5" x14ac:dyDescent="0.35">
      <c r="A249" s="7" t="s">
        <v>27</v>
      </c>
      <c r="B249" s="7" t="s">
        <v>28</v>
      </c>
      <c r="C249" s="7" t="s">
        <v>50</v>
      </c>
      <c r="D249" s="7" t="s">
        <v>104</v>
      </c>
      <c r="E249" s="7" t="s">
        <v>36</v>
      </c>
      <c r="F249" s="7" t="s">
        <v>36</v>
      </c>
      <c r="G249" s="7">
        <v>2017</v>
      </c>
      <c r="H249" s="7" t="str">
        <f>CONCATENATE("14270137848")</f>
        <v>14270137848</v>
      </c>
      <c r="I249" s="7" t="s">
        <v>30</v>
      </c>
      <c r="J249" s="7" t="s">
        <v>31</v>
      </c>
      <c r="K249" s="7" t="str">
        <f>CONCATENATE("")</f>
        <v/>
      </c>
      <c r="L249" s="7" t="str">
        <f>CONCATENATE("21 21.1 2a")</f>
        <v>21 21.1 2a</v>
      </c>
      <c r="M249" s="7" t="str">
        <f>CONCATENATE("02715590424")</f>
        <v>02715590424</v>
      </c>
      <c r="N249" s="7" t="s">
        <v>357</v>
      </c>
      <c r="O249" s="7" t="s">
        <v>358</v>
      </c>
      <c r="P249" s="8">
        <v>44330</v>
      </c>
      <c r="Q249" s="7" t="s">
        <v>32</v>
      </c>
      <c r="R249" s="7" t="s">
        <v>33</v>
      </c>
      <c r="S249" s="7" t="s">
        <v>34</v>
      </c>
      <c r="T249" s="7"/>
      <c r="U249" s="7" t="s">
        <v>35</v>
      </c>
      <c r="V249" s="9">
        <v>7000</v>
      </c>
      <c r="W249" s="9">
        <v>3018.4</v>
      </c>
      <c r="X249" s="9">
        <v>2787.4</v>
      </c>
      <c r="Y249" s="7">
        <v>0</v>
      </c>
      <c r="Z249" s="9">
        <v>1194.2</v>
      </c>
    </row>
    <row r="250" spans="1:26" x14ac:dyDescent="0.35">
      <c r="A250" s="7" t="s">
        <v>27</v>
      </c>
      <c r="B250" s="7" t="s">
        <v>28</v>
      </c>
      <c r="C250" s="7" t="s">
        <v>50</v>
      </c>
      <c r="D250" s="7" t="s">
        <v>104</v>
      </c>
      <c r="E250" s="7" t="s">
        <v>39</v>
      </c>
      <c r="F250" s="7" t="s">
        <v>359</v>
      </c>
      <c r="G250" s="7">
        <v>2017</v>
      </c>
      <c r="H250" s="7" t="str">
        <f>CONCATENATE("14270137863")</f>
        <v>14270137863</v>
      </c>
      <c r="I250" s="7" t="s">
        <v>30</v>
      </c>
      <c r="J250" s="7" t="s">
        <v>31</v>
      </c>
      <c r="K250" s="7" t="str">
        <f>CONCATENATE("")</f>
        <v/>
      </c>
      <c r="L250" s="7" t="str">
        <f>CONCATENATE("21 21.1 2a")</f>
        <v>21 21.1 2a</v>
      </c>
      <c r="M250" s="7" t="str">
        <f>CONCATENATE("BRTBRS76C04I608H")</f>
        <v>BRTBRS76C04I608H</v>
      </c>
      <c r="N250" s="7" t="s">
        <v>360</v>
      </c>
      <c r="O250" s="7" t="s">
        <v>358</v>
      </c>
      <c r="P250" s="8">
        <v>44330</v>
      </c>
      <c r="Q250" s="7" t="s">
        <v>32</v>
      </c>
      <c r="R250" s="7" t="s">
        <v>33</v>
      </c>
      <c r="S250" s="7" t="s">
        <v>34</v>
      </c>
      <c r="T250" s="7"/>
      <c r="U250" s="7" t="s">
        <v>35</v>
      </c>
      <c r="V250" s="9">
        <v>7000</v>
      </c>
      <c r="W250" s="9">
        <v>3018.4</v>
      </c>
      <c r="X250" s="9">
        <v>2787.4</v>
      </c>
      <c r="Y250" s="7">
        <v>0</v>
      </c>
      <c r="Z250" s="9">
        <v>1194.2</v>
      </c>
    </row>
    <row r="251" spans="1:26" x14ac:dyDescent="0.35">
      <c r="A251" s="7" t="s">
        <v>27</v>
      </c>
      <c r="B251" s="7" t="s">
        <v>28</v>
      </c>
      <c r="C251" s="7" t="s">
        <v>50</v>
      </c>
      <c r="D251" s="7" t="s">
        <v>104</v>
      </c>
      <c r="E251" s="7" t="s">
        <v>39</v>
      </c>
      <c r="F251" s="7" t="s">
        <v>276</v>
      </c>
      <c r="G251" s="7">
        <v>2017</v>
      </c>
      <c r="H251" s="7" t="str">
        <f>CONCATENATE("14270137806")</f>
        <v>14270137806</v>
      </c>
      <c r="I251" s="7" t="s">
        <v>30</v>
      </c>
      <c r="J251" s="7" t="s">
        <v>31</v>
      </c>
      <c r="K251" s="7" t="str">
        <f>CONCATENATE("")</f>
        <v/>
      </c>
      <c r="L251" s="7" t="str">
        <f>CONCATENATE("21 21.1 2a")</f>
        <v>21 21.1 2a</v>
      </c>
      <c r="M251" s="7" t="str">
        <f>CONCATENATE("02113120410")</f>
        <v>02113120410</v>
      </c>
      <c r="N251" s="7" t="s">
        <v>361</v>
      </c>
      <c r="O251" s="7" t="s">
        <v>358</v>
      </c>
      <c r="P251" s="8">
        <v>44330</v>
      </c>
      <c r="Q251" s="7" t="s">
        <v>32</v>
      </c>
      <c r="R251" s="7" t="s">
        <v>33</v>
      </c>
      <c r="S251" s="7" t="s">
        <v>34</v>
      </c>
      <c r="T251" s="7"/>
      <c r="U251" s="7" t="s">
        <v>35</v>
      </c>
      <c r="V251" s="9">
        <v>7000</v>
      </c>
      <c r="W251" s="9">
        <v>3018.4</v>
      </c>
      <c r="X251" s="9">
        <v>2787.4</v>
      </c>
      <c r="Y251" s="7">
        <v>0</v>
      </c>
      <c r="Z251" s="9">
        <v>1194.2</v>
      </c>
    </row>
    <row r="252" spans="1:26" x14ac:dyDescent="0.35">
      <c r="A252" s="7" t="s">
        <v>27</v>
      </c>
      <c r="B252" s="7" t="s">
        <v>28</v>
      </c>
      <c r="C252" s="7" t="s">
        <v>50</v>
      </c>
      <c r="D252" s="7" t="s">
        <v>104</v>
      </c>
      <c r="E252" s="7" t="s">
        <v>36</v>
      </c>
      <c r="F252" s="7" t="s">
        <v>36</v>
      </c>
      <c r="G252" s="7">
        <v>2017</v>
      </c>
      <c r="H252" s="7" t="str">
        <f>CONCATENATE("14270137871")</f>
        <v>14270137871</v>
      </c>
      <c r="I252" s="7" t="s">
        <v>30</v>
      </c>
      <c r="J252" s="7" t="s">
        <v>31</v>
      </c>
      <c r="K252" s="7" t="str">
        <f>CONCATENATE("")</f>
        <v/>
      </c>
      <c r="L252" s="7" t="str">
        <f>CONCATENATE("21 21.1 2a")</f>
        <v>21 21.1 2a</v>
      </c>
      <c r="M252" s="7" t="str">
        <f>CONCATENATE("DNNDIA80P69C615M")</f>
        <v>DNNDIA80P69C615M</v>
      </c>
      <c r="N252" s="7" t="s">
        <v>362</v>
      </c>
      <c r="O252" s="7" t="s">
        <v>358</v>
      </c>
      <c r="P252" s="8">
        <v>44330</v>
      </c>
      <c r="Q252" s="7" t="s">
        <v>32</v>
      </c>
      <c r="R252" s="7" t="s">
        <v>33</v>
      </c>
      <c r="S252" s="7" t="s">
        <v>34</v>
      </c>
      <c r="T252" s="7"/>
      <c r="U252" s="7" t="s">
        <v>35</v>
      </c>
      <c r="V252" s="9">
        <v>7000</v>
      </c>
      <c r="W252" s="9">
        <v>3018.4</v>
      </c>
      <c r="X252" s="9">
        <v>2787.4</v>
      </c>
      <c r="Y252" s="7">
        <v>0</v>
      </c>
      <c r="Z252" s="9">
        <v>1194.2</v>
      </c>
    </row>
    <row r="253" spans="1:26" x14ac:dyDescent="0.35">
      <c r="A253" s="7" t="s">
        <v>27</v>
      </c>
      <c r="B253" s="7" t="s">
        <v>28</v>
      </c>
      <c r="C253" s="7" t="s">
        <v>50</v>
      </c>
      <c r="D253" s="7" t="s">
        <v>64</v>
      </c>
      <c r="E253" s="7" t="s">
        <v>39</v>
      </c>
      <c r="F253" s="7" t="s">
        <v>279</v>
      </c>
      <c r="G253" s="7">
        <v>2017</v>
      </c>
      <c r="H253" s="7" t="str">
        <f>CONCATENATE("14270137814")</f>
        <v>14270137814</v>
      </c>
      <c r="I253" s="7" t="s">
        <v>30</v>
      </c>
      <c r="J253" s="7" t="s">
        <v>31</v>
      </c>
      <c r="K253" s="7" t="str">
        <f>CONCATENATE("")</f>
        <v/>
      </c>
      <c r="L253" s="7" t="str">
        <f>CONCATENATE("21 21.1 2a")</f>
        <v>21 21.1 2a</v>
      </c>
      <c r="M253" s="7" t="str">
        <f>CONCATENATE("02147090449")</f>
        <v>02147090449</v>
      </c>
      <c r="N253" s="7" t="s">
        <v>363</v>
      </c>
      <c r="O253" s="7" t="s">
        <v>358</v>
      </c>
      <c r="P253" s="8">
        <v>44330</v>
      </c>
      <c r="Q253" s="7" t="s">
        <v>32</v>
      </c>
      <c r="R253" s="7" t="s">
        <v>33</v>
      </c>
      <c r="S253" s="7" t="s">
        <v>34</v>
      </c>
      <c r="T253" s="7"/>
      <c r="U253" s="7" t="s">
        <v>35</v>
      </c>
      <c r="V253" s="9">
        <v>7000</v>
      </c>
      <c r="W253" s="9">
        <v>3018.4</v>
      </c>
      <c r="X253" s="9">
        <v>2787.4</v>
      </c>
      <c r="Y253" s="7">
        <v>0</v>
      </c>
      <c r="Z253" s="9">
        <v>1194.2</v>
      </c>
    </row>
    <row r="254" spans="1:26" x14ac:dyDescent="0.35">
      <c r="A254" s="7" t="s">
        <v>27</v>
      </c>
      <c r="B254" s="7" t="s">
        <v>28</v>
      </c>
      <c r="C254" s="7" t="s">
        <v>50</v>
      </c>
      <c r="D254" s="7" t="s">
        <v>104</v>
      </c>
      <c r="E254" s="7" t="s">
        <v>39</v>
      </c>
      <c r="F254" s="7" t="s">
        <v>87</v>
      </c>
      <c r="G254" s="7">
        <v>2017</v>
      </c>
      <c r="H254" s="7" t="str">
        <f>CONCATENATE("14270138812")</f>
        <v>14270138812</v>
      </c>
      <c r="I254" s="7" t="s">
        <v>30</v>
      </c>
      <c r="J254" s="7" t="s">
        <v>31</v>
      </c>
      <c r="K254" s="7" t="str">
        <f>CONCATENATE("")</f>
        <v/>
      </c>
      <c r="L254" s="7" t="str">
        <f>CONCATENATE("21 21.1 2a")</f>
        <v>21 21.1 2a</v>
      </c>
      <c r="M254" s="7" t="str">
        <f>CONCATENATE("SWNJFR86H19Z335X")</f>
        <v>SWNJFR86H19Z335X</v>
      </c>
      <c r="N254" s="7" t="s">
        <v>364</v>
      </c>
      <c r="O254" s="7" t="s">
        <v>358</v>
      </c>
      <c r="P254" s="8">
        <v>44330</v>
      </c>
      <c r="Q254" s="7" t="s">
        <v>32</v>
      </c>
      <c r="R254" s="7" t="s">
        <v>33</v>
      </c>
      <c r="S254" s="7" t="s">
        <v>34</v>
      </c>
      <c r="T254" s="7"/>
      <c r="U254" s="7" t="s">
        <v>35</v>
      </c>
      <c r="V254" s="9">
        <v>4638.76</v>
      </c>
      <c r="W254" s="9">
        <v>2000.23</v>
      </c>
      <c r="X254" s="9">
        <v>1847.15</v>
      </c>
      <c r="Y254" s="7">
        <v>0</v>
      </c>
      <c r="Z254" s="7">
        <v>791.38</v>
      </c>
    </row>
    <row r="255" spans="1:26" x14ac:dyDescent="0.35">
      <c r="A255" s="7" t="s">
        <v>27</v>
      </c>
      <c r="B255" s="7" t="s">
        <v>28</v>
      </c>
      <c r="C255" s="7" t="s">
        <v>50</v>
      </c>
      <c r="D255" s="7" t="s">
        <v>104</v>
      </c>
      <c r="E255" s="7" t="s">
        <v>36</v>
      </c>
      <c r="F255" s="7" t="s">
        <v>36</v>
      </c>
      <c r="G255" s="7">
        <v>2017</v>
      </c>
      <c r="H255" s="7" t="str">
        <f>CONCATENATE("14270137798")</f>
        <v>14270137798</v>
      </c>
      <c r="I255" s="7" t="s">
        <v>30</v>
      </c>
      <c r="J255" s="7" t="s">
        <v>31</v>
      </c>
      <c r="K255" s="7" t="str">
        <f>CONCATENATE("")</f>
        <v/>
      </c>
      <c r="L255" s="7" t="str">
        <f>CONCATENATE("21 21.1 2a")</f>
        <v>21 21.1 2a</v>
      </c>
      <c r="M255" s="7" t="str">
        <f>CONCATENATE("02686290426")</f>
        <v>02686290426</v>
      </c>
      <c r="N255" s="7" t="s">
        <v>365</v>
      </c>
      <c r="O255" s="7" t="s">
        <v>358</v>
      </c>
      <c r="P255" s="8">
        <v>44330</v>
      </c>
      <c r="Q255" s="7" t="s">
        <v>32</v>
      </c>
      <c r="R255" s="7" t="s">
        <v>33</v>
      </c>
      <c r="S255" s="7" t="s">
        <v>34</v>
      </c>
      <c r="T255" s="7"/>
      <c r="U255" s="7" t="s">
        <v>35</v>
      </c>
      <c r="V255" s="9">
        <v>7000</v>
      </c>
      <c r="W255" s="9">
        <v>3018.4</v>
      </c>
      <c r="X255" s="9">
        <v>2787.4</v>
      </c>
      <c r="Y255" s="7">
        <v>0</v>
      </c>
      <c r="Z255" s="9">
        <v>1194.2</v>
      </c>
    </row>
    <row r="256" spans="1:26" x14ac:dyDescent="0.35">
      <c r="A256" s="7" t="s">
        <v>27</v>
      </c>
      <c r="B256" s="7" t="s">
        <v>28</v>
      </c>
      <c r="C256" s="7" t="s">
        <v>50</v>
      </c>
      <c r="D256" s="7" t="s">
        <v>104</v>
      </c>
      <c r="E256" s="7" t="s">
        <v>41</v>
      </c>
      <c r="F256" s="7" t="s">
        <v>229</v>
      </c>
      <c r="G256" s="7">
        <v>2017</v>
      </c>
      <c r="H256" s="7" t="str">
        <f>CONCATENATE("14270137830")</f>
        <v>14270137830</v>
      </c>
      <c r="I256" s="7" t="s">
        <v>30</v>
      </c>
      <c r="J256" s="7" t="s">
        <v>31</v>
      </c>
      <c r="K256" s="7" t="str">
        <f>CONCATENATE("")</f>
        <v/>
      </c>
      <c r="L256" s="7" t="str">
        <f>CONCATENATE("21 21.1 2a")</f>
        <v>21 21.1 2a</v>
      </c>
      <c r="M256" s="7" t="str">
        <f>CONCATENATE("02778450425")</f>
        <v>02778450425</v>
      </c>
      <c r="N256" s="7" t="s">
        <v>366</v>
      </c>
      <c r="O256" s="7" t="s">
        <v>358</v>
      </c>
      <c r="P256" s="8">
        <v>44330</v>
      </c>
      <c r="Q256" s="7" t="s">
        <v>32</v>
      </c>
      <c r="R256" s="7" t="s">
        <v>33</v>
      </c>
      <c r="S256" s="7" t="s">
        <v>34</v>
      </c>
      <c r="T256" s="7"/>
      <c r="U256" s="7" t="s">
        <v>35</v>
      </c>
      <c r="V256" s="9">
        <v>7000</v>
      </c>
      <c r="W256" s="9">
        <v>3018.4</v>
      </c>
      <c r="X256" s="9">
        <v>2787.4</v>
      </c>
      <c r="Y256" s="7">
        <v>0</v>
      </c>
      <c r="Z256" s="9">
        <v>1194.2</v>
      </c>
    </row>
    <row r="257" spans="1:26" ht="17.5" x14ac:dyDescent="0.35">
      <c r="A257" s="7" t="s">
        <v>27</v>
      </c>
      <c r="B257" s="7" t="s">
        <v>28</v>
      </c>
      <c r="C257" s="7" t="s">
        <v>50</v>
      </c>
      <c r="D257" s="7" t="s">
        <v>104</v>
      </c>
      <c r="E257" s="7" t="s">
        <v>36</v>
      </c>
      <c r="F257" s="7" t="s">
        <v>36</v>
      </c>
      <c r="G257" s="7">
        <v>2017</v>
      </c>
      <c r="H257" s="7" t="str">
        <f>CONCATENATE("14270137822")</f>
        <v>14270137822</v>
      </c>
      <c r="I257" s="7" t="s">
        <v>30</v>
      </c>
      <c r="J257" s="7" t="s">
        <v>31</v>
      </c>
      <c r="K257" s="7" t="str">
        <f>CONCATENATE("")</f>
        <v/>
      </c>
      <c r="L257" s="7" t="str">
        <f>CONCATENATE("21 21.1 2a")</f>
        <v>21 21.1 2a</v>
      </c>
      <c r="M257" s="7" t="str">
        <f>CONCATENATE("02708000423")</f>
        <v>02708000423</v>
      </c>
      <c r="N257" s="7" t="s">
        <v>367</v>
      </c>
      <c r="O257" s="7" t="s">
        <v>358</v>
      </c>
      <c r="P257" s="8">
        <v>44330</v>
      </c>
      <c r="Q257" s="7" t="s">
        <v>32</v>
      </c>
      <c r="R257" s="7" t="s">
        <v>33</v>
      </c>
      <c r="S257" s="7" t="s">
        <v>34</v>
      </c>
      <c r="T257" s="7"/>
      <c r="U257" s="7" t="s">
        <v>35</v>
      </c>
      <c r="V257" s="9">
        <v>7000</v>
      </c>
      <c r="W257" s="9">
        <v>3018.4</v>
      </c>
      <c r="X257" s="9">
        <v>2787.4</v>
      </c>
      <c r="Y257" s="7">
        <v>0</v>
      </c>
      <c r="Z257" s="9">
        <v>1194.2</v>
      </c>
    </row>
    <row r="258" spans="1:26" x14ac:dyDescent="0.35">
      <c r="A258" s="7" t="s">
        <v>27</v>
      </c>
      <c r="B258" s="7" t="s">
        <v>28</v>
      </c>
      <c r="C258" s="7" t="s">
        <v>50</v>
      </c>
      <c r="D258" s="7" t="s">
        <v>104</v>
      </c>
      <c r="E258" s="7" t="s">
        <v>36</v>
      </c>
      <c r="F258" s="7" t="s">
        <v>36</v>
      </c>
      <c r="G258" s="7">
        <v>2017</v>
      </c>
      <c r="H258" s="7" t="str">
        <f>CONCATENATE("14270137780")</f>
        <v>14270137780</v>
      </c>
      <c r="I258" s="7" t="s">
        <v>30</v>
      </c>
      <c r="J258" s="7" t="s">
        <v>31</v>
      </c>
      <c r="K258" s="7" t="str">
        <f>CONCATENATE("")</f>
        <v/>
      </c>
      <c r="L258" s="7" t="str">
        <f>CONCATENATE("21 21.1 2a")</f>
        <v>21 21.1 2a</v>
      </c>
      <c r="M258" s="7" t="str">
        <f>CONCATENATE("01516020425")</f>
        <v>01516020425</v>
      </c>
      <c r="N258" s="7" t="s">
        <v>368</v>
      </c>
      <c r="O258" s="7" t="s">
        <v>358</v>
      </c>
      <c r="P258" s="8">
        <v>44330</v>
      </c>
      <c r="Q258" s="7" t="s">
        <v>32</v>
      </c>
      <c r="R258" s="7" t="s">
        <v>33</v>
      </c>
      <c r="S258" s="7" t="s">
        <v>34</v>
      </c>
      <c r="T258" s="7"/>
      <c r="U258" s="7" t="s">
        <v>35</v>
      </c>
      <c r="V258" s="9">
        <v>7000</v>
      </c>
      <c r="W258" s="9">
        <v>3018.4</v>
      </c>
      <c r="X258" s="9">
        <v>2787.4</v>
      </c>
      <c r="Y258" s="7">
        <v>0</v>
      </c>
      <c r="Z258" s="9">
        <v>1194.2</v>
      </c>
    </row>
    <row r="259" spans="1:26" x14ac:dyDescent="0.35">
      <c r="A259" s="7" t="s">
        <v>27</v>
      </c>
      <c r="B259" s="7" t="s">
        <v>28</v>
      </c>
      <c r="C259" s="7" t="s">
        <v>50</v>
      </c>
      <c r="D259" s="7" t="s">
        <v>104</v>
      </c>
      <c r="E259" s="7" t="s">
        <v>36</v>
      </c>
      <c r="F259" s="7" t="s">
        <v>36</v>
      </c>
      <c r="G259" s="7">
        <v>2017</v>
      </c>
      <c r="H259" s="7" t="str">
        <f>CONCATENATE("14270137855")</f>
        <v>14270137855</v>
      </c>
      <c r="I259" s="7" t="s">
        <v>30</v>
      </c>
      <c r="J259" s="7" t="s">
        <v>31</v>
      </c>
      <c r="K259" s="7" t="str">
        <f>CONCATENATE("")</f>
        <v/>
      </c>
      <c r="L259" s="7" t="str">
        <f>CONCATENATE("21 21.1 2a")</f>
        <v>21 21.1 2a</v>
      </c>
      <c r="M259" s="7" t="str">
        <f>CONCATENATE("02392540429")</f>
        <v>02392540429</v>
      </c>
      <c r="N259" s="7" t="s">
        <v>369</v>
      </c>
      <c r="O259" s="7" t="s">
        <v>358</v>
      </c>
      <c r="P259" s="8">
        <v>44330</v>
      </c>
      <c r="Q259" s="7" t="s">
        <v>32</v>
      </c>
      <c r="R259" s="7" t="s">
        <v>33</v>
      </c>
      <c r="S259" s="7" t="s">
        <v>34</v>
      </c>
      <c r="T259" s="7"/>
      <c r="U259" s="7" t="s">
        <v>35</v>
      </c>
      <c r="V259" s="9">
        <v>7000</v>
      </c>
      <c r="W259" s="9">
        <v>3018.4</v>
      </c>
      <c r="X259" s="9">
        <v>2787.4</v>
      </c>
      <c r="Y259" s="7">
        <v>0</v>
      </c>
      <c r="Z259" s="9">
        <v>1194.2</v>
      </c>
    </row>
    <row r="260" spans="1:26" ht="17.5" x14ac:dyDescent="0.35">
      <c r="A260" s="7" t="s">
        <v>27</v>
      </c>
      <c r="B260" s="7" t="s">
        <v>47</v>
      </c>
      <c r="C260" s="7" t="s">
        <v>50</v>
      </c>
      <c r="D260" s="7" t="s">
        <v>51</v>
      </c>
      <c r="E260" s="7" t="s">
        <v>40</v>
      </c>
      <c r="F260" s="7" t="s">
        <v>249</v>
      </c>
      <c r="G260" s="7">
        <v>2020</v>
      </c>
      <c r="H260" s="7" t="str">
        <f>CONCATENATE("04240627184")</f>
        <v>04240627184</v>
      </c>
      <c r="I260" s="7" t="s">
        <v>30</v>
      </c>
      <c r="J260" s="7" t="s">
        <v>31</v>
      </c>
      <c r="K260" s="7" t="str">
        <f>CONCATENATE("")</f>
        <v/>
      </c>
      <c r="L260" s="7" t="str">
        <f>CONCATENATE("14 14.1 3a")</f>
        <v>14 14.1 3a</v>
      </c>
      <c r="M260" s="7" t="str">
        <f>CONCATENATE("01392530414")</f>
        <v>01392530414</v>
      </c>
      <c r="N260" s="7" t="s">
        <v>370</v>
      </c>
      <c r="O260" s="7" t="s">
        <v>177</v>
      </c>
      <c r="P260" s="8">
        <v>44334</v>
      </c>
      <c r="Q260" s="7" t="s">
        <v>32</v>
      </c>
      <c r="R260" s="7" t="s">
        <v>33</v>
      </c>
      <c r="S260" s="7" t="s">
        <v>34</v>
      </c>
      <c r="T260" s="7"/>
      <c r="U260" s="7" t="s">
        <v>35</v>
      </c>
      <c r="V260" s="9">
        <v>13173.8</v>
      </c>
      <c r="W260" s="9">
        <v>5680.54</v>
      </c>
      <c r="X260" s="9">
        <v>5245.81</v>
      </c>
      <c r="Y260" s="7">
        <v>0</v>
      </c>
      <c r="Z260" s="9">
        <v>2247.4499999999998</v>
      </c>
    </row>
    <row r="261" spans="1:26" x14ac:dyDescent="0.35">
      <c r="A261" s="7" t="s">
        <v>27</v>
      </c>
      <c r="B261" s="7" t="s">
        <v>47</v>
      </c>
      <c r="C261" s="7" t="s">
        <v>50</v>
      </c>
      <c r="D261" s="7" t="s">
        <v>51</v>
      </c>
      <c r="E261" s="7" t="s">
        <v>39</v>
      </c>
      <c r="F261" s="7" t="s">
        <v>125</v>
      </c>
      <c r="G261" s="7">
        <v>2020</v>
      </c>
      <c r="H261" s="7" t="str">
        <f>CONCATENATE("04210499705")</f>
        <v>04210499705</v>
      </c>
      <c r="I261" s="7" t="s">
        <v>30</v>
      </c>
      <c r="J261" s="7" t="s">
        <v>31</v>
      </c>
      <c r="K261" s="7" t="str">
        <f>CONCATENATE("")</f>
        <v/>
      </c>
      <c r="L261" s="7" t="str">
        <f>CONCATENATE("13 13.1 4a")</f>
        <v>13 13.1 4a</v>
      </c>
      <c r="M261" s="7" t="str">
        <f>CONCATENATE("DCRLGU48P05G064O")</f>
        <v>DCRLGU48P05G064O</v>
      </c>
      <c r="N261" s="7" t="s">
        <v>371</v>
      </c>
      <c r="O261" s="7" t="s">
        <v>115</v>
      </c>
      <c r="P261" s="8">
        <v>44334</v>
      </c>
      <c r="Q261" s="7" t="s">
        <v>32</v>
      </c>
      <c r="R261" s="7" t="s">
        <v>33</v>
      </c>
      <c r="S261" s="7" t="s">
        <v>34</v>
      </c>
      <c r="T261" s="7"/>
      <c r="U261" s="7" t="s">
        <v>35</v>
      </c>
      <c r="V261" s="9">
        <v>3721.44</v>
      </c>
      <c r="W261" s="9">
        <v>1604.68</v>
      </c>
      <c r="X261" s="9">
        <v>1481.88</v>
      </c>
      <c r="Y261" s="7">
        <v>0</v>
      </c>
      <c r="Z261" s="7">
        <v>634.88</v>
      </c>
    </row>
    <row r="262" spans="1:26" ht="17.5" x14ac:dyDescent="0.35">
      <c r="A262" s="7" t="s">
        <v>27</v>
      </c>
      <c r="B262" s="7" t="s">
        <v>28</v>
      </c>
      <c r="C262" s="7" t="s">
        <v>50</v>
      </c>
      <c r="D262" s="7" t="s">
        <v>51</v>
      </c>
      <c r="E262" s="7" t="s">
        <v>40</v>
      </c>
      <c r="F262" s="7" t="s">
        <v>249</v>
      </c>
      <c r="G262" s="7">
        <v>2017</v>
      </c>
      <c r="H262" s="7" t="str">
        <f>CONCATENATE("14270141212")</f>
        <v>14270141212</v>
      </c>
      <c r="I262" s="7" t="s">
        <v>30</v>
      </c>
      <c r="J262" s="7" t="s">
        <v>31</v>
      </c>
      <c r="K262" s="7" t="str">
        <f>CONCATENATE("")</f>
        <v/>
      </c>
      <c r="L262" s="7" t="str">
        <f>CONCATENATE("21 21.1 2a")</f>
        <v>21 21.1 2a</v>
      </c>
      <c r="M262" s="7" t="str">
        <f>CONCATENATE("01392530414")</f>
        <v>01392530414</v>
      </c>
      <c r="N262" s="7" t="s">
        <v>370</v>
      </c>
      <c r="O262" s="7" t="s">
        <v>152</v>
      </c>
      <c r="P262" s="8">
        <v>44334</v>
      </c>
      <c r="Q262" s="7" t="s">
        <v>32</v>
      </c>
      <c r="R262" s="7" t="s">
        <v>33</v>
      </c>
      <c r="S262" s="7" t="s">
        <v>34</v>
      </c>
      <c r="T262" s="7"/>
      <c r="U262" s="7" t="s">
        <v>35</v>
      </c>
      <c r="V262" s="9">
        <v>1980</v>
      </c>
      <c r="W262" s="7">
        <v>853.78</v>
      </c>
      <c r="X262" s="7">
        <v>788.44</v>
      </c>
      <c r="Y262" s="7">
        <v>0</v>
      </c>
      <c r="Z262" s="7">
        <v>337.78</v>
      </c>
    </row>
    <row r="263" spans="1:26" x14ac:dyDescent="0.35">
      <c r="A263" s="7" t="s">
        <v>27</v>
      </c>
      <c r="B263" s="7" t="s">
        <v>47</v>
      </c>
      <c r="C263" s="7" t="s">
        <v>50</v>
      </c>
      <c r="D263" s="7" t="s">
        <v>54</v>
      </c>
      <c r="E263" s="7" t="s">
        <v>39</v>
      </c>
      <c r="F263" s="7" t="s">
        <v>195</v>
      </c>
      <c r="G263" s="7">
        <v>2020</v>
      </c>
      <c r="H263" s="7" t="str">
        <f>CONCATENATE("04240327694")</f>
        <v>04240327694</v>
      </c>
      <c r="I263" s="7" t="s">
        <v>43</v>
      </c>
      <c r="J263" s="7" t="s">
        <v>31</v>
      </c>
      <c r="K263" s="7" t="str">
        <f>CONCATENATE("")</f>
        <v/>
      </c>
      <c r="L263" s="7" t="str">
        <f>CONCATENATE("11 11.2 4b")</f>
        <v>11 11.2 4b</v>
      </c>
      <c r="M263" s="7" t="str">
        <f>CONCATENATE("GTTPLA55T01I156X")</f>
        <v>GTTPLA55T01I156X</v>
      </c>
      <c r="N263" s="7" t="s">
        <v>372</v>
      </c>
      <c r="O263" s="7" t="s">
        <v>78</v>
      </c>
      <c r="P263" s="8">
        <v>44334</v>
      </c>
      <c r="Q263" s="7" t="s">
        <v>32</v>
      </c>
      <c r="R263" s="7" t="s">
        <v>33</v>
      </c>
      <c r="S263" s="7" t="s">
        <v>34</v>
      </c>
      <c r="T263" s="7"/>
      <c r="U263" s="7" t="s">
        <v>35</v>
      </c>
      <c r="V263" s="9">
        <v>2629.39</v>
      </c>
      <c r="W263" s="9">
        <v>1133.79</v>
      </c>
      <c r="X263" s="9">
        <v>1047.02</v>
      </c>
      <c r="Y263" s="7">
        <v>0</v>
      </c>
      <c r="Z263" s="7">
        <v>448.58</v>
      </c>
    </row>
    <row r="264" spans="1:26" x14ac:dyDescent="0.35">
      <c r="A264" s="7" t="s">
        <v>27</v>
      </c>
      <c r="B264" s="7" t="s">
        <v>47</v>
      </c>
      <c r="C264" s="7" t="s">
        <v>50</v>
      </c>
      <c r="D264" s="7" t="s">
        <v>54</v>
      </c>
      <c r="E264" s="7" t="s">
        <v>42</v>
      </c>
      <c r="F264" s="7" t="s">
        <v>76</v>
      </c>
      <c r="G264" s="7">
        <v>2020</v>
      </c>
      <c r="H264" s="7" t="str">
        <f>CONCATENATE("04240563280")</f>
        <v>04240563280</v>
      </c>
      <c r="I264" s="7" t="s">
        <v>43</v>
      </c>
      <c r="J264" s="7" t="s">
        <v>31</v>
      </c>
      <c r="K264" s="7" t="str">
        <f>CONCATENATE("")</f>
        <v/>
      </c>
      <c r="L264" s="7" t="str">
        <f>CONCATENATE("11 11.2 4b")</f>
        <v>11 11.2 4b</v>
      </c>
      <c r="M264" s="7" t="str">
        <f>CONCATENATE("MRAMTT85H13E783K")</f>
        <v>MRAMTT85H13E783K</v>
      </c>
      <c r="N264" s="7" t="s">
        <v>373</v>
      </c>
      <c r="O264" s="7" t="s">
        <v>78</v>
      </c>
      <c r="P264" s="8">
        <v>44334</v>
      </c>
      <c r="Q264" s="7" t="s">
        <v>32</v>
      </c>
      <c r="R264" s="7" t="s">
        <v>33</v>
      </c>
      <c r="S264" s="7" t="s">
        <v>34</v>
      </c>
      <c r="T264" s="7"/>
      <c r="U264" s="7" t="s">
        <v>35</v>
      </c>
      <c r="V264" s="7">
        <v>169.12</v>
      </c>
      <c r="W264" s="7">
        <v>72.92</v>
      </c>
      <c r="X264" s="7">
        <v>67.34</v>
      </c>
      <c r="Y264" s="7">
        <v>0</v>
      </c>
      <c r="Z264" s="7">
        <v>28.86</v>
      </c>
    </row>
    <row r="265" spans="1:26" x14ac:dyDescent="0.35">
      <c r="A265" s="7" t="s">
        <v>27</v>
      </c>
      <c r="B265" s="7" t="s">
        <v>47</v>
      </c>
      <c r="C265" s="7" t="s">
        <v>50</v>
      </c>
      <c r="D265" s="7" t="s">
        <v>54</v>
      </c>
      <c r="E265" s="7" t="s">
        <v>44</v>
      </c>
      <c r="F265" s="7" t="s">
        <v>180</v>
      </c>
      <c r="G265" s="7">
        <v>2020</v>
      </c>
      <c r="H265" s="7" t="str">
        <f>CONCATENATE("04240695942")</f>
        <v>04240695942</v>
      </c>
      <c r="I265" s="7" t="s">
        <v>30</v>
      </c>
      <c r="J265" s="7" t="s">
        <v>31</v>
      </c>
      <c r="K265" s="7" t="str">
        <f>CONCATENATE("")</f>
        <v/>
      </c>
      <c r="L265" s="7" t="str">
        <f>CONCATENATE("11 11.2 4b")</f>
        <v>11 11.2 4b</v>
      </c>
      <c r="M265" s="7" t="str">
        <f>CONCATENATE("00847340437")</f>
        <v>00847340437</v>
      </c>
      <c r="N265" s="7" t="s">
        <v>374</v>
      </c>
      <c r="O265" s="7" t="s">
        <v>78</v>
      </c>
      <c r="P265" s="8">
        <v>44334</v>
      </c>
      <c r="Q265" s="7" t="s">
        <v>32</v>
      </c>
      <c r="R265" s="7" t="s">
        <v>33</v>
      </c>
      <c r="S265" s="7" t="s">
        <v>34</v>
      </c>
      <c r="T265" s="7"/>
      <c r="U265" s="7" t="s">
        <v>35</v>
      </c>
      <c r="V265" s="9">
        <v>10041.219999999999</v>
      </c>
      <c r="W265" s="9">
        <v>4329.7700000000004</v>
      </c>
      <c r="X265" s="9">
        <v>3998.41</v>
      </c>
      <c r="Y265" s="7">
        <v>0</v>
      </c>
      <c r="Z265" s="9">
        <v>1713.04</v>
      </c>
    </row>
    <row r="266" spans="1:26" x14ac:dyDescent="0.35">
      <c r="A266" s="7" t="s">
        <v>27</v>
      </c>
      <c r="B266" s="7" t="s">
        <v>47</v>
      </c>
      <c r="C266" s="7" t="s">
        <v>50</v>
      </c>
      <c r="D266" s="7" t="s">
        <v>104</v>
      </c>
      <c r="E266" s="7" t="s">
        <v>40</v>
      </c>
      <c r="F266" s="7" t="s">
        <v>261</v>
      </c>
      <c r="G266" s="7">
        <v>2020</v>
      </c>
      <c r="H266" s="7" t="str">
        <f>CONCATENATE("04240419897")</f>
        <v>04240419897</v>
      </c>
      <c r="I266" s="7" t="s">
        <v>30</v>
      </c>
      <c r="J266" s="7" t="s">
        <v>31</v>
      </c>
      <c r="K266" s="7" t="str">
        <f>CONCATENATE("")</f>
        <v/>
      </c>
      <c r="L266" s="7" t="str">
        <f>CONCATENATE("11 11.1 4b")</f>
        <v>11 11.1 4b</v>
      </c>
      <c r="M266" s="7" t="str">
        <f>CONCATENATE("MZZSDR48C14I608A")</f>
        <v>MZZSDR48C14I608A</v>
      </c>
      <c r="N266" s="7" t="s">
        <v>375</v>
      </c>
      <c r="O266" s="7" t="s">
        <v>78</v>
      </c>
      <c r="P266" s="8">
        <v>44334</v>
      </c>
      <c r="Q266" s="7" t="s">
        <v>32</v>
      </c>
      <c r="R266" s="7" t="s">
        <v>33</v>
      </c>
      <c r="S266" s="7" t="s">
        <v>34</v>
      </c>
      <c r="T266" s="7"/>
      <c r="U266" s="7" t="s">
        <v>35</v>
      </c>
      <c r="V266" s="7">
        <v>681.26</v>
      </c>
      <c r="W266" s="7">
        <v>293.76</v>
      </c>
      <c r="X266" s="7">
        <v>271.27999999999997</v>
      </c>
      <c r="Y266" s="7">
        <v>0</v>
      </c>
      <c r="Z266" s="7">
        <v>116.22</v>
      </c>
    </row>
    <row r="267" spans="1:26" ht="17.5" x14ac:dyDescent="0.35">
      <c r="A267" s="7" t="s">
        <v>27</v>
      </c>
      <c r="B267" s="7" t="s">
        <v>28</v>
      </c>
      <c r="C267" s="7" t="s">
        <v>50</v>
      </c>
      <c r="D267" s="7" t="s">
        <v>64</v>
      </c>
      <c r="E267" s="7" t="s">
        <v>44</v>
      </c>
      <c r="F267" s="7" t="s">
        <v>376</v>
      </c>
      <c r="G267" s="7">
        <v>2017</v>
      </c>
      <c r="H267" s="7" t="str">
        <f>CONCATENATE("14270141345")</f>
        <v>14270141345</v>
      </c>
      <c r="I267" s="7" t="s">
        <v>30</v>
      </c>
      <c r="J267" s="7" t="s">
        <v>31</v>
      </c>
      <c r="K267" s="7" t="str">
        <f>CONCATENATE("")</f>
        <v/>
      </c>
      <c r="L267" s="7" t="str">
        <f>CONCATENATE("21 21.1 2a")</f>
        <v>21 21.1 2a</v>
      </c>
      <c r="M267" s="7" t="str">
        <f>CONCATENATE("01968650448")</f>
        <v>01968650448</v>
      </c>
      <c r="N267" s="7" t="s">
        <v>377</v>
      </c>
      <c r="O267" s="7" t="s">
        <v>152</v>
      </c>
      <c r="P267" s="8">
        <v>44334</v>
      </c>
      <c r="Q267" s="7" t="s">
        <v>32</v>
      </c>
      <c r="R267" s="7" t="s">
        <v>33</v>
      </c>
      <c r="S267" s="7" t="s">
        <v>34</v>
      </c>
      <c r="T267" s="7"/>
      <c r="U267" s="7" t="s">
        <v>35</v>
      </c>
      <c r="V267" s="9">
        <v>2625</v>
      </c>
      <c r="W267" s="9">
        <v>1131.9000000000001</v>
      </c>
      <c r="X267" s="9">
        <v>1045.28</v>
      </c>
      <c r="Y267" s="7">
        <v>0</v>
      </c>
      <c r="Z267" s="7">
        <v>447.82</v>
      </c>
    </row>
    <row r="268" spans="1:26" x14ac:dyDescent="0.35">
      <c r="A268" s="7" t="s">
        <v>27</v>
      </c>
      <c r="B268" s="7" t="s">
        <v>47</v>
      </c>
      <c r="C268" s="7" t="s">
        <v>50</v>
      </c>
      <c r="D268" s="7" t="s">
        <v>54</v>
      </c>
      <c r="E268" s="7" t="s">
        <v>39</v>
      </c>
      <c r="F268" s="7" t="s">
        <v>62</v>
      </c>
      <c r="G268" s="7">
        <v>2020</v>
      </c>
      <c r="H268" s="7" t="str">
        <f>CONCATENATE("04240302655")</f>
        <v>04240302655</v>
      </c>
      <c r="I268" s="7" t="s">
        <v>30</v>
      </c>
      <c r="J268" s="7" t="s">
        <v>31</v>
      </c>
      <c r="K268" s="7" t="str">
        <f>CONCATENATE("")</f>
        <v/>
      </c>
      <c r="L268" s="7" t="str">
        <f>CONCATENATE("11 11.1 4b")</f>
        <v>11 11.1 4b</v>
      </c>
      <c r="M268" s="7" t="str">
        <f>CONCATENATE("BLLSRA72D24L191U")</f>
        <v>BLLSRA72D24L191U</v>
      </c>
      <c r="N268" s="7" t="s">
        <v>378</v>
      </c>
      <c r="O268" s="7" t="s">
        <v>78</v>
      </c>
      <c r="P268" s="8">
        <v>44334</v>
      </c>
      <c r="Q268" s="7" t="s">
        <v>32</v>
      </c>
      <c r="R268" s="7" t="s">
        <v>33</v>
      </c>
      <c r="S268" s="7" t="s">
        <v>34</v>
      </c>
      <c r="T268" s="7"/>
      <c r="U268" s="7" t="s">
        <v>35</v>
      </c>
      <c r="V268" s="9">
        <v>3135.12</v>
      </c>
      <c r="W268" s="9">
        <v>1351.86</v>
      </c>
      <c r="X268" s="9">
        <v>1248.4000000000001</v>
      </c>
      <c r="Y268" s="7">
        <v>0</v>
      </c>
      <c r="Z268" s="7">
        <v>534.86</v>
      </c>
    </row>
    <row r="269" spans="1:26" x14ac:dyDescent="0.35">
      <c r="A269" s="7" t="s">
        <v>27</v>
      </c>
      <c r="B269" s="7" t="s">
        <v>28</v>
      </c>
      <c r="C269" s="7" t="s">
        <v>50</v>
      </c>
      <c r="D269" s="7" t="s">
        <v>104</v>
      </c>
      <c r="E269" s="7" t="s">
        <v>39</v>
      </c>
      <c r="F269" s="7" t="s">
        <v>164</v>
      </c>
      <c r="G269" s="7">
        <v>2017</v>
      </c>
      <c r="H269" s="7" t="str">
        <f>CONCATENATE("14270137772")</f>
        <v>14270137772</v>
      </c>
      <c r="I269" s="7" t="s">
        <v>30</v>
      </c>
      <c r="J269" s="7" t="s">
        <v>31</v>
      </c>
      <c r="K269" s="7" t="str">
        <f>CONCATENATE("")</f>
        <v/>
      </c>
      <c r="L269" s="7" t="str">
        <f>CONCATENATE("21 21.1 2a")</f>
        <v>21 21.1 2a</v>
      </c>
      <c r="M269" s="7" t="str">
        <f>CONCATENATE("MRCSLV74D47G479T")</f>
        <v>MRCSLV74D47G479T</v>
      </c>
      <c r="N269" s="7" t="s">
        <v>379</v>
      </c>
      <c r="O269" s="7" t="s">
        <v>358</v>
      </c>
      <c r="P269" s="8">
        <v>44330</v>
      </c>
      <c r="Q269" s="7" t="s">
        <v>32</v>
      </c>
      <c r="R269" s="7" t="s">
        <v>33</v>
      </c>
      <c r="S269" s="7" t="s">
        <v>34</v>
      </c>
      <c r="T269" s="7"/>
      <c r="U269" s="7" t="s">
        <v>35</v>
      </c>
      <c r="V269" s="9">
        <v>7000</v>
      </c>
      <c r="W269" s="9">
        <v>3018.4</v>
      </c>
      <c r="X269" s="9">
        <v>2787.4</v>
      </c>
      <c r="Y269" s="7">
        <v>0</v>
      </c>
      <c r="Z269" s="9">
        <v>1194.2</v>
      </c>
    </row>
    <row r="270" spans="1:26" ht="17.5" x14ac:dyDescent="0.35">
      <c r="A270" s="7" t="s">
        <v>27</v>
      </c>
      <c r="B270" s="7" t="s">
        <v>47</v>
      </c>
      <c r="C270" s="7" t="s">
        <v>50</v>
      </c>
      <c r="D270" s="7" t="s">
        <v>54</v>
      </c>
      <c r="E270" s="7" t="s">
        <v>39</v>
      </c>
      <c r="F270" s="7" t="s">
        <v>107</v>
      </c>
      <c r="G270" s="7">
        <v>2020</v>
      </c>
      <c r="H270" s="7" t="str">
        <f>CONCATENATE("04240247652")</f>
        <v>04240247652</v>
      </c>
      <c r="I270" s="7" t="s">
        <v>30</v>
      </c>
      <c r="J270" s="7" t="s">
        <v>31</v>
      </c>
      <c r="K270" s="7" t="str">
        <f>CONCATENATE("")</f>
        <v/>
      </c>
      <c r="L270" s="7" t="str">
        <f>CONCATENATE("11 11.2 4b")</f>
        <v>11 11.2 4b</v>
      </c>
      <c r="M270" s="7" t="str">
        <f>CONCATENATE("01704950433")</f>
        <v>01704950433</v>
      </c>
      <c r="N270" s="7" t="s">
        <v>380</v>
      </c>
      <c r="O270" s="7" t="s">
        <v>78</v>
      </c>
      <c r="P270" s="8">
        <v>44334</v>
      </c>
      <c r="Q270" s="7" t="s">
        <v>32</v>
      </c>
      <c r="R270" s="7" t="s">
        <v>33</v>
      </c>
      <c r="S270" s="7" t="s">
        <v>34</v>
      </c>
      <c r="T270" s="7"/>
      <c r="U270" s="7" t="s">
        <v>35</v>
      </c>
      <c r="V270" s="9">
        <v>1359.59</v>
      </c>
      <c r="W270" s="7">
        <v>586.26</v>
      </c>
      <c r="X270" s="7">
        <v>541.39</v>
      </c>
      <c r="Y270" s="7">
        <v>0</v>
      </c>
      <c r="Z270" s="7">
        <v>231.94</v>
      </c>
    </row>
    <row r="271" spans="1:26" x14ac:dyDescent="0.35">
      <c r="A271" s="7" t="s">
        <v>27</v>
      </c>
      <c r="B271" s="7" t="s">
        <v>47</v>
      </c>
      <c r="C271" s="7" t="s">
        <v>50</v>
      </c>
      <c r="D271" s="7" t="s">
        <v>64</v>
      </c>
      <c r="E271" s="7" t="s">
        <v>39</v>
      </c>
      <c r="F271" s="7" t="s">
        <v>93</v>
      </c>
      <c r="G271" s="7">
        <v>2020</v>
      </c>
      <c r="H271" s="7" t="str">
        <f>CONCATENATE("04240961351")</f>
        <v>04240961351</v>
      </c>
      <c r="I271" s="7" t="s">
        <v>30</v>
      </c>
      <c r="J271" s="7" t="s">
        <v>31</v>
      </c>
      <c r="K271" s="7" t="str">
        <f>CONCATENATE("")</f>
        <v/>
      </c>
      <c r="L271" s="7" t="str">
        <f>CONCATENATE("11 11.1 4b")</f>
        <v>11 11.1 4b</v>
      </c>
      <c r="M271" s="7" t="str">
        <f>CONCATENATE("02272310448")</f>
        <v>02272310448</v>
      </c>
      <c r="N271" s="7" t="s">
        <v>381</v>
      </c>
      <c r="O271" s="7" t="s">
        <v>78</v>
      </c>
      <c r="P271" s="8">
        <v>44334</v>
      </c>
      <c r="Q271" s="7" t="s">
        <v>32</v>
      </c>
      <c r="R271" s="7" t="s">
        <v>33</v>
      </c>
      <c r="S271" s="7" t="s">
        <v>34</v>
      </c>
      <c r="T271" s="7"/>
      <c r="U271" s="7" t="s">
        <v>35</v>
      </c>
      <c r="V271" s="7">
        <v>12.13</v>
      </c>
      <c r="W271" s="7">
        <v>5.23</v>
      </c>
      <c r="X271" s="7">
        <v>4.83</v>
      </c>
      <c r="Y271" s="7">
        <v>0</v>
      </c>
      <c r="Z271" s="7">
        <v>2.0699999999999998</v>
      </c>
    </row>
    <row r="272" spans="1:26" x14ac:dyDescent="0.35">
      <c r="A272" s="7" t="s">
        <v>27</v>
      </c>
      <c r="B272" s="7" t="s">
        <v>47</v>
      </c>
      <c r="C272" s="7" t="s">
        <v>50</v>
      </c>
      <c r="D272" s="7" t="s">
        <v>51</v>
      </c>
      <c r="E272" s="7" t="s">
        <v>41</v>
      </c>
      <c r="F272" s="7" t="s">
        <v>282</v>
      </c>
      <c r="G272" s="7">
        <v>2020</v>
      </c>
      <c r="H272" s="7" t="str">
        <f>CONCATENATE("04241090184")</f>
        <v>04241090184</v>
      </c>
      <c r="I272" s="7" t="s">
        <v>30</v>
      </c>
      <c r="J272" s="7" t="s">
        <v>31</v>
      </c>
      <c r="K272" s="7" t="str">
        <f>CONCATENATE("")</f>
        <v/>
      </c>
      <c r="L272" s="7" t="str">
        <f>CONCATENATE("11 11.2 4b")</f>
        <v>11 11.2 4b</v>
      </c>
      <c r="M272" s="7" t="str">
        <f>CONCATENATE("01134880416")</f>
        <v>01134880416</v>
      </c>
      <c r="N272" s="7" t="s">
        <v>382</v>
      </c>
      <c r="O272" s="7" t="s">
        <v>78</v>
      </c>
      <c r="P272" s="8">
        <v>44334</v>
      </c>
      <c r="Q272" s="7" t="s">
        <v>32</v>
      </c>
      <c r="R272" s="7" t="s">
        <v>33</v>
      </c>
      <c r="S272" s="7" t="s">
        <v>34</v>
      </c>
      <c r="T272" s="7"/>
      <c r="U272" s="7" t="s">
        <v>35</v>
      </c>
      <c r="V272" s="7">
        <v>357.74</v>
      </c>
      <c r="W272" s="7">
        <v>154.26</v>
      </c>
      <c r="X272" s="7">
        <v>142.44999999999999</v>
      </c>
      <c r="Y272" s="7">
        <v>0</v>
      </c>
      <c r="Z272" s="7">
        <v>61.03</v>
      </c>
    </row>
    <row r="273" spans="1:26" x14ac:dyDescent="0.35">
      <c r="A273" s="7" t="s">
        <v>27</v>
      </c>
      <c r="B273" s="7" t="s">
        <v>47</v>
      </c>
      <c r="C273" s="7" t="s">
        <v>50</v>
      </c>
      <c r="D273" s="7" t="s">
        <v>51</v>
      </c>
      <c r="E273" s="7" t="s">
        <v>41</v>
      </c>
      <c r="F273" s="7" t="s">
        <v>282</v>
      </c>
      <c r="G273" s="7">
        <v>2020</v>
      </c>
      <c r="H273" s="7" t="str">
        <f>CONCATENATE("04241089780")</f>
        <v>04241089780</v>
      </c>
      <c r="I273" s="7" t="s">
        <v>30</v>
      </c>
      <c r="J273" s="7" t="s">
        <v>31</v>
      </c>
      <c r="K273" s="7" t="str">
        <f>CONCATENATE("")</f>
        <v/>
      </c>
      <c r="L273" s="7" t="str">
        <f>CONCATENATE("11 11.1 4b")</f>
        <v>11 11.1 4b</v>
      </c>
      <c r="M273" s="7" t="str">
        <f>CONCATENATE("01134880416")</f>
        <v>01134880416</v>
      </c>
      <c r="N273" s="7" t="s">
        <v>382</v>
      </c>
      <c r="O273" s="7" t="s">
        <v>78</v>
      </c>
      <c r="P273" s="8">
        <v>44334</v>
      </c>
      <c r="Q273" s="7" t="s">
        <v>32</v>
      </c>
      <c r="R273" s="7" t="s">
        <v>33</v>
      </c>
      <c r="S273" s="7" t="s">
        <v>34</v>
      </c>
      <c r="T273" s="7"/>
      <c r="U273" s="7" t="s">
        <v>35</v>
      </c>
      <c r="V273" s="7">
        <v>122.43</v>
      </c>
      <c r="W273" s="7">
        <v>52.79</v>
      </c>
      <c r="X273" s="7">
        <v>48.75</v>
      </c>
      <c r="Y273" s="7">
        <v>0</v>
      </c>
      <c r="Z273" s="7">
        <v>20.89</v>
      </c>
    </row>
    <row r="274" spans="1:26" x14ac:dyDescent="0.35">
      <c r="A274" s="7" t="s">
        <v>27</v>
      </c>
      <c r="B274" s="7" t="s">
        <v>47</v>
      </c>
      <c r="C274" s="7" t="s">
        <v>50</v>
      </c>
      <c r="D274" s="7" t="s">
        <v>54</v>
      </c>
      <c r="E274" s="7" t="s">
        <v>42</v>
      </c>
      <c r="F274" s="7" t="s">
        <v>76</v>
      </c>
      <c r="G274" s="7">
        <v>2020</v>
      </c>
      <c r="H274" s="7" t="str">
        <f>CONCATENATE("04241085820")</f>
        <v>04241085820</v>
      </c>
      <c r="I274" s="7" t="s">
        <v>43</v>
      </c>
      <c r="J274" s="7" t="s">
        <v>31</v>
      </c>
      <c r="K274" s="7" t="str">
        <f>CONCATENATE("")</f>
        <v/>
      </c>
      <c r="L274" s="7" t="str">
        <f>CONCATENATE("11 11.2 4b")</f>
        <v>11 11.2 4b</v>
      </c>
      <c r="M274" s="7" t="str">
        <f>CONCATENATE("FRRFBA70A16I156B")</f>
        <v>FRRFBA70A16I156B</v>
      </c>
      <c r="N274" s="7" t="s">
        <v>383</v>
      </c>
      <c r="O274" s="7" t="s">
        <v>78</v>
      </c>
      <c r="P274" s="8">
        <v>44334</v>
      </c>
      <c r="Q274" s="7" t="s">
        <v>32</v>
      </c>
      <c r="R274" s="7" t="s">
        <v>33</v>
      </c>
      <c r="S274" s="7" t="s">
        <v>34</v>
      </c>
      <c r="T274" s="7"/>
      <c r="U274" s="7" t="s">
        <v>35</v>
      </c>
      <c r="V274" s="9">
        <v>9802.6200000000008</v>
      </c>
      <c r="W274" s="9">
        <v>4226.8900000000003</v>
      </c>
      <c r="X274" s="9">
        <v>3903.4</v>
      </c>
      <c r="Y274" s="7">
        <v>0</v>
      </c>
      <c r="Z274" s="9">
        <v>1672.33</v>
      </c>
    </row>
    <row r="275" spans="1:26" x14ac:dyDescent="0.35">
      <c r="A275" s="7" t="s">
        <v>27</v>
      </c>
      <c r="B275" s="7" t="s">
        <v>47</v>
      </c>
      <c r="C275" s="7" t="s">
        <v>50</v>
      </c>
      <c r="D275" s="7" t="s">
        <v>54</v>
      </c>
      <c r="E275" s="7" t="s">
        <v>42</v>
      </c>
      <c r="F275" s="7" t="s">
        <v>76</v>
      </c>
      <c r="G275" s="7">
        <v>2020</v>
      </c>
      <c r="H275" s="7" t="str">
        <f>CONCATENATE("04241085622")</f>
        <v>04241085622</v>
      </c>
      <c r="I275" s="7" t="s">
        <v>43</v>
      </c>
      <c r="J275" s="7" t="s">
        <v>31</v>
      </c>
      <c r="K275" s="7" t="str">
        <f>CONCATENATE("")</f>
        <v/>
      </c>
      <c r="L275" s="7" t="str">
        <f>CONCATENATE("11 11.1 4b")</f>
        <v>11 11.1 4b</v>
      </c>
      <c r="M275" s="7" t="str">
        <f>CONCATENATE("FRRFBA70A16I156B")</f>
        <v>FRRFBA70A16I156B</v>
      </c>
      <c r="N275" s="7" t="s">
        <v>383</v>
      </c>
      <c r="O275" s="7" t="s">
        <v>78</v>
      </c>
      <c r="P275" s="8">
        <v>44334</v>
      </c>
      <c r="Q275" s="7" t="s">
        <v>32</v>
      </c>
      <c r="R275" s="7" t="s">
        <v>33</v>
      </c>
      <c r="S275" s="7" t="s">
        <v>34</v>
      </c>
      <c r="T275" s="7"/>
      <c r="U275" s="7" t="s">
        <v>35</v>
      </c>
      <c r="V275" s="7">
        <v>152.44</v>
      </c>
      <c r="W275" s="7">
        <v>65.73</v>
      </c>
      <c r="X275" s="7">
        <v>60.7</v>
      </c>
      <c r="Y275" s="7">
        <v>0</v>
      </c>
      <c r="Z275" s="7">
        <v>26.01</v>
      </c>
    </row>
    <row r="276" spans="1:26" x14ac:dyDescent="0.35">
      <c r="A276" s="7" t="s">
        <v>27</v>
      </c>
      <c r="B276" s="7" t="s">
        <v>47</v>
      </c>
      <c r="C276" s="7" t="s">
        <v>50</v>
      </c>
      <c r="D276" s="7" t="s">
        <v>64</v>
      </c>
      <c r="E276" s="7" t="s">
        <v>39</v>
      </c>
      <c r="F276" s="7" t="s">
        <v>384</v>
      </c>
      <c r="G276" s="7">
        <v>2020</v>
      </c>
      <c r="H276" s="7" t="str">
        <f>CONCATENATE("04241022781")</f>
        <v>04241022781</v>
      </c>
      <c r="I276" s="7" t="s">
        <v>30</v>
      </c>
      <c r="J276" s="7" t="s">
        <v>31</v>
      </c>
      <c r="K276" s="7" t="str">
        <f>CONCATENATE("")</f>
        <v/>
      </c>
      <c r="L276" s="7" t="str">
        <f>CONCATENATE("11 11.2 4b")</f>
        <v>11 11.2 4b</v>
      </c>
      <c r="M276" s="7" t="str">
        <f>CONCATENATE("SLQNDR31P04C321T")</f>
        <v>SLQNDR31P04C321T</v>
      </c>
      <c r="N276" s="7" t="s">
        <v>385</v>
      </c>
      <c r="O276" s="7" t="s">
        <v>78</v>
      </c>
      <c r="P276" s="8">
        <v>44334</v>
      </c>
      <c r="Q276" s="7" t="s">
        <v>32</v>
      </c>
      <c r="R276" s="7" t="s">
        <v>33</v>
      </c>
      <c r="S276" s="7" t="s">
        <v>34</v>
      </c>
      <c r="T276" s="7"/>
      <c r="U276" s="7" t="s">
        <v>35</v>
      </c>
      <c r="V276" s="9">
        <v>2571.02</v>
      </c>
      <c r="W276" s="9">
        <v>1108.6199999999999</v>
      </c>
      <c r="X276" s="9">
        <v>1023.78</v>
      </c>
      <c r="Y276" s="7">
        <v>0</v>
      </c>
      <c r="Z276" s="7">
        <v>438.62</v>
      </c>
    </row>
    <row r="277" spans="1:26" x14ac:dyDescent="0.35">
      <c r="A277" s="7" t="s">
        <v>27</v>
      </c>
      <c r="B277" s="7" t="s">
        <v>47</v>
      </c>
      <c r="C277" s="7" t="s">
        <v>50</v>
      </c>
      <c r="D277" s="7" t="s">
        <v>54</v>
      </c>
      <c r="E277" s="7" t="s">
        <v>42</v>
      </c>
      <c r="F277" s="7" t="s">
        <v>184</v>
      </c>
      <c r="G277" s="7">
        <v>2020</v>
      </c>
      <c r="H277" s="7" t="str">
        <f>CONCATENATE("04241107475")</f>
        <v>04241107475</v>
      </c>
      <c r="I277" s="7" t="s">
        <v>30</v>
      </c>
      <c r="J277" s="7" t="s">
        <v>31</v>
      </c>
      <c r="K277" s="7" t="str">
        <f>CONCATENATE("")</f>
        <v/>
      </c>
      <c r="L277" s="7" t="str">
        <f>CONCATENATE("11 11.2 4b")</f>
        <v>11 11.2 4b</v>
      </c>
      <c r="M277" s="7" t="str">
        <f>CONCATENATE("RCCRND85M13L191V")</f>
        <v>RCCRND85M13L191V</v>
      </c>
      <c r="N277" s="7" t="s">
        <v>386</v>
      </c>
      <c r="O277" s="7" t="s">
        <v>78</v>
      </c>
      <c r="P277" s="8">
        <v>44334</v>
      </c>
      <c r="Q277" s="7" t="s">
        <v>32</v>
      </c>
      <c r="R277" s="7" t="s">
        <v>33</v>
      </c>
      <c r="S277" s="7" t="s">
        <v>34</v>
      </c>
      <c r="T277" s="7"/>
      <c r="U277" s="7" t="s">
        <v>35</v>
      </c>
      <c r="V277" s="9">
        <v>2478.9299999999998</v>
      </c>
      <c r="W277" s="9">
        <v>1068.9100000000001</v>
      </c>
      <c r="X277" s="7">
        <v>987.11</v>
      </c>
      <c r="Y277" s="7">
        <v>0</v>
      </c>
      <c r="Z277" s="7">
        <v>422.91</v>
      </c>
    </row>
    <row r="278" spans="1:26" x14ac:dyDescent="0.35">
      <c r="A278" s="7" t="s">
        <v>27</v>
      </c>
      <c r="B278" s="7" t="s">
        <v>47</v>
      </c>
      <c r="C278" s="7" t="s">
        <v>50</v>
      </c>
      <c r="D278" s="7" t="s">
        <v>54</v>
      </c>
      <c r="E278" s="7" t="s">
        <v>39</v>
      </c>
      <c r="F278" s="7" t="s">
        <v>79</v>
      </c>
      <c r="G278" s="7">
        <v>2020</v>
      </c>
      <c r="H278" s="7" t="str">
        <f>CONCATENATE("04240861304")</f>
        <v>04240861304</v>
      </c>
      <c r="I278" s="7" t="s">
        <v>30</v>
      </c>
      <c r="J278" s="7" t="s">
        <v>31</v>
      </c>
      <c r="K278" s="7" t="str">
        <f>CONCATENATE("")</f>
        <v/>
      </c>
      <c r="L278" s="7" t="str">
        <f>CONCATENATE("11 11.2 4b")</f>
        <v>11 11.2 4b</v>
      </c>
      <c r="M278" s="7" t="str">
        <f>CONCATENATE("LCRLGU34T31E228O")</f>
        <v>LCRLGU34T31E228O</v>
      </c>
      <c r="N278" s="7" t="s">
        <v>387</v>
      </c>
      <c r="O278" s="7" t="s">
        <v>78</v>
      </c>
      <c r="P278" s="8">
        <v>44334</v>
      </c>
      <c r="Q278" s="7" t="s">
        <v>32</v>
      </c>
      <c r="R278" s="7" t="s">
        <v>33</v>
      </c>
      <c r="S278" s="7" t="s">
        <v>34</v>
      </c>
      <c r="T278" s="7"/>
      <c r="U278" s="7" t="s">
        <v>35</v>
      </c>
      <c r="V278" s="9">
        <v>6396.64</v>
      </c>
      <c r="W278" s="9">
        <v>2758.23</v>
      </c>
      <c r="X278" s="9">
        <v>2547.14</v>
      </c>
      <c r="Y278" s="7">
        <v>0</v>
      </c>
      <c r="Z278" s="9">
        <v>1091.27</v>
      </c>
    </row>
    <row r="279" spans="1:26" x14ac:dyDescent="0.35">
      <c r="A279" s="7" t="s">
        <v>27</v>
      </c>
      <c r="B279" s="7" t="s">
        <v>47</v>
      </c>
      <c r="C279" s="7" t="s">
        <v>50</v>
      </c>
      <c r="D279" s="7" t="s">
        <v>54</v>
      </c>
      <c r="E279" s="7" t="s">
        <v>42</v>
      </c>
      <c r="F279" s="7" t="s">
        <v>76</v>
      </c>
      <c r="G279" s="7">
        <v>2020</v>
      </c>
      <c r="H279" s="7" t="str">
        <f>CONCATENATE("04240099897")</f>
        <v>04240099897</v>
      </c>
      <c r="I279" s="7" t="s">
        <v>30</v>
      </c>
      <c r="J279" s="7" t="s">
        <v>31</v>
      </c>
      <c r="K279" s="7" t="str">
        <f>CONCATENATE("")</f>
        <v/>
      </c>
      <c r="L279" s="7" t="str">
        <f>CONCATENATE("11 11.2 4b")</f>
        <v>11 11.2 4b</v>
      </c>
      <c r="M279" s="7" t="str">
        <f>CONCATENATE("VSSMRK77B15L191Y")</f>
        <v>VSSMRK77B15L191Y</v>
      </c>
      <c r="N279" s="7" t="s">
        <v>388</v>
      </c>
      <c r="O279" s="7" t="s">
        <v>78</v>
      </c>
      <c r="P279" s="8">
        <v>44334</v>
      </c>
      <c r="Q279" s="7" t="s">
        <v>32</v>
      </c>
      <c r="R279" s="7" t="s">
        <v>33</v>
      </c>
      <c r="S279" s="7" t="s">
        <v>34</v>
      </c>
      <c r="T279" s="7"/>
      <c r="U279" s="7" t="s">
        <v>35</v>
      </c>
      <c r="V279" s="7">
        <v>661.61</v>
      </c>
      <c r="W279" s="7">
        <v>285.29000000000002</v>
      </c>
      <c r="X279" s="7">
        <v>263.45</v>
      </c>
      <c r="Y279" s="7">
        <v>0</v>
      </c>
      <c r="Z279" s="7">
        <v>112.87</v>
      </c>
    </row>
    <row r="280" spans="1:26" x14ac:dyDescent="0.35">
      <c r="A280" s="7" t="s">
        <v>27</v>
      </c>
      <c r="B280" s="7" t="s">
        <v>47</v>
      </c>
      <c r="C280" s="7" t="s">
        <v>50</v>
      </c>
      <c r="D280" s="7" t="s">
        <v>51</v>
      </c>
      <c r="E280" s="7" t="s">
        <v>39</v>
      </c>
      <c r="F280" s="7" t="s">
        <v>119</v>
      </c>
      <c r="G280" s="7">
        <v>2020</v>
      </c>
      <c r="H280" s="7" t="str">
        <f>CONCATENATE("04210014868")</f>
        <v>04210014868</v>
      </c>
      <c r="I280" s="7" t="s">
        <v>30</v>
      </c>
      <c r="J280" s="7" t="s">
        <v>31</v>
      </c>
      <c r="K280" s="7" t="str">
        <f>CONCATENATE("")</f>
        <v/>
      </c>
      <c r="L280" s="7" t="str">
        <f>CONCATENATE("13 13.1 4a")</f>
        <v>13 13.1 4a</v>
      </c>
      <c r="M280" s="7" t="str">
        <f>CONCATENATE("FRNGPP62C19I460M")</f>
        <v>FRNGPP62C19I460M</v>
      </c>
      <c r="N280" s="7" t="s">
        <v>389</v>
      </c>
      <c r="O280" s="7" t="s">
        <v>115</v>
      </c>
      <c r="P280" s="8">
        <v>44334</v>
      </c>
      <c r="Q280" s="7" t="s">
        <v>32</v>
      </c>
      <c r="R280" s="7" t="s">
        <v>33</v>
      </c>
      <c r="S280" s="7" t="s">
        <v>34</v>
      </c>
      <c r="T280" s="7"/>
      <c r="U280" s="7" t="s">
        <v>35</v>
      </c>
      <c r="V280" s="9">
        <v>5799.46</v>
      </c>
      <c r="W280" s="9">
        <v>2500.73</v>
      </c>
      <c r="X280" s="9">
        <v>2309.34</v>
      </c>
      <c r="Y280" s="7">
        <v>0</v>
      </c>
      <c r="Z280" s="7">
        <v>989.39</v>
      </c>
    </row>
    <row r="281" spans="1:26" x14ac:dyDescent="0.35">
      <c r="A281" s="7" t="s">
        <v>27</v>
      </c>
      <c r="B281" s="7" t="s">
        <v>47</v>
      </c>
      <c r="C281" s="7" t="s">
        <v>50</v>
      </c>
      <c r="D281" s="7" t="s">
        <v>51</v>
      </c>
      <c r="E281" s="7" t="s">
        <v>39</v>
      </c>
      <c r="F281" s="7" t="s">
        <v>145</v>
      </c>
      <c r="G281" s="7">
        <v>2020</v>
      </c>
      <c r="H281" s="7" t="str">
        <f>CONCATENATE("04210029627")</f>
        <v>04210029627</v>
      </c>
      <c r="I281" s="7" t="s">
        <v>30</v>
      </c>
      <c r="J281" s="7" t="s">
        <v>31</v>
      </c>
      <c r="K281" s="7" t="str">
        <f>CONCATENATE("")</f>
        <v/>
      </c>
      <c r="L281" s="7" t="str">
        <f>CONCATENATE("13 13.1 4a")</f>
        <v>13 13.1 4a</v>
      </c>
      <c r="M281" s="7" t="str">
        <f>CONCATENATE("MRCGNI29E07F135F")</f>
        <v>MRCGNI29E07F135F</v>
      </c>
      <c r="N281" s="7" t="s">
        <v>390</v>
      </c>
      <c r="O281" s="7" t="s">
        <v>160</v>
      </c>
      <c r="P281" s="8">
        <v>44334</v>
      </c>
      <c r="Q281" s="7" t="s">
        <v>32</v>
      </c>
      <c r="R281" s="7" t="s">
        <v>33</v>
      </c>
      <c r="S281" s="7" t="s">
        <v>34</v>
      </c>
      <c r="T281" s="7"/>
      <c r="U281" s="7" t="s">
        <v>35</v>
      </c>
      <c r="V281" s="7">
        <v>919.1</v>
      </c>
      <c r="W281" s="7">
        <v>396.32</v>
      </c>
      <c r="X281" s="7">
        <v>365.99</v>
      </c>
      <c r="Y281" s="7">
        <v>0</v>
      </c>
      <c r="Z281" s="7">
        <v>156.79</v>
      </c>
    </row>
    <row r="282" spans="1:26" ht="17.5" x14ac:dyDescent="0.35">
      <c r="A282" s="7" t="s">
        <v>27</v>
      </c>
      <c r="B282" s="7" t="s">
        <v>47</v>
      </c>
      <c r="C282" s="7" t="s">
        <v>50</v>
      </c>
      <c r="D282" s="7" t="s">
        <v>54</v>
      </c>
      <c r="E282" s="7" t="s">
        <v>42</v>
      </c>
      <c r="F282" s="7" t="s">
        <v>332</v>
      </c>
      <c r="G282" s="7">
        <v>2018</v>
      </c>
      <c r="H282" s="7" t="str">
        <f>CONCATENATE("84240464747")</f>
        <v>84240464747</v>
      </c>
      <c r="I282" s="7" t="s">
        <v>30</v>
      </c>
      <c r="J282" s="7" t="s">
        <v>31</v>
      </c>
      <c r="K282" s="7" t="str">
        <f>CONCATENATE("")</f>
        <v/>
      </c>
      <c r="L282" s="7" t="str">
        <f>CONCATENATE("11 11.1 4b")</f>
        <v>11 11.1 4b</v>
      </c>
      <c r="M282" s="7" t="str">
        <f>CONCATENATE("01648640439")</f>
        <v>01648640439</v>
      </c>
      <c r="N282" s="7" t="s">
        <v>391</v>
      </c>
      <c r="O282" s="7" t="s">
        <v>78</v>
      </c>
      <c r="P282" s="8">
        <v>44334</v>
      </c>
      <c r="Q282" s="7" t="s">
        <v>32</v>
      </c>
      <c r="R282" s="7" t="s">
        <v>33</v>
      </c>
      <c r="S282" s="7" t="s">
        <v>34</v>
      </c>
      <c r="T282" s="7"/>
      <c r="U282" s="7" t="s">
        <v>35</v>
      </c>
      <c r="V282" s="7">
        <v>509.23</v>
      </c>
      <c r="W282" s="7">
        <v>219.58</v>
      </c>
      <c r="X282" s="7">
        <v>202.78</v>
      </c>
      <c r="Y282" s="7">
        <v>0</v>
      </c>
      <c r="Z282" s="7">
        <v>86.87</v>
      </c>
    </row>
    <row r="283" spans="1:26" x14ac:dyDescent="0.35">
      <c r="A283" s="7" t="s">
        <v>27</v>
      </c>
      <c r="B283" s="7" t="s">
        <v>47</v>
      </c>
      <c r="C283" s="7" t="s">
        <v>50</v>
      </c>
      <c r="D283" s="7" t="s">
        <v>54</v>
      </c>
      <c r="E283" s="7" t="s">
        <v>39</v>
      </c>
      <c r="F283" s="7" t="s">
        <v>79</v>
      </c>
      <c r="G283" s="7">
        <v>2020</v>
      </c>
      <c r="H283" s="7" t="str">
        <f>CONCATENATE("04240358020")</f>
        <v>04240358020</v>
      </c>
      <c r="I283" s="7" t="s">
        <v>30</v>
      </c>
      <c r="J283" s="7" t="s">
        <v>31</v>
      </c>
      <c r="K283" s="7" t="str">
        <f>CONCATENATE("")</f>
        <v/>
      </c>
      <c r="L283" s="7" t="str">
        <f>CONCATENATE("11 11.1 4b")</f>
        <v>11 11.1 4b</v>
      </c>
      <c r="M283" s="7" t="str">
        <f>CONCATENATE("01914550437")</f>
        <v>01914550437</v>
      </c>
      <c r="N283" s="7" t="s">
        <v>392</v>
      </c>
      <c r="O283" s="7" t="s">
        <v>78</v>
      </c>
      <c r="P283" s="8">
        <v>44334</v>
      </c>
      <c r="Q283" s="7" t="s">
        <v>32</v>
      </c>
      <c r="R283" s="7" t="s">
        <v>33</v>
      </c>
      <c r="S283" s="7" t="s">
        <v>34</v>
      </c>
      <c r="T283" s="7"/>
      <c r="U283" s="7" t="s">
        <v>35</v>
      </c>
      <c r="V283" s="9">
        <v>21021.02</v>
      </c>
      <c r="W283" s="9">
        <v>9064.26</v>
      </c>
      <c r="X283" s="9">
        <v>8370.57</v>
      </c>
      <c r="Y283" s="7">
        <v>0</v>
      </c>
      <c r="Z283" s="9">
        <v>3586.19</v>
      </c>
    </row>
    <row r="284" spans="1:26" x14ac:dyDescent="0.35">
      <c r="A284" s="7" t="s">
        <v>27</v>
      </c>
      <c r="B284" s="7" t="s">
        <v>47</v>
      </c>
      <c r="C284" s="7" t="s">
        <v>50</v>
      </c>
      <c r="D284" s="7" t="s">
        <v>51</v>
      </c>
      <c r="E284" s="7" t="s">
        <v>39</v>
      </c>
      <c r="F284" s="7" t="s">
        <v>123</v>
      </c>
      <c r="G284" s="7">
        <v>2020</v>
      </c>
      <c r="H284" s="7" t="str">
        <f>CONCATENATE("04210175792")</f>
        <v>04210175792</v>
      </c>
      <c r="I284" s="7" t="s">
        <v>30</v>
      </c>
      <c r="J284" s="7" t="s">
        <v>31</v>
      </c>
      <c r="K284" s="7" t="str">
        <f>CONCATENATE("")</f>
        <v/>
      </c>
      <c r="L284" s="7" t="str">
        <f>CONCATENATE("13 13.1 4a")</f>
        <v>13 13.1 4a</v>
      </c>
      <c r="M284" s="7" t="str">
        <f>CONCATENATE("BLTCSR62T07L500Z")</f>
        <v>BLTCSR62T07L500Z</v>
      </c>
      <c r="N284" s="7" t="s">
        <v>393</v>
      </c>
      <c r="O284" s="7" t="s">
        <v>115</v>
      </c>
      <c r="P284" s="8">
        <v>44334</v>
      </c>
      <c r="Q284" s="7" t="s">
        <v>32</v>
      </c>
      <c r="R284" s="7" t="s">
        <v>33</v>
      </c>
      <c r="S284" s="7" t="s">
        <v>34</v>
      </c>
      <c r="T284" s="7"/>
      <c r="U284" s="7" t="s">
        <v>35</v>
      </c>
      <c r="V284" s="7">
        <v>443.24</v>
      </c>
      <c r="W284" s="7">
        <v>191.13</v>
      </c>
      <c r="X284" s="7">
        <v>176.5</v>
      </c>
      <c r="Y284" s="7">
        <v>0</v>
      </c>
      <c r="Z284" s="7">
        <v>75.61</v>
      </c>
    </row>
    <row r="285" spans="1:26" x14ac:dyDescent="0.35">
      <c r="A285" s="7" t="s">
        <v>27</v>
      </c>
      <c r="B285" s="7" t="s">
        <v>47</v>
      </c>
      <c r="C285" s="7" t="s">
        <v>50</v>
      </c>
      <c r="D285" s="7" t="s">
        <v>104</v>
      </c>
      <c r="E285" s="7" t="s">
        <v>39</v>
      </c>
      <c r="F285" s="7" t="s">
        <v>162</v>
      </c>
      <c r="G285" s="7">
        <v>2020</v>
      </c>
      <c r="H285" s="7" t="str">
        <f>CONCATENATE("04210371961")</f>
        <v>04210371961</v>
      </c>
      <c r="I285" s="7" t="s">
        <v>43</v>
      </c>
      <c r="J285" s="7" t="s">
        <v>31</v>
      </c>
      <c r="K285" s="7" t="str">
        <f>CONCATENATE("")</f>
        <v/>
      </c>
      <c r="L285" s="7" t="str">
        <f>CONCATENATE("13 13.1 4a")</f>
        <v>13 13.1 4a</v>
      </c>
      <c r="M285" s="7" t="str">
        <f>CONCATENATE("ZPPMLE44T01D429T")</f>
        <v>ZPPMLE44T01D429T</v>
      </c>
      <c r="N285" s="7" t="s">
        <v>394</v>
      </c>
      <c r="O285" s="7" t="s">
        <v>160</v>
      </c>
      <c r="P285" s="8">
        <v>44334</v>
      </c>
      <c r="Q285" s="7" t="s">
        <v>32</v>
      </c>
      <c r="R285" s="7" t="s">
        <v>33</v>
      </c>
      <c r="S285" s="7" t="s">
        <v>34</v>
      </c>
      <c r="T285" s="7"/>
      <c r="U285" s="7" t="s">
        <v>35</v>
      </c>
      <c r="V285" s="7">
        <v>909.19</v>
      </c>
      <c r="W285" s="7">
        <v>392.04</v>
      </c>
      <c r="X285" s="7">
        <v>362.04</v>
      </c>
      <c r="Y285" s="7">
        <v>0</v>
      </c>
      <c r="Z285" s="7">
        <v>155.11000000000001</v>
      </c>
    </row>
    <row r="286" spans="1:26" x14ac:dyDescent="0.35">
      <c r="A286" s="7" t="s">
        <v>27</v>
      </c>
      <c r="B286" s="7" t="s">
        <v>47</v>
      </c>
      <c r="C286" s="7" t="s">
        <v>50</v>
      </c>
      <c r="D286" s="7" t="s">
        <v>64</v>
      </c>
      <c r="E286" s="7" t="s">
        <v>39</v>
      </c>
      <c r="F286" s="7" t="s">
        <v>93</v>
      </c>
      <c r="G286" s="7">
        <v>2020</v>
      </c>
      <c r="H286" s="7" t="str">
        <f>CONCATENATE("04210195055")</f>
        <v>04210195055</v>
      </c>
      <c r="I286" s="7" t="s">
        <v>30</v>
      </c>
      <c r="J286" s="7" t="s">
        <v>31</v>
      </c>
      <c r="K286" s="7" t="str">
        <f>CONCATENATE("")</f>
        <v/>
      </c>
      <c r="L286" s="7" t="str">
        <f>CONCATENATE("13 13.1 4a")</f>
        <v>13 13.1 4a</v>
      </c>
      <c r="M286" s="7" t="str">
        <f>CONCATENATE("PCTGPP36M02F509O")</f>
        <v>PCTGPP36M02F509O</v>
      </c>
      <c r="N286" s="7" t="s">
        <v>395</v>
      </c>
      <c r="O286" s="7" t="s">
        <v>160</v>
      </c>
      <c r="P286" s="8">
        <v>44334</v>
      </c>
      <c r="Q286" s="7" t="s">
        <v>32</v>
      </c>
      <c r="R286" s="7" t="s">
        <v>33</v>
      </c>
      <c r="S286" s="7" t="s">
        <v>34</v>
      </c>
      <c r="T286" s="7"/>
      <c r="U286" s="7" t="s">
        <v>35</v>
      </c>
      <c r="V286" s="9">
        <v>1543.58</v>
      </c>
      <c r="W286" s="7">
        <v>665.59</v>
      </c>
      <c r="X286" s="7">
        <v>614.65</v>
      </c>
      <c r="Y286" s="7">
        <v>0</v>
      </c>
      <c r="Z286" s="7">
        <v>263.33999999999997</v>
      </c>
    </row>
    <row r="287" spans="1:26" x14ac:dyDescent="0.35">
      <c r="A287" s="7" t="s">
        <v>27</v>
      </c>
      <c r="B287" s="7" t="s">
        <v>47</v>
      </c>
      <c r="C287" s="7" t="s">
        <v>50</v>
      </c>
      <c r="D287" s="7" t="s">
        <v>104</v>
      </c>
      <c r="E287" s="7" t="s">
        <v>39</v>
      </c>
      <c r="F287" s="7" t="s">
        <v>162</v>
      </c>
      <c r="G287" s="7">
        <v>2020</v>
      </c>
      <c r="H287" s="7" t="str">
        <f>CONCATENATE("04210356145")</f>
        <v>04210356145</v>
      </c>
      <c r="I287" s="7" t="s">
        <v>43</v>
      </c>
      <c r="J287" s="7" t="s">
        <v>31</v>
      </c>
      <c r="K287" s="7" t="str">
        <f>CONCATENATE("")</f>
        <v/>
      </c>
      <c r="L287" s="7" t="str">
        <f>CONCATENATE("13 13.1 4a")</f>
        <v>13 13.1 4a</v>
      </c>
      <c r="M287" s="7" t="str">
        <f>CONCATENATE("SRGVTR58T15D211Y")</f>
        <v>SRGVTR58T15D211Y</v>
      </c>
      <c r="N287" s="7" t="s">
        <v>396</v>
      </c>
      <c r="O287" s="7" t="s">
        <v>160</v>
      </c>
      <c r="P287" s="8">
        <v>44334</v>
      </c>
      <c r="Q287" s="7" t="s">
        <v>32</v>
      </c>
      <c r="R287" s="7" t="s">
        <v>33</v>
      </c>
      <c r="S287" s="7" t="s">
        <v>34</v>
      </c>
      <c r="T287" s="7"/>
      <c r="U287" s="7" t="s">
        <v>35</v>
      </c>
      <c r="V287" s="7">
        <v>458.63</v>
      </c>
      <c r="W287" s="7">
        <v>197.76</v>
      </c>
      <c r="X287" s="7">
        <v>182.63</v>
      </c>
      <c r="Y287" s="7">
        <v>0</v>
      </c>
      <c r="Z287" s="7">
        <v>78.239999999999995</v>
      </c>
    </row>
    <row r="288" spans="1:26" x14ac:dyDescent="0.35">
      <c r="A288" s="7" t="s">
        <v>27</v>
      </c>
      <c r="B288" s="7" t="s">
        <v>47</v>
      </c>
      <c r="C288" s="7" t="s">
        <v>50</v>
      </c>
      <c r="D288" s="7" t="s">
        <v>54</v>
      </c>
      <c r="E288" s="7" t="s">
        <v>39</v>
      </c>
      <c r="F288" s="7" t="s">
        <v>107</v>
      </c>
      <c r="G288" s="7">
        <v>2020</v>
      </c>
      <c r="H288" s="7" t="str">
        <f>CONCATENATE("04240089716")</f>
        <v>04240089716</v>
      </c>
      <c r="I288" s="7" t="s">
        <v>30</v>
      </c>
      <c r="J288" s="7" t="s">
        <v>31</v>
      </c>
      <c r="K288" s="7" t="str">
        <f>CONCATENATE("")</f>
        <v/>
      </c>
      <c r="L288" s="7" t="str">
        <f>CONCATENATE("11 11.2 4b")</f>
        <v>11 11.2 4b</v>
      </c>
      <c r="M288" s="7" t="str">
        <f>CONCATENATE("BRGRRT63A18D429U")</f>
        <v>BRGRRT63A18D429U</v>
      </c>
      <c r="N288" s="7" t="s">
        <v>397</v>
      </c>
      <c r="O288" s="7" t="s">
        <v>78</v>
      </c>
      <c r="P288" s="8">
        <v>44334</v>
      </c>
      <c r="Q288" s="7" t="s">
        <v>32</v>
      </c>
      <c r="R288" s="7" t="s">
        <v>33</v>
      </c>
      <c r="S288" s="7" t="s">
        <v>34</v>
      </c>
      <c r="T288" s="7"/>
      <c r="U288" s="7" t="s">
        <v>35</v>
      </c>
      <c r="V288" s="9">
        <v>7451.84</v>
      </c>
      <c r="W288" s="9">
        <v>3213.23</v>
      </c>
      <c r="X288" s="9">
        <v>2967.32</v>
      </c>
      <c r="Y288" s="7">
        <v>0</v>
      </c>
      <c r="Z288" s="9">
        <v>1271.29</v>
      </c>
    </row>
    <row r="289" spans="1:26" x14ac:dyDescent="0.35">
      <c r="A289" s="7" t="s">
        <v>27</v>
      </c>
      <c r="B289" s="7" t="s">
        <v>47</v>
      </c>
      <c r="C289" s="7" t="s">
        <v>50</v>
      </c>
      <c r="D289" s="7" t="s">
        <v>51</v>
      </c>
      <c r="E289" s="7" t="s">
        <v>29</v>
      </c>
      <c r="F289" s="7" t="s">
        <v>113</v>
      </c>
      <c r="G289" s="7">
        <v>2020</v>
      </c>
      <c r="H289" s="7" t="str">
        <f>CONCATENATE("04240985368")</f>
        <v>04240985368</v>
      </c>
      <c r="I289" s="7" t="s">
        <v>30</v>
      </c>
      <c r="J289" s="7" t="s">
        <v>31</v>
      </c>
      <c r="K289" s="7" t="str">
        <f>CONCATENATE("")</f>
        <v/>
      </c>
      <c r="L289" s="7" t="str">
        <f>CONCATENATE("11 11.1 4b")</f>
        <v>11 11.1 4b</v>
      </c>
      <c r="M289" s="7" t="str">
        <f>CONCATENATE("00809730419")</f>
        <v>00809730419</v>
      </c>
      <c r="N289" s="7" t="s">
        <v>398</v>
      </c>
      <c r="O289" s="7" t="s">
        <v>78</v>
      </c>
      <c r="P289" s="8">
        <v>44334</v>
      </c>
      <c r="Q289" s="7" t="s">
        <v>32</v>
      </c>
      <c r="R289" s="7" t="s">
        <v>33</v>
      </c>
      <c r="S289" s="7" t="s">
        <v>34</v>
      </c>
      <c r="T289" s="7"/>
      <c r="U289" s="7" t="s">
        <v>35</v>
      </c>
      <c r="V289" s="9">
        <v>1420.92</v>
      </c>
      <c r="W289" s="7">
        <v>612.70000000000005</v>
      </c>
      <c r="X289" s="7">
        <v>565.80999999999995</v>
      </c>
      <c r="Y289" s="7">
        <v>0</v>
      </c>
      <c r="Z289" s="7">
        <v>242.41</v>
      </c>
    </row>
    <row r="290" spans="1:26" x14ac:dyDescent="0.35">
      <c r="A290" s="7" t="s">
        <v>27</v>
      </c>
      <c r="B290" s="7" t="s">
        <v>47</v>
      </c>
      <c r="C290" s="7" t="s">
        <v>50</v>
      </c>
      <c r="D290" s="7" t="s">
        <v>51</v>
      </c>
      <c r="E290" s="7" t="s">
        <v>29</v>
      </c>
      <c r="F290" s="7" t="s">
        <v>113</v>
      </c>
      <c r="G290" s="7">
        <v>2020</v>
      </c>
      <c r="H290" s="7" t="str">
        <f>CONCATENATE("04210437416")</f>
        <v>04210437416</v>
      </c>
      <c r="I290" s="7" t="s">
        <v>30</v>
      </c>
      <c r="J290" s="7" t="s">
        <v>31</v>
      </c>
      <c r="K290" s="7" t="str">
        <f>CONCATENATE("")</f>
        <v/>
      </c>
      <c r="L290" s="7" t="str">
        <f>CONCATENATE("13 13.1 4a")</f>
        <v>13 13.1 4a</v>
      </c>
      <c r="M290" s="7" t="str">
        <f>CONCATENATE("00809730419")</f>
        <v>00809730419</v>
      </c>
      <c r="N290" s="7" t="s">
        <v>398</v>
      </c>
      <c r="O290" s="7" t="s">
        <v>115</v>
      </c>
      <c r="P290" s="8">
        <v>44334</v>
      </c>
      <c r="Q290" s="7" t="s">
        <v>32</v>
      </c>
      <c r="R290" s="7" t="s">
        <v>33</v>
      </c>
      <c r="S290" s="7" t="s">
        <v>34</v>
      </c>
      <c r="T290" s="7"/>
      <c r="U290" s="7" t="s">
        <v>35</v>
      </c>
      <c r="V290" s="7">
        <v>705.94</v>
      </c>
      <c r="W290" s="7">
        <v>304.39999999999998</v>
      </c>
      <c r="X290" s="7">
        <v>281.11</v>
      </c>
      <c r="Y290" s="7">
        <v>0</v>
      </c>
      <c r="Z290" s="7">
        <v>120.43</v>
      </c>
    </row>
    <row r="291" spans="1:26" x14ac:dyDescent="0.35">
      <c r="A291" s="7" t="s">
        <v>27</v>
      </c>
      <c r="B291" s="7" t="s">
        <v>47</v>
      </c>
      <c r="C291" s="7" t="s">
        <v>50</v>
      </c>
      <c r="D291" s="7" t="s">
        <v>51</v>
      </c>
      <c r="E291" s="7" t="s">
        <v>40</v>
      </c>
      <c r="F291" s="7" t="s">
        <v>307</v>
      </c>
      <c r="G291" s="7">
        <v>2020</v>
      </c>
      <c r="H291" s="7" t="str">
        <f>CONCATENATE("04210620359")</f>
        <v>04210620359</v>
      </c>
      <c r="I291" s="7" t="s">
        <v>30</v>
      </c>
      <c r="J291" s="7" t="s">
        <v>31</v>
      </c>
      <c r="K291" s="7" t="str">
        <f>CONCATENATE("")</f>
        <v/>
      </c>
      <c r="L291" s="7" t="str">
        <f>CONCATENATE("13 13.1 4a")</f>
        <v>13 13.1 4a</v>
      </c>
      <c r="M291" s="7" t="str">
        <f>CONCATENATE("MRCGNR46E10G551D")</f>
        <v>MRCGNR46E10G551D</v>
      </c>
      <c r="N291" s="7" t="s">
        <v>399</v>
      </c>
      <c r="O291" s="7" t="s">
        <v>115</v>
      </c>
      <c r="P291" s="8">
        <v>44334</v>
      </c>
      <c r="Q291" s="7" t="s">
        <v>32</v>
      </c>
      <c r="R291" s="7" t="s">
        <v>33</v>
      </c>
      <c r="S291" s="7" t="s">
        <v>34</v>
      </c>
      <c r="T291" s="7"/>
      <c r="U291" s="7" t="s">
        <v>35</v>
      </c>
      <c r="V291" s="9">
        <v>3083.45</v>
      </c>
      <c r="W291" s="9">
        <v>1329.58</v>
      </c>
      <c r="X291" s="9">
        <v>1227.83</v>
      </c>
      <c r="Y291" s="7">
        <v>0</v>
      </c>
      <c r="Z291" s="7">
        <v>526.04</v>
      </c>
    </row>
    <row r="292" spans="1:26" x14ac:dyDescent="0.35">
      <c r="A292" s="7" t="s">
        <v>27</v>
      </c>
      <c r="B292" s="7" t="s">
        <v>47</v>
      </c>
      <c r="C292" s="7" t="s">
        <v>50</v>
      </c>
      <c r="D292" s="7" t="s">
        <v>104</v>
      </c>
      <c r="E292" s="7" t="s">
        <v>39</v>
      </c>
      <c r="F292" s="7" t="s">
        <v>276</v>
      </c>
      <c r="G292" s="7">
        <v>2020</v>
      </c>
      <c r="H292" s="7" t="str">
        <f>CONCATENATE("04210527216")</f>
        <v>04210527216</v>
      </c>
      <c r="I292" s="7" t="s">
        <v>43</v>
      </c>
      <c r="J292" s="7" t="s">
        <v>31</v>
      </c>
      <c r="K292" s="7" t="str">
        <f>CONCATENATE("")</f>
        <v/>
      </c>
      <c r="L292" s="7" t="str">
        <f>CONCATENATE("13 13.1 4a")</f>
        <v>13 13.1 4a</v>
      </c>
      <c r="M292" s="7" t="str">
        <f>CONCATENATE("SCPLRA68C62D451O")</f>
        <v>SCPLRA68C62D451O</v>
      </c>
      <c r="N292" s="7" t="s">
        <v>400</v>
      </c>
      <c r="O292" s="7" t="s">
        <v>160</v>
      </c>
      <c r="P292" s="8">
        <v>44334</v>
      </c>
      <c r="Q292" s="7" t="s">
        <v>32</v>
      </c>
      <c r="R292" s="7" t="s">
        <v>33</v>
      </c>
      <c r="S292" s="7" t="s">
        <v>34</v>
      </c>
      <c r="T292" s="7"/>
      <c r="U292" s="7" t="s">
        <v>35</v>
      </c>
      <c r="V292" s="7">
        <v>111.92</v>
      </c>
      <c r="W292" s="7">
        <v>48.26</v>
      </c>
      <c r="X292" s="7">
        <v>44.57</v>
      </c>
      <c r="Y292" s="7">
        <v>0</v>
      </c>
      <c r="Z292" s="7">
        <v>19.09</v>
      </c>
    </row>
    <row r="293" spans="1:26" x14ac:dyDescent="0.35">
      <c r="A293" s="7" t="s">
        <v>27</v>
      </c>
      <c r="B293" s="7" t="s">
        <v>47</v>
      </c>
      <c r="C293" s="7" t="s">
        <v>50</v>
      </c>
      <c r="D293" s="7" t="s">
        <v>104</v>
      </c>
      <c r="E293" s="7" t="s">
        <v>39</v>
      </c>
      <c r="F293" s="7" t="s">
        <v>87</v>
      </c>
      <c r="G293" s="7">
        <v>2020</v>
      </c>
      <c r="H293" s="7" t="str">
        <f>CONCATENATE("04210610855")</f>
        <v>04210610855</v>
      </c>
      <c r="I293" s="7" t="s">
        <v>43</v>
      </c>
      <c r="J293" s="7" t="s">
        <v>31</v>
      </c>
      <c r="K293" s="7" t="str">
        <f>CONCATENATE("")</f>
        <v/>
      </c>
      <c r="L293" s="7" t="str">
        <f>CONCATENATE("13 13.1 4a")</f>
        <v>13 13.1 4a</v>
      </c>
      <c r="M293" s="7" t="str">
        <f>CONCATENATE("01002340428")</f>
        <v>01002340428</v>
      </c>
      <c r="N293" s="7" t="s">
        <v>401</v>
      </c>
      <c r="O293" s="7" t="s">
        <v>160</v>
      </c>
      <c r="P293" s="8">
        <v>44334</v>
      </c>
      <c r="Q293" s="7" t="s">
        <v>32</v>
      </c>
      <c r="R293" s="7" t="s">
        <v>33</v>
      </c>
      <c r="S293" s="7" t="s">
        <v>34</v>
      </c>
      <c r="T293" s="7"/>
      <c r="U293" s="7" t="s">
        <v>35</v>
      </c>
      <c r="V293" s="7">
        <v>862.68</v>
      </c>
      <c r="W293" s="7">
        <v>371.99</v>
      </c>
      <c r="X293" s="7">
        <v>343.52</v>
      </c>
      <c r="Y293" s="7">
        <v>0</v>
      </c>
      <c r="Z293" s="7">
        <v>147.16999999999999</v>
      </c>
    </row>
    <row r="294" spans="1:26" x14ac:dyDescent="0.35">
      <c r="A294" s="7" t="s">
        <v>27</v>
      </c>
      <c r="B294" s="7" t="s">
        <v>47</v>
      </c>
      <c r="C294" s="7" t="s">
        <v>50</v>
      </c>
      <c r="D294" s="7" t="s">
        <v>51</v>
      </c>
      <c r="E294" s="7" t="s">
        <v>29</v>
      </c>
      <c r="F294" s="7" t="s">
        <v>113</v>
      </c>
      <c r="G294" s="7">
        <v>2020</v>
      </c>
      <c r="H294" s="7" t="str">
        <f>CONCATENATE("04210488005")</f>
        <v>04210488005</v>
      </c>
      <c r="I294" s="7" t="s">
        <v>30</v>
      </c>
      <c r="J294" s="7" t="s">
        <v>31</v>
      </c>
      <c r="K294" s="7" t="str">
        <f>CONCATENATE("")</f>
        <v/>
      </c>
      <c r="L294" s="7" t="str">
        <f>CONCATENATE("13 13.1 4a")</f>
        <v>13 13.1 4a</v>
      </c>
      <c r="M294" s="7" t="str">
        <f>CONCATENATE("FRRFBL35L24I461A")</f>
        <v>FRRFBL35L24I461A</v>
      </c>
      <c r="N294" s="7" t="s">
        <v>402</v>
      </c>
      <c r="O294" s="7" t="s">
        <v>160</v>
      </c>
      <c r="P294" s="8">
        <v>44334</v>
      </c>
      <c r="Q294" s="7" t="s">
        <v>32</v>
      </c>
      <c r="R294" s="7" t="s">
        <v>33</v>
      </c>
      <c r="S294" s="7" t="s">
        <v>34</v>
      </c>
      <c r="T294" s="7"/>
      <c r="U294" s="7" t="s">
        <v>35</v>
      </c>
      <c r="V294" s="9">
        <v>1360.21</v>
      </c>
      <c r="W294" s="7">
        <v>586.52</v>
      </c>
      <c r="X294" s="7">
        <v>541.64</v>
      </c>
      <c r="Y294" s="7">
        <v>0</v>
      </c>
      <c r="Z294" s="7">
        <v>232.05</v>
      </c>
    </row>
    <row r="295" spans="1:26" x14ac:dyDescent="0.35">
      <c r="A295" s="7" t="s">
        <v>27</v>
      </c>
      <c r="B295" s="7" t="s">
        <v>47</v>
      </c>
      <c r="C295" s="7" t="s">
        <v>50</v>
      </c>
      <c r="D295" s="7" t="s">
        <v>104</v>
      </c>
      <c r="E295" s="7" t="s">
        <v>39</v>
      </c>
      <c r="F295" s="7" t="s">
        <v>162</v>
      </c>
      <c r="G295" s="7">
        <v>2020</v>
      </c>
      <c r="H295" s="7" t="str">
        <f>CONCATENATE("04210356699")</f>
        <v>04210356699</v>
      </c>
      <c r="I295" s="7" t="s">
        <v>43</v>
      </c>
      <c r="J295" s="7" t="s">
        <v>31</v>
      </c>
      <c r="K295" s="7" t="str">
        <f>CONCATENATE("")</f>
        <v/>
      </c>
      <c r="L295" s="7" t="str">
        <f>CONCATENATE("13 13.1 4a")</f>
        <v>13 13.1 4a</v>
      </c>
      <c r="M295" s="7" t="str">
        <f>CONCATENATE("STLMRZ50E18D451J")</f>
        <v>STLMRZ50E18D451J</v>
      </c>
      <c r="N295" s="7" t="s">
        <v>403</v>
      </c>
      <c r="O295" s="7" t="s">
        <v>160</v>
      </c>
      <c r="P295" s="8">
        <v>44334</v>
      </c>
      <c r="Q295" s="7" t="s">
        <v>32</v>
      </c>
      <c r="R295" s="7" t="s">
        <v>33</v>
      </c>
      <c r="S295" s="7" t="s">
        <v>34</v>
      </c>
      <c r="T295" s="7"/>
      <c r="U295" s="7" t="s">
        <v>35</v>
      </c>
      <c r="V295" s="7">
        <v>351.51</v>
      </c>
      <c r="W295" s="7">
        <v>151.57</v>
      </c>
      <c r="X295" s="7">
        <v>139.97</v>
      </c>
      <c r="Y295" s="7">
        <v>0</v>
      </c>
      <c r="Z295" s="7">
        <v>59.97</v>
      </c>
    </row>
    <row r="296" spans="1:26" x14ac:dyDescent="0.35">
      <c r="A296" s="7" t="s">
        <v>27</v>
      </c>
      <c r="B296" s="7" t="s">
        <v>28</v>
      </c>
      <c r="C296" s="7" t="s">
        <v>50</v>
      </c>
      <c r="D296" s="7" t="s">
        <v>51</v>
      </c>
      <c r="E296" s="7" t="s">
        <v>39</v>
      </c>
      <c r="F296" s="7" t="s">
        <v>121</v>
      </c>
      <c r="G296" s="7">
        <v>2017</v>
      </c>
      <c r="H296" s="7" t="str">
        <f>CONCATENATE("14270141337")</f>
        <v>14270141337</v>
      </c>
      <c r="I296" s="7" t="s">
        <v>30</v>
      </c>
      <c r="J296" s="7" t="s">
        <v>31</v>
      </c>
      <c r="K296" s="7" t="str">
        <f>CONCATENATE("")</f>
        <v/>
      </c>
      <c r="L296" s="7" t="str">
        <f>CONCATENATE("21 21.1 2a")</f>
        <v>21 21.1 2a</v>
      </c>
      <c r="M296" s="7" t="str">
        <f>CONCATENATE("RMTRNT57R26D749Y")</f>
        <v>RMTRNT57R26D749Y</v>
      </c>
      <c r="N296" s="7" t="s">
        <v>404</v>
      </c>
      <c r="O296" s="7" t="s">
        <v>152</v>
      </c>
      <c r="P296" s="8">
        <v>44334</v>
      </c>
      <c r="Q296" s="7" t="s">
        <v>32</v>
      </c>
      <c r="R296" s="7" t="s">
        <v>33</v>
      </c>
      <c r="S296" s="7" t="s">
        <v>34</v>
      </c>
      <c r="T296" s="7"/>
      <c r="U296" s="7" t="s">
        <v>35</v>
      </c>
      <c r="V296" s="9">
        <v>2100</v>
      </c>
      <c r="W296" s="7">
        <v>905.52</v>
      </c>
      <c r="X296" s="7">
        <v>836.22</v>
      </c>
      <c r="Y296" s="7">
        <v>0</v>
      </c>
      <c r="Z296" s="7">
        <v>358.26</v>
      </c>
    </row>
    <row r="297" spans="1:26" x14ac:dyDescent="0.35">
      <c r="A297" s="7" t="s">
        <v>27</v>
      </c>
      <c r="B297" s="7" t="s">
        <v>47</v>
      </c>
      <c r="C297" s="7" t="s">
        <v>50</v>
      </c>
      <c r="D297" s="7" t="s">
        <v>104</v>
      </c>
      <c r="E297" s="7" t="s">
        <v>39</v>
      </c>
      <c r="F297" s="7" t="s">
        <v>162</v>
      </c>
      <c r="G297" s="7">
        <v>2020</v>
      </c>
      <c r="H297" s="7" t="str">
        <f>CONCATENATE("04210446854")</f>
        <v>04210446854</v>
      </c>
      <c r="I297" s="7" t="s">
        <v>43</v>
      </c>
      <c r="J297" s="7" t="s">
        <v>31</v>
      </c>
      <c r="K297" s="7" t="str">
        <f>CONCATENATE("")</f>
        <v/>
      </c>
      <c r="L297" s="7" t="str">
        <f>CONCATENATE("13 13.1 4a")</f>
        <v>13 13.1 4a</v>
      </c>
      <c r="M297" s="7" t="str">
        <f>CONCATENATE("TRRNGL67A49G702Y")</f>
        <v>TRRNGL67A49G702Y</v>
      </c>
      <c r="N297" s="7" t="s">
        <v>405</v>
      </c>
      <c r="O297" s="7" t="s">
        <v>160</v>
      </c>
      <c r="P297" s="8">
        <v>44334</v>
      </c>
      <c r="Q297" s="7" t="s">
        <v>32</v>
      </c>
      <c r="R297" s="7" t="s">
        <v>33</v>
      </c>
      <c r="S297" s="7" t="s">
        <v>34</v>
      </c>
      <c r="T297" s="7"/>
      <c r="U297" s="7" t="s">
        <v>35</v>
      </c>
      <c r="V297" s="7">
        <v>180.57</v>
      </c>
      <c r="W297" s="7">
        <v>77.86</v>
      </c>
      <c r="X297" s="7">
        <v>71.900000000000006</v>
      </c>
      <c r="Y297" s="7">
        <v>0</v>
      </c>
      <c r="Z297" s="7">
        <v>30.81</v>
      </c>
    </row>
    <row r="298" spans="1:26" x14ac:dyDescent="0.35">
      <c r="A298" s="7" t="s">
        <v>27</v>
      </c>
      <c r="B298" s="7" t="s">
        <v>47</v>
      </c>
      <c r="C298" s="7" t="s">
        <v>50</v>
      </c>
      <c r="D298" s="7" t="s">
        <v>104</v>
      </c>
      <c r="E298" s="7" t="s">
        <v>44</v>
      </c>
      <c r="F298" s="7" t="s">
        <v>186</v>
      </c>
      <c r="G298" s="7">
        <v>2020</v>
      </c>
      <c r="H298" s="7" t="str">
        <f>CONCATENATE("04241029851")</f>
        <v>04241029851</v>
      </c>
      <c r="I298" s="7" t="s">
        <v>30</v>
      </c>
      <c r="J298" s="7" t="s">
        <v>31</v>
      </c>
      <c r="K298" s="7" t="str">
        <f>CONCATENATE("")</f>
        <v/>
      </c>
      <c r="L298" s="7" t="str">
        <f>CONCATENATE("11 11.2 4b")</f>
        <v>11 11.2 4b</v>
      </c>
      <c r="M298" s="7" t="str">
        <f>CONCATENATE("02200520423")</f>
        <v>02200520423</v>
      </c>
      <c r="N298" s="7" t="s">
        <v>406</v>
      </c>
      <c r="O298" s="7" t="s">
        <v>78</v>
      </c>
      <c r="P298" s="8">
        <v>44334</v>
      </c>
      <c r="Q298" s="7" t="s">
        <v>32</v>
      </c>
      <c r="R298" s="7" t="s">
        <v>33</v>
      </c>
      <c r="S298" s="7" t="s">
        <v>34</v>
      </c>
      <c r="T298" s="7"/>
      <c r="U298" s="7" t="s">
        <v>35</v>
      </c>
      <c r="V298" s="9">
        <v>10999.79</v>
      </c>
      <c r="W298" s="9">
        <v>4743.1099999999997</v>
      </c>
      <c r="X298" s="9">
        <v>4380.12</v>
      </c>
      <c r="Y298" s="7">
        <v>0</v>
      </c>
      <c r="Z298" s="9">
        <v>1876.56</v>
      </c>
    </row>
    <row r="299" spans="1:26" x14ac:dyDescent="0.35">
      <c r="A299" s="7" t="s">
        <v>27</v>
      </c>
      <c r="B299" s="7" t="s">
        <v>47</v>
      </c>
      <c r="C299" s="7" t="s">
        <v>50</v>
      </c>
      <c r="D299" s="7" t="s">
        <v>51</v>
      </c>
      <c r="E299" s="7" t="s">
        <v>39</v>
      </c>
      <c r="F299" s="7" t="s">
        <v>121</v>
      </c>
      <c r="G299" s="7">
        <v>2020</v>
      </c>
      <c r="H299" s="7" t="str">
        <f>CONCATENATE("04210119030")</f>
        <v>04210119030</v>
      </c>
      <c r="I299" s="7" t="s">
        <v>30</v>
      </c>
      <c r="J299" s="7" t="s">
        <v>31</v>
      </c>
      <c r="K299" s="7" t="str">
        <f>CONCATENATE("")</f>
        <v/>
      </c>
      <c r="L299" s="7" t="str">
        <f>CONCATENATE("13 13.1 4a")</f>
        <v>13 13.1 4a</v>
      </c>
      <c r="M299" s="7" t="str">
        <f>CONCATENATE("01234700415")</f>
        <v>01234700415</v>
      </c>
      <c r="N299" s="7" t="s">
        <v>407</v>
      </c>
      <c r="O299" s="7" t="s">
        <v>115</v>
      </c>
      <c r="P299" s="8">
        <v>44334</v>
      </c>
      <c r="Q299" s="7" t="s">
        <v>32</v>
      </c>
      <c r="R299" s="7" t="s">
        <v>33</v>
      </c>
      <c r="S299" s="7" t="s">
        <v>34</v>
      </c>
      <c r="T299" s="7"/>
      <c r="U299" s="7" t="s">
        <v>35</v>
      </c>
      <c r="V299" s="9">
        <v>6593.43</v>
      </c>
      <c r="W299" s="9">
        <v>2843.09</v>
      </c>
      <c r="X299" s="9">
        <v>2625.5</v>
      </c>
      <c r="Y299" s="7">
        <v>0</v>
      </c>
      <c r="Z299" s="9">
        <v>1124.8399999999999</v>
      </c>
    </row>
    <row r="300" spans="1:26" x14ac:dyDescent="0.35">
      <c r="A300" s="7" t="s">
        <v>27</v>
      </c>
      <c r="B300" s="7" t="s">
        <v>47</v>
      </c>
      <c r="C300" s="7" t="s">
        <v>50</v>
      </c>
      <c r="D300" s="7" t="s">
        <v>51</v>
      </c>
      <c r="E300" s="7" t="s">
        <v>41</v>
      </c>
      <c r="F300" s="7" t="s">
        <v>282</v>
      </c>
      <c r="G300" s="7">
        <v>2020</v>
      </c>
      <c r="H300" s="7" t="str">
        <f>CONCATENATE("04210265932")</f>
        <v>04210265932</v>
      </c>
      <c r="I300" s="7" t="s">
        <v>30</v>
      </c>
      <c r="J300" s="7" t="s">
        <v>31</v>
      </c>
      <c r="K300" s="7" t="str">
        <f>CONCATENATE("")</f>
        <v/>
      </c>
      <c r="L300" s="7" t="str">
        <f>CONCATENATE("13 13.1 4a")</f>
        <v>13 13.1 4a</v>
      </c>
      <c r="M300" s="7" t="str">
        <f>CONCATENATE("DRPDNT78P10B352N")</f>
        <v>DRPDNT78P10B352N</v>
      </c>
      <c r="N300" s="7" t="s">
        <v>408</v>
      </c>
      <c r="O300" s="7" t="s">
        <v>160</v>
      </c>
      <c r="P300" s="8">
        <v>44334</v>
      </c>
      <c r="Q300" s="7" t="s">
        <v>32</v>
      </c>
      <c r="R300" s="7" t="s">
        <v>33</v>
      </c>
      <c r="S300" s="7" t="s">
        <v>34</v>
      </c>
      <c r="T300" s="7"/>
      <c r="U300" s="7" t="s">
        <v>35</v>
      </c>
      <c r="V300" s="9">
        <v>1964.97</v>
      </c>
      <c r="W300" s="7">
        <v>847.3</v>
      </c>
      <c r="X300" s="7">
        <v>782.45</v>
      </c>
      <c r="Y300" s="7">
        <v>0</v>
      </c>
      <c r="Z300" s="7">
        <v>335.22</v>
      </c>
    </row>
    <row r="301" spans="1:26" x14ac:dyDescent="0.35">
      <c r="A301" s="7" t="s">
        <v>27</v>
      </c>
      <c r="B301" s="7" t="s">
        <v>47</v>
      </c>
      <c r="C301" s="7" t="s">
        <v>50</v>
      </c>
      <c r="D301" s="7" t="s">
        <v>104</v>
      </c>
      <c r="E301" s="7" t="s">
        <v>39</v>
      </c>
      <c r="F301" s="7" t="s">
        <v>162</v>
      </c>
      <c r="G301" s="7">
        <v>2020</v>
      </c>
      <c r="H301" s="7" t="str">
        <f>CONCATENATE("04210125953")</f>
        <v>04210125953</v>
      </c>
      <c r="I301" s="7" t="s">
        <v>43</v>
      </c>
      <c r="J301" s="7" t="s">
        <v>31</v>
      </c>
      <c r="K301" s="7" t="str">
        <f>CONCATENATE("")</f>
        <v/>
      </c>
      <c r="L301" s="7" t="str">
        <f>CONCATENATE("13 13.1 4a")</f>
        <v>13 13.1 4a</v>
      </c>
      <c r="M301" s="7" t="str">
        <f>CONCATENATE("MRNLRD69A12D451V")</f>
        <v>MRNLRD69A12D451V</v>
      </c>
      <c r="N301" s="7" t="s">
        <v>409</v>
      </c>
      <c r="O301" s="7" t="s">
        <v>160</v>
      </c>
      <c r="P301" s="8">
        <v>44334</v>
      </c>
      <c r="Q301" s="7" t="s">
        <v>32</v>
      </c>
      <c r="R301" s="7" t="s">
        <v>33</v>
      </c>
      <c r="S301" s="7" t="s">
        <v>34</v>
      </c>
      <c r="T301" s="7"/>
      <c r="U301" s="7" t="s">
        <v>35</v>
      </c>
      <c r="V301" s="7">
        <v>761.27</v>
      </c>
      <c r="W301" s="7">
        <v>328.26</v>
      </c>
      <c r="X301" s="7">
        <v>303.14</v>
      </c>
      <c r="Y301" s="7">
        <v>0</v>
      </c>
      <c r="Z301" s="7">
        <v>129.87</v>
      </c>
    </row>
    <row r="302" spans="1:26" x14ac:dyDescent="0.35">
      <c r="A302" s="7" t="s">
        <v>27</v>
      </c>
      <c r="B302" s="7" t="s">
        <v>47</v>
      </c>
      <c r="C302" s="7" t="s">
        <v>50</v>
      </c>
      <c r="D302" s="7" t="s">
        <v>104</v>
      </c>
      <c r="E302" s="7" t="s">
        <v>39</v>
      </c>
      <c r="F302" s="7" t="s">
        <v>162</v>
      </c>
      <c r="G302" s="7">
        <v>2020</v>
      </c>
      <c r="H302" s="7" t="str">
        <f>CONCATENATE("04210331031")</f>
        <v>04210331031</v>
      </c>
      <c r="I302" s="7" t="s">
        <v>43</v>
      </c>
      <c r="J302" s="7" t="s">
        <v>31</v>
      </c>
      <c r="K302" s="7" t="str">
        <f>CONCATENATE("")</f>
        <v/>
      </c>
      <c r="L302" s="7" t="str">
        <f>CONCATENATE("13 13.1 4a")</f>
        <v>13 13.1 4a</v>
      </c>
      <c r="M302" s="7" t="str">
        <f>CONCATENATE("PLCMRC94E03D451V")</f>
        <v>PLCMRC94E03D451V</v>
      </c>
      <c r="N302" s="7" t="s">
        <v>410</v>
      </c>
      <c r="O302" s="7" t="s">
        <v>160</v>
      </c>
      <c r="P302" s="8">
        <v>44334</v>
      </c>
      <c r="Q302" s="7" t="s">
        <v>32</v>
      </c>
      <c r="R302" s="7" t="s">
        <v>33</v>
      </c>
      <c r="S302" s="7" t="s">
        <v>34</v>
      </c>
      <c r="T302" s="7"/>
      <c r="U302" s="7" t="s">
        <v>35</v>
      </c>
      <c r="V302" s="7">
        <v>342.46</v>
      </c>
      <c r="W302" s="7">
        <v>147.66999999999999</v>
      </c>
      <c r="X302" s="7">
        <v>136.37</v>
      </c>
      <c r="Y302" s="7">
        <v>0</v>
      </c>
      <c r="Z302" s="7">
        <v>58.42</v>
      </c>
    </row>
    <row r="303" spans="1:26" x14ac:dyDescent="0.35">
      <c r="A303" s="7" t="s">
        <v>27</v>
      </c>
      <c r="B303" s="7" t="s">
        <v>47</v>
      </c>
      <c r="C303" s="7" t="s">
        <v>50</v>
      </c>
      <c r="D303" s="7" t="s">
        <v>104</v>
      </c>
      <c r="E303" s="7" t="s">
        <v>39</v>
      </c>
      <c r="F303" s="7" t="s">
        <v>162</v>
      </c>
      <c r="G303" s="7">
        <v>2020</v>
      </c>
      <c r="H303" s="7" t="str">
        <f>CONCATENATE("04210346609")</f>
        <v>04210346609</v>
      </c>
      <c r="I303" s="7" t="s">
        <v>43</v>
      </c>
      <c r="J303" s="7" t="s">
        <v>31</v>
      </c>
      <c r="K303" s="7" t="str">
        <f>CONCATENATE("")</f>
        <v/>
      </c>
      <c r="L303" s="7" t="str">
        <f>CONCATENATE("13 13.1 4a")</f>
        <v>13 13.1 4a</v>
      </c>
      <c r="M303" s="7" t="str">
        <f>CONCATENATE("RMLMCL44B68D451D")</f>
        <v>RMLMCL44B68D451D</v>
      </c>
      <c r="N303" s="7" t="s">
        <v>411</v>
      </c>
      <c r="O303" s="7" t="s">
        <v>160</v>
      </c>
      <c r="P303" s="8">
        <v>44334</v>
      </c>
      <c r="Q303" s="7" t="s">
        <v>32</v>
      </c>
      <c r="R303" s="7" t="s">
        <v>33</v>
      </c>
      <c r="S303" s="7" t="s">
        <v>34</v>
      </c>
      <c r="T303" s="7"/>
      <c r="U303" s="7" t="s">
        <v>35</v>
      </c>
      <c r="V303" s="7">
        <v>120.08</v>
      </c>
      <c r="W303" s="7">
        <v>51.78</v>
      </c>
      <c r="X303" s="7">
        <v>47.82</v>
      </c>
      <c r="Y303" s="7">
        <v>0</v>
      </c>
      <c r="Z303" s="7">
        <v>20.48</v>
      </c>
    </row>
    <row r="304" spans="1:26" x14ac:dyDescent="0.35">
      <c r="A304" s="7" t="s">
        <v>27</v>
      </c>
      <c r="B304" s="7" t="s">
        <v>47</v>
      </c>
      <c r="C304" s="7" t="s">
        <v>50</v>
      </c>
      <c r="D304" s="7" t="s">
        <v>54</v>
      </c>
      <c r="E304" s="7" t="s">
        <v>39</v>
      </c>
      <c r="F304" s="7" t="s">
        <v>107</v>
      </c>
      <c r="G304" s="7">
        <v>2020</v>
      </c>
      <c r="H304" s="7" t="str">
        <f>CONCATENATE("04240339111")</f>
        <v>04240339111</v>
      </c>
      <c r="I304" s="7" t="s">
        <v>30</v>
      </c>
      <c r="J304" s="7" t="s">
        <v>31</v>
      </c>
      <c r="K304" s="7" t="str">
        <f>CONCATENATE("")</f>
        <v/>
      </c>
      <c r="L304" s="7" t="str">
        <f>CONCATENATE("11 11.1 4b")</f>
        <v>11 11.1 4b</v>
      </c>
      <c r="M304" s="7" t="str">
        <f>CONCATENATE("NGLLCU81S09B474P")</f>
        <v>NGLLCU81S09B474P</v>
      </c>
      <c r="N304" s="7" t="s">
        <v>412</v>
      </c>
      <c r="O304" s="7" t="s">
        <v>78</v>
      </c>
      <c r="P304" s="8">
        <v>44334</v>
      </c>
      <c r="Q304" s="7" t="s">
        <v>32</v>
      </c>
      <c r="R304" s="7" t="s">
        <v>33</v>
      </c>
      <c r="S304" s="7" t="s">
        <v>34</v>
      </c>
      <c r="T304" s="7"/>
      <c r="U304" s="7" t="s">
        <v>35</v>
      </c>
      <c r="V304" s="7">
        <v>439.58</v>
      </c>
      <c r="W304" s="7">
        <v>189.55</v>
      </c>
      <c r="X304" s="7">
        <v>175.04</v>
      </c>
      <c r="Y304" s="7">
        <v>0</v>
      </c>
      <c r="Z304" s="7">
        <v>74.989999999999995</v>
      </c>
    </row>
    <row r="305" spans="1:26" x14ac:dyDescent="0.35">
      <c r="A305" s="7" t="s">
        <v>27</v>
      </c>
      <c r="B305" s="7" t="s">
        <v>47</v>
      </c>
      <c r="C305" s="7" t="s">
        <v>50</v>
      </c>
      <c r="D305" s="7" t="s">
        <v>51</v>
      </c>
      <c r="E305" s="7" t="s">
        <v>42</v>
      </c>
      <c r="F305" s="7" t="s">
        <v>413</v>
      </c>
      <c r="G305" s="7">
        <v>2020</v>
      </c>
      <c r="H305" s="7" t="str">
        <f>CONCATENATE("04210376150")</f>
        <v>04210376150</v>
      </c>
      <c r="I305" s="7" t="s">
        <v>30</v>
      </c>
      <c r="J305" s="7" t="s">
        <v>31</v>
      </c>
      <c r="K305" s="7" t="str">
        <f>CONCATENATE("")</f>
        <v/>
      </c>
      <c r="L305" s="7" t="str">
        <f>CONCATENATE("13 13.1 4a")</f>
        <v>13 13.1 4a</v>
      </c>
      <c r="M305" s="7" t="str">
        <f>CONCATENATE("ZCCDMS87H10L500J")</f>
        <v>ZCCDMS87H10L500J</v>
      </c>
      <c r="N305" s="7" t="s">
        <v>414</v>
      </c>
      <c r="O305" s="7" t="s">
        <v>115</v>
      </c>
      <c r="P305" s="8">
        <v>44334</v>
      </c>
      <c r="Q305" s="7" t="s">
        <v>32</v>
      </c>
      <c r="R305" s="7" t="s">
        <v>33</v>
      </c>
      <c r="S305" s="7" t="s">
        <v>34</v>
      </c>
      <c r="T305" s="7"/>
      <c r="U305" s="7" t="s">
        <v>35</v>
      </c>
      <c r="V305" s="9">
        <v>1281.54</v>
      </c>
      <c r="W305" s="7">
        <v>552.6</v>
      </c>
      <c r="X305" s="7">
        <v>510.31</v>
      </c>
      <c r="Y305" s="7">
        <v>0</v>
      </c>
      <c r="Z305" s="7">
        <v>218.63</v>
      </c>
    </row>
    <row r="306" spans="1:26" x14ac:dyDescent="0.35">
      <c r="A306" s="7" t="s">
        <v>27</v>
      </c>
      <c r="B306" s="7" t="s">
        <v>47</v>
      </c>
      <c r="C306" s="7" t="s">
        <v>50</v>
      </c>
      <c r="D306" s="7" t="s">
        <v>51</v>
      </c>
      <c r="E306" s="7" t="s">
        <v>39</v>
      </c>
      <c r="F306" s="7" t="s">
        <v>128</v>
      </c>
      <c r="G306" s="7">
        <v>2020</v>
      </c>
      <c r="H306" s="7" t="str">
        <f>CONCATENATE("04210529949")</f>
        <v>04210529949</v>
      </c>
      <c r="I306" s="7" t="s">
        <v>30</v>
      </c>
      <c r="J306" s="7" t="s">
        <v>31</v>
      </c>
      <c r="K306" s="7" t="str">
        <f>CONCATENATE("")</f>
        <v/>
      </c>
      <c r="L306" s="7" t="str">
        <f>CONCATENATE("13 13.1 4a")</f>
        <v>13 13.1 4a</v>
      </c>
      <c r="M306" s="7" t="str">
        <f>CONCATENATE("RMNRRT58D21B352C")</f>
        <v>RMNRRT58D21B352C</v>
      </c>
      <c r="N306" s="7" t="s">
        <v>415</v>
      </c>
      <c r="O306" s="7" t="s">
        <v>115</v>
      </c>
      <c r="P306" s="8">
        <v>44334</v>
      </c>
      <c r="Q306" s="7" t="s">
        <v>32</v>
      </c>
      <c r="R306" s="7" t="s">
        <v>33</v>
      </c>
      <c r="S306" s="7" t="s">
        <v>34</v>
      </c>
      <c r="T306" s="7"/>
      <c r="U306" s="7" t="s">
        <v>35</v>
      </c>
      <c r="V306" s="7">
        <v>38.18</v>
      </c>
      <c r="W306" s="7">
        <v>16.46</v>
      </c>
      <c r="X306" s="7">
        <v>15.2</v>
      </c>
      <c r="Y306" s="7">
        <v>0</v>
      </c>
      <c r="Z306" s="7">
        <v>6.52</v>
      </c>
    </row>
    <row r="307" spans="1:26" x14ac:dyDescent="0.35">
      <c r="A307" s="7" t="s">
        <v>27</v>
      </c>
      <c r="B307" s="7" t="s">
        <v>47</v>
      </c>
      <c r="C307" s="7" t="s">
        <v>50</v>
      </c>
      <c r="D307" s="7" t="s">
        <v>51</v>
      </c>
      <c r="E307" s="7" t="s">
        <v>40</v>
      </c>
      <c r="F307" s="7" t="s">
        <v>59</v>
      </c>
      <c r="G307" s="7">
        <v>2020</v>
      </c>
      <c r="H307" s="7" t="str">
        <f>CONCATENATE("04210398584")</f>
        <v>04210398584</v>
      </c>
      <c r="I307" s="7" t="s">
        <v>30</v>
      </c>
      <c r="J307" s="7" t="s">
        <v>31</v>
      </c>
      <c r="K307" s="7" t="str">
        <f>CONCATENATE("")</f>
        <v/>
      </c>
      <c r="L307" s="7" t="str">
        <f>CONCATENATE("13 13.1 4a")</f>
        <v>13 13.1 4a</v>
      </c>
      <c r="M307" s="7" t="str">
        <f>CONCATENATE("MTTLVI29S65D007Q")</f>
        <v>MTTLVI29S65D007Q</v>
      </c>
      <c r="N307" s="7" t="s">
        <v>416</v>
      </c>
      <c r="O307" s="7" t="s">
        <v>115</v>
      </c>
      <c r="P307" s="8">
        <v>44334</v>
      </c>
      <c r="Q307" s="7" t="s">
        <v>32</v>
      </c>
      <c r="R307" s="7" t="s">
        <v>33</v>
      </c>
      <c r="S307" s="7" t="s">
        <v>34</v>
      </c>
      <c r="T307" s="7"/>
      <c r="U307" s="7" t="s">
        <v>35</v>
      </c>
      <c r="V307" s="9">
        <v>1148.82</v>
      </c>
      <c r="W307" s="7">
        <v>495.37</v>
      </c>
      <c r="X307" s="7">
        <v>457.46</v>
      </c>
      <c r="Y307" s="7">
        <v>0</v>
      </c>
      <c r="Z307" s="7">
        <v>195.99</v>
      </c>
    </row>
    <row r="308" spans="1:26" x14ac:dyDescent="0.35">
      <c r="A308" s="7" t="s">
        <v>27</v>
      </c>
      <c r="B308" s="7" t="s">
        <v>47</v>
      </c>
      <c r="C308" s="7" t="s">
        <v>50</v>
      </c>
      <c r="D308" s="7" t="s">
        <v>51</v>
      </c>
      <c r="E308" s="7" t="s">
        <v>39</v>
      </c>
      <c r="F308" s="7" t="s">
        <v>150</v>
      </c>
      <c r="G308" s="7">
        <v>2020</v>
      </c>
      <c r="H308" s="7" t="str">
        <f>CONCATENATE("04210615730")</f>
        <v>04210615730</v>
      </c>
      <c r="I308" s="7" t="s">
        <v>30</v>
      </c>
      <c r="J308" s="7" t="s">
        <v>31</v>
      </c>
      <c r="K308" s="7" t="str">
        <f>CONCATENATE("")</f>
        <v/>
      </c>
      <c r="L308" s="7" t="str">
        <f>CONCATENATE("13 13.1 4a")</f>
        <v>13 13.1 4a</v>
      </c>
      <c r="M308" s="7" t="str">
        <f>CONCATENATE("CVLNNL67E53G479E")</f>
        <v>CVLNNL67E53G479E</v>
      </c>
      <c r="N308" s="7" t="s">
        <v>417</v>
      </c>
      <c r="O308" s="7" t="s">
        <v>160</v>
      </c>
      <c r="P308" s="8">
        <v>44334</v>
      </c>
      <c r="Q308" s="7" t="s">
        <v>32</v>
      </c>
      <c r="R308" s="7" t="s">
        <v>33</v>
      </c>
      <c r="S308" s="7" t="s">
        <v>34</v>
      </c>
      <c r="T308" s="7"/>
      <c r="U308" s="7" t="s">
        <v>35</v>
      </c>
      <c r="V308" s="9">
        <v>1666.96</v>
      </c>
      <c r="W308" s="7">
        <v>718.79</v>
      </c>
      <c r="X308" s="7">
        <v>663.78</v>
      </c>
      <c r="Y308" s="7">
        <v>0</v>
      </c>
      <c r="Z308" s="7">
        <v>284.39</v>
      </c>
    </row>
    <row r="309" spans="1:26" x14ac:dyDescent="0.35">
      <c r="A309" s="7" t="s">
        <v>27</v>
      </c>
      <c r="B309" s="7" t="s">
        <v>47</v>
      </c>
      <c r="C309" s="7" t="s">
        <v>50</v>
      </c>
      <c r="D309" s="7" t="s">
        <v>51</v>
      </c>
      <c r="E309" s="7" t="s">
        <v>44</v>
      </c>
      <c r="F309" s="7" t="s">
        <v>101</v>
      </c>
      <c r="G309" s="7">
        <v>2020</v>
      </c>
      <c r="H309" s="7" t="str">
        <f>CONCATENATE("04210848166")</f>
        <v>04210848166</v>
      </c>
      <c r="I309" s="7" t="s">
        <v>30</v>
      </c>
      <c r="J309" s="7" t="s">
        <v>31</v>
      </c>
      <c r="K309" s="7" t="str">
        <f>CONCATENATE("")</f>
        <v/>
      </c>
      <c r="L309" s="7" t="str">
        <f>CONCATENATE("13 13.1 4a")</f>
        <v>13 13.1 4a</v>
      </c>
      <c r="M309" s="7" t="str">
        <f>CONCATENATE("02588480414")</f>
        <v>02588480414</v>
      </c>
      <c r="N309" s="7" t="s">
        <v>418</v>
      </c>
      <c r="O309" s="7" t="s">
        <v>115</v>
      </c>
      <c r="P309" s="8">
        <v>44334</v>
      </c>
      <c r="Q309" s="7" t="s">
        <v>32</v>
      </c>
      <c r="R309" s="7" t="s">
        <v>33</v>
      </c>
      <c r="S309" s="7" t="s">
        <v>34</v>
      </c>
      <c r="T309" s="7"/>
      <c r="U309" s="7" t="s">
        <v>35</v>
      </c>
      <c r="V309" s="9">
        <v>6789.76</v>
      </c>
      <c r="W309" s="9">
        <v>2927.74</v>
      </c>
      <c r="X309" s="9">
        <v>2703.68</v>
      </c>
      <c r="Y309" s="7">
        <v>0</v>
      </c>
      <c r="Z309" s="9">
        <v>1158.3399999999999</v>
      </c>
    </row>
    <row r="310" spans="1:26" x14ac:dyDescent="0.35">
      <c r="A310" s="7" t="s">
        <v>27</v>
      </c>
      <c r="B310" s="7" t="s">
        <v>47</v>
      </c>
      <c r="C310" s="7" t="s">
        <v>50</v>
      </c>
      <c r="D310" s="7" t="s">
        <v>104</v>
      </c>
      <c r="E310" s="7" t="s">
        <v>42</v>
      </c>
      <c r="F310" s="7" t="s">
        <v>225</v>
      </c>
      <c r="G310" s="7">
        <v>2020</v>
      </c>
      <c r="H310" s="7" t="str">
        <f>CONCATENATE("04210370674")</f>
        <v>04210370674</v>
      </c>
      <c r="I310" s="7" t="s">
        <v>43</v>
      </c>
      <c r="J310" s="7" t="s">
        <v>31</v>
      </c>
      <c r="K310" s="7" t="str">
        <f>CONCATENATE("")</f>
        <v/>
      </c>
      <c r="L310" s="7" t="str">
        <f>CONCATENATE("13 13.1 4a")</f>
        <v>13 13.1 4a</v>
      </c>
      <c r="M310" s="7" t="str">
        <f>CONCATENATE("TTTCRS88H30D451K")</f>
        <v>TTTCRS88H30D451K</v>
      </c>
      <c r="N310" s="7" t="s">
        <v>419</v>
      </c>
      <c r="O310" s="7" t="s">
        <v>160</v>
      </c>
      <c r="P310" s="8">
        <v>44334</v>
      </c>
      <c r="Q310" s="7" t="s">
        <v>32</v>
      </c>
      <c r="R310" s="7" t="s">
        <v>33</v>
      </c>
      <c r="S310" s="7" t="s">
        <v>34</v>
      </c>
      <c r="T310" s="7"/>
      <c r="U310" s="7" t="s">
        <v>35</v>
      </c>
      <c r="V310" s="7">
        <v>156.91999999999999</v>
      </c>
      <c r="W310" s="7">
        <v>67.66</v>
      </c>
      <c r="X310" s="7">
        <v>62.49</v>
      </c>
      <c r="Y310" s="7">
        <v>0</v>
      </c>
      <c r="Z310" s="7">
        <v>26.77</v>
      </c>
    </row>
    <row r="311" spans="1:26" x14ac:dyDescent="0.35">
      <c r="A311" s="7" t="s">
        <v>27</v>
      </c>
      <c r="B311" s="7" t="s">
        <v>47</v>
      </c>
      <c r="C311" s="7" t="s">
        <v>50</v>
      </c>
      <c r="D311" s="7" t="s">
        <v>51</v>
      </c>
      <c r="E311" s="7" t="s">
        <v>44</v>
      </c>
      <c r="F311" s="7" t="s">
        <v>101</v>
      </c>
      <c r="G311" s="7">
        <v>2020</v>
      </c>
      <c r="H311" s="7" t="str">
        <f>CONCATENATE("04210817567")</f>
        <v>04210817567</v>
      </c>
      <c r="I311" s="7" t="s">
        <v>30</v>
      </c>
      <c r="J311" s="7" t="s">
        <v>31</v>
      </c>
      <c r="K311" s="7" t="str">
        <f>CONCATENATE("")</f>
        <v/>
      </c>
      <c r="L311" s="7" t="str">
        <f>CONCATENATE("13 13.1 4a")</f>
        <v>13 13.1 4a</v>
      </c>
      <c r="M311" s="7" t="str">
        <f>CONCATENATE("FNTRMN72A54E743Y")</f>
        <v>FNTRMN72A54E743Y</v>
      </c>
      <c r="N311" s="7" t="s">
        <v>420</v>
      </c>
      <c r="O311" s="7" t="s">
        <v>115</v>
      </c>
      <c r="P311" s="8">
        <v>44334</v>
      </c>
      <c r="Q311" s="7" t="s">
        <v>32</v>
      </c>
      <c r="R311" s="7" t="s">
        <v>33</v>
      </c>
      <c r="S311" s="7" t="s">
        <v>34</v>
      </c>
      <c r="T311" s="7"/>
      <c r="U311" s="7" t="s">
        <v>35</v>
      </c>
      <c r="V311" s="7">
        <v>742.56</v>
      </c>
      <c r="W311" s="7">
        <v>320.19</v>
      </c>
      <c r="X311" s="7">
        <v>295.69</v>
      </c>
      <c r="Y311" s="7">
        <v>0</v>
      </c>
      <c r="Z311" s="7">
        <v>126.68</v>
      </c>
    </row>
    <row r="312" spans="1:26" x14ac:dyDescent="0.35">
      <c r="A312" s="7" t="s">
        <v>27</v>
      </c>
      <c r="B312" s="7" t="s">
        <v>28</v>
      </c>
      <c r="C312" s="7" t="s">
        <v>50</v>
      </c>
      <c r="D312" s="7" t="s">
        <v>51</v>
      </c>
      <c r="E312" s="7" t="s">
        <v>39</v>
      </c>
      <c r="F312" s="7" t="s">
        <v>119</v>
      </c>
      <c r="G312" s="7">
        <v>2017</v>
      </c>
      <c r="H312" s="7" t="str">
        <f>CONCATENATE("14270141378")</f>
        <v>14270141378</v>
      </c>
      <c r="I312" s="7" t="s">
        <v>30</v>
      </c>
      <c r="J312" s="7" t="s">
        <v>31</v>
      </c>
      <c r="K312" s="7" t="str">
        <f>CONCATENATE("")</f>
        <v/>
      </c>
      <c r="L312" s="7" t="str">
        <f>CONCATENATE("21 21.1 2a")</f>
        <v>21 21.1 2a</v>
      </c>
      <c r="M312" s="7" t="str">
        <f>CONCATENATE("MTTMRA57T19F524A")</f>
        <v>MTTMRA57T19F524A</v>
      </c>
      <c r="N312" s="7" t="s">
        <v>421</v>
      </c>
      <c r="O312" s="7" t="s">
        <v>152</v>
      </c>
      <c r="P312" s="8">
        <v>44334</v>
      </c>
      <c r="Q312" s="7" t="s">
        <v>32</v>
      </c>
      <c r="R312" s="7" t="s">
        <v>33</v>
      </c>
      <c r="S312" s="7" t="s">
        <v>34</v>
      </c>
      <c r="T312" s="7"/>
      <c r="U312" s="7" t="s">
        <v>35</v>
      </c>
      <c r="V312" s="9">
        <v>3990</v>
      </c>
      <c r="W312" s="9">
        <v>1720.49</v>
      </c>
      <c r="X312" s="9">
        <v>1588.82</v>
      </c>
      <c r="Y312" s="7">
        <v>0</v>
      </c>
      <c r="Z312" s="7">
        <v>680.69</v>
      </c>
    </row>
    <row r="313" spans="1:26" x14ac:dyDescent="0.35">
      <c r="A313" s="7" t="s">
        <v>27</v>
      </c>
      <c r="B313" s="7" t="s">
        <v>47</v>
      </c>
      <c r="C313" s="7" t="s">
        <v>50</v>
      </c>
      <c r="D313" s="7" t="s">
        <v>51</v>
      </c>
      <c r="E313" s="7" t="s">
        <v>39</v>
      </c>
      <c r="F313" s="7" t="s">
        <v>119</v>
      </c>
      <c r="G313" s="7">
        <v>2020</v>
      </c>
      <c r="H313" s="7" t="str">
        <f>CONCATENATE("04210587582")</f>
        <v>04210587582</v>
      </c>
      <c r="I313" s="7" t="s">
        <v>30</v>
      </c>
      <c r="J313" s="7" t="s">
        <v>31</v>
      </c>
      <c r="K313" s="7" t="str">
        <f>CONCATENATE("")</f>
        <v/>
      </c>
      <c r="L313" s="7" t="str">
        <f>CONCATENATE("13 13.1 4a")</f>
        <v>13 13.1 4a</v>
      </c>
      <c r="M313" s="7" t="str">
        <f>CONCATENATE("GRSDMN79R10L500J")</f>
        <v>GRSDMN79R10L500J</v>
      </c>
      <c r="N313" s="7" t="s">
        <v>422</v>
      </c>
      <c r="O313" s="7" t="s">
        <v>160</v>
      </c>
      <c r="P313" s="8">
        <v>44334</v>
      </c>
      <c r="Q313" s="7" t="s">
        <v>32</v>
      </c>
      <c r="R313" s="7" t="s">
        <v>33</v>
      </c>
      <c r="S313" s="7" t="s">
        <v>34</v>
      </c>
      <c r="T313" s="7"/>
      <c r="U313" s="7" t="s">
        <v>35</v>
      </c>
      <c r="V313" s="9">
        <v>3781.5</v>
      </c>
      <c r="W313" s="9">
        <v>1630.58</v>
      </c>
      <c r="X313" s="9">
        <v>1505.79</v>
      </c>
      <c r="Y313" s="7">
        <v>0</v>
      </c>
      <c r="Z313" s="7">
        <v>645.13</v>
      </c>
    </row>
    <row r="314" spans="1:26" x14ac:dyDescent="0.35">
      <c r="A314" s="7" t="s">
        <v>27</v>
      </c>
      <c r="B314" s="7" t="s">
        <v>47</v>
      </c>
      <c r="C314" s="7" t="s">
        <v>50</v>
      </c>
      <c r="D314" s="7" t="s">
        <v>51</v>
      </c>
      <c r="E314" s="7" t="s">
        <v>44</v>
      </c>
      <c r="F314" s="7" t="s">
        <v>101</v>
      </c>
      <c r="G314" s="7">
        <v>2020</v>
      </c>
      <c r="H314" s="7" t="str">
        <f>CONCATENATE("04210499721")</f>
        <v>04210499721</v>
      </c>
      <c r="I314" s="7" t="s">
        <v>30</v>
      </c>
      <c r="J314" s="7" t="s">
        <v>31</v>
      </c>
      <c r="K314" s="7" t="str">
        <f>CONCATENATE("")</f>
        <v/>
      </c>
      <c r="L314" s="7" t="str">
        <f>CONCATENATE("13 13.1 4a")</f>
        <v>13 13.1 4a</v>
      </c>
      <c r="M314" s="7" t="str">
        <f>CONCATENATE("PRCGPP82A27A783S")</f>
        <v>PRCGPP82A27A783S</v>
      </c>
      <c r="N314" s="7" t="s">
        <v>423</v>
      </c>
      <c r="O314" s="7" t="s">
        <v>115</v>
      </c>
      <c r="P314" s="8">
        <v>44334</v>
      </c>
      <c r="Q314" s="7" t="s">
        <v>32</v>
      </c>
      <c r="R314" s="7" t="s">
        <v>33</v>
      </c>
      <c r="S314" s="7" t="s">
        <v>34</v>
      </c>
      <c r="T314" s="7"/>
      <c r="U314" s="7" t="s">
        <v>35</v>
      </c>
      <c r="V314" s="7">
        <v>675.84</v>
      </c>
      <c r="W314" s="7">
        <v>291.42</v>
      </c>
      <c r="X314" s="7">
        <v>269.12</v>
      </c>
      <c r="Y314" s="7">
        <v>0</v>
      </c>
      <c r="Z314" s="7">
        <v>115.3</v>
      </c>
    </row>
    <row r="315" spans="1:26" x14ac:dyDescent="0.35">
      <c r="A315" s="7" t="s">
        <v>27</v>
      </c>
      <c r="B315" s="7" t="s">
        <v>47</v>
      </c>
      <c r="C315" s="7" t="s">
        <v>50</v>
      </c>
      <c r="D315" s="7" t="s">
        <v>104</v>
      </c>
      <c r="E315" s="7" t="s">
        <v>29</v>
      </c>
      <c r="F315" s="7" t="s">
        <v>105</v>
      </c>
      <c r="G315" s="7">
        <v>2020</v>
      </c>
      <c r="H315" s="7" t="str">
        <f>CONCATENATE("04210572329")</f>
        <v>04210572329</v>
      </c>
      <c r="I315" s="7" t="s">
        <v>30</v>
      </c>
      <c r="J315" s="7" t="s">
        <v>31</v>
      </c>
      <c r="K315" s="7" t="str">
        <f>CONCATENATE("")</f>
        <v/>
      </c>
      <c r="L315" s="7" t="str">
        <f>CONCATENATE("13 13.1 4a")</f>
        <v>13 13.1 4a</v>
      </c>
      <c r="M315" s="7" t="str">
        <f>CONCATENATE("01580170429")</f>
        <v>01580170429</v>
      </c>
      <c r="N315" s="7" t="s">
        <v>424</v>
      </c>
      <c r="O315" s="7" t="s">
        <v>349</v>
      </c>
      <c r="P315" s="8">
        <v>44334</v>
      </c>
      <c r="Q315" s="7" t="s">
        <v>32</v>
      </c>
      <c r="R315" s="7" t="s">
        <v>33</v>
      </c>
      <c r="S315" s="7" t="s">
        <v>34</v>
      </c>
      <c r="T315" s="7"/>
      <c r="U315" s="7" t="s">
        <v>35</v>
      </c>
      <c r="V315" s="9">
        <v>4873.63</v>
      </c>
      <c r="W315" s="9">
        <v>2101.5100000000002</v>
      </c>
      <c r="X315" s="9">
        <v>1940.68</v>
      </c>
      <c r="Y315" s="7">
        <v>0</v>
      </c>
      <c r="Z315" s="7">
        <v>831.44</v>
      </c>
    </row>
    <row r="316" spans="1:26" x14ac:dyDescent="0.35">
      <c r="A316" s="7" t="s">
        <v>27</v>
      </c>
      <c r="B316" s="7" t="s">
        <v>47</v>
      </c>
      <c r="C316" s="7" t="s">
        <v>50</v>
      </c>
      <c r="D316" s="7" t="s">
        <v>104</v>
      </c>
      <c r="E316" s="7" t="s">
        <v>39</v>
      </c>
      <c r="F316" s="7" t="s">
        <v>162</v>
      </c>
      <c r="G316" s="7">
        <v>2020</v>
      </c>
      <c r="H316" s="7" t="str">
        <f>CONCATENATE("04210856631")</f>
        <v>04210856631</v>
      </c>
      <c r="I316" s="7" t="s">
        <v>43</v>
      </c>
      <c r="J316" s="7" t="s">
        <v>31</v>
      </c>
      <c r="K316" s="7" t="str">
        <f>CONCATENATE("")</f>
        <v/>
      </c>
      <c r="L316" s="7" t="str">
        <f>CONCATENATE("13 13.1 4a")</f>
        <v>13 13.1 4a</v>
      </c>
      <c r="M316" s="7" t="str">
        <f>CONCATENATE("SPDLSE35E67I461Y")</f>
        <v>SPDLSE35E67I461Y</v>
      </c>
      <c r="N316" s="7" t="s">
        <v>425</v>
      </c>
      <c r="O316" s="7" t="s">
        <v>160</v>
      </c>
      <c r="P316" s="8">
        <v>44334</v>
      </c>
      <c r="Q316" s="7" t="s">
        <v>32</v>
      </c>
      <c r="R316" s="7" t="s">
        <v>33</v>
      </c>
      <c r="S316" s="7" t="s">
        <v>34</v>
      </c>
      <c r="T316" s="7"/>
      <c r="U316" s="7" t="s">
        <v>35</v>
      </c>
      <c r="V316" s="7">
        <v>68.22</v>
      </c>
      <c r="W316" s="7">
        <v>29.42</v>
      </c>
      <c r="X316" s="7">
        <v>27.17</v>
      </c>
      <c r="Y316" s="7">
        <v>0</v>
      </c>
      <c r="Z316" s="7">
        <v>11.63</v>
      </c>
    </row>
    <row r="317" spans="1:26" x14ac:dyDescent="0.35">
      <c r="A317" s="7" t="s">
        <v>27</v>
      </c>
      <c r="B317" s="7" t="s">
        <v>47</v>
      </c>
      <c r="C317" s="7" t="s">
        <v>50</v>
      </c>
      <c r="D317" s="7" t="s">
        <v>104</v>
      </c>
      <c r="E317" s="7" t="s">
        <v>40</v>
      </c>
      <c r="F317" s="7" t="s">
        <v>239</v>
      </c>
      <c r="G317" s="7">
        <v>2020</v>
      </c>
      <c r="H317" s="7" t="str">
        <f>CONCATENATE("04240420341")</f>
        <v>04240420341</v>
      </c>
      <c r="I317" s="7" t="s">
        <v>30</v>
      </c>
      <c r="J317" s="7" t="s">
        <v>31</v>
      </c>
      <c r="K317" s="7" t="str">
        <f>CONCATENATE("")</f>
        <v/>
      </c>
      <c r="L317" s="7" t="str">
        <f>CONCATENATE("11 11.2 4b")</f>
        <v>11 11.2 4b</v>
      </c>
      <c r="M317" s="7" t="str">
        <f>CONCATENATE("LTNSLV40D66H886Q")</f>
        <v>LTNSLV40D66H886Q</v>
      </c>
      <c r="N317" s="7" t="s">
        <v>426</v>
      </c>
      <c r="O317" s="7" t="s">
        <v>78</v>
      </c>
      <c r="P317" s="8">
        <v>44334</v>
      </c>
      <c r="Q317" s="7" t="s">
        <v>32</v>
      </c>
      <c r="R317" s="7" t="s">
        <v>33</v>
      </c>
      <c r="S317" s="7" t="s">
        <v>34</v>
      </c>
      <c r="T317" s="7"/>
      <c r="U317" s="7" t="s">
        <v>35</v>
      </c>
      <c r="V317" s="9">
        <v>3735.21</v>
      </c>
      <c r="W317" s="9">
        <v>1610.62</v>
      </c>
      <c r="X317" s="9">
        <v>1487.36</v>
      </c>
      <c r="Y317" s="7">
        <v>0</v>
      </c>
      <c r="Z317" s="7">
        <v>637.23</v>
      </c>
    </row>
    <row r="318" spans="1:26" x14ac:dyDescent="0.35">
      <c r="A318" s="7" t="s">
        <v>27</v>
      </c>
      <c r="B318" s="7" t="s">
        <v>47</v>
      </c>
      <c r="C318" s="7" t="s">
        <v>50</v>
      </c>
      <c r="D318" s="7" t="s">
        <v>51</v>
      </c>
      <c r="E318" s="7" t="s">
        <v>40</v>
      </c>
      <c r="F318" s="7" t="s">
        <v>59</v>
      </c>
      <c r="G318" s="7">
        <v>2020</v>
      </c>
      <c r="H318" s="7" t="str">
        <f>CONCATENATE("04210478493")</f>
        <v>04210478493</v>
      </c>
      <c r="I318" s="7" t="s">
        <v>30</v>
      </c>
      <c r="J318" s="7" t="s">
        <v>31</v>
      </c>
      <c r="K318" s="7" t="str">
        <f>CONCATENATE("")</f>
        <v/>
      </c>
      <c r="L318" s="7" t="str">
        <f>CONCATENATE("13 13.1 4a")</f>
        <v>13 13.1 4a</v>
      </c>
      <c r="M318" s="7" t="str">
        <f>CONCATENATE("CNTGPP39B07D809C")</f>
        <v>CNTGPP39B07D809C</v>
      </c>
      <c r="N318" s="7" t="s">
        <v>427</v>
      </c>
      <c r="O318" s="7" t="s">
        <v>115</v>
      </c>
      <c r="P318" s="8">
        <v>44334</v>
      </c>
      <c r="Q318" s="7" t="s">
        <v>32</v>
      </c>
      <c r="R318" s="7" t="s">
        <v>33</v>
      </c>
      <c r="S318" s="7" t="s">
        <v>34</v>
      </c>
      <c r="T318" s="7"/>
      <c r="U318" s="7" t="s">
        <v>35</v>
      </c>
      <c r="V318" s="7">
        <v>774.12</v>
      </c>
      <c r="W318" s="7">
        <v>333.8</v>
      </c>
      <c r="X318" s="7">
        <v>308.25</v>
      </c>
      <c r="Y318" s="7">
        <v>0</v>
      </c>
      <c r="Z318" s="7">
        <v>132.07</v>
      </c>
    </row>
    <row r="319" spans="1:26" x14ac:dyDescent="0.35">
      <c r="A319" s="7" t="s">
        <v>27</v>
      </c>
      <c r="B319" s="7" t="s">
        <v>28</v>
      </c>
      <c r="C319" s="7" t="s">
        <v>50</v>
      </c>
      <c r="D319" s="7" t="s">
        <v>51</v>
      </c>
      <c r="E319" s="7" t="s">
        <v>40</v>
      </c>
      <c r="F319" s="7" t="s">
        <v>59</v>
      </c>
      <c r="G319" s="7">
        <v>2017</v>
      </c>
      <c r="H319" s="7" t="str">
        <f>CONCATENATE("14270141584")</f>
        <v>14270141584</v>
      </c>
      <c r="I319" s="7" t="s">
        <v>30</v>
      </c>
      <c r="J319" s="7" t="s">
        <v>31</v>
      </c>
      <c r="K319" s="7" t="str">
        <f>CONCATENATE("")</f>
        <v/>
      </c>
      <c r="L319" s="7" t="str">
        <f>CONCATENATE("21 21.1 2a")</f>
        <v>21 21.1 2a</v>
      </c>
      <c r="M319" s="7" t="str">
        <f>CONCATENATE("PRTDRA66T07B352L")</f>
        <v>PRTDRA66T07B352L</v>
      </c>
      <c r="N319" s="7" t="s">
        <v>428</v>
      </c>
      <c r="O319" s="7" t="s">
        <v>152</v>
      </c>
      <c r="P319" s="8">
        <v>44334</v>
      </c>
      <c r="Q319" s="7" t="s">
        <v>32</v>
      </c>
      <c r="R319" s="7" t="s">
        <v>33</v>
      </c>
      <c r="S319" s="7" t="s">
        <v>34</v>
      </c>
      <c r="T319" s="7"/>
      <c r="U319" s="7" t="s">
        <v>35</v>
      </c>
      <c r="V319" s="9">
        <v>2100</v>
      </c>
      <c r="W319" s="7">
        <v>905.52</v>
      </c>
      <c r="X319" s="7">
        <v>836.22</v>
      </c>
      <c r="Y319" s="7">
        <v>0</v>
      </c>
      <c r="Z319" s="7">
        <v>358.26</v>
      </c>
    </row>
    <row r="320" spans="1:26" x14ac:dyDescent="0.35">
      <c r="A320" s="7" t="s">
        <v>27</v>
      </c>
      <c r="B320" s="7" t="s">
        <v>47</v>
      </c>
      <c r="C320" s="7" t="s">
        <v>50</v>
      </c>
      <c r="D320" s="7" t="s">
        <v>51</v>
      </c>
      <c r="E320" s="7" t="s">
        <v>40</v>
      </c>
      <c r="F320" s="7" t="s">
        <v>249</v>
      </c>
      <c r="G320" s="7">
        <v>2020</v>
      </c>
      <c r="H320" s="7" t="str">
        <f>CONCATENATE("04210203883")</f>
        <v>04210203883</v>
      </c>
      <c r="I320" s="7" t="s">
        <v>30</v>
      </c>
      <c r="J320" s="7" t="s">
        <v>31</v>
      </c>
      <c r="K320" s="7" t="str">
        <f>CONCATENATE("")</f>
        <v/>
      </c>
      <c r="L320" s="7" t="str">
        <f>CONCATENATE("13 13.1 4a")</f>
        <v>13 13.1 4a</v>
      </c>
      <c r="M320" s="7" t="str">
        <f>CONCATENATE("CNTDNL51T07D749A")</f>
        <v>CNTDNL51T07D749A</v>
      </c>
      <c r="N320" s="7" t="s">
        <v>429</v>
      </c>
      <c r="O320" s="7" t="s">
        <v>115</v>
      </c>
      <c r="P320" s="8">
        <v>44334</v>
      </c>
      <c r="Q320" s="7" t="s">
        <v>32</v>
      </c>
      <c r="R320" s="7" t="s">
        <v>33</v>
      </c>
      <c r="S320" s="7" t="s">
        <v>34</v>
      </c>
      <c r="T320" s="7"/>
      <c r="U320" s="7" t="s">
        <v>35</v>
      </c>
      <c r="V320" s="7">
        <v>451.5</v>
      </c>
      <c r="W320" s="7">
        <v>194.69</v>
      </c>
      <c r="X320" s="7">
        <v>179.79</v>
      </c>
      <c r="Y320" s="7">
        <v>0</v>
      </c>
      <c r="Z320" s="7">
        <v>77.02</v>
      </c>
    </row>
    <row r="321" spans="1:26" x14ac:dyDescent="0.35">
      <c r="A321" s="7" t="s">
        <v>27</v>
      </c>
      <c r="B321" s="7" t="s">
        <v>47</v>
      </c>
      <c r="C321" s="7" t="s">
        <v>50</v>
      </c>
      <c r="D321" s="7" t="s">
        <v>104</v>
      </c>
      <c r="E321" s="7" t="s">
        <v>29</v>
      </c>
      <c r="F321" s="7" t="s">
        <v>105</v>
      </c>
      <c r="G321" s="7">
        <v>2020</v>
      </c>
      <c r="H321" s="7" t="str">
        <f>CONCATENATE("04210450898")</f>
        <v>04210450898</v>
      </c>
      <c r="I321" s="7" t="s">
        <v>43</v>
      </c>
      <c r="J321" s="7" t="s">
        <v>31</v>
      </c>
      <c r="K321" s="7" t="str">
        <f>CONCATENATE("")</f>
        <v/>
      </c>
      <c r="L321" s="7" t="str">
        <f>CONCATENATE("13 13.1 4a")</f>
        <v>13 13.1 4a</v>
      </c>
      <c r="M321" s="7" t="str">
        <f>CONCATENATE("SSTGNN95P16D451P")</f>
        <v>SSTGNN95P16D451P</v>
      </c>
      <c r="N321" s="7" t="s">
        <v>430</v>
      </c>
      <c r="O321" s="7" t="s">
        <v>160</v>
      </c>
      <c r="P321" s="8">
        <v>44334</v>
      </c>
      <c r="Q321" s="7" t="s">
        <v>32</v>
      </c>
      <c r="R321" s="7" t="s">
        <v>33</v>
      </c>
      <c r="S321" s="7" t="s">
        <v>34</v>
      </c>
      <c r="T321" s="7"/>
      <c r="U321" s="7" t="s">
        <v>35</v>
      </c>
      <c r="V321" s="7">
        <v>432.13</v>
      </c>
      <c r="W321" s="7">
        <v>186.33</v>
      </c>
      <c r="X321" s="7">
        <v>172.07</v>
      </c>
      <c r="Y321" s="7">
        <v>0</v>
      </c>
      <c r="Z321" s="7">
        <v>73.73</v>
      </c>
    </row>
    <row r="322" spans="1:26" x14ac:dyDescent="0.35">
      <c r="A322" s="7" t="s">
        <v>27</v>
      </c>
      <c r="B322" s="7" t="s">
        <v>47</v>
      </c>
      <c r="C322" s="7" t="s">
        <v>50</v>
      </c>
      <c r="D322" s="7" t="s">
        <v>51</v>
      </c>
      <c r="E322" s="7" t="s">
        <v>40</v>
      </c>
      <c r="F322" s="7" t="s">
        <v>249</v>
      </c>
      <c r="G322" s="7">
        <v>2020</v>
      </c>
      <c r="H322" s="7" t="str">
        <f>CONCATENATE("04210374437")</f>
        <v>04210374437</v>
      </c>
      <c r="I322" s="7" t="s">
        <v>30</v>
      </c>
      <c r="J322" s="7" t="s">
        <v>31</v>
      </c>
      <c r="K322" s="7" t="str">
        <f>CONCATENATE("")</f>
        <v/>
      </c>
      <c r="L322" s="7" t="str">
        <f>CONCATENATE("13 13.1 4a")</f>
        <v>13 13.1 4a</v>
      </c>
      <c r="M322" s="7" t="str">
        <f>CONCATENATE("CSTMRA30S28D749M")</f>
        <v>CSTMRA30S28D749M</v>
      </c>
      <c r="N322" s="7" t="s">
        <v>431</v>
      </c>
      <c r="O322" s="7" t="s">
        <v>160</v>
      </c>
      <c r="P322" s="8">
        <v>44334</v>
      </c>
      <c r="Q322" s="7" t="s">
        <v>32</v>
      </c>
      <c r="R322" s="7" t="s">
        <v>33</v>
      </c>
      <c r="S322" s="7" t="s">
        <v>34</v>
      </c>
      <c r="T322" s="7"/>
      <c r="U322" s="7" t="s">
        <v>35</v>
      </c>
      <c r="V322" s="9">
        <v>1701.26</v>
      </c>
      <c r="W322" s="7">
        <v>733.58</v>
      </c>
      <c r="X322" s="7">
        <v>677.44</v>
      </c>
      <c r="Y322" s="7">
        <v>0</v>
      </c>
      <c r="Z322" s="7">
        <v>290.24</v>
      </c>
    </row>
    <row r="323" spans="1:26" x14ac:dyDescent="0.35">
      <c r="A323" s="7" t="s">
        <v>27</v>
      </c>
      <c r="B323" s="7" t="s">
        <v>47</v>
      </c>
      <c r="C323" s="7" t="s">
        <v>50</v>
      </c>
      <c r="D323" s="7" t="s">
        <v>104</v>
      </c>
      <c r="E323" s="7" t="s">
        <v>39</v>
      </c>
      <c r="F323" s="7" t="s">
        <v>162</v>
      </c>
      <c r="G323" s="7">
        <v>2020</v>
      </c>
      <c r="H323" s="7" t="str">
        <f>CONCATENATE("04210322816")</f>
        <v>04210322816</v>
      </c>
      <c r="I323" s="7" t="s">
        <v>43</v>
      </c>
      <c r="J323" s="7" t="s">
        <v>31</v>
      </c>
      <c r="K323" s="7" t="str">
        <f>CONCATENATE("")</f>
        <v/>
      </c>
      <c r="L323" s="7" t="str">
        <f>CONCATENATE("13 13.1 4a")</f>
        <v>13 13.1 4a</v>
      </c>
      <c r="M323" s="7" t="str">
        <f>CONCATENATE("PGLCRL65P18D451Q")</f>
        <v>PGLCRL65P18D451Q</v>
      </c>
      <c r="N323" s="7" t="s">
        <v>432</v>
      </c>
      <c r="O323" s="7" t="s">
        <v>160</v>
      </c>
      <c r="P323" s="8">
        <v>44334</v>
      </c>
      <c r="Q323" s="7" t="s">
        <v>32</v>
      </c>
      <c r="R323" s="7" t="s">
        <v>33</v>
      </c>
      <c r="S323" s="7" t="s">
        <v>34</v>
      </c>
      <c r="T323" s="7"/>
      <c r="U323" s="7" t="s">
        <v>35</v>
      </c>
      <c r="V323" s="7">
        <v>94.4</v>
      </c>
      <c r="W323" s="7">
        <v>40.71</v>
      </c>
      <c r="X323" s="7">
        <v>37.590000000000003</v>
      </c>
      <c r="Y323" s="7">
        <v>0</v>
      </c>
      <c r="Z323" s="7">
        <v>16.100000000000001</v>
      </c>
    </row>
    <row r="324" spans="1:26" x14ac:dyDescent="0.35">
      <c r="A324" s="7" t="s">
        <v>27</v>
      </c>
      <c r="B324" s="7" t="s">
        <v>47</v>
      </c>
      <c r="C324" s="7" t="s">
        <v>50</v>
      </c>
      <c r="D324" s="7" t="s">
        <v>64</v>
      </c>
      <c r="E324" s="7" t="s">
        <v>36</v>
      </c>
      <c r="F324" s="7" t="s">
        <v>36</v>
      </c>
      <c r="G324" s="7">
        <v>2018</v>
      </c>
      <c r="H324" s="7" t="str">
        <f>CONCATENATE("84240400303")</f>
        <v>84240400303</v>
      </c>
      <c r="I324" s="7" t="s">
        <v>30</v>
      </c>
      <c r="J324" s="7" t="s">
        <v>31</v>
      </c>
      <c r="K324" s="7" t="str">
        <f>CONCATENATE("")</f>
        <v/>
      </c>
      <c r="L324" s="7" t="str">
        <f>CONCATENATE("11 11.1 4b")</f>
        <v>11 11.1 4b</v>
      </c>
      <c r="M324" s="7" t="str">
        <f>CONCATENATE("FRNGLI44B13F501D")</f>
        <v>FRNGLI44B13F501D</v>
      </c>
      <c r="N324" s="7" t="s">
        <v>433</v>
      </c>
      <c r="O324" s="7" t="s">
        <v>78</v>
      </c>
      <c r="P324" s="8">
        <v>44334</v>
      </c>
      <c r="Q324" s="7" t="s">
        <v>32</v>
      </c>
      <c r="R324" s="7" t="s">
        <v>33</v>
      </c>
      <c r="S324" s="7" t="s">
        <v>34</v>
      </c>
      <c r="T324" s="7"/>
      <c r="U324" s="7" t="s">
        <v>35</v>
      </c>
      <c r="V324" s="9">
        <v>11474</v>
      </c>
      <c r="W324" s="9">
        <v>4947.59</v>
      </c>
      <c r="X324" s="9">
        <v>4568.95</v>
      </c>
      <c r="Y324" s="7">
        <v>0</v>
      </c>
      <c r="Z324" s="9">
        <v>1957.46</v>
      </c>
    </row>
    <row r="325" spans="1:26" x14ac:dyDescent="0.35">
      <c r="A325" s="7" t="s">
        <v>27</v>
      </c>
      <c r="B325" s="7" t="s">
        <v>47</v>
      </c>
      <c r="C325" s="7" t="s">
        <v>50</v>
      </c>
      <c r="D325" s="7" t="s">
        <v>51</v>
      </c>
      <c r="E325" s="7" t="s">
        <v>39</v>
      </c>
      <c r="F325" s="7" t="s">
        <v>121</v>
      </c>
      <c r="G325" s="7">
        <v>2020</v>
      </c>
      <c r="H325" s="7" t="str">
        <f>CONCATENATE("04210121127")</f>
        <v>04210121127</v>
      </c>
      <c r="I325" s="7" t="s">
        <v>30</v>
      </c>
      <c r="J325" s="7" t="s">
        <v>31</v>
      </c>
      <c r="K325" s="7" t="str">
        <f>CONCATENATE("")</f>
        <v/>
      </c>
      <c r="L325" s="7" t="str">
        <f>CONCATENATE("13 13.1 4a")</f>
        <v>13 13.1 4a</v>
      </c>
      <c r="M325" s="7" t="str">
        <f>CONCATENATE("GRLLRT83B27D749E")</f>
        <v>GRLLRT83B27D749E</v>
      </c>
      <c r="N325" s="7" t="s">
        <v>434</v>
      </c>
      <c r="O325" s="7" t="s">
        <v>115</v>
      </c>
      <c r="P325" s="8">
        <v>44334</v>
      </c>
      <c r="Q325" s="7" t="s">
        <v>32</v>
      </c>
      <c r="R325" s="7" t="s">
        <v>33</v>
      </c>
      <c r="S325" s="7" t="s">
        <v>34</v>
      </c>
      <c r="T325" s="7"/>
      <c r="U325" s="7" t="s">
        <v>35</v>
      </c>
      <c r="V325" s="9">
        <v>1752.81</v>
      </c>
      <c r="W325" s="7">
        <v>755.81</v>
      </c>
      <c r="X325" s="7">
        <v>697.97</v>
      </c>
      <c r="Y325" s="7">
        <v>0</v>
      </c>
      <c r="Z325" s="7">
        <v>299.02999999999997</v>
      </c>
    </row>
    <row r="326" spans="1:26" x14ac:dyDescent="0.35">
      <c r="A326" s="7" t="s">
        <v>27</v>
      </c>
      <c r="B326" s="7" t="s">
        <v>47</v>
      </c>
      <c r="C326" s="7" t="s">
        <v>50</v>
      </c>
      <c r="D326" s="7" t="s">
        <v>104</v>
      </c>
      <c r="E326" s="7" t="s">
        <v>39</v>
      </c>
      <c r="F326" s="7" t="s">
        <v>162</v>
      </c>
      <c r="G326" s="7">
        <v>2020</v>
      </c>
      <c r="H326" s="7" t="str">
        <f>CONCATENATE("04210076826")</f>
        <v>04210076826</v>
      </c>
      <c r="I326" s="7" t="s">
        <v>43</v>
      </c>
      <c r="J326" s="7" t="s">
        <v>31</v>
      </c>
      <c r="K326" s="7" t="str">
        <f>CONCATENATE("")</f>
        <v/>
      </c>
      <c r="L326" s="7" t="str">
        <f>CONCATENATE("13 13.1 4a")</f>
        <v>13 13.1 4a</v>
      </c>
      <c r="M326" s="7" t="str">
        <f>CONCATENATE("RGNFNC77P23D451K")</f>
        <v>RGNFNC77P23D451K</v>
      </c>
      <c r="N326" s="7" t="s">
        <v>435</v>
      </c>
      <c r="O326" s="7" t="s">
        <v>160</v>
      </c>
      <c r="P326" s="8">
        <v>44334</v>
      </c>
      <c r="Q326" s="7" t="s">
        <v>32</v>
      </c>
      <c r="R326" s="7" t="s">
        <v>33</v>
      </c>
      <c r="S326" s="7" t="s">
        <v>34</v>
      </c>
      <c r="T326" s="7"/>
      <c r="U326" s="7" t="s">
        <v>35</v>
      </c>
      <c r="V326" s="7">
        <v>176.99</v>
      </c>
      <c r="W326" s="7">
        <v>76.319999999999993</v>
      </c>
      <c r="X326" s="7">
        <v>70.48</v>
      </c>
      <c r="Y326" s="7">
        <v>0</v>
      </c>
      <c r="Z326" s="7">
        <v>30.19</v>
      </c>
    </row>
    <row r="327" spans="1:26" x14ac:dyDescent="0.35">
      <c r="A327" s="7" t="s">
        <v>27</v>
      </c>
      <c r="B327" s="7" t="s">
        <v>47</v>
      </c>
      <c r="C327" s="7" t="s">
        <v>50</v>
      </c>
      <c r="D327" s="7" t="s">
        <v>54</v>
      </c>
      <c r="E327" s="7" t="s">
        <v>39</v>
      </c>
      <c r="F327" s="7" t="s">
        <v>89</v>
      </c>
      <c r="G327" s="7">
        <v>2016</v>
      </c>
      <c r="H327" s="7" t="str">
        <f>CONCATENATE("64210918633")</f>
        <v>64210918633</v>
      </c>
      <c r="I327" s="7" t="s">
        <v>30</v>
      </c>
      <c r="J327" s="7" t="s">
        <v>31</v>
      </c>
      <c r="K327" s="7" t="str">
        <f>CONCATENATE("")</f>
        <v/>
      </c>
      <c r="L327" s="7" t="str">
        <f>CONCATENATE("13 13.1 4a")</f>
        <v>13 13.1 4a</v>
      </c>
      <c r="M327" s="7" t="str">
        <f>CONCATENATE("01651450437")</f>
        <v>01651450437</v>
      </c>
      <c r="N327" s="7" t="s">
        <v>436</v>
      </c>
      <c r="O327" s="7" t="s">
        <v>349</v>
      </c>
      <c r="P327" s="8">
        <v>44334</v>
      </c>
      <c r="Q327" s="7" t="s">
        <v>32</v>
      </c>
      <c r="R327" s="7" t="s">
        <v>33</v>
      </c>
      <c r="S327" s="7" t="s">
        <v>34</v>
      </c>
      <c r="T327" s="7"/>
      <c r="U327" s="7" t="s">
        <v>35</v>
      </c>
      <c r="V327" s="7">
        <v>790.73</v>
      </c>
      <c r="W327" s="7">
        <v>340.96</v>
      </c>
      <c r="X327" s="7">
        <v>314.87</v>
      </c>
      <c r="Y327" s="7">
        <v>0</v>
      </c>
      <c r="Z327" s="7">
        <v>134.9</v>
      </c>
    </row>
    <row r="328" spans="1:26" x14ac:dyDescent="0.35">
      <c r="A328" s="7" t="s">
        <v>27</v>
      </c>
      <c r="B328" s="7" t="s">
        <v>47</v>
      </c>
      <c r="C328" s="7" t="s">
        <v>50</v>
      </c>
      <c r="D328" s="7" t="s">
        <v>51</v>
      </c>
      <c r="E328" s="7" t="s">
        <v>39</v>
      </c>
      <c r="F328" s="7" t="s">
        <v>125</v>
      </c>
      <c r="G328" s="7">
        <v>2020</v>
      </c>
      <c r="H328" s="7" t="str">
        <f>CONCATENATE("04210298628")</f>
        <v>04210298628</v>
      </c>
      <c r="I328" s="7" t="s">
        <v>30</v>
      </c>
      <c r="J328" s="7" t="s">
        <v>31</v>
      </c>
      <c r="K328" s="7" t="str">
        <f>CONCATENATE("")</f>
        <v/>
      </c>
      <c r="L328" s="7" t="str">
        <f>CONCATENATE("13 13.1 4a")</f>
        <v>13 13.1 4a</v>
      </c>
      <c r="M328" s="7" t="str">
        <f>CONCATENATE("CRPNLL42E13G453E")</f>
        <v>CRPNLL42E13G453E</v>
      </c>
      <c r="N328" s="7" t="s">
        <v>437</v>
      </c>
      <c r="O328" s="7" t="s">
        <v>115</v>
      </c>
      <c r="P328" s="8">
        <v>44334</v>
      </c>
      <c r="Q328" s="7" t="s">
        <v>32</v>
      </c>
      <c r="R328" s="7" t="s">
        <v>33</v>
      </c>
      <c r="S328" s="7" t="s">
        <v>34</v>
      </c>
      <c r="T328" s="7"/>
      <c r="U328" s="7" t="s">
        <v>35</v>
      </c>
      <c r="V328" s="9">
        <v>1477.28</v>
      </c>
      <c r="W328" s="7">
        <v>637</v>
      </c>
      <c r="X328" s="7">
        <v>588.25</v>
      </c>
      <c r="Y328" s="7">
        <v>0</v>
      </c>
      <c r="Z328" s="7">
        <v>252.03</v>
      </c>
    </row>
    <row r="329" spans="1:26" x14ac:dyDescent="0.35">
      <c r="A329" s="7" t="s">
        <v>27</v>
      </c>
      <c r="B329" s="7" t="s">
        <v>47</v>
      </c>
      <c r="C329" s="7" t="s">
        <v>50</v>
      </c>
      <c r="D329" s="7" t="s">
        <v>51</v>
      </c>
      <c r="E329" s="7" t="s">
        <v>39</v>
      </c>
      <c r="F329" s="7" t="s">
        <v>128</v>
      </c>
      <c r="G329" s="7">
        <v>2020</v>
      </c>
      <c r="H329" s="7" t="str">
        <f>CONCATENATE("04210029379")</f>
        <v>04210029379</v>
      </c>
      <c r="I329" s="7" t="s">
        <v>30</v>
      </c>
      <c r="J329" s="7" t="s">
        <v>31</v>
      </c>
      <c r="K329" s="7" t="str">
        <f>CONCATENATE("")</f>
        <v/>
      </c>
      <c r="L329" s="7" t="str">
        <f>CONCATENATE("13 13.1 4a")</f>
        <v>13 13.1 4a</v>
      </c>
      <c r="M329" s="7" t="str">
        <f>CONCATENATE("BRBLNE87A53B352F")</f>
        <v>BRBLNE87A53B352F</v>
      </c>
      <c r="N329" s="7" t="s">
        <v>438</v>
      </c>
      <c r="O329" s="7" t="s">
        <v>115</v>
      </c>
      <c r="P329" s="8">
        <v>44334</v>
      </c>
      <c r="Q329" s="7" t="s">
        <v>32</v>
      </c>
      <c r="R329" s="7" t="s">
        <v>33</v>
      </c>
      <c r="S329" s="7" t="s">
        <v>34</v>
      </c>
      <c r="T329" s="7"/>
      <c r="U329" s="7" t="s">
        <v>35</v>
      </c>
      <c r="V329" s="9">
        <v>2119.04</v>
      </c>
      <c r="W329" s="7">
        <v>913.73</v>
      </c>
      <c r="X329" s="7">
        <v>843.8</v>
      </c>
      <c r="Y329" s="7">
        <v>0</v>
      </c>
      <c r="Z329" s="7">
        <v>361.51</v>
      </c>
    </row>
    <row r="330" spans="1:26" x14ac:dyDescent="0.35">
      <c r="A330" s="7" t="s">
        <v>27</v>
      </c>
      <c r="B330" s="7" t="s">
        <v>47</v>
      </c>
      <c r="C330" s="7" t="s">
        <v>50</v>
      </c>
      <c r="D330" s="7" t="s">
        <v>51</v>
      </c>
      <c r="E330" s="7" t="s">
        <v>39</v>
      </c>
      <c r="F330" s="7" t="s">
        <v>128</v>
      </c>
      <c r="G330" s="7">
        <v>2020</v>
      </c>
      <c r="H330" s="7" t="str">
        <f>CONCATENATE("04210746162")</f>
        <v>04210746162</v>
      </c>
      <c r="I330" s="7" t="s">
        <v>30</v>
      </c>
      <c r="J330" s="7" t="s">
        <v>31</v>
      </c>
      <c r="K330" s="7" t="str">
        <f>CONCATENATE("")</f>
        <v/>
      </c>
      <c r="L330" s="7" t="str">
        <f>CONCATENATE("13 13.1 4a")</f>
        <v>13 13.1 4a</v>
      </c>
      <c r="M330" s="7" t="str">
        <f>CONCATENATE("CNCGST75M02B352T")</f>
        <v>CNCGST75M02B352T</v>
      </c>
      <c r="N330" s="7" t="s">
        <v>439</v>
      </c>
      <c r="O330" s="7" t="s">
        <v>115</v>
      </c>
      <c r="P330" s="8">
        <v>44334</v>
      </c>
      <c r="Q330" s="7" t="s">
        <v>32</v>
      </c>
      <c r="R330" s="7" t="s">
        <v>33</v>
      </c>
      <c r="S330" s="7" t="s">
        <v>34</v>
      </c>
      <c r="T330" s="7"/>
      <c r="U330" s="7" t="s">
        <v>35</v>
      </c>
      <c r="V330" s="9">
        <v>8895.2000000000007</v>
      </c>
      <c r="W330" s="9">
        <v>3835.61</v>
      </c>
      <c r="X330" s="9">
        <v>3542.07</v>
      </c>
      <c r="Y330" s="7">
        <v>0</v>
      </c>
      <c r="Z330" s="9">
        <v>1517.52</v>
      </c>
    </row>
    <row r="331" spans="1:26" x14ac:dyDescent="0.35">
      <c r="A331" s="7" t="s">
        <v>27</v>
      </c>
      <c r="B331" s="7" t="s">
        <v>47</v>
      </c>
      <c r="C331" s="7" t="s">
        <v>50</v>
      </c>
      <c r="D331" s="7" t="s">
        <v>51</v>
      </c>
      <c r="E331" s="7" t="s">
        <v>40</v>
      </c>
      <c r="F331" s="7" t="s">
        <v>249</v>
      </c>
      <c r="G331" s="7">
        <v>2020</v>
      </c>
      <c r="H331" s="7" t="str">
        <f>CONCATENATE("04210503506")</f>
        <v>04210503506</v>
      </c>
      <c r="I331" s="7" t="s">
        <v>30</v>
      </c>
      <c r="J331" s="7" t="s">
        <v>31</v>
      </c>
      <c r="K331" s="7" t="str">
        <f>CONCATENATE("")</f>
        <v/>
      </c>
      <c r="L331" s="7" t="str">
        <f>CONCATENATE("13 13.1 4a")</f>
        <v>13 13.1 4a</v>
      </c>
      <c r="M331" s="7" t="str">
        <f>CONCATENATE("MNTMRC72R25G453G")</f>
        <v>MNTMRC72R25G453G</v>
      </c>
      <c r="N331" s="7" t="s">
        <v>440</v>
      </c>
      <c r="O331" s="7" t="s">
        <v>160</v>
      </c>
      <c r="P331" s="8">
        <v>44334</v>
      </c>
      <c r="Q331" s="7" t="s">
        <v>32</v>
      </c>
      <c r="R331" s="7" t="s">
        <v>33</v>
      </c>
      <c r="S331" s="7" t="s">
        <v>34</v>
      </c>
      <c r="T331" s="7"/>
      <c r="U331" s="7" t="s">
        <v>35</v>
      </c>
      <c r="V331" s="9">
        <v>4305.8</v>
      </c>
      <c r="W331" s="9">
        <v>1856.66</v>
      </c>
      <c r="X331" s="9">
        <v>1714.57</v>
      </c>
      <c r="Y331" s="7">
        <v>0</v>
      </c>
      <c r="Z331" s="7">
        <v>734.57</v>
      </c>
    </row>
    <row r="332" spans="1:26" x14ac:dyDescent="0.35">
      <c r="A332" s="7" t="s">
        <v>27</v>
      </c>
      <c r="B332" s="7" t="s">
        <v>47</v>
      </c>
      <c r="C332" s="7" t="s">
        <v>50</v>
      </c>
      <c r="D332" s="7" t="s">
        <v>51</v>
      </c>
      <c r="E332" s="7" t="s">
        <v>29</v>
      </c>
      <c r="F332" s="7" t="s">
        <v>113</v>
      </c>
      <c r="G332" s="7">
        <v>2020</v>
      </c>
      <c r="H332" s="7" t="str">
        <f>CONCATENATE("04210975548")</f>
        <v>04210975548</v>
      </c>
      <c r="I332" s="7" t="s">
        <v>30</v>
      </c>
      <c r="J332" s="7" t="s">
        <v>31</v>
      </c>
      <c r="K332" s="7" t="str">
        <f>CONCATENATE("")</f>
        <v/>
      </c>
      <c r="L332" s="7" t="str">
        <f>CONCATENATE("13 13.1 4a")</f>
        <v>13 13.1 4a</v>
      </c>
      <c r="M332" s="7" t="str">
        <f>CONCATENATE("CNCFBA67D25D488H")</f>
        <v>CNCFBA67D25D488H</v>
      </c>
      <c r="N332" s="7" t="s">
        <v>441</v>
      </c>
      <c r="O332" s="7" t="s">
        <v>160</v>
      </c>
      <c r="P332" s="8">
        <v>44334</v>
      </c>
      <c r="Q332" s="7" t="s">
        <v>32</v>
      </c>
      <c r="R332" s="7" t="s">
        <v>33</v>
      </c>
      <c r="S332" s="7" t="s">
        <v>34</v>
      </c>
      <c r="T332" s="7"/>
      <c r="U332" s="7" t="s">
        <v>35</v>
      </c>
      <c r="V332" s="9">
        <v>5508</v>
      </c>
      <c r="W332" s="9">
        <v>2375.0500000000002</v>
      </c>
      <c r="X332" s="9">
        <v>2193.29</v>
      </c>
      <c r="Y332" s="7">
        <v>0</v>
      </c>
      <c r="Z332" s="7">
        <v>939.66</v>
      </c>
    </row>
    <row r="333" spans="1:26" x14ac:dyDescent="0.35">
      <c r="A333" s="7" t="s">
        <v>27</v>
      </c>
      <c r="B333" s="7" t="s">
        <v>47</v>
      </c>
      <c r="C333" s="7" t="s">
        <v>50</v>
      </c>
      <c r="D333" s="7" t="s">
        <v>104</v>
      </c>
      <c r="E333" s="7" t="s">
        <v>39</v>
      </c>
      <c r="F333" s="7" t="s">
        <v>276</v>
      </c>
      <c r="G333" s="7">
        <v>2020</v>
      </c>
      <c r="H333" s="7" t="str">
        <f>CONCATENATE("04210448256")</f>
        <v>04210448256</v>
      </c>
      <c r="I333" s="7" t="s">
        <v>30</v>
      </c>
      <c r="J333" s="7" t="s">
        <v>31</v>
      </c>
      <c r="K333" s="7" t="str">
        <f>CONCATENATE("")</f>
        <v/>
      </c>
      <c r="L333" s="7" t="str">
        <f>CONCATENATE("13 13.1 4a")</f>
        <v>13 13.1 4a</v>
      </c>
      <c r="M333" s="7" t="str">
        <f>CONCATENATE("GSMLVR31P11I461U")</f>
        <v>GSMLVR31P11I461U</v>
      </c>
      <c r="N333" s="7" t="s">
        <v>442</v>
      </c>
      <c r="O333" s="7" t="s">
        <v>160</v>
      </c>
      <c r="P333" s="8">
        <v>44334</v>
      </c>
      <c r="Q333" s="7" t="s">
        <v>32</v>
      </c>
      <c r="R333" s="7" t="s">
        <v>33</v>
      </c>
      <c r="S333" s="7" t="s">
        <v>34</v>
      </c>
      <c r="T333" s="7"/>
      <c r="U333" s="7" t="s">
        <v>35</v>
      </c>
      <c r="V333" s="9">
        <v>3168.94</v>
      </c>
      <c r="W333" s="9">
        <v>1366.45</v>
      </c>
      <c r="X333" s="9">
        <v>1261.8699999999999</v>
      </c>
      <c r="Y333" s="7">
        <v>0</v>
      </c>
      <c r="Z333" s="7">
        <v>540.62</v>
      </c>
    </row>
    <row r="334" spans="1:26" x14ac:dyDescent="0.35">
      <c r="A334" s="7" t="s">
        <v>27</v>
      </c>
      <c r="B334" s="7" t="s">
        <v>47</v>
      </c>
      <c r="C334" s="7" t="s">
        <v>50</v>
      </c>
      <c r="D334" s="7" t="s">
        <v>51</v>
      </c>
      <c r="E334" s="7" t="s">
        <v>39</v>
      </c>
      <c r="F334" s="7" t="s">
        <v>125</v>
      </c>
      <c r="G334" s="7">
        <v>2020</v>
      </c>
      <c r="H334" s="7" t="str">
        <f>CONCATENATE("04210080182")</f>
        <v>04210080182</v>
      </c>
      <c r="I334" s="7" t="s">
        <v>30</v>
      </c>
      <c r="J334" s="7" t="s">
        <v>31</v>
      </c>
      <c r="K334" s="7" t="str">
        <f>CONCATENATE("")</f>
        <v/>
      </c>
      <c r="L334" s="7" t="str">
        <f>CONCATENATE("13 13.1 4a")</f>
        <v>13 13.1 4a</v>
      </c>
      <c r="M334" s="7" t="str">
        <f>CONCATENATE("MTRNMR58E57I923B")</f>
        <v>MTRNMR58E57I923B</v>
      </c>
      <c r="N334" s="7" t="s">
        <v>443</v>
      </c>
      <c r="O334" s="7" t="s">
        <v>115</v>
      </c>
      <c r="P334" s="8">
        <v>44334</v>
      </c>
      <c r="Q334" s="7" t="s">
        <v>32</v>
      </c>
      <c r="R334" s="7" t="s">
        <v>33</v>
      </c>
      <c r="S334" s="7" t="s">
        <v>34</v>
      </c>
      <c r="T334" s="7"/>
      <c r="U334" s="7" t="s">
        <v>35</v>
      </c>
      <c r="V334" s="9">
        <v>1319.16</v>
      </c>
      <c r="W334" s="7">
        <v>568.82000000000005</v>
      </c>
      <c r="X334" s="7">
        <v>525.29</v>
      </c>
      <c r="Y334" s="7">
        <v>0</v>
      </c>
      <c r="Z334" s="7">
        <v>225.05</v>
      </c>
    </row>
    <row r="335" spans="1:26" x14ac:dyDescent="0.35">
      <c r="A335" s="7" t="s">
        <v>27</v>
      </c>
      <c r="B335" s="7" t="s">
        <v>47</v>
      </c>
      <c r="C335" s="7" t="s">
        <v>50</v>
      </c>
      <c r="D335" s="7" t="s">
        <v>51</v>
      </c>
      <c r="E335" s="7" t="s">
        <v>39</v>
      </c>
      <c r="F335" s="7" t="s">
        <v>128</v>
      </c>
      <c r="G335" s="7">
        <v>2020</v>
      </c>
      <c r="H335" s="7" t="str">
        <f>CONCATENATE("04210635324")</f>
        <v>04210635324</v>
      </c>
      <c r="I335" s="7" t="s">
        <v>30</v>
      </c>
      <c r="J335" s="7" t="s">
        <v>31</v>
      </c>
      <c r="K335" s="7" t="str">
        <f>CONCATENATE("")</f>
        <v/>
      </c>
      <c r="L335" s="7" t="str">
        <f>CONCATENATE("13 13.1 4a")</f>
        <v>13 13.1 4a</v>
      </c>
      <c r="M335" s="7" t="str">
        <f>CONCATENATE("02030490417")</f>
        <v>02030490417</v>
      </c>
      <c r="N335" s="7" t="s">
        <v>444</v>
      </c>
      <c r="O335" s="7" t="s">
        <v>115</v>
      </c>
      <c r="P335" s="8">
        <v>44334</v>
      </c>
      <c r="Q335" s="7" t="s">
        <v>32</v>
      </c>
      <c r="R335" s="7" t="s">
        <v>33</v>
      </c>
      <c r="S335" s="7" t="s">
        <v>34</v>
      </c>
      <c r="T335" s="7"/>
      <c r="U335" s="7" t="s">
        <v>35</v>
      </c>
      <c r="V335" s="9">
        <v>6444.77</v>
      </c>
      <c r="W335" s="9">
        <v>2778.98</v>
      </c>
      <c r="X335" s="9">
        <v>2566.31</v>
      </c>
      <c r="Y335" s="7">
        <v>0</v>
      </c>
      <c r="Z335" s="9">
        <v>1099.48</v>
      </c>
    </row>
    <row r="336" spans="1:26" x14ac:dyDescent="0.35">
      <c r="A336" s="7" t="s">
        <v>27</v>
      </c>
      <c r="B336" s="7" t="s">
        <v>47</v>
      </c>
      <c r="C336" s="7" t="s">
        <v>50</v>
      </c>
      <c r="D336" s="7" t="s">
        <v>51</v>
      </c>
      <c r="E336" s="7" t="s">
        <v>40</v>
      </c>
      <c r="F336" s="7" t="s">
        <v>59</v>
      </c>
      <c r="G336" s="7">
        <v>2020</v>
      </c>
      <c r="H336" s="7" t="str">
        <f>CONCATENATE("04210397594")</f>
        <v>04210397594</v>
      </c>
      <c r="I336" s="7" t="s">
        <v>30</v>
      </c>
      <c r="J336" s="7" t="s">
        <v>31</v>
      </c>
      <c r="K336" s="7" t="str">
        <f>CONCATENATE("")</f>
        <v/>
      </c>
      <c r="L336" s="7" t="str">
        <f>CONCATENATE("13 13.1 4a")</f>
        <v>13 13.1 4a</v>
      </c>
      <c r="M336" s="7" t="str">
        <f>CONCATENATE("02344190414")</f>
        <v>02344190414</v>
      </c>
      <c r="N336" s="7" t="s">
        <v>445</v>
      </c>
      <c r="O336" s="7" t="s">
        <v>115</v>
      </c>
      <c r="P336" s="8">
        <v>44334</v>
      </c>
      <c r="Q336" s="7" t="s">
        <v>32</v>
      </c>
      <c r="R336" s="7" t="s">
        <v>33</v>
      </c>
      <c r="S336" s="7" t="s">
        <v>34</v>
      </c>
      <c r="T336" s="7"/>
      <c r="U336" s="7" t="s">
        <v>35</v>
      </c>
      <c r="V336" s="7">
        <v>641.55999999999995</v>
      </c>
      <c r="W336" s="7">
        <v>276.64</v>
      </c>
      <c r="X336" s="7">
        <v>255.47</v>
      </c>
      <c r="Y336" s="7">
        <v>0</v>
      </c>
      <c r="Z336" s="7">
        <v>109.45</v>
      </c>
    </row>
    <row r="337" spans="1:26" x14ac:dyDescent="0.35">
      <c r="A337" s="7" t="s">
        <v>27</v>
      </c>
      <c r="B337" s="7" t="s">
        <v>47</v>
      </c>
      <c r="C337" s="7" t="s">
        <v>50</v>
      </c>
      <c r="D337" s="7" t="s">
        <v>51</v>
      </c>
      <c r="E337" s="7" t="s">
        <v>39</v>
      </c>
      <c r="F337" s="7" t="s">
        <v>128</v>
      </c>
      <c r="G337" s="7">
        <v>2020</v>
      </c>
      <c r="H337" s="7" t="str">
        <f>CONCATENATE("04210078582")</f>
        <v>04210078582</v>
      </c>
      <c r="I337" s="7" t="s">
        <v>30</v>
      </c>
      <c r="J337" s="7" t="s">
        <v>31</v>
      </c>
      <c r="K337" s="7" t="str">
        <f>CONCATENATE("")</f>
        <v/>
      </c>
      <c r="L337" s="7" t="str">
        <f>CONCATENATE("13 13.1 4a")</f>
        <v>13 13.1 4a</v>
      </c>
      <c r="M337" s="7" t="str">
        <f>CONCATENATE("CRPMRA39D11B352J")</f>
        <v>CRPMRA39D11B352J</v>
      </c>
      <c r="N337" s="7" t="s">
        <v>446</v>
      </c>
      <c r="O337" s="7" t="s">
        <v>115</v>
      </c>
      <c r="P337" s="8">
        <v>44334</v>
      </c>
      <c r="Q337" s="7" t="s">
        <v>32</v>
      </c>
      <c r="R337" s="7" t="s">
        <v>33</v>
      </c>
      <c r="S337" s="7" t="s">
        <v>34</v>
      </c>
      <c r="T337" s="7"/>
      <c r="U337" s="7" t="s">
        <v>35</v>
      </c>
      <c r="V337" s="9">
        <v>1575.16</v>
      </c>
      <c r="W337" s="7">
        <v>679.21</v>
      </c>
      <c r="X337" s="7">
        <v>627.23</v>
      </c>
      <c r="Y337" s="7">
        <v>0</v>
      </c>
      <c r="Z337" s="7">
        <v>268.72000000000003</v>
      </c>
    </row>
    <row r="338" spans="1:26" x14ac:dyDescent="0.35">
      <c r="A338" s="7" t="s">
        <v>27</v>
      </c>
      <c r="B338" s="7" t="s">
        <v>47</v>
      </c>
      <c r="C338" s="7" t="s">
        <v>50</v>
      </c>
      <c r="D338" s="7" t="s">
        <v>64</v>
      </c>
      <c r="E338" s="7" t="s">
        <v>44</v>
      </c>
      <c r="F338" s="7" t="s">
        <v>199</v>
      </c>
      <c r="G338" s="7">
        <v>2017</v>
      </c>
      <c r="H338" s="7" t="str">
        <f>CONCATENATE("74210717471")</f>
        <v>74210717471</v>
      </c>
      <c r="I338" s="7" t="s">
        <v>30</v>
      </c>
      <c r="J338" s="7" t="s">
        <v>31</v>
      </c>
      <c r="K338" s="7" t="str">
        <f>CONCATENATE("")</f>
        <v/>
      </c>
      <c r="L338" s="7" t="str">
        <f>CONCATENATE("13 13.1 4a")</f>
        <v>13 13.1 4a</v>
      </c>
      <c r="M338" s="7" t="str">
        <f>CONCATENATE("MZZLCN75A21A462K")</f>
        <v>MZZLCN75A21A462K</v>
      </c>
      <c r="N338" s="7" t="s">
        <v>447</v>
      </c>
      <c r="O338" s="7" t="s">
        <v>115</v>
      </c>
      <c r="P338" s="8">
        <v>44334</v>
      </c>
      <c r="Q338" s="7" t="s">
        <v>32</v>
      </c>
      <c r="R338" s="7" t="s">
        <v>33</v>
      </c>
      <c r="S338" s="7" t="s">
        <v>34</v>
      </c>
      <c r="T338" s="7"/>
      <c r="U338" s="7" t="s">
        <v>35</v>
      </c>
      <c r="V338" s="9">
        <v>5056.5</v>
      </c>
      <c r="W338" s="9">
        <v>2180.36</v>
      </c>
      <c r="X338" s="9">
        <v>2013.5</v>
      </c>
      <c r="Y338" s="7">
        <v>0</v>
      </c>
      <c r="Z338" s="7">
        <v>862.64</v>
      </c>
    </row>
    <row r="339" spans="1:26" x14ac:dyDescent="0.35">
      <c r="A339" s="7" t="s">
        <v>27</v>
      </c>
      <c r="B339" s="7" t="s">
        <v>28</v>
      </c>
      <c r="C339" s="7" t="s">
        <v>50</v>
      </c>
      <c r="D339" s="7" t="s">
        <v>51</v>
      </c>
      <c r="E339" s="7" t="s">
        <v>39</v>
      </c>
      <c r="F339" s="7" t="s">
        <v>121</v>
      </c>
      <c r="G339" s="7">
        <v>2017</v>
      </c>
      <c r="H339" s="7" t="str">
        <f>CONCATENATE("14270141535")</f>
        <v>14270141535</v>
      </c>
      <c r="I339" s="7" t="s">
        <v>30</v>
      </c>
      <c r="J339" s="7" t="s">
        <v>31</v>
      </c>
      <c r="K339" s="7" t="str">
        <f>CONCATENATE("")</f>
        <v/>
      </c>
      <c r="L339" s="7" t="str">
        <f>CONCATENATE("21 21.1 2a")</f>
        <v>21 21.1 2a</v>
      </c>
      <c r="M339" s="7" t="str">
        <f>CONCATENATE("DAICVN51L16E351X")</f>
        <v>DAICVN51L16E351X</v>
      </c>
      <c r="N339" s="7" t="s">
        <v>448</v>
      </c>
      <c r="O339" s="7" t="s">
        <v>152</v>
      </c>
      <c r="P339" s="8">
        <v>44334</v>
      </c>
      <c r="Q339" s="7" t="s">
        <v>32</v>
      </c>
      <c r="R339" s="7" t="s">
        <v>33</v>
      </c>
      <c r="S339" s="7" t="s">
        <v>34</v>
      </c>
      <c r="T339" s="7"/>
      <c r="U339" s="7" t="s">
        <v>35</v>
      </c>
      <c r="V339" s="9">
        <v>1050</v>
      </c>
      <c r="W339" s="7">
        <v>452.76</v>
      </c>
      <c r="X339" s="7">
        <v>418.11</v>
      </c>
      <c r="Y339" s="7">
        <v>0</v>
      </c>
      <c r="Z339" s="7">
        <v>179.13</v>
      </c>
    </row>
    <row r="340" spans="1:26" x14ac:dyDescent="0.35">
      <c r="A340" s="7" t="s">
        <v>27</v>
      </c>
      <c r="B340" s="7" t="s">
        <v>28</v>
      </c>
      <c r="C340" s="7" t="s">
        <v>50</v>
      </c>
      <c r="D340" s="7" t="s">
        <v>51</v>
      </c>
      <c r="E340" s="7" t="s">
        <v>39</v>
      </c>
      <c r="F340" s="7" t="s">
        <v>121</v>
      </c>
      <c r="G340" s="7">
        <v>2017</v>
      </c>
      <c r="H340" s="7" t="str">
        <f>CONCATENATE("14270141303")</f>
        <v>14270141303</v>
      </c>
      <c r="I340" s="7" t="s">
        <v>30</v>
      </c>
      <c r="J340" s="7" t="s">
        <v>31</v>
      </c>
      <c r="K340" s="7" t="str">
        <f>CONCATENATE("")</f>
        <v/>
      </c>
      <c r="L340" s="7" t="str">
        <f>CONCATENATE("21 21.1 2a")</f>
        <v>21 21.1 2a</v>
      </c>
      <c r="M340" s="7" t="str">
        <f>CONCATENATE("CCCPLA67R27D488P")</f>
        <v>CCCPLA67R27D488P</v>
      </c>
      <c r="N340" s="7" t="s">
        <v>449</v>
      </c>
      <c r="O340" s="7" t="s">
        <v>152</v>
      </c>
      <c r="P340" s="8">
        <v>44334</v>
      </c>
      <c r="Q340" s="7" t="s">
        <v>32</v>
      </c>
      <c r="R340" s="7" t="s">
        <v>33</v>
      </c>
      <c r="S340" s="7" t="s">
        <v>34</v>
      </c>
      <c r="T340" s="7"/>
      <c r="U340" s="7" t="s">
        <v>35</v>
      </c>
      <c r="V340" s="9">
        <v>1050</v>
      </c>
      <c r="W340" s="7">
        <v>452.76</v>
      </c>
      <c r="X340" s="7">
        <v>418.11</v>
      </c>
      <c r="Y340" s="7">
        <v>0</v>
      </c>
      <c r="Z340" s="7">
        <v>179.13</v>
      </c>
    </row>
    <row r="341" spans="1:26" x14ac:dyDescent="0.35">
      <c r="A341" s="7" t="s">
        <v>27</v>
      </c>
      <c r="B341" s="7" t="s">
        <v>28</v>
      </c>
      <c r="C341" s="7" t="s">
        <v>50</v>
      </c>
      <c r="D341" s="7" t="s">
        <v>51</v>
      </c>
      <c r="E341" s="7" t="s">
        <v>39</v>
      </c>
      <c r="F341" s="7" t="s">
        <v>119</v>
      </c>
      <c r="G341" s="7">
        <v>2017</v>
      </c>
      <c r="H341" s="7" t="str">
        <f>CONCATENATE("14270141667")</f>
        <v>14270141667</v>
      </c>
      <c r="I341" s="7" t="s">
        <v>30</v>
      </c>
      <c r="J341" s="7" t="s">
        <v>31</v>
      </c>
      <c r="K341" s="7" t="str">
        <f>CONCATENATE("")</f>
        <v/>
      </c>
      <c r="L341" s="7" t="str">
        <f>CONCATENATE("21 21.1 2a")</f>
        <v>21 21.1 2a</v>
      </c>
      <c r="M341" s="7" t="str">
        <f>CONCATENATE("02607030414")</f>
        <v>02607030414</v>
      </c>
      <c r="N341" s="7" t="s">
        <v>450</v>
      </c>
      <c r="O341" s="7" t="s">
        <v>152</v>
      </c>
      <c r="P341" s="8">
        <v>44334</v>
      </c>
      <c r="Q341" s="7" t="s">
        <v>32</v>
      </c>
      <c r="R341" s="7" t="s">
        <v>33</v>
      </c>
      <c r="S341" s="7" t="s">
        <v>34</v>
      </c>
      <c r="T341" s="7"/>
      <c r="U341" s="7" t="s">
        <v>35</v>
      </c>
      <c r="V341" s="9">
        <v>2310</v>
      </c>
      <c r="W341" s="7">
        <v>996.07</v>
      </c>
      <c r="X341" s="7">
        <v>919.84</v>
      </c>
      <c r="Y341" s="7">
        <v>0</v>
      </c>
      <c r="Z341" s="7">
        <v>394.09</v>
      </c>
    </row>
    <row r="342" spans="1:26" ht="17.5" x14ac:dyDescent="0.35">
      <c r="A342" s="7" t="s">
        <v>27</v>
      </c>
      <c r="B342" s="7" t="s">
        <v>47</v>
      </c>
      <c r="C342" s="7" t="s">
        <v>50</v>
      </c>
      <c r="D342" s="7" t="s">
        <v>104</v>
      </c>
      <c r="E342" s="7" t="s">
        <v>39</v>
      </c>
      <c r="F342" s="7" t="s">
        <v>162</v>
      </c>
      <c r="G342" s="7">
        <v>2020</v>
      </c>
      <c r="H342" s="7" t="str">
        <f>CONCATENATE("04210358521")</f>
        <v>04210358521</v>
      </c>
      <c r="I342" s="7" t="s">
        <v>30</v>
      </c>
      <c r="J342" s="7" t="s">
        <v>31</v>
      </c>
      <c r="K342" s="7" t="str">
        <f>CONCATENATE("")</f>
        <v/>
      </c>
      <c r="L342" s="7" t="str">
        <f>CONCATENATE("13 13.1 4a")</f>
        <v>13 13.1 4a</v>
      </c>
      <c r="M342" s="7" t="str">
        <f>CONCATENATE("02771980428")</f>
        <v>02771980428</v>
      </c>
      <c r="N342" s="7" t="s">
        <v>451</v>
      </c>
      <c r="O342" s="7" t="s">
        <v>160</v>
      </c>
      <c r="P342" s="8">
        <v>44334</v>
      </c>
      <c r="Q342" s="7" t="s">
        <v>32</v>
      </c>
      <c r="R342" s="7" t="s">
        <v>33</v>
      </c>
      <c r="S342" s="7" t="s">
        <v>34</v>
      </c>
      <c r="T342" s="7"/>
      <c r="U342" s="7" t="s">
        <v>35</v>
      </c>
      <c r="V342" s="7">
        <v>900</v>
      </c>
      <c r="W342" s="7">
        <v>388.08</v>
      </c>
      <c r="X342" s="7">
        <v>358.38</v>
      </c>
      <c r="Y342" s="7">
        <v>0</v>
      </c>
      <c r="Z342" s="7">
        <v>153.54</v>
      </c>
    </row>
    <row r="343" spans="1:26" x14ac:dyDescent="0.35">
      <c r="A343" s="7" t="s">
        <v>27</v>
      </c>
      <c r="B343" s="7" t="s">
        <v>47</v>
      </c>
      <c r="C343" s="7" t="s">
        <v>50</v>
      </c>
      <c r="D343" s="7" t="s">
        <v>51</v>
      </c>
      <c r="E343" s="7" t="s">
        <v>39</v>
      </c>
      <c r="F343" s="7" t="s">
        <v>145</v>
      </c>
      <c r="G343" s="7">
        <v>2020</v>
      </c>
      <c r="H343" s="7" t="str">
        <f>CONCATENATE("04210215036")</f>
        <v>04210215036</v>
      </c>
      <c r="I343" s="7" t="s">
        <v>30</v>
      </c>
      <c r="J343" s="7" t="s">
        <v>31</v>
      </c>
      <c r="K343" s="7" t="str">
        <f>CONCATENATE("")</f>
        <v/>
      </c>
      <c r="L343" s="7" t="str">
        <f>CONCATENATE("13 13.1 4a")</f>
        <v>13 13.1 4a</v>
      </c>
      <c r="M343" s="7" t="str">
        <f>CONCATENATE("02414650412")</f>
        <v>02414650412</v>
      </c>
      <c r="N343" s="7" t="s">
        <v>452</v>
      </c>
      <c r="O343" s="7" t="s">
        <v>115</v>
      </c>
      <c r="P343" s="8">
        <v>44334</v>
      </c>
      <c r="Q343" s="7" t="s">
        <v>32</v>
      </c>
      <c r="R343" s="7" t="s">
        <v>33</v>
      </c>
      <c r="S343" s="7" t="s">
        <v>34</v>
      </c>
      <c r="T343" s="7"/>
      <c r="U343" s="7" t="s">
        <v>35</v>
      </c>
      <c r="V343" s="9">
        <v>1024.32</v>
      </c>
      <c r="W343" s="7">
        <v>441.69</v>
      </c>
      <c r="X343" s="7">
        <v>407.88</v>
      </c>
      <c r="Y343" s="7">
        <v>0</v>
      </c>
      <c r="Z343" s="7">
        <v>174.75</v>
      </c>
    </row>
    <row r="344" spans="1:26" x14ac:dyDescent="0.35">
      <c r="A344" s="7" t="s">
        <v>27</v>
      </c>
      <c r="B344" s="7" t="s">
        <v>47</v>
      </c>
      <c r="C344" s="7" t="s">
        <v>50</v>
      </c>
      <c r="D344" s="7" t="s">
        <v>51</v>
      </c>
      <c r="E344" s="7" t="s">
        <v>39</v>
      </c>
      <c r="F344" s="7" t="s">
        <v>276</v>
      </c>
      <c r="G344" s="7">
        <v>2020</v>
      </c>
      <c r="H344" s="7" t="str">
        <f>CONCATENATE("04210449676")</f>
        <v>04210449676</v>
      </c>
      <c r="I344" s="7" t="s">
        <v>30</v>
      </c>
      <c r="J344" s="7" t="s">
        <v>31</v>
      </c>
      <c r="K344" s="7" t="str">
        <f>CONCATENATE("")</f>
        <v/>
      </c>
      <c r="L344" s="7" t="str">
        <f>CONCATENATE("13 13.1 4a")</f>
        <v>13 13.1 4a</v>
      </c>
      <c r="M344" s="7" t="str">
        <f>CONCATENATE("02328670415")</f>
        <v>02328670415</v>
      </c>
      <c r="N344" s="7" t="s">
        <v>453</v>
      </c>
      <c r="O344" s="7" t="s">
        <v>115</v>
      </c>
      <c r="P344" s="8">
        <v>44334</v>
      </c>
      <c r="Q344" s="7" t="s">
        <v>32</v>
      </c>
      <c r="R344" s="7" t="s">
        <v>33</v>
      </c>
      <c r="S344" s="7" t="s">
        <v>34</v>
      </c>
      <c r="T344" s="7"/>
      <c r="U344" s="7" t="s">
        <v>35</v>
      </c>
      <c r="V344" s="9">
        <v>8226.24</v>
      </c>
      <c r="W344" s="9">
        <v>3547.15</v>
      </c>
      <c r="X344" s="9">
        <v>3275.69</v>
      </c>
      <c r="Y344" s="7">
        <v>0</v>
      </c>
      <c r="Z344" s="9">
        <v>1403.4</v>
      </c>
    </row>
    <row r="345" spans="1:26" x14ac:dyDescent="0.35">
      <c r="A345" s="7" t="s">
        <v>27</v>
      </c>
      <c r="B345" s="7" t="s">
        <v>47</v>
      </c>
      <c r="C345" s="7" t="s">
        <v>50</v>
      </c>
      <c r="D345" s="7" t="s">
        <v>64</v>
      </c>
      <c r="E345" s="7" t="s">
        <v>39</v>
      </c>
      <c r="F345" s="7" t="s">
        <v>93</v>
      </c>
      <c r="G345" s="7">
        <v>2018</v>
      </c>
      <c r="H345" s="7" t="str">
        <f>CONCATENATE("84210504779")</f>
        <v>84210504779</v>
      </c>
      <c r="I345" s="7" t="s">
        <v>30</v>
      </c>
      <c r="J345" s="7" t="s">
        <v>31</v>
      </c>
      <c r="K345" s="7" t="str">
        <f>CONCATENATE("")</f>
        <v/>
      </c>
      <c r="L345" s="7" t="str">
        <f>CONCATENATE("13 13.1 4a")</f>
        <v>13 13.1 4a</v>
      </c>
      <c r="M345" s="7" t="str">
        <f>CONCATENATE("BLDDMA27E28D691E")</f>
        <v>BLDDMA27E28D691E</v>
      </c>
      <c r="N345" s="7" t="s">
        <v>454</v>
      </c>
      <c r="O345" s="7" t="s">
        <v>115</v>
      </c>
      <c r="P345" s="8">
        <v>44334</v>
      </c>
      <c r="Q345" s="7" t="s">
        <v>32</v>
      </c>
      <c r="R345" s="7" t="s">
        <v>33</v>
      </c>
      <c r="S345" s="7" t="s">
        <v>34</v>
      </c>
      <c r="T345" s="7"/>
      <c r="U345" s="7" t="s">
        <v>35</v>
      </c>
      <c r="V345" s="9">
        <v>2787.08</v>
      </c>
      <c r="W345" s="9">
        <v>1201.79</v>
      </c>
      <c r="X345" s="9">
        <v>1109.82</v>
      </c>
      <c r="Y345" s="7">
        <v>0</v>
      </c>
      <c r="Z345" s="7">
        <v>475.47</v>
      </c>
    </row>
    <row r="346" spans="1:26" x14ac:dyDescent="0.35">
      <c r="A346" s="7" t="s">
        <v>27</v>
      </c>
      <c r="B346" s="7" t="s">
        <v>47</v>
      </c>
      <c r="C346" s="7" t="s">
        <v>50</v>
      </c>
      <c r="D346" s="7" t="s">
        <v>51</v>
      </c>
      <c r="E346" s="7" t="s">
        <v>40</v>
      </c>
      <c r="F346" s="7" t="s">
        <v>59</v>
      </c>
      <c r="G346" s="7">
        <v>2020</v>
      </c>
      <c r="H346" s="7" t="str">
        <f>CONCATENATE("04210164705")</f>
        <v>04210164705</v>
      </c>
      <c r="I346" s="7" t="s">
        <v>30</v>
      </c>
      <c r="J346" s="7" t="s">
        <v>31</v>
      </c>
      <c r="K346" s="7" t="str">
        <f>CONCATENATE("")</f>
        <v/>
      </c>
      <c r="L346" s="7" t="str">
        <f>CONCATENATE("13 13.1 4a")</f>
        <v>13 13.1 4a</v>
      </c>
      <c r="M346" s="7" t="str">
        <f>CONCATENATE("RPLSRG69R05G453B")</f>
        <v>RPLSRG69R05G453B</v>
      </c>
      <c r="N346" s="7" t="s">
        <v>455</v>
      </c>
      <c r="O346" s="7" t="s">
        <v>160</v>
      </c>
      <c r="P346" s="8">
        <v>44334</v>
      </c>
      <c r="Q346" s="7" t="s">
        <v>32</v>
      </c>
      <c r="R346" s="7" t="s">
        <v>33</v>
      </c>
      <c r="S346" s="7" t="s">
        <v>34</v>
      </c>
      <c r="T346" s="7"/>
      <c r="U346" s="7" t="s">
        <v>35</v>
      </c>
      <c r="V346" s="7">
        <v>309.37</v>
      </c>
      <c r="W346" s="7">
        <v>133.4</v>
      </c>
      <c r="X346" s="7">
        <v>123.19</v>
      </c>
      <c r="Y346" s="7">
        <v>0</v>
      </c>
      <c r="Z346" s="7">
        <v>52.78</v>
      </c>
    </row>
    <row r="347" spans="1:26" x14ac:dyDescent="0.35">
      <c r="A347" s="7" t="s">
        <v>27</v>
      </c>
      <c r="B347" s="7" t="s">
        <v>47</v>
      </c>
      <c r="C347" s="7" t="s">
        <v>50</v>
      </c>
      <c r="D347" s="7" t="s">
        <v>51</v>
      </c>
      <c r="E347" s="7" t="s">
        <v>39</v>
      </c>
      <c r="F347" s="7" t="s">
        <v>121</v>
      </c>
      <c r="G347" s="7">
        <v>2020</v>
      </c>
      <c r="H347" s="7" t="str">
        <f>CONCATENATE("04210286599")</f>
        <v>04210286599</v>
      </c>
      <c r="I347" s="7" t="s">
        <v>30</v>
      </c>
      <c r="J347" s="7" t="s">
        <v>31</v>
      </c>
      <c r="K347" s="7" t="str">
        <f>CONCATENATE("")</f>
        <v/>
      </c>
      <c r="L347" s="7" t="str">
        <f>CONCATENATE("13 13.1 4a")</f>
        <v>13 13.1 4a</v>
      </c>
      <c r="M347" s="7" t="str">
        <f>CONCATENATE("CRNMNL68B25D749M")</f>
        <v>CRNMNL68B25D749M</v>
      </c>
      <c r="N347" s="7" t="s">
        <v>456</v>
      </c>
      <c r="O347" s="7" t="s">
        <v>160</v>
      </c>
      <c r="P347" s="8">
        <v>44334</v>
      </c>
      <c r="Q347" s="7" t="s">
        <v>32</v>
      </c>
      <c r="R347" s="7" t="s">
        <v>33</v>
      </c>
      <c r="S347" s="7" t="s">
        <v>34</v>
      </c>
      <c r="T347" s="7"/>
      <c r="U347" s="7" t="s">
        <v>35</v>
      </c>
      <c r="V347" s="7">
        <v>106.38</v>
      </c>
      <c r="W347" s="7">
        <v>45.87</v>
      </c>
      <c r="X347" s="7">
        <v>42.36</v>
      </c>
      <c r="Y347" s="7">
        <v>0</v>
      </c>
      <c r="Z347" s="7">
        <v>18.149999999999999</v>
      </c>
    </row>
    <row r="348" spans="1:26" x14ac:dyDescent="0.35">
      <c r="A348" s="7" t="s">
        <v>27</v>
      </c>
      <c r="B348" s="7" t="s">
        <v>47</v>
      </c>
      <c r="C348" s="7" t="s">
        <v>50</v>
      </c>
      <c r="D348" s="7" t="s">
        <v>104</v>
      </c>
      <c r="E348" s="7" t="s">
        <v>39</v>
      </c>
      <c r="F348" s="7" t="s">
        <v>162</v>
      </c>
      <c r="G348" s="7">
        <v>2020</v>
      </c>
      <c r="H348" s="7" t="str">
        <f>CONCATENATE("04210279354")</f>
        <v>04210279354</v>
      </c>
      <c r="I348" s="7" t="s">
        <v>43</v>
      </c>
      <c r="J348" s="7" t="s">
        <v>31</v>
      </c>
      <c r="K348" s="7" t="str">
        <f>CONCATENATE("")</f>
        <v/>
      </c>
      <c r="L348" s="7" t="str">
        <f>CONCATENATE("13 13.1 4a")</f>
        <v>13 13.1 4a</v>
      </c>
      <c r="M348" s="7" t="str">
        <f>CONCATENATE("PCCGTN54E31D451L")</f>
        <v>PCCGTN54E31D451L</v>
      </c>
      <c r="N348" s="7" t="s">
        <v>457</v>
      </c>
      <c r="O348" s="7" t="s">
        <v>160</v>
      </c>
      <c r="P348" s="8">
        <v>44334</v>
      </c>
      <c r="Q348" s="7" t="s">
        <v>32</v>
      </c>
      <c r="R348" s="7" t="s">
        <v>33</v>
      </c>
      <c r="S348" s="7" t="s">
        <v>34</v>
      </c>
      <c r="T348" s="7"/>
      <c r="U348" s="7" t="s">
        <v>35</v>
      </c>
      <c r="V348" s="7">
        <v>190.25</v>
      </c>
      <c r="W348" s="7">
        <v>82.04</v>
      </c>
      <c r="X348" s="7">
        <v>75.760000000000005</v>
      </c>
      <c r="Y348" s="7">
        <v>0</v>
      </c>
      <c r="Z348" s="7">
        <v>32.450000000000003</v>
      </c>
    </row>
    <row r="349" spans="1:26" x14ac:dyDescent="0.35">
      <c r="A349" s="7" t="s">
        <v>27</v>
      </c>
      <c r="B349" s="7" t="s">
        <v>47</v>
      </c>
      <c r="C349" s="7" t="s">
        <v>50</v>
      </c>
      <c r="D349" s="7" t="s">
        <v>104</v>
      </c>
      <c r="E349" s="7" t="s">
        <v>39</v>
      </c>
      <c r="F349" s="7" t="s">
        <v>162</v>
      </c>
      <c r="G349" s="7">
        <v>2020</v>
      </c>
      <c r="H349" s="7" t="str">
        <f>CONCATENATE("04210333136")</f>
        <v>04210333136</v>
      </c>
      <c r="I349" s="7" t="s">
        <v>43</v>
      </c>
      <c r="J349" s="7" t="s">
        <v>31</v>
      </c>
      <c r="K349" s="7" t="str">
        <f>CONCATENATE("")</f>
        <v/>
      </c>
      <c r="L349" s="7" t="str">
        <f>CONCATENATE("13 13.1 4a")</f>
        <v>13 13.1 4a</v>
      </c>
      <c r="M349" s="7" t="str">
        <f>CONCATENATE("PRFGPP59L58D451U")</f>
        <v>PRFGPP59L58D451U</v>
      </c>
      <c r="N349" s="7" t="s">
        <v>458</v>
      </c>
      <c r="O349" s="7" t="s">
        <v>160</v>
      </c>
      <c r="P349" s="8">
        <v>44334</v>
      </c>
      <c r="Q349" s="7" t="s">
        <v>32</v>
      </c>
      <c r="R349" s="7" t="s">
        <v>33</v>
      </c>
      <c r="S349" s="7" t="s">
        <v>34</v>
      </c>
      <c r="T349" s="7"/>
      <c r="U349" s="7" t="s">
        <v>35</v>
      </c>
      <c r="V349" s="7">
        <v>120.15</v>
      </c>
      <c r="W349" s="7">
        <v>51.81</v>
      </c>
      <c r="X349" s="7">
        <v>47.84</v>
      </c>
      <c r="Y349" s="7">
        <v>0</v>
      </c>
      <c r="Z349" s="7">
        <v>20.5</v>
      </c>
    </row>
    <row r="350" spans="1:26" x14ac:dyDescent="0.35">
      <c r="A350" s="7" t="s">
        <v>27</v>
      </c>
      <c r="B350" s="7" t="s">
        <v>47</v>
      </c>
      <c r="C350" s="7" t="s">
        <v>50</v>
      </c>
      <c r="D350" s="7" t="s">
        <v>104</v>
      </c>
      <c r="E350" s="7" t="s">
        <v>39</v>
      </c>
      <c r="F350" s="7" t="s">
        <v>276</v>
      </c>
      <c r="G350" s="7">
        <v>2020</v>
      </c>
      <c r="H350" s="7" t="str">
        <f>CONCATENATE("04210481968")</f>
        <v>04210481968</v>
      </c>
      <c r="I350" s="7" t="s">
        <v>30</v>
      </c>
      <c r="J350" s="7" t="s">
        <v>31</v>
      </c>
      <c r="K350" s="7" t="str">
        <f>CONCATENATE("")</f>
        <v/>
      </c>
      <c r="L350" s="7" t="str">
        <f>CONCATENATE("13 13.1 4a")</f>
        <v>13 13.1 4a</v>
      </c>
      <c r="M350" s="7" t="str">
        <f>CONCATENATE("PSSGNE60R09I461A")</f>
        <v>PSSGNE60R09I461A</v>
      </c>
      <c r="N350" s="7" t="s">
        <v>459</v>
      </c>
      <c r="O350" s="7" t="s">
        <v>160</v>
      </c>
      <c r="P350" s="8">
        <v>44334</v>
      </c>
      <c r="Q350" s="7" t="s">
        <v>32</v>
      </c>
      <c r="R350" s="7" t="s">
        <v>33</v>
      </c>
      <c r="S350" s="7" t="s">
        <v>34</v>
      </c>
      <c r="T350" s="7"/>
      <c r="U350" s="7" t="s">
        <v>35</v>
      </c>
      <c r="V350" s="9">
        <v>7062.2</v>
      </c>
      <c r="W350" s="9">
        <v>3045.22</v>
      </c>
      <c r="X350" s="9">
        <v>2812.17</v>
      </c>
      <c r="Y350" s="7">
        <v>0</v>
      </c>
      <c r="Z350" s="9">
        <v>1204.81</v>
      </c>
    </row>
    <row r="351" spans="1:26" x14ac:dyDescent="0.35">
      <c r="A351" s="7" t="s">
        <v>27</v>
      </c>
      <c r="B351" s="7" t="s">
        <v>47</v>
      </c>
      <c r="C351" s="7" t="s">
        <v>50</v>
      </c>
      <c r="D351" s="7" t="s">
        <v>64</v>
      </c>
      <c r="E351" s="7" t="s">
        <v>39</v>
      </c>
      <c r="F351" s="7" t="s">
        <v>93</v>
      </c>
      <c r="G351" s="7">
        <v>2020</v>
      </c>
      <c r="H351" s="7" t="str">
        <f>CONCATENATE("04210750651")</f>
        <v>04210750651</v>
      </c>
      <c r="I351" s="7" t="s">
        <v>43</v>
      </c>
      <c r="J351" s="7" t="s">
        <v>31</v>
      </c>
      <c r="K351" s="7" t="str">
        <f>CONCATENATE("")</f>
        <v/>
      </c>
      <c r="L351" s="7" t="str">
        <f>CONCATENATE("13 13.1 4a")</f>
        <v>13 13.1 4a</v>
      </c>
      <c r="M351" s="7" t="str">
        <f>CONCATENATE("FDLSMN82A30H769Q")</f>
        <v>FDLSMN82A30H769Q</v>
      </c>
      <c r="N351" s="7" t="s">
        <v>243</v>
      </c>
      <c r="O351" s="7" t="s">
        <v>160</v>
      </c>
      <c r="P351" s="8">
        <v>44334</v>
      </c>
      <c r="Q351" s="7" t="s">
        <v>32</v>
      </c>
      <c r="R351" s="7" t="s">
        <v>33</v>
      </c>
      <c r="S351" s="7" t="s">
        <v>34</v>
      </c>
      <c r="T351" s="7"/>
      <c r="U351" s="7" t="s">
        <v>35</v>
      </c>
      <c r="V351" s="7">
        <v>378.69</v>
      </c>
      <c r="W351" s="7">
        <v>163.29</v>
      </c>
      <c r="X351" s="7">
        <v>150.79</v>
      </c>
      <c r="Y351" s="7">
        <v>0</v>
      </c>
      <c r="Z351" s="7">
        <v>64.61</v>
      </c>
    </row>
    <row r="352" spans="1:26" x14ac:dyDescent="0.35">
      <c r="A352" s="7" t="s">
        <v>27</v>
      </c>
      <c r="B352" s="7" t="s">
        <v>47</v>
      </c>
      <c r="C352" s="7" t="s">
        <v>50</v>
      </c>
      <c r="D352" s="7" t="s">
        <v>104</v>
      </c>
      <c r="E352" s="7" t="s">
        <v>39</v>
      </c>
      <c r="F352" s="7" t="s">
        <v>276</v>
      </c>
      <c r="G352" s="7">
        <v>2020</v>
      </c>
      <c r="H352" s="7" t="str">
        <f>CONCATENATE("04210447787")</f>
        <v>04210447787</v>
      </c>
      <c r="I352" s="7" t="s">
        <v>30</v>
      </c>
      <c r="J352" s="7" t="s">
        <v>31</v>
      </c>
      <c r="K352" s="7" t="str">
        <f>CONCATENATE("")</f>
        <v/>
      </c>
      <c r="L352" s="7" t="str">
        <f>CONCATENATE("13 13.1 4a")</f>
        <v>13 13.1 4a</v>
      </c>
      <c r="M352" s="7" t="str">
        <f>CONCATENATE("GCCVTR78S21E388V")</f>
        <v>GCCVTR78S21E388V</v>
      </c>
      <c r="N352" s="7" t="s">
        <v>460</v>
      </c>
      <c r="O352" s="7" t="s">
        <v>160</v>
      </c>
      <c r="P352" s="8">
        <v>44334</v>
      </c>
      <c r="Q352" s="7" t="s">
        <v>32</v>
      </c>
      <c r="R352" s="7" t="s">
        <v>33</v>
      </c>
      <c r="S352" s="7" t="s">
        <v>34</v>
      </c>
      <c r="T352" s="7"/>
      <c r="U352" s="7" t="s">
        <v>35</v>
      </c>
      <c r="V352" s="9">
        <v>4195.72</v>
      </c>
      <c r="W352" s="9">
        <v>1809.19</v>
      </c>
      <c r="X352" s="9">
        <v>1670.74</v>
      </c>
      <c r="Y352" s="7">
        <v>0</v>
      </c>
      <c r="Z352" s="7">
        <v>715.79</v>
      </c>
    </row>
    <row r="353" spans="1:26" x14ac:dyDescent="0.35">
      <c r="A353" s="7" t="s">
        <v>27</v>
      </c>
      <c r="B353" s="7" t="s">
        <v>47</v>
      </c>
      <c r="C353" s="7" t="s">
        <v>50</v>
      </c>
      <c r="D353" s="7" t="s">
        <v>104</v>
      </c>
      <c r="E353" s="7" t="s">
        <v>39</v>
      </c>
      <c r="F353" s="7" t="s">
        <v>162</v>
      </c>
      <c r="G353" s="7">
        <v>2020</v>
      </c>
      <c r="H353" s="7" t="str">
        <f>CONCATENATE("04210210383")</f>
        <v>04210210383</v>
      </c>
      <c r="I353" s="7" t="s">
        <v>43</v>
      </c>
      <c r="J353" s="7" t="s">
        <v>31</v>
      </c>
      <c r="K353" s="7" t="str">
        <f>CONCATENATE("")</f>
        <v/>
      </c>
      <c r="L353" s="7" t="str">
        <f>CONCATENATE("13 13.1 4a")</f>
        <v>13 13.1 4a</v>
      </c>
      <c r="M353" s="7" t="str">
        <f>CONCATENATE("GNTLGU38B01D451Q")</f>
        <v>GNTLGU38B01D451Q</v>
      </c>
      <c r="N353" s="7" t="s">
        <v>461</v>
      </c>
      <c r="O353" s="7" t="s">
        <v>160</v>
      </c>
      <c r="P353" s="8">
        <v>44334</v>
      </c>
      <c r="Q353" s="7" t="s">
        <v>32</v>
      </c>
      <c r="R353" s="7" t="s">
        <v>33</v>
      </c>
      <c r="S353" s="7" t="s">
        <v>34</v>
      </c>
      <c r="T353" s="7"/>
      <c r="U353" s="7" t="s">
        <v>35</v>
      </c>
      <c r="V353" s="7">
        <v>117.16</v>
      </c>
      <c r="W353" s="7">
        <v>50.52</v>
      </c>
      <c r="X353" s="7">
        <v>46.65</v>
      </c>
      <c r="Y353" s="7">
        <v>0</v>
      </c>
      <c r="Z353" s="7">
        <v>19.989999999999998</v>
      </c>
    </row>
    <row r="354" spans="1:26" x14ac:dyDescent="0.35">
      <c r="A354" s="7" t="s">
        <v>27</v>
      </c>
      <c r="B354" s="7" t="s">
        <v>47</v>
      </c>
      <c r="C354" s="7" t="s">
        <v>50</v>
      </c>
      <c r="D354" s="7" t="s">
        <v>54</v>
      </c>
      <c r="E354" s="7" t="s">
        <v>39</v>
      </c>
      <c r="F354" s="7" t="s">
        <v>79</v>
      </c>
      <c r="G354" s="7">
        <v>2020</v>
      </c>
      <c r="H354" s="7" t="str">
        <f>CONCATENATE("04210020139")</f>
        <v>04210020139</v>
      </c>
      <c r="I354" s="7" t="s">
        <v>30</v>
      </c>
      <c r="J354" s="7" t="s">
        <v>31</v>
      </c>
      <c r="K354" s="7" t="str">
        <f>CONCATENATE("")</f>
        <v/>
      </c>
      <c r="L354" s="7" t="str">
        <f>CONCATENATE("13 13.1 4a")</f>
        <v>13 13.1 4a</v>
      </c>
      <c r="M354" s="7" t="str">
        <f>CONCATENATE("CLVLVR57B42I436Y")</f>
        <v>CLVLVR57B42I436Y</v>
      </c>
      <c r="N354" s="7" t="s">
        <v>462</v>
      </c>
      <c r="O354" s="7" t="s">
        <v>349</v>
      </c>
      <c r="P354" s="8">
        <v>44334</v>
      </c>
      <c r="Q354" s="7" t="s">
        <v>32</v>
      </c>
      <c r="R354" s="7" t="s">
        <v>33</v>
      </c>
      <c r="S354" s="7" t="s">
        <v>34</v>
      </c>
      <c r="T354" s="7"/>
      <c r="U354" s="7" t="s">
        <v>35</v>
      </c>
      <c r="V354" s="7">
        <v>552.17999999999995</v>
      </c>
      <c r="W354" s="7">
        <v>238.1</v>
      </c>
      <c r="X354" s="7">
        <v>219.88</v>
      </c>
      <c r="Y354" s="7">
        <v>0</v>
      </c>
      <c r="Z354" s="7">
        <v>94.2</v>
      </c>
    </row>
    <row r="355" spans="1:26" x14ac:dyDescent="0.35">
      <c r="A355" s="7" t="s">
        <v>27</v>
      </c>
      <c r="B355" s="7" t="s">
        <v>47</v>
      </c>
      <c r="C355" s="7" t="s">
        <v>50</v>
      </c>
      <c r="D355" s="7" t="s">
        <v>54</v>
      </c>
      <c r="E355" s="7" t="s">
        <v>39</v>
      </c>
      <c r="F355" s="7" t="s">
        <v>107</v>
      </c>
      <c r="G355" s="7">
        <v>2020</v>
      </c>
      <c r="H355" s="7" t="str">
        <f>CONCATENATE("04210550572")</f>
        <v>04210550572</v>
      </c>
      <c r="I355" s="7" t="s">
        <v>30</v>
      </c>
      <c r="J355" s="7" t="s">
        <v>31</v>
      </c>
      <c r="K355" s="7" t="str">
        <f>CONCATENATE("")</f>
        <v/>
      </c>
      <c r="L355" s="7" t="str">
        <f>CONCATENATE("13 13.1 4a")</f>
        <v>13 13.1 4a</v>
      </c>
      <c r="M355" s="7" t="str">
        <f>CONCATENATE("01789960430")</f>
        <v>01789960430</v>
      </c>
      <c r="N355" s="7" t="s">
        <v>463</v>
      </c>
      <c r="O355" s="7" t="s">
        <v>349</v>
      </c>
      <c r="P355" s="8">
        <v>44334</v>
      </c>
      <c r="Q355" s="7" t="s">
        <v>32</v>
      </c>
      <c r="R355" s="7" t="s">
        <v>33</v>
      </c>
      <c r="S355" s="7" t="s">
        <v>34</v>
      </c>
      <c r="T355" s="7"/>
      <c r="U355" s="7" t="s">
        <v>35</v>
      </c>
      <c r="V355" s="7">
        <v>620.05999999999995</v>
      </c>
      <c r="W355" s="7">
        <v>267.37</v>
      </c>
      <c r="X355" s="7">
        <v>246.91</v>
      </c>
      <c r="Y355" s="7">
        <v>0</v>
      </c>
      <c r="Z355" s="7">
        <v>105.78</v>
      </c>
    </row>
    <row r="356" spans="1:26" x14ac:dyDescent="0.35">
      <c r="A356" s="7" t="s">
        <v>27</v>
      </c>
      <c r="B356" s="7" t="s">
        <v>47</v>
      </c>
      <c r="C356" s="7" t="s">
        <v>50</v>
      </c>
      <c r="D356" s="7" t="s">
        <v>54</v>
      </c>
      <c r="E356" s="7" t="s">
        <v>42</v>
      </c>
      <c r="F356" s="7" t="s">
        <v>332</v>
      </c>
      <c r="G356" s="7">
        <v>2020</v>
      </c>
      <c r="H356" s="7" t="str">
        <f>CONCATENATE("04210220572")</f>
        <v>04210220572</v>
      </c>
      <c r="I356" s="7" t="s">
        <v>30</v>
      </c>
      <c r="J356" s="7" t="s">
        <v>31</v>
      </c>
      <c r="K356" s="7" t="str">
        <f>CONCATENATE("")</f>
        <v/>
      </c>
      <c r="L356" s="7" t="str">
        <f>CONCATENATE("13 13.1 4a")</f>
        <v>13 13.1 4a</v>
      </c>
      <c r="M356" s="7" t="str">
        <f>CONCATENATE("SBRSLD37S11B474V")</f>
        <v>SBRSLD37S11B474V</v>
      </c>
      <c r="N356" s="7" t="s">
        <v>464</v>
      </c>
      <c r="O356" s="7" t="s">
        <v>349</v>
      </c>
      <c r="P356" s="8">
        <v>44334</v>
      </c>
      <c r="Q356" s="7" t="s">
        <v>32</v>
      </c>
      <c r="R356" s="7" t="s">
        <v>33</v>
      </c>
      <c r="S356" s="7" t="s">
        <v>34</v>
      </c>
      <c r="T356" s="7"/>
      <c r="U356" s="7" t="s">
        <v>35</v>
      </c>
      <c r="V356" s="9">
        <v>3401.2</v>
      </c>
      <c r="W356" s="9">
        <v>1466.6</v>
      </c>
      <c r="X356" s="9">
        <v>1354.36</v>
      </c>
      <c r="Y356" s="7">
        <v>0</v>
      </c>
      <c r="Z356" s="7">
        <v>580.24</v>
      </c>
    </row>
    <row r="357" spans="1:26" x14ac:dyDescent="0.35">
      <c r="A357" s="7" t="s">
        <v>27</v>
      </c>
      <c r="B357" s="7" t="s">
        <v>47</v>
      </c>
      <c r="C357" s="7" t="s">
        <v>50</v>
      </c>
      <c r="D357" s="7" t="s">
        <v>54</v>
      </c>
      <c r="E357" s="7" t="s">
        <v>39</v>
      </c>
      <c r="F357" s="7" t="s">
        <v>79</v>
      </c>
      <c r="G357" s="7">
        <v>2020</v>
      </c>
      <c r="H357" s="7" t="str">
        <f>CONCATENATE("04210029767")</f>
        <v>04210029767</v>
      </c>
      <c r="I357" s="7" t="s">
        <v>30</v>
      </c>
      <c r="J357" s="7" t="s">
        <v>31</v>
      </c>
      <c r="K357" s="7" t="str">
        <f>CONCATENATE("")</f>
        <v/>
      </c>
      <c r="L357" s="7" t="str">
        <f>CONCATENATE("13 13.1 4a")</f>
        <v>13 13.1 4a</v>
      </c>
      <c r="M357" s="7" t="str">
        <f>CONCATENATE("MRZDAA33L69C582B")</f>
        <v>MRZDAA33L69C582B</v>
      </c>
      <c r="N357" s="7" t="s">
        <v>465</v>
      </c>
      <c r="O357" s="7" t="s">
        <v>349</v>
      </c>
      <c r="P357" s="8">
        <v>44334</v>
      </c>
      <c r="Q357" s="7" t="s">
        <v>32</v>
      </c>
      <c r="R357" s="7" t="s">
        <v>33</v>
      </c>
      <c r="S357" s="7" t="s">
        <v>34</v>
      </c>
      <c r="T357" s="7"/>
      <c r="U357" s="7" t="s">
        <v>35</v>
      </c>
      <c r="V357" s="7">
        <v>87.5</v>
      </c>
      <c r="W357" s="7">
        <v>37.729999999999997</v>
      </c>
      <c r="X357" s="7">
        <v>34.840000000000003</v>
      </c>
      <c r="Y357" s="7">
        <v>0</v>
      </c>
      <c r="Z357" s="7">
        <v>14.93</v>
      </c>
    </row>
    <row r="358" spans="1:26" x14ac:dyDescent="0.35">
      <c r="A358" s="7" t="s">
        <v>27</v>
      </c>
      <c r="B358" s="7" t="s">
        <v>28</v>
      </c>
      <c r="C358" s="7" t="s">
        <v>50</v>
      </c>
      <c r="D358" s="7" t="s">
        <v>104</v>
      </c>
      <c r="E358" s="7" t="s">
        <v>39</v>
      </c>
      <c r="F358" s="7" t="s">
        <v>359</v>
      </c>
      <c r="G358" s="7">
        <v>2017</v>
      </c>
      <c r="H358" s="7" t="str">
        <f>CONCATENATE("14270138820")</f>
        <v>14270138820</v>
      </c>
      <c r="I358" s="7" t="s">
        <v>30</v>
      </c>
      <c r="J358" s="7" t="s">
        <v>31</v>
      </c>
      <c r="K358" s="7" t="str">
        <f>CONCATENATE("")</f>
        <v/>
      </c>
      <c r="L358" s="7" t="str">
        <f>CONCATENATE("21 21.1 2a")</f>
        <v>21 21.1 2a</v>
      </c>
      <c r="M358" s="7" t="str">
        <f>CONCATENATE("LSADNI31D15D007A")</f>
        <v>LSADNI31D15D007A</v>
      </c>
      <c r="N358" s="7" t="s">
        <v>466</v>
      </c>
      <c r="O358" s="7" t="s">
        <v>358</v>
      </c>
      <c r="P358" s="8">
        <v>44330</v>
      </c>
      <c r="Q358" s="7" t="s">
        <v>32</v>
      </c>
      <c r="R358" s="7" t="s">
        <v>33</v>
      </c>
      <c r="S358" s="7" t="s">
        <v>34</v>
      </c>
      <c r="T358" s="7"/>
      <c r="U358" s="7" t="s">
        <v>35</v>
      </c>
      <c r="V358" s="9">
        <v>4012.75</v>
      </c>
      <c r="W358" s="9">
        <v>1730.3</v>
      </c>
      <c r="X358" s="9">
        <v>1597.88</v>
      </c>
      <c r="Y358" s="7">
        <v>0</v>
      </c>
      <c r="Z358" s="7">
        <v>684.57</v>
      </c>
    </row>
  </sheetData>
  <mergeCells count="2">
    <mergeCell ref="A1:Y1"/>
    <mergeCell ref="A2:Y2"/>
  </mergeCells>
  <pageMargins left="0.75" right="0.75" top="1" bottom="1" header="0.5" footer="0.5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3FC5A8023BE49846995DC55E203C1" ma:contentTypeVersion="7" ma:contentTypeDescription="Create a new document." ma:contentTypeScope="" ma:versionID="8a5266b454e96f386b6d41e2ed20a514">
  <xsd:schema xmlns:xsd="http://www.w3.org/2001/XMLSchema" xmlns:xs="http://www.w3.org/2001/XMLSchema" xmlns:p="http://schemas.microsoft.com/office/2006/metadata/properties" xmlns:ns3="4fc14afe-9df9-4cba-8aa4-680966ecc782" targetNamespace="http://schemas.microsoft.com/office/2006/metadata/properties" ma:root="true" ma:fieldsID="b64aec89db63335c91cef771e8d8815c" ns3:_="">
    <xsd:import namespace="4fc14afe-9df9-4cba-8aa4-680966ecc7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14afe-9df9-4cba-8aa4-680966ecc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7825E0-FA9E-46ED-B6A3-DCAC53423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14afe-9df9-4cba-8aa4-680966ecc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AF71EA-A8BE-416A-BD12-69B2FC483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5E914-5C85-4EFC-9252-8C04B8B695E4}">
  <ds:schemaRefs>
    <ds:schemaRef ds:uri="http://schemas.microsoft.com/office/2006/metadata/properties"/>
    <ds:schemaRef ds:uri="http://schemas.microsoft.com/office/infopath/2007/PartnerControl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85330</vt:lpwstr>
  </property>
  <property fmtid="{D5CDD505-2E9C-101B-9397-08002B2CF9AE}" pid="4" name="OptimizationTime">
    <vt:lpwstr>20210525_1023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2021-05-24T16:26:28Z</dcterms:created>
  <dcterms:modified xsi:type="dcterms:W3CDTF">2021-05-24T16:27:26Z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0x010100D843FC5A8023BE49846995DC55E203C1</vt:lpwstr>
  </property>
</Properties>
</file>