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451/"/>
    </mc:Choice>
  </mc:AlternateContent>
  <xr:revisionPtr revIDLastSave="0" documentId="8_{368FD806-D6BB-4C93-B6FA-917310C0E018}" xr6:coauthVersionLast="45" xr6:coauthVersionMax="45" xr10:uidLastSave="{00000000-0000-0000-0000-000000000000}"/>
  <bookViews>
    <workbookView xWindow="-110" yWindow="-110" windowWidth="19420" windowHeight="10420" xr2:uid="{BCE4A550-F0C3-49B4-B8E2-ADB4F2AD9BD8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5" i="1" l="1"/>
  <c r="L625" i="1"/>
  <c r="K625" i="1"/>
  <c r="H625" i="1"/>
  <c r="M624" i="1"/>
  <c r="L624" i="1"/>
  <c r="K624" i="1"/>
  <c r="H624" i="1"/>
  <c r="M623" i="1"/>
  <c r="L623" i="1"/>
  <c r="K623" i="1"/>
  <c r="H623" i="1"/>
  <c r="M622" i="1"/>
  <c r="L622" i="1"/>
  <c r="K622" i="1"/>
  <c r="H622" i="1"/>
  <c r="M621" i="1"/>
  <c r="L621" i="1"/>
  <c r="K621" i="1"/>
  <c r="H621" i="1"/>
  <c r="M620" i="1"/>
  <c r="L620" i="1"/>
  <c r="K620" i="1"/>
  <c r="H620" i="1"/>
  <c r="M619" i="1"/>
  <c r="L619" i="1"/>
  <c r="K619" i="1"/>
  <c r="H619" i="1"/>
  <c r="M618" i="1"/>
  <c r="L618" i="1"/>
  <c r="K618" i="1"/>
  <c r="H618" i="1"/>
  <c r="M617" i="1"/>
  <c r="L617" i="1"/>
  <c r="K617" i="1"/>
  <c r="H617" i="1"/>
  <c r="M616" i="1"/>
  <c r="L616" i="1"/>
  <c r="K616" i="1"/>
  <c r="H616" i="1"/>
  <c r="M615" i="1"/>
  <c r="L615" i="1"/>
  <c r="K615" i="1"/>
  <c r="H615" i="1"/>
  <c r="M614" i="1"/>
  <c r="L614" i="1"/>
  <c r="K614" i="1"/>
  <c r="H614" i="1"/>
  <c r="M613" i="1"/>
  <c r="L613" i="1"/>
  <c r="K613" i="1"/>
  <c r="H613" i="1"/>
  <c r="M612" i="1"/>
  <c r="L612" i="1"/>
  <c r="K612" i="1"/>
  <c r="H612" i="1"/>
  <c r="M611" i="1"/>
  <c r="L611" i="1"/>
  <c r="K611" i="1"/>
  <c r="H611" i="1"/>
  <c r="M610" i="1"/>
  <c r="L610" i="1"/>
  <c r="K610" i="1"/>
  <c r="H610" i="1"/>
  <c r="M609" i="1"/>
  <c r="L609" i="1"/>
  <c r="K609" i="1"/>
  <c r="H609" i="1"/>
  <c r="M608" i="1"/>
  <c r="L608" i="1"/>
  <c r="K608" i="1"/>
  <c r="H608" i="1"/>
  <c r="M607" i="1"/>
  <c r="L607" i="1"/>
  <c r="K607" i="1"/>
  <c r="H607" i="1"/>
  <c r="M606" i="1"/>
  <c r="L606" i="1"/>
  <c r="K606" i="1"/>
  <c r="H606" i="1"/>
  <c r="M605" i="1"/>
  <c r="L605" i="1"/>
  <c r="K605" i="1"/>
  <c r="H605" i="1"/>
  <c r="M604" i="1"/>
  <c r="L604" i="1"/>
  <c r="K604" i="1"/>
  <c r="H604" i="1"/>
  <c r="M603" i="1"/>
  <c r="L603" i="1"/>
  <c r="K603" i="1"/>
  <c r="H603" i="1"/>
  <c r="M602" i="1"/>
  <c r="L602" i="1"/>
  <c r="K602" i="1"/>
  <c r="H602" i="1"/>
  <c r="M601" i="1"/>
  <c r="L601" i="1"/>
  <c r="K601" i="1"/>
  <c r="H601" i="1"/>
  <c r="M600" i="1"/>
  <c r="L600" i="1"/>
  <c r="K600" i="1"/>
  <c r="H600" i="1"/>
  <c r="M599" i="1"/>
  <c r="L599" i="1"/>
  <c r="K599" i="1"/>
  <c r="H599" i="1"/>
  <c r="M598" i="1"/>
  <c r="L598" i="1"/>
  <c r="K598" i="1"/>
  <c r="H598" i="1"/>
  <c r="M597" i="1"/>
  <c r="L597" i="1"/>
  <c r="K597" i="1"/>
  <c r="H597" i="1"/>
  <c r="M596" i="1"/>
  <c r="L596" i="1"/>
  <c r="K596" i="1"/>
  <c r="H596" i="1"/>
  <c r="M595" i="1"/>
  <c r="L595" i="1"/>
  <c r="K595" i="1"/>
  <c r="H595" i="1"/>
  <c r="M594" i="1"/>
  <c r="L594" i="1"/>
  <c r="K594" i="1"/>
  <c r="H594" i="1"/>
  <c r="M593" i="1"/>
  <c r="L593" i="1"/>
  <c r="K593" i="1"/>
  <c r="H593" i="1"/>
  <c r="M592" i="1"/>
  <c r="L592" i="1"/>
  <c r="K592" i="1"/>
  <c r="H592" i="1"/>
  <c r="M591" i="1"/>
  <c r="L591" i="1"/>
  <c r="K591" i="1"/>
  <c r="H591" i="1"/>
  <c r="M590" i="1"/>
  <c r="L590" i="1"/>
  <c r="K590" i="1"/>
  <c r="H590" i="1"/>
  <c r="M589" i="1"/>
  <c r="L589" i="1"/>
  <c r="K589" i="1"/>
  <c r="H589" i="1"/>
  <c r="M588" i="1"/>
  <c r="L588" i="1"/>
  <c r="K588" i="1"/>
  <c r="H588" i="1"/>
  <c r="M587" i="1"/>
  <c r="L587" i="1"/>
  <c r="K587" i="1"/>
  <c r="H587" i="1"/>
  <c r="M586" i="1"/>
  <c r="L586" i="1"/>
  <c r="K586" i="1"/>
  <c r="H586" i="1"/>
  <c r="M585" i="1"/>
  <c r="L585" i="1"/>
  <c r="K585" i="1"/>
  <c r="H585" i="1"/>
  <c r="M584" i="1"/>
  <c r="L584" i="1"/>
  <c r="K584" i="1"/>
  <c r="H584" i="1"/>
  <c r="M583" i="1"/>
  <c r="L583" i="1"/>
  <c r="K583" i="1"/>
  <c r="H583" i="1"/>
  <c r="M582" i="1"/>
  <c r="L582" i="1"/>
  <c r="K582" i="1"/>
  <c r="H582" i="1"/>
  <c r="M581" i="1"/>
  <c r="L581" i="1"/>
  <c r="K581" i="1"/>
  <c r="H581" i="1"/>
  <c r="M580" i="1"/>
  <c r="L580" i="1"/>
  <c r="K580" i="1"/>
  <c r="H580" i="1"/>
  <c r="M579" i="1"/>
  <c r="L579" i="1"/>
  <c r="K579" i="1"/>
  <c r="H579" i="1"/>
  <c r="M578" i="1"/>
  <c r="L578" i="1"/>
  <c r="K578" i="1"/>
  <c r="H578" i="1"/>
  <c r="M577" i="1"/>
  <c r="L577" i="1"/>
  <c r="K577" i="1"/>
  <c r="H577" i="1"/>
  <c r="M576" i="1"/>
  <c r="L576" i="1"/>
  <c r="K576" i="1"/>
  <c r="H576" i="1"/>
  <c r="M575" i="1"/>
  <c r="L575" i="1"/>
  <c r="K575" i="1"/>
  <c r="H575" i="1"/>
  <c r="M574" i="1"/>
  <c r="L574" i="1"/>
  <c r="K574" i="1"/>
  <c r="H574" i="1"/>
  <c r="M573" i="1"/>
  <c r="L573" i="1"/>
  <c r="K573" i="1"/>
  <c r="H573" i="1"/>
  <c r="M572" i="1"/>
  <c r="L572" i="1"/>
  <c r="K572" i="1"/>
  <c r="H572" i="1"/>
  <c r="M571" i="1"/>
  <c r="L571" i="1"/>
  <c r="K571" i="1"/>
  <c r="H571" i="1"/>
  <c r="M570" i="1"/>
  <c r="L570" i="1"/>
  <c r="K570" i="1"/>
  <c r="H570" i="1"/>
  <c r="M569" i="1"/>
  <c r="L569" i="1"/>
  <c r="K569" i="1"/>
  <c r="H569" i="1"/>
  <c r="M568" i="1"/>
  <c r="L568" i="1"/>
  <c r="K568" i="1"/>
  <c r="H568" i="1"/>
  <c r="M567" i="1"/>
  <c r="L567" i="1"/>
  <c r="K567" i="1"/>
  <c r="H567" i="1"/>
  <c r="M566" i="1"/>
  <c r="L566" i="1"/>
  <c r="K566" i="1"/>
  <c r="H566" i="1"/>
  <c r="M565" i="1"/>
  <c r="L565" i="1"/>
  <c r="K565" i="1"/>
  <c r="H565" i="1"/>
  <c r="M564" i="1"/>
  <c r="L564" i="1"/>
  <c r="K564" i="1"/>
  <c r="H564" i="1"/>
  <c r="M563" i="1"/>
  <c r="L563" i="1"/>
  <c r="K563" i="1"/>
  <c r="H563" i="1"/>
  <c r="M562" i="1"/>
  <c r="L562" i="1"/>
  <c r="K562" i="1"/>
  <c r="H562" i="1"/>
  <c r="M561" i="1"/>
  <c r="L561" i="1"/>
  <c r="K561" i="1"/>
  <c r="H561" i="1"/>
  <c r="M560" i="1"/>
  <c r="L560" i="1"/>
  <c r="K560" i="1"/>
  <c r="H560" i="1"/>
  <c r="M559" i="1"/>
  <c r="L559" i="1"/>
  <c r="K559" i="1"/>
  <c r="H559" i="1"/>
  <c r="M558" i="1"/>
  <c r="L558" i="1"/>
  <c r="K558" i="1"/>
  <c r="H558" i="1"/>
  <c r="M557" i="1"/>
  <c r="L557" i="1"/>
  <c r="K557" i="1"/>
  <c r="H557" i="1"/>
  <c r="M556" i="1"/>
  <c r="L556" i="1"/>
  <c r="K556" i="1"/>
  <c r="H556" i="1"/>
  <c r="M555" i="1"/>
  <c r="L555" i="1"/>
  <c r="K555" i="1"/>
  <c r="H555" i="1"/>
  <c r="M554" i="1"/>
  <c r="L554" i="1"/>
  <c r="K554" i="1"/>
  <c r="H554" i="1"/>
  <c r="M553" i="1"/>
  <c r="L553" i="1"/>
  <c r="K553" i="1"/>
  <c r="H553" i="1"/>
  <c r="M552" i="1"/>
  <c r="L552" i="1"/>
  <c r="K552" i="1"/>
  <c r="H552" i="1"/>
  <c r="M551" i="1"/>
  <c r="L551" i="1"/>
  <c r="K551" i="1"/>
  <c r="H551" i="1"/>
  <c r="M550" i="1"/>
  <c r="L550" i="1"/>
  <c r="K550" i="1"/>
  <c r="H550" i="1"/>
  <c r="M549" i="1"/>
  <c r="L549" i="1"/>
  <c r="K549" i="1"/>
  <c r="H549" i="1"/>
  <c r="M548" i="1"/>
  <c r="L548" i="1"/>
  <c r="K548" i="1"/>
  <c r="H548" i="1"/>
  <c r="M547" i="1"/>
  <c r="L547" i="1"/>
  <c r="K547" i="1"/>
  <c r="H547" i="1"/>
  <c r="M546" i="1"/>
  <c r="L546" i="1"/>
  <c r="K546" i="1"/>
  <c r="H546" i="1"/>
  <c r="M545" i="1"/>
  <c r="L545" i="1"/>
  <c r="K545" i="1"/>
  <c r="H545" i="1"/>
  <c r="M544" i="1"/>
  <c r="L544" i="1"/>
  <c r="K544" i="1"/>
  <c r="H544" i="1"/>
  <c r="M543" i="1"/>
  <c r="L543" i="1"/>
  <c r="K543" i="1"/>
  <c r="H543" i="1"/>
  <c r="M542" i="1"/>
  <c r="L542" i="1"/>
  <c r="K542" i="1"/>
  <c r="H542" i="1"/>
  <c r="M541" i="1"/>
  <c r="L541" i="1"/>
  <c r="K541" i="1"/>
  <c r="H541" i="1"/>
  <c r="M540" i="1"/>
  <c r="L540" i="1"/>
  <c r="K540" i="1"/>
  <c r="H540" i="1"/>
  <c r="M539" i="1"/>
  <c r="L539" i="1"/>
  <c r="K539" i="1"/>
  <c r="H539" i="1"/>
  <c r="M538" i="1"/>
  <c r="L538" i="1"/>
  <c r="K538" i="1"/>
  <c r="H538" i="1"/>
  <c r="M537" i="1"/>
  <c r="L537" i="1"/>
  <c r="K537" i="1"/>
  <c r="H537" i="1"/>
  <c r="M536" i="1"/>
  <c r="L536" i="1"/>
  <c r="K536" i="1"/>
  <c r="H536" i="1"/>
  <c r="M535" i="1"/>
  <c r="L535" i="1"/>
  <c r="K535" i="1"/>
  <c r="H535" i="1"/>
  <c r="M534" i="1"/>
  <c r="L534" i="1"/>
  <c r="K534" i="1"/>
  <c r="H534" i="1"/>
  <c r="M533" i="1"/>
  <c r="L533" i="1"/>
  <c r="K533" i="1"/>
  <c r="H533" i="1"/>
  <c r="M532" i="1"/>
  <c r="L532" i="1"/>
  <c r="K532" i="1"/>
  <c r="H532" i="1"/>
  <c r="M531" i="1"/>
  <c r="L531" i="1"/>
  <c r="K531" i="1"/>
  <c r="H531" i="1"/>
  <c r="M530" i="1"/>
  <c r="L530" i="1"/>
  <c r="K530" i="1"/>
  <c r="H530" i="1"/>
  <c r="M529" i="1"/>
  <c r="L529" i="1"/>
  <c r="K529" i="1"/>
  <c r="H529" i="1"/>
  <c r="M528" i="1"/>
  <c r="L528" i="1"/>
  <c r="K528" i="1"/>
  <c r="H528" i="1"/>
  <c r="M527" i="1"/>
  <c r="L527" i="1"/>
  <c r="K527" i="1"/>
  <c r="H527" i="1"/>
  <c r="M526" i="1"/>
  <c r="L526" i="1"/>
  <c r="K526" i="1"/>
  <c r="H526" i="1"/>
  <c r="M525" i="1"/>
  <c r="L525" i="1"/>
  <c r="K525" i="1"/>
  <c r="H525" i="1"/>
  <c r="M524" i="1"/>
  <c r="L524" i="1"/>
  <c r="K524" i="1"/>
  <c r="H524" i="1"/>
  <c r="M523" i="1"/>
  <c r="L523" i="1"/>
  <c r="K523" i="1"/>
  <c r="H523" i="1"/>
  <c r="M522" i="1"/>
  <c r="L522" i="1"/>
  <c r="K522" i="1"/>
  <c r="H522" i="1"/>
  <c r="M521" i="1"/>
  <c r="L521" i="1"/>
  <c r="K521" i="1"/>
  <c r="H521" i="1"/>
  <c r="M520" i="1"/>
  <c r="L520" i="1"/>
  <c r="K520" i="1"/>
  <c r="H520" i="1"/>
  <c r="M519" i="1"/>
  <c r="L519" i="1"/>
  <c r="K519" i="1"/>
  <c r="H519" i="1"/>
  <c r="M518" i="1"/>
  <c r="L518" i="1"/>
  <c r="K518" i="1"/>
  <c r="H518" i="1"/>
  <c r="M517" i="1"/>
  <c r="L517" i="1"/>
  <c r="K517" i="1"/>
  <c r="H517" i="1"/>
  <c r="M516" i="1"/>
  <c r="L516" i="1"/>
  <c r="K516" i="1"/>
  <c r="H516" i="1"/>
  <c r="M515" i="1"/>
  <c r="L515" i="1"/>
  <c r="K515" i="1"/>
  <c r="H515" i="1"/>
  <c r="M514" i="1"/>
  <c r="L514" i="1"/>
  <c r="K514" i="1"/>
  <c r="H514" i="1"/>
  <c r="M513" i="1"/>
  <c r="L513" i="1"/>
  <c r="K513" i="1"/>
  <c r="H513" i="1"/>
  <c r="M512" i="1"/>
  <c r="L512" i="1"/>
  <c r="K512" i="1"/>
  <c r="H512" i="1"/>
  <c r="M511" i="1"/>
  <c r="L511" i="1"/>
  <c r="K511" i="1"/>
  <c r="H511" i="1"/>
  <c r="M510" i="1"/>
  <c r="L510" i="1"/>
  <c r="K510" i="1"/>
  <c r="H510" i="1"/>
  <c r="M509" i="1"/>
  <c r="L509" i="1"/>
  <c r="K509" i="1"/>
  <c r="H509" i="1"/>
  <c r="M508" i="1"/>
  <c r="L508" i="1"/>
  <c r="K508" i="1"/>
  <c r="H508" i="1"/>
  <c r="M507" i="1"/>
  <c r="L507" i="1"/>
  <c r="K507" i="1"/>
  <c r="H507" i="1"/>
  <c r="M506" i="1"/>
  <c r="L506" i="1"/>
  <c r="K506" i="1"/>
  <c r="H506" i="1"/>
  <c r="M505" i="1"/>
  <c r="L505" i="1"/>
  <c r="K505" i="1"/>
  <c r="H505" i="1"/>
  <c r="M504" i="1"/>
  <c r="L504" i="1"/>
  <c r="K504" i="1"/>
  <c r="H504" i="1"/>
  <c r="M503" i="1"/>
  <c r="L503" i="1"/>
  <c r="K503" i="1"/>
  <c r="H503" i="1"/>
  <c r="M502" i="1"/>
  <c r="L502" i="1"/>
  <c r="K502" i="1"/>
  <c r="H502" i="1"/>
  <c r="M501" i="1"/>
  <c r="L501" i="1"/>
  <c r="K501" i="1"/>
  <c r="H501" i="1"/>
  <c r="M500" i="1"/>
  <c r="L500" i="1"/>
  <c r="K500" i="1"/>
  <c r="H500" i="1"/>
  <c r="M499" i="1"/>
  <c r="L499" i="1"/>
  <c r="K499" i="1"/>
  <c r="H499" i="1"/>
  <c r="M498" i="1"/>
  <c r="L498" i="1"/>
  <c r="K498" i="1"/>
  <c r="H498" i="1"/>
  <c r="M497" i="1"/>
  <c r="L497" i="1"/>
  <c r="K497" i="1"/>
  <c r="H497" i="1"/>
  <c r="M496" i="1"/>
  <c r="L496" i="1"/>
  <c r="K496" i="1"/>
  <c r="H496" i="1"/>
  <c r="M495" i="1"/>
  <c r="L495" i="1"/>
  <c r="K495" i="1"/>
  <c r="H495" i="1"/>
  <c r="M494" i="1"/>
  <c r="L494" i="1"/>
  <c r="K494" i="1"/>
  <c r="H494" i="1"/>
  <c r="M493" i="1"/>
  <c r="L493" i="1"/>
  <c r="K493" i="1"/>
  <c r="H493" i="1"/>
  <c r="M492" i="1"/>
  <c r="L492" i="1"/>
  <c r="K492" i="1"/>
  <c r="H492" i="1"/>
  <c r="M491" i="1"/>
  <c r="L491" i="1"/>
  <c r="K491" i="1"/>
  <c r="H491" i="1"/>
  <c r="M490" i="1"/>
  <c r="L490" i="1"/>
  <c r="K490" i="1"/>
  <c r="H490" i="1"/>
  <c r="M489" i="1"/>
  <c r="L489" i="1"/>
  <c r="K489" i="1"/>
  <c r="H489" i="1"/>
  <c r="M488" i="1"/>
  <c r="L488" i="1"/>
  <c r="K488" i="1"/>
  <c r="H488" i="1"/>
  <c r="M487" i="1"/>
  <c r="L487" i="1"/>
  <c r="K487" i="1"/>
  <c r="H487" i="1"/>
  <c r="M486" i="1"/>
  <c r="L486" i="1"/>
  <c r="K486" i="1"/>
  <c r="H486" i="1"/>
  <c r="M485" i="1"/>
  <c r="L485" i="1"/>
  <c r="K485" i="1"/>
  <c r="H485" i="1"/>
  <c r="M484" i="1"/>
  <c r="L484" i="1"/>
  <c r="K484" i="1"/>
  <c r="H484" i="1"/>
  <c r="M483" i="1"/>
  <c r="L483" i="1"/>
  <c r="K483" i="1"/>
  <c r="H483" i="1"/>
  <c r="M482" i="1"/>
  <c r="L482" i="1"/>
  <c r="K482" i="1"/>
  <c r="H482" i="1"/>
  <c r="M481" i="1"/>
  <c r="L481" i="1"/>
  <c r="K481" i="1"/>
  <c r="H481" i="1"/>
  <c r="M480" i="1"/>
  <c r="L480" i="1"/>
  <c r="K480" i="1"/>
  <c r="H480" i="1"/>
  <c r="M479" i="1"/>
  <c r="L479" i="1"/>
  <c r="K479" i="1"/>
  <c r="H479" i="1"/>
  <c r="M478" i="1"/>
  <c r="L478" i="1"/>
  <c r="K478" i="1"/>
  <c r="H478" i="1"/>
  <c r="M477" i="1"/>
  <c r="L477" i="1"/>
  <c r="K477" i="1"/>
  <c r="H477" i="1"/>
  <c r="M476" i="1"/>
  <c r="L476" i="1"/>
  <c r="K476" i="1"/>
  <c r="H476" i="1"/>
  <c r="M475" i="1"/>
  <c r="L475" i="1"/>
  <c r="K475" i="1"/>
  <c r="H475" i="1"/>
  <c r="M474" i="1"/>
  <c r="L474" i="1"/>
  <c r="K474" i="1"/>
  <c r="H474" i="1"/>
  <c r="M473" i="1"/>
  <c r="L473" i="1"/>
  <c r="K473" i="1"/>
  <c r="H473" i="1"/>
  <c r="M472" i="1"/>
  <c r="L472" i="1"/>
  <c r="K472" i="1"/>
  <c r="H472" i="1"/>
  <c r="M471" i="1"/>
  <c r="L471" i="1"/>
  <c r="K471" i="1"/>
  <c r="H471" i="1"/>
  <c r="M470" i="1"/>
  <c r="L470" i="1"/>
  <c r="K470" i="1"/>
  <c r="H470" i="1"/>
  <c r="M469" i="1"/>
  <c r="L469" i="1"/>
  <c r="K469" i="1"/>
  <c r="H469" i="1"/>
  <c r="M468" i="1"/>
  <c r="L468" i="1"/>
  <c r="K468" i="1"/>
  <c r="H468" i="1"/>
  <c r="M467" i="1"/>
  <c r="L467" i="1"/>
  <c r="K467" i="1"/>
  <c r="H467" i="1"/>
  <c r="M466" i="1"/>
  <c r="L466" i="1"/>
  <c r="K466" i="1"/>
  <c r="H466" i="1"/>
  <c r="M465" i="1"/>
  <c r="L465" i="1"/>
  <c r="K465" i="1"/>
  <c r="H465" i="1"/>
  <c r="M464" i="1"/>
  <c r="L464" i="1"/>
  <c r="K464" i="1"/>
  <c r="H464" i="1"/>
  <c r="M463" i="1"/>
  <c r="L463" i="1"/>
  <c r="K463" i="1"/>
  <c r="H463" i="1"/>
  <c r="M462" i="1"/>
  <c r="L462" i="1"/>
  <c r="K462" i="1"/>
  <c r="H462" i="1"/>
  <c r="M461" i="1"/>
  <c r="L461" i="1"/>
  <c r="K461" i="1"/>
  <c r="H461" i="1"/>
  <c r="M460" i="1"/>
  <c r="L460" i="1"/>
  <c r="K460" i="1"/>
  <c r="H460" i="1"/>
  <c r="M459" i="1"/>
  <c r="L459" i="1"/>
  <c r="K459" i="1"/>
  <c r="H459" i="1"/>
  <c r="M458" i="1"/>
  <c r="L458" i="1"/>
  <c r="K458" i="1"/>
  <c r="H458" i="1"/>
  <c r="M457" i="1"/>
  <c r="L457" i="1"/>
  <c r="K457" i="1"/>
  <c r="H457" i="1"/>
  <c r="M456" i="1"/>
  <c r="L456" i="1"/>
  <c r="K456" i="1"/>
  <c r="H456" i="1"/>
  <c r="M455" i="1"/>
  <c r="L455" i="1"/>
  <c r="K455" i="1"/>
  <c r="H455" i="1"/>
  <c r="M454" i="1"/>
  <c r="L454" i="1"/>
  <c r="K454" i="1"/>
  <c r="H454" i="1"/>
  <c r="M453" i="1"/>
  <c r="L453" i="1"/>
  <c r="K453" i="1"/>
  <c r="H453" i="1"/>
  <c r="M452" i="1"/>
  <c r="L452" i="1"/>
  <c r="K452" i="1"/>
  <c r="H452" i="1"/>
  <c r="M451" i="1"/>
  <c r="L451" i="1"/>
  <c r="K451" i="1"/>
  <c r="H451" i="1"/>
  <c r="M450" i="1"/>
  <c r="L450" i="1"/>
  <c r="K450" i="1"/>
  <c r="H450" i="1"/>
  <c r="M449" i="1"/>
  <c r="L449" i="1"/>
  <c r="K449" i="1"/>
  <c r="H449" i="1"/>
  <c r="M448" i="1"/>
  <c r="L448" i="1"/>
  <c r="K448" i="1"/>
  <c r="H448" i="1"/>
  <c r="M447" i="1"/>
  <c r="L447" i="1"/>
  <c r="K447" i="1"/>
  <c r="H447" i="1"/>
  <c r="M446" i="1"/>
  <c r="L446" i="1"/>
  <c r="K446" i="1"/>
  <c r="H446" i="1"/>
  <c r="M445" i="1"/>
  <c r="L445" i="1"/>
  <c r="K445" i="1"/>
  <c r="H445" i="1"/>
  <c r="M444" i="1"/>
  <c r="L444" i="1"/>
  <c r="K444" i="1"/>
  <c r="H444" i="1"/>
  <c r="M443" i="1"/>
  <c r="L443" i="1"/>
  <c r="K443" i="1"/>
  <c r="H443" i="1"/>
  <c r="M442" i="1"/>
  <c r="L442" i="1"/>
  <c r="K442" i="1"/>
  <c r="H442" i="1"/>
  <c r="M441" i="1"/>
  <c r="L441" i="1"/>
  <c r="K441" i="1"/>
  <c r="H441" i="1"/>
  <c r="M440" i="1"/>
  <c r="L440" i="1"/>
  <c r="K440" i="1"/>
  <c r="H440" i="1"/>
  <c r="M439" i="1"/>
  <c r="L439" i="1"/>
  <c r="K439" i="1"/>
  <c r="H439" i="1"/>
  <c r="M438" i="1"/>
  <c r="L438" i="1"/>
  <c r="K438" i="1"/>
  <c r="H438" i="1"/>
  <c r="M437" i="1"/>
  <c r="L437" i="1"/>
  <c r="K437" i="1"/>
  <c r="H437" i="1"/>
  <c r="M436" i="1"/>
  <c r="L436" i="1"/>
  <c r="K436" i="1"/>
  <c r="H436" i="1"/>
  <c r="M435" i="1"/>
  <c r="L435" i="1"/>
  <c r="K435" i="1"/>
  <c r="H435" i="1"/>
  <c r="M434" i="1"/>
  <c r="L434" i="1"/>
  <c r="K434" i="1"/>
  <c r="H434" i="1"/>
  <c r="M433" i="1"/>
  <c r="L433" i="1"/>
  <c r="K433" i="1"/>
  <c r="H433" i="1"/>
  <c r="M432" i="1"/>
  <c r="L432" i="1"/>
  <c r="K432" i="1"/>
  <c r="H432" i="1"/>
  <c r="M431" i="1"/>
  <c r="L431" i="1"/>
  <c r="K431" i="1"/>
  <c r="H431" i="1"/>
  <c r="M430" i="1"/>
  <c r="L430" i="1"/>
  <c r="K430" i="1"/>
  <c r="H430" i="1"/>
  <c r="M429" i="1"/>
  <c r="L429" i="1"/>
  <c r="K429" i="1"/>
  <c r="H429" i="1"/>
  <c r="M428" i="1"/>
  <c r="L428" i="1"/>
  <c r="K428" i="1"/>
  <c r="H428" i="1"/>
  <c r="M427" i="1"/>
  <c r="L427" i="1"/>
  <c r="K427" i="1"/>
  <c r="H427" i="1"/>
  <c r="M426" i="1"/>
  <c r="L426" i="1"/>
  <c r="K426" i="1"/>
  <c r="H426" i="1"/>
  <c r="M425" i="1"/>
  <c r="L425" i="1"/>
  <c r="K425" i="1"/>
  <c r="H425" i="1"/>
  <c r="M424" i="1"/>
  <c r="L424" i="1"/>
  <c r="K424" i="1"/>
  <c r="H424" i="1"/>
  <c r="M423" i="1"/>
  <c r="L423" i="1"/>
  <c r="K423" i="1"/>
  <c r="H423" i="1"/>
  <c r="M422" i="1"/>
  <c r="L422" i="1"/>
  <c r="K422" i="1"/>
  <c r="H422" i="1"/>
  <c r="M421" i="1"/>
  <c r="L421" i="1"/>
  <c r="K421" i="1"/>
  <c r="H421" i="1"/>
  <c r="M420" i="1"/>
  <c r="L420" i="1"/>
  <c r="K420" i="1"/>
  <c r="H420" i="1"/>
  <c r="M419" i="1"/>
  <c r="L419" i="1"/>
  <c r="K419" i="1"/>
  <c r="H419" i="1"/>
  <c r="M418" i="1"/>
  <c r="L418" i="1"/>
  <c r="K418" i="1"/>
  <c r="H418" i="1"/>
  <c r="M417" i="1"/>
  <c r="L417" i="1"/>
  <c r="K417" i="1"/>
  <c r="H417" i="1"/>
  <c r="M416" i="1"/>
  <c r="L416" i="1"/>
  <c r="K416" i="1"/>
  <c r="H416" i="1"/>
  <c r="M415" i="1"/>
  <c r="L415" i="1"/>
  <c r="K415" i="1"/>
  <c r="H415" i="1"/>
  <c r="M414" i="1"/>
  <c r="L414" i="1"/>
  <c r="K414" i="1"/>
  <c r="H414" i="1"/>
  <c r="M413" i="1"/>
  <c r="L413" i="1"/>
  <c r="K413" i="1"/>
  <c r="H413" i="1"/>
  <c r="M412" i="1"/>
  <c r="L412" i="1"/>
  <c r="K412" i="1"/>
  <c r="H412" i="1"/>
  <c r="M411" i="1"/>
  <c r="L411" i="1"/>
  <c r="K411" i="1"/>
  <c r="H411" i="1"/>
  <c r="M410" i="1"/>
  <c r="L410" i="1"/>
  <c r="K410" i="1"/>
  <c r="H410" i="1"/>
  <c r="M409" i="1"/>
  <c r="L409" i="1"/>
  <c r="K409" i="1"/>
  <c r="H409" i="1"/>
  <c r="M408" i="1"/>
  <c r="L408" i="1"/>
  <c r="K408" i="1"/>
  <c r="H408" i="1"/>
  <c r="M407" i="1"/>
  <c r="L407" i="1"/>
  <c r="K407" i="1"/>
  <c r="H407" i="1"/>
  <c r="M406" i="1"/>
  <c r="L406" i="1"/>
  <c r="K406" i="1"/>
  <c r="H406" i="1"/>
  <c r="M405" i="1"/>
  <c r="L405" i="1"/>
  <c r="K405" i="1"/>
  <c r="H405" i="1"/>
  <c r="M404" i="1"/>
  <c r="L404" i="1"/>
  <c r="K404" i="1"/>
  <c r="H404" i="1"/>
  <c r="M403" i="1"/>
  <c r="L403" i="1"/>
  <c r="K403" i="1"/>
  <c r="H403" i="1"/>
  <c r="M402" i="1"/>
  <c r="L402" i="1"/>
  <c r="K402" i="1"/>
  <c r="H402" i="1"/>
  <c r="M401" i="1"/>
  <c r="L401" i="1"/>
  <c r="K401" i="1"/>
  <c r="H401" i="1"/>
  <c r="M400" i="1"/>
  <c r="L400" i="1"/>
  <c r="K400" i="1"/>
  <c r="H400" i="1"/>
  <c r="M399" i="1"/>
  <c r="L399" i="1"/>
  <c r="K399" i="1"/>
  <c r="H399" i="1"/>
  <c r="M398" i="1"/>
  <c r="L398" i="1"/>
  <c r="K398" i="1"/>
  <c r="H398" i="1"/>
  <c r="M397" i="1"/>
  <c r="L397" i="1"/>
  <c r="K397" i="1"/>
  <c r="H397" i="1"/>
  <c r="M396" i="1"/>
  <c r="L396" i="1"/>
  <c r="K396" i="1"/>
  <c r="H396" i="1"/>
  <c r="M395" i="1"/>
  <c r="L395" i="1"/>
  <c r="K395" i="1"/>
  <c r="H395" i="1"/>
  <c r="M394" i="1"/>
  <c r="L394" i="1"/>
  <c r="K394" i="1"/>
  <c r="H394" i="1"/>
  <c r="M393" i="1"/>
  <c r="L393" i="1"/>
  <c r="K393" i="1"/>
  <c r="H393" i="1"/>
  <c r="M392" i="1"/>
  <c r="L392" i="1"/>
  <c r="K392" i="1"/>
  <c r="H392" i="1"/>
  <c r="M391" i="1"/>
  <c r="L391" i="1"/>
  <c r="K391" i="1"/>
  <c r="H391" i="1"/>
  <c r="M390" i="1"/>
  <c r="L390" i="1"/>
  <c r="K390" i="1"/>
  <c r="H390" i="1"/>
  <c r="M389" i="1"/>
  <c r="L389" i="1"/>
  <c r="K389" i="1"/>
  <c r="H389" i="1"/>
  <c r="M388" i="1"/>
  <c r="L388" i="1"/>
  <c r="K388" i="1"/>
  <c r="H388" i="1"/>
  <c r="M387" i="1"/>
  <c r="L387" i="1"/>
  <c r="K387" i="1"/>
  <c r="H387" i="1"/>
  <c r="M386" i="1"/>
  <c r="L386" i="1"/>
  <c r="K386" i="1"/>
  <c r="H386" i="1"/>
  <c r="M385" i="1"/>
  <c r="L385" i="1"/>
  <c r="K385" i="1"/>
  <c r="H385" i="1"/>
  <c r="M384" i="1"/>
  <c r="L384" i="1"/>
  <c r="K384" i="1"/>
  <c r="H384" i="1"/>
  <c r="M383" i="1"/>
  <c r="L383" i="1"/>
  <c r="K383" i="1"/>
  <c r="H383" i="1"/>
  <c r="M382" i="1"/>
  <c r="L382" i="1"/>
  <c r="K382" i="1"/>
  <c r="H382" i="1"/>
  <c r="M381" i="1"/>
  <c r="L381" i="1"/>
  <c r="K381" i="1"/>
  <c r="H381" i="1"/>
  <c r="M380" i="1"/>
  <c r="L380" i="1"/>
  <c r="K380" i="1"/>
  <c r="H380" i="1"/>
  <c r="M379" i="1"/>
  <c r="L379" i="1"/>
  <c r="K379" i="1"/>
  <c r="H379" i="1"/>
  <c r="M378" i="1"/>
  <c r="L378" i="1"/>
  <c r="K378" i="1"/>
  <c r="H378" i="1"/>
  <c r="M377" i="1"/>
  <c r="L377" i="1"/>
  <c r="K377" i="1"/>
  <c r="H377" i="1"/>
  <c r="M376" i="1"/>
  <c r="L376" i="1"/>
  <c r="K376" i="1"/>
  <c r="H376" i="1"/>
  <c r="M375" i="1"/>
  <c r="L375" i="1"/>
  <c r="K375" i="1"/>
  <c r="H375" i="1"/>
  <c r="M374" i="1"/>
  <c r="L374" i="1"/>
  <c r="K374" i="1"/>
  <c r="H374" i="1"/>
  <c r="M373" i="1"/>
  <c r="L373" i="1"/>
  <c r="K373" i="1"/>
  <c r="H373" i="1"/>
  <c r="M372" i="1"/>
  <c r="L372" i="1"/>
  <c r="K372" i="1"/>
  <c r="H372" i="1"/>
  <c r="M371" i="1"/>
  <c r="L371" i="1"/>
  <c r="K371" i="1"/>
  <c r="H371" i="1"/>
  <c r="M370" i="1"/>
  <c r="L370" i="1"/>
  <c r="K370" i="1"/>
  <c r="H370" i="1"/>
  <c r="M369" i="1"/>
  <c r="L369" i="1"/>
  <c r="K369" i="1"/>
  <c r="H369" i="1"/>
  <c r="M368" i="1"/>
  <c r="L368" i="1"/>
  <c r="K368" i="1"/>
  <c r="H368" i="1"/>
  <c r="M367" i="1"/>
  <c r="L367" i="1"/>
  <c r="K367" i="1"/>
  <c r="H367" i="1"/>
  <c r="M366" i="1"/>
  <c r="L366" i="1"/>
  <c r="K366" i="1"/>
  <c r="H366" i="1"/>
  <c r="M365" i="1"/>
  <c r="L365" i="1"/>
  <c r="K365" i="1"/>
  <c r="H365" i="1"/>
  <c r="M364" i="1"/>
  <c r="L364" i="1"/>
  <c r="K364" i="1"/>
  <c r="H364" i="1"/>
  <c r="M363" i="1"/>
  <c r="L363" i="1"/>
  <c r="K363" i="1"/>
  <c r="H363" i="1"/>
  <c r="M362" i="1"/>
  <c r="L362" i="1"/>
  <c r="K362" i="1"/>
  <c r="H362" i="1"/>
  <c r="M361" i="1"/>
  <c r="L361" i="1"/>
  <c r="K361" i="1"/>
  <c r="H361" i="1"/>
  <c r="M360" i="1"/>
  <c r="L360" i="1"/>
  <c r="K360" i="1"/>
  <c r="H360" i="1"/>
  <c r="M359" i="1"/>
  <c r="L359" i="1"/>
  <c r="K359" i="1"/>
  <c r="H359" i="1"/>
  <c r="M358" i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<sst xmlns="http://schemas.openxmlformats.org/spreadsheetml/2006/main" count="8735" uniqueCount="736">
  <si>
    <t>Dettaglio Domande Pagabili Decreto 451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</si>
  <si>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</si>
  <si>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</si>
  <si>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</si>
  <si>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</si>
  <si>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</si>
  <si>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</si>
  <si>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</si>
  <si>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</si>
  <si>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</si>
  <si>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</si>
  <si>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</si>
  <si>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</si>
  <si>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</si>
  <si>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</si>
  <si>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</si>
  <si>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</si>
  <si>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</si>
  <si>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</si>
  <si>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</si>
  <si>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</si>
  <si>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</si>
  <si>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</si>
  <si>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</si>
  <si>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</si>
  <si>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</si>
  <si>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</si>
  <si>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</si>
  <si>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</si>
  <si>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CAA Coldiretti srl</t>
  </si>
  <si>
    <t>NO</t>
  </si>
  <si>
    <t>Nuova Programmazione</t>
  </si>
  <si>
    <t>In Liquidazione</t>
  </si>
  <si>
    <t>Saldo</t>
  </si>
  <si>
    <t>Co-Finanziato</t>
  </si>
  <si>
    <t>Ordinario</t>
  </si>
  <si>
    <t>Misure a Superficie</t>
  </si>
  <si>
    <t>CAA UNICAA srl</t>
  </si>
  <si>
    <t>CAA Confagricoltura srl</t>
  </si>
  <si>
    <t>SI</t>
  </si>
  <si>
    <t>CAA CIA srl</t>
  </si>
  <si>
    <t>CAA AGRISERVIZI s.r.l.</t>
  </si>
  <si>
    <t>CAA-CAF AGRI S.R.L.</t>
  </si>
  <si>
    <t>IN PROPRIO</t>
  </si>
  <si>
    <t>CAA LiberiAgricoltori srl già CAA AGCI srl</t>
  </si>
  <si>
    <t>Anticipo</t>
  </si>
  <si>
    <t>CAA LiberiAgricoltori - MACERATA - 001</t>
  </si>
  <si>
    <t>CAA Liberi Professionisti srl</t>
  </si>
  <si>
    <t>MARCHE</t>
  </si>
  <si>
    <t>SERV. DEC. AGRICOLTURA E ALIM. -ASCOLI PICENO</t>
  </si>
  <si>
    <t>CAA CAF AGRI - ASCOLI PICENO - 222</t>
  </si>
  <si>
    <t>MAZZARELLI SIMONE</t>
  </si>
  <si>
    <t>AGEA.ASR.2021.0587980</t>
  </si>
  <si>
    <t>CAA UNICAA - ASCOLI PICENO - 003</t>
  </si>
  <si>
    <t>PAOLUCCI FRANCESCA</t>
  </si>
  <si>
    <t>AGEA.ASR.2021.0551222</t>
  </si>
  <si>
    <t>SERV. DEC. AGRICOLTURA E ALIMENTAZIONE - ANCONA</t>
  </si>
  <si>
    <t>CAA CAF AGRI - ANCONA - 221</t>
  </si>
  <si>
    <t>RECANATESI ENZO</t>
  </si>
  <si>
    <t>SERV. DEC. AGRICOLTURA E ALIMENTAZIONE - PESARO</t>
  </si>
  <si>
    <t>CAA CIA - PESARO E URBINO - 001</t>
  </si>
  <si>
    <t>RENZI ELSO</t>
  </si>
  <si>
    <t>SERV. DEC. AGRICOLTURA E ALIM. - MACERATA</t>
  </si>
  <si>
    <t>CAA CIA - MACERATA - 001</t>
  </si>
  <si>
    <t>SANTONI MIRELLA</t>
  </si>
  <si>
    <t>SCANDALI TAMARA</t>
  </si>
  <si>
    <t>CAA Coldiretti - MACERATA - 017</t>
  </si>
  <si>
    <t>SOCIETA' AGRICOLA LIBERTI GABRIELE &amp; C. S.S.</t>
  </si>
  <si>
    <t>CAA Coldiretti - PESARO E URBINO - 008</t>
  </si>
  <si>
    <t>SILVESTRINI ISABELLA</t>
  </si>
  <si>
    <t>SOCIETA' AGRICOLA AGRITURISMO IL CASALE SRL UNIPERSONALE</t>
  </si>
  <si>
    <t>SOCIETA' AGRICOLA GUIDI RICCARDO E MATTEO S.S.</t>
  </si>
  <si>
    <t>VAN HILST RENS</t>
  </si>
  <si>
    <t>SCIBE' SOCIETA' AGRICOLA SEMPLICE</t>
  </si>
  <si>
    <t>LANDI ESTER</t>
  </si>
  <si>
    <t>SPADONI FABIOLA</t>
  </si>
  <si>
    <t>CAA Coldiretti - ASCOLI PICENO - 015</t>
  </si>
  <si>
    <t>ABBRUZZETTI CATERINA</t>
  </si>
  <si>
    <t>AGEA.ASR.2021.0583869</t>
  </si>
  <si>
    <t>ALESSANDRINI PASSARINI ALBERTO MARIA</t>
  </si>
  <si>
    <t>APPIGNANESI LEONIDA</t>
  </si>
  <si>
    <t>DELLABIANCIA GIUSEPPE</t>
  </si>
  <si>
    <t>CAA Coldiretti - ANCONA - 008</t>
  </si>
  <si>
    <t>FATTORIA GENS CAMURIA SOCIETA' COOPERATIVA AGRICOLA</t>
  </si>
  <si>
    <t>CONTI FEDERICA</t>
  </si>
  <si>
    <t>FARSETTI FABIO</t>
  </si>
  <si>
    <t>CAA Coldiretti - MACERATA - 002</t>
  </si>
  <si>
    <t>BOLLETTA ALESSANDRO MARIA</t>
  </si>
  <si>
    <t>CAA Coldiretti - MACERATA - 003</t>
  </si>
  <si>
    <t>CARPINETI LEONARDO</t>
  </si>
  <si>
    <t>CONTI FABIO SOCIETA' AGRICOLA S.S.</t>
  </si>
  <si>
    <t>DE MARCHI LUCIANA</t>
  </si>
  <si>
    <t>F.LLI CIAVATTINI SOCIETA' AGRICOLA S.S.</t>
  </si>
  <si>
    <t>CAA UNICAA - ASCOLI PICENO - 004</t>
  </si>
  <si>
    <t>FARANO STEFANO</t>
  </si>
  <si>
    <t>CAA Coldiretti - ASCOLI PICENO - 025</t>
  </si>
  <si>
    <t>VALENTINI VALERIANA</t>
  </si>
  <si>
    <t>CAA CIA - ASCOLI PICENO - 006</t>
  </si>
  <si>
    <t>LEONARDI SAMUELE</t>
  </si>
  <si>
    <t>CAA CIA - ASCOLI PICENO - 001</t>
  </si>
  <si>
    <t>CONCA D'ORO BIO SOCIETA' SEMPLICE AGRICOLA</t>
  </si>
  <si>
    <t>CAA AGRISERVIZI - LATINA - 001</t>
  </si>
  <si>
    <t>LUCIANI LUCA</t>
  </si>
  <si>
    <t>CACCHIARELLI TERESA</t>
  </si>
  <si>
    <t>CAA Coldiretti - ASCOLI PICENO - 010</t>
  </si>
  <si>
    <t>MARINI ANNA MARIA</t>
  </si>
  <si>
    <t>CAA Coldiretti - ANCONA - 003</t>
  </si>
  <si>
    <t>CAROTTI CARLO</t>
  </si>
  <si>
    <t>CASADIO SARA</t>
  </si>
  <si>
    <t>CLINI FABRIZIO</t>
  </si>
  <si>
    <t>DE LUCA MADDALENA</t>
  </si>
  <si>
    <t>DE LUCA RAFFAELE</t>
  </si>
  <si>
    <t>BARCHETTA RITA</t>
  </si>
  <si>
    <t>CAA Coldiretti - ANCONA - 002</t>
  </si>
  <si>
    <t>CANTIANI MAURO</t>
  </si>
  <si>
    <t>CAA Coldiretti - ASCOLI PICENO - 030</t>
  </si>
  <si>
    <t>DI NICOLO' SILVANO</t>
  </si>
  <si>
    <t>FIORETTI FERDINANDO</t>
  </si>
  <si>
    <t>LE CAPANNACCE SOCIETA' AGRICOLA S.S.</t>
  </si>
  <si>
    <t>CAA CIA - ASCOLI PICENO - 004</t>
  </si>
  <si>
    <t>MAOLONI GIUSEPPINA</t>
  </si>
  <si>
    <t>CAA Coldiretti - PESARO E URBINO - 007</t>
  </si>
  <si>
    <t>MARI ARMANDO</t>
  </si>
  <si>
    <t>MAZZARONI ENRICO</t>
  </si>
  <si>
    <t>CAA Coldiretti - ANCONA - 005</t>
  </si>
  <si>
    <t>PIERMARTINI FRANCHINA</t>
  </si>
  <si>
    <t>CAA Coldiretti - ASCOLI PICENO - 040</t>
  </si>
  <si>
    <t>AZIENDA AGRICOLA AGRITURISTICA IERVASCIO' DI GIANNETTI ATTIL</t>
  </si>
  <si>
    <t>CAA Coldiretti - ANCONA - 006</t>
  </si>
  <si>
    <t>CERIONI CRISTINA</t>
  </si>
  <si>
    <t>FELICI STEFANIA</t>
  </si>
  <si>
    <t>MADONINI VALERIA MARIA ALESSANDRA</t>
  </si>
  <si>
    <t>CAA Confagricoltura - ASCOLI PICENO - 001</t>
  </si>
  <si>
    <t>AGRIPOMPEI SOC. AGRICOLA S.S.</t>
  </si>
  <si>
    <t>AGEA.ASR.2021.0587964</t>
  </si>
  <si>
    <t>ZANETTE ANDREA</t>
  </si>
  <si>
    <t>LATTANZI GIUSEPPINA</t>
  </si>
  <si>
    <t>CAPRIOTTI CLAUDIO</t>
  </si>
  <si>
    <t>CAA Coldiretti - FERMO - 001</t>
  </si>
  <si>
    <t>GEMINIANI GIUSI</t>
  </si>
  <si>
    <t>FRATONI SABRINA</t>
  </si>
  <si>
    <t>CAA CAF AGRI - ASCOLI PICENO - 221</t>
  </si>
  <si>
    <t>SOCIETA' AGRICOLA ANTOGNOZZI MASSIMO &amp; LUCA S.S.</t>
  </si>
  <si>
    <t>LANCIOTTI AGOSTINO</t>
  </si>
  <si>
    <t>AZIENDA AGRICOLA MORESCHINI DI MORESCHINI PATRIZIO E PIERLUIGI SO CIET</t>
  </si>
  <si>
    <t>SI BIO DI PREMICI SILVIA E ALEANDRI VINCENZO SOCIETA' SEMPLICE AGRICOL</t>
  </si>
  <si>
    <t>AGRITARBIO SOCIETA' AGRICOLA SEMPLICE</t>
  </si>
  <si>
    <t>CAUCCI FRANCO</t>
  </si>
  <si>
    <t>LODDO LEONARDO</t>
  </si>
  <si>
    <t>CAA CIA - ASCOLI PICENO - 005</t>
  </si>
  <si>
    <t>SENZACQUA GIACOMO</t>
  </si>
  <si>
    <t>MARINANGELI MARIANNA</t>
  </si>
  <si>
    <t>CAA Coldiretti - ANCONA - 004</t>
  </si>
  <si>
    <t>ONGARO ALBERTA</t>
  </si>
  <si>
    <t>CAA CIA - PESARO E URBINO - 003</t>
  </si>
  <si>
    <t>OTTALEVI ALARICO</t>
  </si>
  <si>
    <t>PANICCIA' GIANCARLO</t>
  </si>
  <si>
    <t>PEZZALI GLORIA GIUSEPPINA IDA</t>
  </si>
  <si>
    <t>RASTELLETTI DANIELA</t>
  </si>
  <si>
    <t>SCHIAVI LORENZO</t>
  </si>
  <si>
    <t>SOCIETA' AGRICOLA E FORESTALE SAN MARCELLO S.S.</t>
  </si>
  <si>
    <t>SPONZA SILVIA</t>
  </si>
  <si>
    <t>ZONGHETTI LORETTA</t>
  </si>
  <si>
    <t>CAA CIA - PESARO E URBINO - 008</t>
  </si>
  <si>
    <t>TONI TIZIANA</t>
  </si>
  <si>
    <t>CAA CIA - PESARO E URBINO - 007</t>
  </si>
  <si>
    <t>SCOTTI MADDALENA</t>
  </si>
  <si>
    <t>CAA Coldiretti - MACERATA - 009</t>
  </si>
  <si>
    <t>SOCIETA' AGRICOLA LE SODERE DI MOSCATELLI SEBASTIANO E ARPINI AMALIA S</t>
  </si>
  <si>
    <t>SOCIETA' AGRICOLA MARINI GIOVANNI E FARES IRMA SOCIETA SEMPLICE</t>
  </si>
  <si>
    <t>TRAINI GRAZIELLA</t>
  </si>
  <si>
    <t>SGARIGLIA DAVIDE</t>
  </si>
  <si>
    <t>UNCINI GIANLUIGI</t>
  </si>
  <si>
    <t>CAA Coldiretti - PESARO E URBINO - 013</t>
  </si>
  <si>
    <t>BOCCAROSSA ROSANA</t>
  </si>
  <si>
    <t>BORDONI CRISTIAN</t>
  </si>
  <si>
    <t>CAA Coldiretti - MACERATA - 007</t>
  </si>
  <si>
    <t>MORLUPI MARIO</t>
  </si>
  <si>
    <t>CAA LiberiAgricoltori - PESARO E URBINO - 002</t>
  </si>
  <si>
    <t>SOCIETA' AGRICOLA TTERRA DEL VENTO &amp; C.SAS DI SCATASSA DAVIDE</t>
  </si>
  <si>
    <t>FERRI WILLIAM</t>
  </si>
  <si>
    <t>CALVANI LAURA</t>
  </si>
  <si>
    <t>FARABOLLINI FABIO</t>
  </si>
  <si>
    <t>CAA CIA - PESARO E URBINO - 005</t>
  </si>
  <si>
    <t>KINDT MARCO</t>
  </si>
  <si>
    <t>SCHIAVONI FRANCESCA</t>
  </si>
  <si>
    <t>FERRATO MICHELE</t>
  </si>
  <si>
    <t>GAGGINI ANTONELLA</t>
  </si>
  <si>
    <t>SOCIETA' AGRICOLA ALLA SOLAGNA S.S.</t>
  </si>
  <si>
    <t>GIULIODORI SANDRO</t>
  </si>
  <si>
    <t>MOSCHINI MELANIA</t>
  </si>
  <si>
    <t>FERRETTI LAURA</t>
  </si>
  <si>
    <t>AGEA.ASR.2021.0280466</t>
  </si>
  <si>
    <t>BRUNORI GIUSEPPE</t>
  </si>
  <si>
    <t>ARCANGELI FABIOLA</t>
  </si>
  <si>
    <t>CAA Coldiretti - PESARO E URBINO - 010</t>
  </si>
  <si>
    <t>DONATI CLAUDIA</t>
  </si>
  <si>
    <t>COLLINA GIUSEPPINA</t>
  </si>
  <si>
    <t>COSSIGNANI GIONE</t>
  </si>
  <si>
    <t>CAA CIA - PESARO E URBINO - 002</t>
  </si>
  <si>
    <t>MAGI MARISA</t>
  </si>
  <si>
    <t>CAA Liberi Prof.- PESARO E URBINO - 001</t>
  </si>
  <si>
    <t>MORELLI CESARE</t>
  </si>
  <si>
    <t>NUNZI MARIA ROSA</t>
  </si>
  <si>
    <t>PASCUCCI FELICIA</t>
  </si>
  <si>
    <t>TIZI ADORNO</t>
  </si>
  <si>
    <t>VAGNONI LILIANA</t>
  </si>
  <si>
    <t>SOCIETA' AGRICOLA CIU' CIU' DI BARTOLOMEI MASSIMILIANO E BARTOLOMEI WA</t>
  </si>
  <si>
    <t>AGRIFILBIO SOCIETA' AGRICOLA SEMPLICE</t>
  </si>
  <si>
    <t>ANTONELLI FERDINANDO</t>
  </si>
  <si>
    <t>MERCURI MICHELA</t>
  </si>
  <si>
    <t>SOCIETA' AGRICOLA LE MOLINETTE DI BALDUCCI GESSICA &amp; C. S.A.S.</t>
  </si>
  <si>
    <t>SOCIETA' AGRICOLA SAN PELLEGRINO S.S.</t>
  </si>
  <si>
    <t>VENTURA EZIO</t>
  </si>
  <si>
    <t>ASCANI LORELLA</t>
  </si>
  <si>
    <t>MECOZZI GIOVAMBATTISTA</t>
  </si>
  <si>
    <t>CAA Coldiretti - MACERATA - 018</t>
  </si>
  <si>
    <t>CINGOLANI STEFANIA</t>
  </si>
  <si>
    <t>BARRA ANTONIA</t>
  </si>
  <si>
    <t>PARISI ELENA</t>
  </si>
  <si>
    <t>PRINCIPI PAOLO</t>
  </si>
  <si>
    <t>BARTOLACCI SONIA</t>
  </si>
  <si>
    <t>SOCIETA' AGRICOLA M.E.C.A.G.A.P. DI CIPPITELLI GIULIA E C. SAS</t>
  </si>
  <si>
    <t>BIANCUCCI SIROLI LUCREZIA</t>
  </si>
  <si>
    <t>CONTI ORNELLA</t>
  </si>
  <si>
    <t>CAA Coldiretti - PESARO E URBINO - 006</t>
  </si>
  <si>
    <t>PRINCIPI TIZIANA</t>
  </si>
  <si>
    <t>FIORONI MAURO</t>
  </si>
  <si>
    <t>AURORA DI GABRIELLI-SPACCASASSI-PIGNATI-PUGLIESE-CIOMMI SOC.SEMPL.AGRI</t>
  </si>
  <si>
    <t>CROGNALETTI NATALINO</t>
  </si>
  <si>
    <t>BURATTI ILARIA</t>
  </si>
  <si>
    <t>CAA CAF AGRI - FERMO - 221</t>
  </si>
  <si>
    <t>FABBRI CANDIDA</t>
  </si>
  <si>
    <t>GALEOTTI EMANUELA</t>
  </si>
  <si>
    <t>CAA LiberiAgricoltori - MACERATA - 003</t>
  </si>
  <si>
    <t>SOCIETA AGRICOLA RE DOMENICO E C SS</t>
  </si>
  <si>
    <t>HEEMAN NANJA LISENKA</t>
  </si>
  <si>
    <t>MARRI MIRELLA</t>
  </si>
  <si>
    <t>MARCONI KATIA</t>
  </si>
  <si>
    <t>MONACCHI MARA</t>
  </si>
  <si>
    <t>MAZZANTI GIORGIO</t>
  </si>
  <si>
    <t>AGEA.ASR.2021.0280318</t>
  </si>
  <si>
    <t>L'OASI DI PIERINO DI ANTOLINI FRANCESCO E C. S.S.</t>
  </si>
  <si>
    <t>SOCIETA' AGRICOLA COLLINA DI IPPOLITI LORENZO E VALERIO S.S.</t>
  </si>
  <si>
    <t>FERRI BARCHETTA SOCIETA' SEMPLICE</t>
  </si>
  <si>
    <t>LANZILLOTTI PALMA</t>
  </si>
  <si>
    <t>SOCIETA' AGRICOLA E AGRITURISMO PONTE DEGLI SCHIAVI DI TABARRETTI FRAN</t>
  </si>
  <si>
    <t>GIACINTI GIULIANA</t>
  </si>
  <si>
    <t>POCOGNOLI REMIGIO</t>
  </si>
  <si>
    <t>AGEA.ASR.2021.0588979</t>
  </si>
  <si>
    <t>FERRETTI ARCANGELO</t>
  </si>
  <si>
    <t>CAA Confagricoltura - MACERATA - 001</t>
  </si>
  <si>
    <t>SOC.AGRICOLA IL BOSCHETTO E C. SNC</t>
  </si>
  <si>
    <t>RICCI DAVID</t>
  </si>
  <si>
    <t>MICCIO DIEGO</t>
  </si>
  <si>
    <t>AGEA.ASR.2021.0585884</t>
  </si>
  <si>
    <t>CIANCONI LAURA</t>
  </si>
  <si>
    <t>DASHI DHURATA</t>
  </si>
  <si>
    <t>PEDICA MARIA TERESA</t>
  </si>
  <si>
    <t>COFANI ROMUALDO</t>
  </si>
  <si>
    <t>ARPINI MIRKO</t>
  </si>
  <si>
    <t>VESCOVI GIUSEPPE</t>
  </si>
  <si>
    <t>AGRIFOREST DI CORRADINI NARCISO E F.LLI SNC</t>
  </si>
  <si>
    <t>CESCHI ROSA</t>
  </si>
  <si>
    <t>CAPECCI FLORIANA</t>
  </si>
  <si>
    <t>GAMBINI PAOLO</t>
  </si>
  <si>
    <t>LILLA SIMONE</t>
  </si>
  <si>
    <t>STROPPA CAMILLA</t>
  </si>
  <si>
    <t>AGEA.ASR.2021.0585868</t>
  </si>
  <si>
    <t>CAA Confagricoltura - ANCONA - 001</t>
  </si>
  <si>
    <t>SOCIETA' AGRICOLA TERRE VERDI DI ZINGARETTI E SOCI S.S.</t>
  </si>
  <si>
    <t>BETTI DAVID</t>
  </si>
  <si>
    <t>CAA CIA - ANCONA - 002</t>
  </si>
  <si>
    <t>MARCONI MAURIZIO</t>
  </si>
  <si>
    <t>MARCONI MICHELE</t>
  </si>
  <si>
    <t>BARTOCCETTI ALESSIO</t>
  </si>
  <si>
    <t>CRISTALLI CANDIDA</t>
  </si>
  <si>
    <t>GUIDARELLI PIERO</t>
  </si>
  <si>
    <t>CAA CIA - ANCONA - 005</t>
  </si>
  <si>
    <t>AZIENDA AGRICOLA SABATINO S.N.C. DI PAOLETTI E VITALETTI &amp; C.</t>
  </si>
  <si>
    <t>TASSI UMBERTO</t>
  </si>
  <si>
    <t>CAA Confagricoltura - PESARO E URBINO - 001</t>
  </si>
  <si>
    <t>EREDI GAUDENZI GIORGIO SOCIETA' AGRICOLA BIOLOGICA S.S.</t>
  </si>
  <si>
    <t>SERVIZI CONSUELO</t>
  </si>
  <si>
    <t>FABBRI NICOLA</t>
  </si>
  <si>
    <t>CAA Coldiretti - ANCONA - 001</t>
  </si>
  <si>
    <t>MARINI PAOLO</t>
  </si>
  <si>
    <t>SOCIETA' AGRICOLA GIOIA S.S.</t>
  </si>
  <si>
    <t>AMICI ROSELLA</t>
  </si>
  <si>
    <t>ZAMPARINI ITALO</t>
  </si>
  <si>
    <t>CAA CAF AGRI - ANCONA - 225</t>
  </si>
  <si>
    <t>DE SANTIS SUSANNA</t>
  </si>
  <si>
    <t>SILENZI VITO</t>
  </si>
  <si>
    <t>GAROFOLI DAVIDE</t>
  </si>
  <si>
    <t>CRUCIANI LAURA</t>
  </si>
  <si>
    <t>BIDUCCI ANDREA</t>
  </si>
  <si>
    <t>BURZICHELLI MAURIZIO</t>
  </si>
  <si>
    <t>ROSSINI PIETRO</t>
  </si>
  <si>
    <t>GHITARRINI LAMBERTO</t>
  </si>
  <si>
    <t>JORGENSEN SARAH</t>
  </si>
  <si>
    <t>CAA CAF AGRI - FERMO - 222</t>
  </si>
  <si>
    <t>VAGNARELLI MASSIMO</t>
  </si>
  <si>
    <t>SOCIETA' AGRICOLA CASTELROSINO DI PREMARINI E CANTALUPO SOCIETA' SEMPL</t>
  </si>
  <si>
    <t>CARZEDDA DIEGO</t>
  </si>
  <si>
    <t>PARRI ARNALDO</t>
  </si>
  <si>
    <t>FALCONE REALE SOCIETA' AGRICOLA S.R.L.</t>
  </si>
  <si>
    <t>CARZEDDA GIAN MARIA</t>
  </si>
  <si>
    <t>AGRICOM SRL IN LIQUIDAZIONE</t>
  </si>
  <si>
    <t>BARTOCCETTI FLAVIO</t>
  </si>
  <si>
    <t>MATTEI LIVIANA</t>
  </si>
  <si>
    <t>SOCIETA' AGRICOLA LA VITA BELLA S.S.</t>
  </si>
  <si>
    <t>GABRIELLI LORENZO</t>
  </si>
  <si>
    <t>MELETANI FRANCO</t>
  </si>
  <si>
    <t>SPARAPANI MALVINA</t>
  </si>
  <si>
    <t>AZIENDA AGRICOLA ROMAGNOLI RENATO E C. SOC. SEMPLICE AGRICOLA</t>
  </si>
  <si>
    <t>CAA LiberiAgricoltori - PESARO E URBINO - 001</t>
  </si>
  <si>
    <t>TENUTE DEL MONTEFELTRO SOCIETA' AGRICOLA S.S.</t>
  </si>
  <si>
    <t>CAA Coldiretti - PESARO E URBINO - 001</t>
  </si>
  <si>
    <t>STORTINI DAVIDE</t>
  </si>
  <si>
    <t>IACCHINI STEFANO</t>
  </si>
  <si>
    <t>PALAZZETTI FABRIZIO</t>
  </si>
  <si>
    <t>UGOLINI CLAUDIO</t>
  </si>
  <si>
    <t>SOC.AGR.AGRISUN S.S.SCROCCHI STE</t>
  </si>
  <si>
    <t>SABBATINI ROSSETTI LUCA</t>
  </si>
  <si>
    <t>LOV SOCIETA' AGRICOLA - SOCIETA' A RESPONSABILITA' LIMITATA</t>
  </si>
  <si>
    <t>TENUTE PIERALISI SOCIETA' A RESPONSABILITA' LIMITATA SOCIETA' AGR ICOL</t>
  </si>
  <si>
    <t>SOCIETA' AGRICOLA - ALESSANDRI ANGELO E GIUSEPPE SOC. SEMPLICE</t>
  </si>
  <si>
    <t>PILATO SOCIETA' AGRICOLA S.R.L. A CAPITALE RIDOTTO</t>
  </si>
  <si>
    <t>CASOLI FRANCESCO</t>
  </si>
  <si>
    <t>CASELLA CLAUDIO</t>
  </si>
  <si>
    <t>CAA LiberiAgricoltori - MACERATA - 002</t>
  </si>
  <si>
    <t>SBAFFI FRANCESCO</t>
  </si>
  <si>
    <t>CENCIONI PIETRO</t>
  </si>
  <si>
    <t>FRATELLI COZZI S.N.C. DI COZZI ALBERTO E GIOVANNI</t>
  </si>
  <si>
    <t>MICHELETTI MAURO</t>
  </si>
  <si>
    <t>PALLUCCA MAURO</t>
  </si>
  <si>
    <t>BERNARDI MANUEL</t>
  </si>
  <si>
    <t>COPPONI FABRIZIO</t>
  </si>
  <si>
    <t>COPPONI NEVIO</t>
  </si>
  <si>
    <t>CORSO SEBASTIANO</t>
  </si>
  <si>
    <t>DELL'UOMO ALBERTO</t>
  </si>
  <si>
    <t>DI PUOTI ANGELINA</t>
  </si>
  <si>
    <t>DOLCI GABRIELLA</t>
  </si>
  <si>
    <t>ALBANESI CARLO</t>
  </si>
  <si>
    <t>ARRAGONI CRISTIANO E PIERPAOLO SOCIETA' AGRICOLA SEMPLICE</t>
  </si>
  <si>
    <t>SOCIETA' AGRICOLA SAN CASSIANO DA FABRIANO DI CORVATTA E C. SOCIETA' S</t>
  </si>
  <si>
    <t>FIUMI SERMATTEI CHIARA</t>
  </si>
  <si>
    <t>PRATI SIMONETTA</t>
  </si>
  <si>
    <t>GAROFOLI MASSIMO</t>
  </si>
  <si>
    <t>GENTILI LUIGI</t>
  </si>
  <si>
    <t>SCIAMANNA FRANCO</t>
  </si>
  <si>
    <t>CRISTALLI TOMMASO JUNIOR</t>
  </si>
  <si>
    <t>MILIANI MAGDA</t>
  </si>
  <si>
    <t>MULATTIERI MELISSA</t>
  </si>
  <si>
    <t>RUGGERI MIKI</t>
  </si>
  <si>
    <t>SOCIETA' COOPERATIVA AGRICOLA AGRITEMP</t>
  </si>
  <si>
    <t>ZAMPETTI PRIMO</t>
  </si>
  <si>
    <t>ALBERTI RENATO</t>
  </si>
  <si>
    <t>SBAFFI SANDRO</t>
  </si>
  <si>
    <t>VENNARUCCI DOMENICO</t>
  </si>
  <si>
    <t>AGEA.ASR.2021.0589996</t>
  </si>
  <si>
    <t>CAA CAF AGRI - PESARO E URBINO - 221</t>
  </si>
  <si>
    <t>SPADONI GABRIELE</t>
  </si>
  <si>
    <t>CAA CIA - RIMINI - 006</t>
  </si>
  <si>
    <t>SANCHI ELISA</t>
  </si>
  <si>
    <t>SCARDACCHI MIRKO</t>
  </si>
  <si>
    <t>BRINCIVALLI GINO</t>
  </si>
  <si>
    <t>F.LLI CECCARINI SNC</t>
  </si>
  <si>
    <t>TIBERI FRANCO</t>
  </si>
  <si>
    <t>MARTINI MASSIMO</t>
  </si>
  <si>
    <t>SOCIETA' AGRICOLA NONNO CIRO S.S.</t>
  </si>
  <si>
    <t>CAA Coldiretti - PESARO E URBINO - 004</t>
  </si>
  <si>
    <t>MAGNANI LUCIANO</t>
  </si>
  <si>
    <t>CIACCI CRISTIAN</t>
  </si>
  <si>
    <t>PALAZZINI VALTER</t>
  </si>
  <si>
    <t>UGOLINI PAOLO</t>
  </si>
  <si>
    <t>GRAMOLINI GIANCARLO</t>
  </si>
  <si>
    <t>SANTINI GRAZIANO</t>
  </si>
  <si>
    <t>SOCIETA' AGRICOLA IL PODERE DELLA LUPA DI BARTOLINI PAOLA &amp; C. S.S.</t>
  </si>
  <si>
    <t>CAA Coldiretti - RIMINI - 002</t>
  </si>
  <si>
    <t>GIANNINI DENNIS</t>
  </si>
  <si>
    <t>CANCELLIERI SIMONE</t>
  </si>
  <si>
    <t>CAPOZZOLO SILVIA</t>
  </si>
  <si>
    <t>GRASSI PIETRO</t>
  </si>
  <si>
    <t>CAA Coldiretti - PERUGIA - 005</t>
  </si>
  <si>
    <t>PARLANI FABRIZIO</t>
  </si>
  <si>
    <t>SALVATORI EZIO</t>
  </si>
  <si>
    <t>SOCIETA' AGRICOLA ILARI LUIGI S.S.</t>
  </si>
  <si>
    <t>BARTOLOMEI MARCO</t>
  </si>
  <si>
    <t>GIAMBARTOLOMEI GIANNINO</t>
  </si>
  <si>
    <t>NOBERINI BERNARDO</t>
  </si>
  <si>
    <t>PAGLIARI GABRIELE</t>
  </si>
  <si>
    <t>SOCIETA' AGRICOLA NOBILINI SOCIETA' SEMPLICE</t>
  </si>
  <si>
    <t>SOCIETA' AGRICOLA BENEDETTI MASSIMO E NAZZARENO SS</t>
  </si>
  <si>
    <t>AGEA.ASR.2021.0585960</t>
  </si>
  <si>
    <t>PETROLATI SANTE</t>
  </si>
  <si>
    <t>AZIENDA AGRICOLA AGOSTINI DI AGOSTINI MATTEO &amp; C. S.N.C.</t>
  </si>
  <si>
    <t>AZIENDA DEL CARMINE SOCIETA' SEMPLICE</t>
  </si>
  <si>
    <t>CAA CAF AGRI - ANCONA - 226</t>
  </si>
  <si>
    <t>BENIGNI FRANCESCO</t>
  </si>
  <si>
    <t>BETTARELLI ANNA</t>
  </si>
  <si>
    <t>CAA CAF AGRI - ANCONA - 224</t>
  </si>
  <si>
    <t>BORA FRANCESCO</t>
  </si>
  <si>
    <t>BORTOLUZZI GIACOMO</t>
  </si>
  <si>
    <t>CADABO' SOCIETA' SEMPLICE AGRICOLA DI BUSCHI MATTEO E LANDI ROSSANO</t>
  </si>
  <si>
    <t>BATTAGLIA GIOVANNI</t>
  </si>
  <si>
    <t>BRAVI PAOLA</t>
  </si>
  <si>
    <t>BEFANUCCI EMANUELE</t>
  </si>
  <si>
    <t>CARBONI DONNINO</t>
  </si>
  <si>
    <t>AZIENDA AGRICOLA FRATELLI POLITI SOCIETA' SEMPLICE</t>
  </si>
  <si>
    <t>EREDI DI PROCICCHIANI GENEROSO SOCIETA' AGRICOLA S.S.</t>
  </si>
  <si>
    <t>FIORANI GIANFRANCO</t>
  </si>
  <si>
    <t>COOPERATIVA AGRICOLA LA PANTANA SOC.COOP A.R.L</t>
  </si>
  <si>
    <t>GRESTA FIORENZO</t>
  </si>
  <si>
    <t>ISTITUTO DI ISTRUZIONE SUPERIORE MOREA VIVARELLI</t>
  </si>
  <si>
    <t>CAA UNICAA - ANCONA - 003</t>
  </si>
  <si>
    <t>ANGELINI ANDREA</t>
  </si>
  <si>
    <t>LOCCIONI RENATO</t>
  </si>
  <si>
    <t>MANIERI DAVIDE</t>
  </si>
  <si>
    <t>MANSOUR NURI MARIANO</t>
  </si>
  <si>
    <t>MARCHESINI MONIA</t>
  </si>
  <si>
    <t>MONTALBINI MARINO</t>
  </si>
  <si>
    <t>MORETTI SIMONETTA</t>
  </si>
  <si>
    <t>SOCCI ANDREA</t>
  </si>
  <si>
    <t>SOCIETA' AGRICOLA SANDRONI S.S.</t>
  </si>
  <si>
    <t>TADDEI FAUSTO</t>
  </si>
  <si>
    <t>TARTARI LUCIANO</t>
  </si>
  <si>
    <t>TONTI GIORGIO</t>
  </si>
  <si>
    <t>CAA Coldiretti - MACERATA - 008</t>
  </si>
  <si>
    <t>ANIBALDI CINZIA</t>
  </si>
  <si>
    <t>CAPONE VINCENZINO</t>
  </si>
  <si>
    <t>AMICI BENEDETTO</t>
  </si>
  <si>
    <t>ROSSETTI PRIMO</t>
  </si>
  <si>
    <t>SCACCIA GIULIANA</t>
  </si>
  <si>
    <t>SOCIETA' AGRICOLA ANGELI SOCIETA' SEMPLICE</t>
  </si>
  <si>
    <t>GIARDINI MARIA</t>
  </si>
  <si>
    <t>ANGELONI GIUSEPPE</t>
  </si>
  <si>
    <t>BOSSI BRUNO</t>
  </si>
  <si>
    <t>GUIDI ALFREDO</t>
  </si>
  <si>
    <t>BETTI ADELELMO</t>
  </si>
  <si>
    <t>PUGNALI DOMENICO</t>
  </si>
  <si>
    <t>CERTELLI DINO</t>
  </si>
  <si>
    <t>ANGELONI EMANUELE</t>
  </si>
  <si>
    <t>BENEDETTI MARIA-RITA</t>
  </si>
  <si>
    <t>GIANNINI ALFREDO</t>
  </si>
  <si>
    <t>SOCIETA' AGRICOLA LAI SS</t>
  </si>
  <si>
    <t>FEDELI GIOVANNI</t>
  </si>
  <si>
    <t>CARSETTI ROLANDO</t>
  </si>
  <si>
    <t>BUSBANI PAOLO</t>
  </si>
  <si>
    <t>FARNETI LUIGI</t>
  </si>
  <si>
    <t>DE ANGELIS PIETRO</t>
  </si>
  <si>
    <t>CHIAPPINI CARLOS PATRICIO</t>
  </si>
  <si>
    <t>VALENTINI LUCIANO</t>
  </si>
  <si>
    <t>SOCIETA' AGRICOLA EREDI PANDOLFI DOMENICO S.S.</t>
  </si>
  <si>
    <t>RUGGERI ROSSELLA</t>
  </si>
  <si>
    <t>SOCIETA' AGRICOLA LA STAFFA DI BALDI RICCARDO E C. S.S.</t>
  </si>
  <si>
    <t>FERRARESI ADAMO</t>
  </si>
  <si>
    <t>NONNIS ROSSELLA</t>
  </si>
  <si>
    <t>BIDUCCI ALFIO</t>
  </si>
  <si>
    <t>DEL NEVO MICHELE</t>
  </si>
  <si>
    <t>FIORI NEDIA</t>
  </si>
  <si>
    <t>ROSSI ALESSANDRO</t>
  </si>
  <si>
    <t>STORONI GIUSEPPE</t>
  </si>
  <si>
    <t>CAA CIA - PESARO E URBINO - 006</t>
  </si>
  <si>
    <t>SOCIETA' AGRICOLA BRUSCIA S.S</t>
  </si>
  <si>
    <t>SEVERINI GIAMPAOLO</t>
  </si>
  <si>
    <t>VERGARI GIOVANNI PAOLO</t>
  </si>
  <si>
    <t>SOCIETA' AGRICOLA SORO GIOVANNI MARIA E SALVATORE S.S.</t>
  </si>
  <si>
    <t>DINI GIULIANO</t>
  </si>
  <si>
    <t>ROSSI FRANCO</t>
  </si>
  <si>
    <t>ROSSI WALTER</t>
  </si>
  <si>
    <t>ERCOLANI ERGEO</t>
  </si>
  <si>
    <t>VANNI CARLO</t>
  </si>
  <si>
    <t>APPOLLONI ISOLINA</t>
  </si>
  <si>
    <t>CESARETTI MARIA IDA</t>
  </si>
  <si>
    <t>JANSTA SVATOPLUK</t>
  </si>
  <si>
    <t>LAZZARINI ROSANNA</t>
  </si>
  <si>
    <t>MARIANI MICHELE</t>
  </si>
  <si>
    <t>NANNI UGO</t>
  </si>
  <si>
    <t>CAA Coldiretti - RIMINI - 005</t>
  </si>
  <si>
    <t>POMPEI DONATELLA</t>
  </si>
  <si>
    <t>MERCATELLI MARIA LUISA</t>
  </si>
  <si>
    <t>GRACIOTTI LUCIO</t>
  </si>
  <si>
    <t>CARBELLOTTI PIERLUIGI</t>
  </si>
  <si>
    <t>SOCIETA' AGRICOLA LA FINESTRELLA DI CUCCULELLI MARINA E C. S.S.</t>
  </si>
  <si>
    <t>CHIENNA LORENZO E CHIENNA RENATO SOC. SEMPLICE</t>
  </si>
  <si>
    <t>MAZZOCCHI DANIELE</t>
  </si>
  <si>
    <t>POMPA DONATELLA</t>
  </si>
  <si>
    <t>D'UBALDO ELIA</t>
  </si>
  <si>
    <t>VANNUCCI MIRELLA</t>
  </si>
  <si>
    <t>EVANGELISTI SILVANA</t>
  </si>
  <si>
    <t>CATENA MILVA</t>
  </si>
  <si>
    <t>COSTANTINI OMAR</t>
  </si>
  <si>
    <t>CECCHINI FRANCO</t>
  </si>
  <si>
    <t>GIUSTI VENERINO</t>
  </si>
  <si>
    <t>PAGANELLI UMBERTO</t>
  </si>
  <si>
    <t>POLIDORI ANTONELLA</t>
  </si>
  <si>
    <t>TROMBONI SAURO</t>
  </si>
  <si>
    <t>SOCIETA' AGRICOLA LAZZARINI S.S.</t>
  </si>
  <si>
    <t>GARGAMELLI CARLA</t>
  </si>
  <si>
    <t>GAROSI MANUELA</t>
  </si>
  <si>
    <t>AIA VECCHIA SOCIETA' AGRICOLA S.S. DI MANDRELLI CHIARA &amp; C.</t>
  </si>
  <si>
    <t>BEBI EMILIO</t>
  </si>
  <si>
    <t>FULVI ERMANNO</t>
  </si>
  <si>
    <t>SOC.AGR. F.LLI SANTI S.S.</t>
  </si>
  <si>
    <t>STORONI CESARE</t>
  </si>
  <si>
    <t>SUIGI MARCO</t>
  </si>
  <si>
    <t>CHESSA GIOVANNI</t>
  </si>
  <si>
    <t>GAMBINI MARINO</t>
  </si>
  <si>
    <t>AZ. AGR. CASTELVECCHIO DI MAGNONI GIOVANNI E C. SOC. SEMPLIC</t>
  </si>
  <si>
    <t>PICCHI GILBERTO</t>
  </si>
  <si>
    <t>BONIFAZI MAURILIA</t>
  </si>
  <si>
    <t>ZACCAGNINI ROSELLA</t>
  </si>
  <si>
    <t>CATANI DOMENICO</t>
  </si>
  <si>
    <t>AZ. AGR. CIANDRINI BENITO &amp; C. SOCIETA' SEMPLICE</t>
  </si>
  <si>
    <t>CA' LE SUORE S.A.R.L.</t>
  </si>
  <si>
    <t>CIAPPELLONI ASSUNTA</t>
  </si>
  <si>
    <t>CARONI FEDERICO</t>
  </si>
  <si>
    <t>GARGAMELLI ROBERTO &amp; C. S.N.C.</t>
  </si>
  <si>
    <t>CECCARELLI GIULIANO</t>
  </si>
  <si>
    <t>CORRIERI TIZIANO</t>
  </si>
  <si>
    <t>BRANCHINI EZIO E ORAZIO S.S.</t>
  </si>
  <si>
    <t>PAGNANELLI MAURIZIO</t>
  </si>
  <si>
    <t>SOC.AGR.SANTA COLOMBA DEI F.LLI DEZI PIERO,MORENO E C.S.S.</t>
  </si>
  <si>
    <t>TAGNANI DANIELE</t>
  </si>
  <si>
    <t>CAA CIA - ANCONA - 001</t>
  </si>
  <si>
    <t>DOPPIERI CRISTIANA</t>
  </si>
  <si>
    <t>FATTORINI PAOLA</t>
  </si>
  <si>
    <t>CAA CIA - ANCONA - 004</t>
  </si>
  <si>
    <t>SANTARELLI ROBERTA</t>
  </si>
  <si>
    <t>CAA LiberiAgricoltori - MACERATA - 005</t>
  </si>
  <si>
    <t>LAPPONI BARBARA</t>
  </si>
  <si>
    <t>TESTATONDA EMANUELE</t>
  </si>
  <si>
    <t>SOCIETA' AGRICOLA EREDI CESARONI SRL</t>
  </si>
  <si>
    <t>VICARI SOCIETA' SEMPLICE AGRICOLA DI VICARI NAZZARENO, VICO E VALENTIN</t>
  </si>
  <si>
    <t>IL SALICE FIORITO DI PAOLA E FRANCESCO SOCIETA' AGRICOLA S. S.</t>
  </si>
  <si>
    <t>AZIENDA AGRICOLA ROVEGLIANO SOCIETA' SEMPLICE AGRICOLA DI MARASCA LUCA</t>
  </si>
  <si>
    <t>BARTOLUCCI MARCELLINO</t>
  </si>
  <si>
    <t>BIANCHELLA MARCELLO</t>
  </si>
  <si>
    <t>BRANDONI ALESSIO</t>
  </si>
  <si>
    <t>CALDARIGI NICOLAS</t>
  </si>
  <si>
    <t>CIRIACHI ALESSANDRA</t>
  </si>
  <si>
    <t>FOCANTI DINO</t>
  </si>
  <si>
    <t>BUCARI GIANCARLO</t>
  </si>
  <si>
    <t>CAPPELLI ANNA</t>
  </si>
  <si>
    <t>SALVI GIOVANNI</t>
  </si>
  <si>
    <t>CANDELARESI CARLO</t>
  </si>
  <si>
    <t>FATTORIA LUCESOLE S.N.C. DI MANINI MASSIMILIANO E MAURO SOCIETA' AGRIC</t>
  </si>
  <si>
    <t>FEDERICI BERNARDO</t>
  </si>
  <si>
    <t>GRESTA SILENO</t>
  </si>
  <si>
    <t>FIORETTI ALBERTO</t>
  </si>
  <si>
    <t>FRULLA MARCELLO</t>
  </si>
  <si>
    <t>ORLANDI SILVIA</t>
  </si>
  <si>
    <t>PIERANTONELLI OTTORINA</t>
  </si>
  <si>
    <t>SOCIETA' AGRICOLA LE CANTINE DEL CARDINALE DI CARDINALI GISELLE E C. S</t>
  </si>
  <si>
    <t>PIRANI ELISABETTA</t>
  </si>
  <si>
    <t>ROSSI FOSCO MARIA</t>
  </si>
  <si>
    <t>SALTARELLI ROBERTO</t>
  </si>
  <si>
    <t>PALAZZETTI GIOVANNA</t>
  </si>
  <si>
    <t>SOCIETA' AGRICOLA LA COLLINA DEI CAVALIERI DI ROCCHI LUANA &amp; C. S OCIE</t>
  </si>
  <si>
    <t>TOTTI MARCO</t>
  </si>
  <si>
    <t>SOCIETA' AGRICOLA FILENI SRL</t>
  </si>
  <si>
    <t>COLA GIANNI</t>
  </si>
  <si>
    <t>FERRANTI MARIA</t>
  </si>
  <si>
    <t>FERRARI CRISTIANA PATRIZIA</t>
  </si>
  <si>
    <t>GENTILI SANTA</t>
  </si>
  <si>
    <t>SOCIETA AGRICOLA FORESTERIA S.OLIVIERO S.S.</t>
  </si>
  <si>
    <t>SOCIETA' AGRICOLA GENTILESCHI ANDREA E CONTIGIANI CINZIA S.S</t>
  </si>
  <si>
    <t>SOCIETA' AGRICOLA ZEPPILLO BENITO E MICARELLI ANNA MARIA EREDI SOCIETA</t>
  </si>
  <si>
    <t>TOZZI MARINO</t>
  </si>
  <si>
    <t>ARRAGONI GIUSEPPE</t>
  </si>
  <si>
    <t>CERTELLI GABRIELLA</t>
  </si>
  <si>
    <t>CORSO NELLO</t>
  </si>
  <si>
    <t>ANGELUCCI ROBERTO</t>
  </si>
  <si>
    <t>SEVERINI GIUSEPPE</t>
  </si>
  <si>
    <t>CAA UNICAA - MACERATA - 002</t>
  </si>
  <si>
    <t>MARAVIGLIA STEFANO &amp; C. SOCIETA' AGRICOLA</t>
  </si>
  <si>
    <t>TAVOLINI ILARIO</t>
  </si>
  <si>
    <t>MOLINARI LUCIA PALMA</t>
  </si>
  <si>
    <t>COSTANTINI LUCA</t>
  </si>
  <si>
    <t>STROPPA SILVANA</t>
  </si>
  <si>
    <t>LIVI STEFANO</t>
  </si>
  <si>
    <t>BELTRAME GEMMA</t>
  </si>
  <si>
    <t>ACUTI MARIA CHIARA</t>
  </si>
  <si>
    <t>DI MASCIO VINCENZA</t>
  </si>
  <si>
    <t>BARTOLUCCI MARIA GIULIA</t>
  </si>
  <si>
    <t>MARCUCCI ADELE</t>
  </si>
  <si>
    <t>BOCCI JONATHAN</t>
  </si>
  <si>
    <t>PACIFICI CARLETTO</t>
  </si>
  <si>
    <t>BRIZI GIOVANNI</t>
  </si>
  <si>
    <t>SOCIETA' AGRICOLA GROTTESI LIBERO DI GROTTESI ROBERTO S.A.S.</t>
  </si>
  <si>
    <t>CECCHETELLI LUCIA</t>
  </si>
  <si>
    <t>CHIATTI MARINA</t>
  </si>
  <si>
    <t>VINCIGUERRA ANTONIO</t>
  </si>
  <si>
    <t>SIBILLA SOCIETA' AGRICOLA S.R.L. A CAPITALE RIDOTTO</t>
  </si>
  <si>
    <t>CORBELLI LUIGINO</t>
  </si>
  <si>
    <t>FRANCHINI DINA</t>
  </si>
  <si>
    <t>FRATERNALE SILVANA</t>
  </si>
  <si>
    <t>MORENI GIUSEPPE MORENI ALESSANDRO E MORENI RENATO</t>
  </si>
  <si>
    <t>PAGGI PINO</t>
  </si>
  <si>
    <t>SOCIETA' AGRICOLA ENERGETICA S.R.L.</t>
  </si>
  <si>
    <t>ROSSI GIOVANNI</t>
  </si>
  <si>
    <t>MARZI LUIGINO E MARZI FLORINDO SOCIETA' SEMPLICE</t>
  </si>
  <si>
    <t>CASELLA ANTONINA</t>
  </si>
  <si>
    <t>STAFFINATI GIACOMO</t>
  </si>
  <si>
    <t>COPPONI LORENZO</t>
  </si>
  <si>
    <t>LEONI GIANNA</t>
  </si>
  <si>
    <t>CRINELLA LUCA</t>
  </si>
  <si>
    <t>DI LAZZARO VITTORIA</t>
  </si>
  <si>
    <t>CARPINETI EUGENIA</t>
  </si>
  <si>
    <t>FRANCHINI FRANCO FRANCESCO</t>
  </si>
  <si>
    <t>MERCOLDI DANIELE</t>
  </si>
  <si>
    <t>SANTANCINI ALBERTO</t>
  </si>
  <si>
    <t>VANNUCCI DOMENICO</t>
  </si>
  <si>
    <t>F.LLI SILVI MARCHINI GABRIELE &amp; GIANCARLO SOCIETA' SEMPLICE</t>
  </si>
  <si>
    <t>AUSTRALI SOCIETA' SEMPLICE AGRICOLA DI GAGLIARDINI STEFANO E BINI MARC</t>
  </si>
  <si>
    <t>CANESTRARI LUCIO</t>
  </si>
  <si>
    <t>DOTTORI EDOARDO</t>
  </si>
  <si>
    <t>CARBINI PATRIZIA</t>
  </si>
  <si>
    <t>RIZZONI LORENZO</t>
  </si>
  <si>
    <t>SOCIETA' AGRICOLA IL CANTO DEL GALLO DI DEMETRIO RUFFINI E C. SOCIETA'</t>
  </si>
  <si>
    <t>SOCIETA' AGRICOLA MOROBIANCO SOCIETA' A RESPONSABILITA' LIMITATA IN SI</t>
  </si>
  <si>
    <t>SOCIETA' SEMPLICE AGRICOLA CERESOLANA DI CATUCCI DANILO ANTONIO E CURA</t>
  </si>
  <si>
    <t>TEODORI FRANCESCO</t>
  </si>
  <si>
    <t>SOCIETA' AGRICOLA TERRE DELLA SERRA S.A.S. DI LUCIA LUCCERINI</t>
  </si>
  <si>
    <t>ANGELONI PAOLO</t>
  </si>
  <si>
    <t>VITTORI PIETRO</t>
  </si>
  <si>
    <t>BATTISTONI PIERO</t>
  </si>
  <si>
    <t>DE ANGELIS LUCIA</t>
  </si>
  <si>
    <t>PELLONI GRAZIELLA</t>
  </si>
  <si>
    <t>CIPRIANI ALIDA</t>
  </si>
  <si>
    <t>BIZZARRI ROLANDO</t>
  </si>
  <si>
    <t>COFANI GIANLUCA</t>
  </si>
  <si>
    <t>ROSSI NICCOLA</t>
  </si>
  <si>
    <t>VALERIANI LINO</t>
  </si>
  <si>
    <t>SERRI SILVANA</t>
  </si>
  <si>
    <t>CONTI LAURA</t>
  </si>
  <si>
    <t>FEDELI BRUNO</t>
  </si>
  <si>
    <t>AGAMENNONI ALBERTO</t>
  </si>
  <si>
    <t>FERRETTI MASSIMO</t>
  </si>
  <si>
    <t>DOMINICI RITA</t>
  </si>
  <si>
    <t>FEDELI CHIARINA</t>
  </si>
  <si>
    <t>CASCIANA ROSARIO</t>
  </si>
  <si>
    <t>DONNA ROBERTO</t>
  </si>
  <si>
    <t>BREGA ALFIO</t>
  </si>
  <si>
    <t>SOC.AGR.VILLA LE CASE DI ARNAUTOVICI C.</t>
  </si>
  <si>
    <t>AGEA.ASR.2021.0592381</t>
  </si>
  <si>
    <t>PULITA PAOLA</t>
  </si>
  <si>
    <t>PAPARONI MARINA</t>
  </si>
  <si>
    <t>ROSSI PIETRINO</t>
  </si>
  <si>
    <t>SOCIETA' AGRICOLA LE BORETTE DI PIEROBON ARNALDO E C. S.A.S.</t>
  </si>
  <si>
    <t>VONO MATTIA MARTA</t>
  </si>
  <si>
    <t>GRIZI LAVINIA</t>
  </si>
  <si>
    <t>LUCARINI ELIO</t>
  </si>
  <si>
    <t>MONALDI DANIELA</t>
  </si>
  <si>
    <t>PIERELLI ROMINA</t>
  </si>
  <si>
    <t>SISTI FEDERICA</t>
  </si>
  <si>
    <t>ROSSETTI MARIA PIA</t>
  </si>
  <si>
    <t>SOCIETA' AGRICOLA TADDEA S.S.</t>
  </si>
  <si>
    <t>ALESIANI FABIO</t>
  </si>
  <si>
    <t>AGEA.ASR.2021.0565350</t>
  </si>
  <si>
    <t>AURELI MACCARIO</t>
  </si>
  <si>
    <t>SOCIETA' AGRICOLA F.LLI MEI CARNI DI MEI ALBERTO E C. S.S.</t>
  </si>
  <si>
    <t>SOCIETA' AGRICOLA "LA FATTORIA DEI SIBILLINI" SOC. SEMPLICE</t>
  </si>
  <si>
    <t>SOCIETA' AGRICOLA NOBILI NEVIO S.S.</t>
  </si>
  <si>
    <t>VIOSA SOCIETA AGRICOLA SEMPLICE</t>
  </si>
  <si>
    <t>CATANI SONIA</t>
  </si>
  <si>
    <t>FORMICA DAVIDE</t>
  </si>
  <si>
    <t>GALLI GABRIELE</t>
  </si>
  <si>
    <t>MINGARELLI GUIDO</t>
  </si>
  <si>
    <t>AGEA.ASR.2021.0567073</t>
  </si>
  <si>
    <t>AIUDI ALICE</t>
  </si>
  <si>
    <t>AMADORI LUIGI</t>
  </si>
  <si>
    <t>FONTE MOSCO' SOCIETA' AGRICOLA SEMPLICE</t>
  </si>
  <si>
    <t>GUARDABASSI DAVID</t>
  </si>
  <si>
    <t>JOYTHIMAYANANDA UMAHAR</t>
  </si>
  <si>
    <t>LIEBCHEN BRIGITTE</t>
  </si>
  <si>
    <t>MARCHIONNI CHIARA</t>
  </si>
  <si>
    <t>MORONCINI ENRICHETTO EREDI S.S. SOCIETA' AGRICOLA</t>
  </si>
  <si>
    <t>PORFIRI GIANLUCA</t>
  </si>
  <si>
    <t>TOGNI GIORGIO</t>
  </si>
  <si>
    <t>AZIENDA AGRICOLA CA' MADDALENA S.S.</t>
  </si>
  <si>
    <t>ZAMPARINI SILVANA RITA</t>
  </si>
  <si>
    <t>VINCENZI ROBERTA</t>
  </si>
  <si>
    <t>CARTUCCIA GIANCARLO</t>
  </si>
  <si>
    <t>GIORGINI CLAUDIA</t>
  </si>
  <si>
    <t>BOLLETTA ALESSIO</t>
  </si>
  <si>
    <t>BONIFAZI STEFANO</t>
  </si>
  <si>
    <t>CALIA CLAUDIA</t>
  </si>
  <si>
    <t>CHERUBINI LAURO</t>
  </si>
  <si>
    <t>DOTTORI CORRADO</t>
  </si>
  <si>
    <t>TRAMONTO ROSSO SOCIETA' SEMPLICE AGRICOLA</t>
  </si>
  <si>
    <t>VALLORANI ROSA</t>
  </si>
  <si>
    <t>DELMANOWICZ MONIKA ANNA</t>
  </si>
  <si>
    <t>FERRACUTI MATTEO</t>
  </si>
  <si>
    <t>SOC. AGR. SAPUTI SOCIETA' AGRICOLA SEMPLICE</t>
  </si>
  <si>
    <t>GEMINIANI PIERO</t>
  </si>
  <si>
    <t>STRACCI ADRIANA</t>
  </si>
  <si>
    <t>GUERRA MASSIMO</t>
  </si>
  <si>
    <t>GUERRO LOREDANA</t>
  </si>
  <si>
    <t>KRUSI STEFANIA CLAUDIA</t>
  </si>
  <si>
    <t>LAMBERTUCCI GIULIANO</t>
  </si>
  <si>
    <t>LARGHETTI GIUSEPPE</t>
  </si>
  <si>
    <t>LILLA MICHA CELESTINO</t>
  </si>
  <si>
    <t>SCENDONI UBALDO</t>
  </si>
  <si>
    <t>MACCARI TIZIANA</t>
  </si>
  <si>
    <t>SOCIETA' AGRICOLA F.LLI CIAFFONI DI CIAFFONI A.&amp; S</t>
  </si>
  <si>
    <t>SOCIETA' AGRICOLA FONDI E LAMBERTUCCI S.S.</t>
  </si>
  <si>
    <t>SOCIETA' AGRICOLA EREDI DI GIANCARLO COPPOLA DI MARIA SANTAN</t>
  </si>
  <si>
    <t>PIERDOMENICO ROSELLA</t>
  </si>
  <si>
    <t>POLENTA RAFFAELA</t>
  </si>
  <si>
    <t>RAFFAELLI ROSALBA</t>
  </si>
  <si>
    <t>RECCHI FRANCESCHINI MARIO ANTONIO</t>
  </si>
  <si>
    <t>CAA Copagri srl</t>
  </si>
  <si>
    <t>CAA Copagri - ASCOLI PICENO - 502</t>
  </si>
  <si>
    <t>SANTARELLI SABRINA</t>
  </si>
  <si>
    <t>AZIENDA "SAN BENEDETTO" DI FEDELI GIOVANNINO E C. SOCIETA' AGRICOLA S.</t>
  </si>
  <si>
    <t>CIACCI GIORGINA</t>
  </si>
  <si>
    <t>BELLAGAMBA FILIPPO</t>
  </si>
  <si>
    <t>CAA Coldiretti - MACERATA - 010</t>
  </si>
  <si>
    <t>COOPERATIVA SOCIALE 'TERRA E VITA'</t>
  </si>
  <si>
    <t>MEROLLI ALESSIA</t>
  </si>
  <si>
    <t>MASSI GIULIANO</t>
  </si>
  <si>
    <t>MILLE QUERCE SOCIETA' AGRICOLA SRL</t>
  </si>
  <si>
    <t>URBINELLI MARIA LAURA</t>
  </si>
  <si>
    <t>NICOLINI PATRIZIA</t>
  </si>
  <si>
    <t>PETRACCI PAOLO</t>
  </si>
  <si>
    <t>SOCIETA' AGRICOLA IL RITORNO DI CLEMENTI MIRCO E FEDERICO S.S.</t>
  </si>
  <si>
    <t>TOGNI GIOVANNI</t>
  </si>
  <si>
    <t>BURINI FEDERICA</t>
  </si>
  <si>
    <t>AGEA.ASR.2021.0622233</t>
  </si>
  <si>
    <t>COMUNE DI SASSOCORVARO AUDITORE</t>
  </si>
  <si>
    <t>AGEA.ASR.2021.0590928</t>
  </si>
  <si>
    <t>AGEA.ASR.2021.0592373</t>
  </si>
  <si>
    <t>COMUNE DI APPIGNANO</t>
  </si>
  <si>
    <t>AGEA.ASR.2021.0591102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</si>
</sst>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DB6A-2646-42C5-98A7-1C8B0BAAB0D6}">
  <dimension ref="A1:Z625"/>
  <sheetViews>
    <sheetView showGridLines="0" tabSelected="1" workbookViewId="0">
      <selection activeCell="E630" sqref="E630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9.36328125" bestFit="1" customWidth="1"/>
    <col min="5" max="5" width="20.36328125" bestFit="1" customWidth="1"/>
    <col min="6" max="6" width="24.4531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0.632812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36</v>
      </c>
      <c r="C4" s="7" t="s">
        <v>48</v>
      </c>
      <c r="D4" s="7" t="s">
        <v>49</v>
      </c>
      <c r="E4" s="7" t="s">
        <v>42</v>
      </c>
      <c r="F4" s="7" t="s">
        <v>50</v>
      </c>
      <c r="G4" s="7">
        <v>2020</v>
      </c>
      <c r="H4" s="7" t="str">
        <f>CONCATENATE("04240839458")</f>
        <v>04240839458</v>
      </c>
      <c r="I4" s="7" t="s">
        <v>30</v>
      </c>
      <c r="J4" s="7" t="s">
        <v>31</v>
      </c>
      <c r="K4" s="7" t="str">
        <f>CONCATENATE("")</f>
        <v/>
      </c>
      <c r="L4" s="7" t="str">
        <f>CONCATENATE("11 11.2 4b")</f>
        <v>11 11.2 4b</v>
      </c>
      <c r="M4" s="7" t="str">
        <f>CONCATENATE("MZZSMN78T07H769O")</f>
        <v>MZZSMN78T07H769O</v>
      </c>
      <c r="N4" s="7" t="s">
        <v>51</v>
      </c>
      <c r="O4" s="7" t="s">
        <v>52</v>
      </c>
      <c r="P4" s="8">
        <v>44321</v>
      </c>
      <c r="Q4" s="7" t="s">
        <v>32</v>
      </c>
      <c r="R4" s="7" t="s">
        <v>33</v>
      </c>
      <c r="S4" s="7" t="s">
        <v>34</v>
      </c>
      <c r="T4" s="7"/>
      <c r="U4" s="7" t="s">
        <v>35</v>
      </c>
      <c r="V4" s="7">
        <v>8.85</v>
      </c>
      <c r="W4" s="7">
        <v>3.82</v>
      </c>
      <c r="X4" s="7">
        <v>3.52</v>
      </c>
      <c r="Y4" s="7">
        <v>0</v>
      </c>
      <c r="Z4" s="7">
        <v>1.51</v>
      </c>
    </row>
    <row r="5" spans="1:26" x14ac:dyDescent="0.35">
      <c r="A5" s="7" t="s">
        <v>27</v>
      </c>
      <c r="B5" s="7" t="s">
        <v>28</v>
      </c>
      <c r="C5" s="7" t="s">
        <v>48</v>
      </c>
      <c r="D5" s="7" t="s">
        <v>49</v>
      </c>
      <c r="E5" s="7" t="s">
        <v>37</v>
      </c>
      <c r="F5" s="7" t="s">
        <v>53</v>
      </c>
      <c r="G5" s="7">
        <v>2017</v>
      </c>
      <c r="H5" s="7" t="str">
        <f>CONCATENATE("14270117360")</f>
        <v>14270117360</v>
      </c>
      <c r="I5" s="7" t="s">
        <v>30</v>
      </c>
      <c r="J5" s="7" t="s">
        <v>31</v>
      </c>
      <c r="K5" s="7" t="str">
        <f>CONCATENATE("")</f>
        <v/>
      </c>
      <c r="L5" s="7" t="str">
        <f>CONCATENATE("21 21.1 2a")</f>
        <v>21 21.1 2a</v>
      </c>
      <c r="M5" s="7" t="str">
        <f>CONCATENATE("PLCFNC75S46A271H")</f>
        <v>PLCFNC75S46A271H</v>
      </c>
      <c r="N5" s="7" t="s">
        <v>54</v>
      </c>
      <c r="O5" s="7" t="s">
        <v>55</v>
      </c>
      <c r="P5" s="8">
        <v>44321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9">
        <v>7000</v>
      </c>
      <c r="W5" s="9">
        <v>3018.4</v>
      </c>
      <c r="X5" s="9">
        <v>2787.4</v>
      </c>
      <c r="Y5" s="7">
        <v>0</v>
      </c>
      <c r="Z5" s="9">
        <v>1194.2</v>
      </c>
    </row>
    <row r="6" spans="1:26" x14ac:dyDescent="0.35">
      <c r="A6" s="7" t="s">
        <v>27</v>
      </c>
      <c r="B6" s="7" t="s">
        <v>28</v>
      </c>
      <c r="C6" s="7" t="s">
        <v>48</v>
      </c>
      <c r="D6" s="7" t="s">
        <v>56</v>
      </c>
      <c r="E6" s="7" t="s">
        <v>42</v>
      </c>
      <c r="F6" s="7" t="s">
        <v>57</v>
      </c>
      <c r="G6" s="7">
        <v>2017</v>
      </c>
      <c r="H6" s="7" t="str">
        <f>CONCATENATE("14270117519")</f>
        <v>14270117519</v>
      </c>
      <c r="I6" s="7" t="s">
        <v>30</v>
      </c>
      <c r="J6" s="7" t="s">
        <v>31</v>
      </c>
      <c r="K6" s="7" t="str">
        <f>CONCATENATE("")</f>
        <v/>
      </c>
      <c r="L6" s="7" t="str">
        <f>CONCATENATE("21 21.1 2a")</f>
        <v>21 21.1 2a</v>
      </c>
      <c r="M6" s="7" t="str">
        <f>CONCATENATE("RCNNZE51A10G803P")</f>
        <v>RCNNZE51A10G803P</v>
      </c>
      <c r="N6" s="7" t="s">
        <v>58</v>
      </c>
      <c r="O6" s="7" t="s">
        <v>55</v>
      </c>
      <c r="P6" s="8">
        <v>44321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9">
        <v>1725.26</v>
      </c>
      <c r="W6" s="7">
        <v>743.93</v>
      </c>
      <c r="X6" s="7">
        <v>687</v>
      </c>
      <c r="Y6" s="7">
        <v>0</v>
      </c>
      <c r="Z6" s="7">
        <v>294.33</v>
      </c>
    </row>
    <row r="7" spans="1:26" x14ac:dyDescent="0.35">
      <c r="A7" s="7" t="s">
        <v>27</v>
      </c>
      <c r="B7" s="7" t="s">
        <v>28</v>
      </c>
      <c r="C7" s="7" t="s">
        <v>48</v>
      </c>
      <c r="D7" s="7" t="s">
        <v>59</v>
      </c>
      <c r="E7" s="7" t="s">
        <v>40</v>
      </c>
      <c r="F7" s="7" t="s">
        <v>60</v>
      </c>
      <c r="G7" s="7">
        <v>2017</v>
      </c>
      <c r="H7" s="7" t="str">
        <f>CONCATENATE("14270117014")</f>
        <v>14270117014</v>
      </c>
      <c r="I7" s="7" t="s">
        <v>30</v>
      </c>
      <c r="J7" s="7" t="s">
        <v>31</v>
      </c>
      <c r="K7" s="7" t="str">
        <f>CONCATENATE("")</f>
        <v/>
      </c>
      <c r="L7" s="7" t="str">
        <f>CONCATENATE("21 21.1 2a")</f>
        <v>21 21.1 2a</v>
      </c>
      <c r="M7" s="7" t="str">
        <f>CONCATENATE("RNZLSE50R10G479H")</f>
        <v>RNZLSE50R10G479H</v>
      </c>
      <c r="N7" s="7" t="s">
        <v>61</v>
      </c>
      <c r="O7" s="7" t="s">
        <v>55</v>
      </c>
      <c r="P7" s="8">
        <v>44321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7000</v>
      </c>
      <c r="W7" s="9">
        <v>3018.4</v>
      </c>
      <c r="X7" s="9">
        <v>2787.4</v>
      </c>
      <c r="Y7" s="7">
        <v>0</v>
      </c>
      <c r="Z7" s="9">
        <v>1194.2</v>
      </c>
    </row>
    <row r="8" spans="1:26" x14ac:dyDescent="0.35">
      <c r="A8" s="7" t="s">
        <v>27</v>
      </c>
      <c r="B8" s="7" t="s">
        <v>28</v>
      </c>
      <c r="C8" s="7" t="s">
        <v>48</v>
      </c>
      <c r="D8" s="7" t="s">
        <v>62</v>
      </c>
      <c r="E8" s="7" t="s">
        <v>40</v>
      </c>
      <c r="F8" s="7" t="s">
        <v>63</v>
      </c>
      <c r="G8" s="7">
        <v>2017</v>
      </c>
      <c r="H8" s="7" t="str">
        <f>CONCATENATE("14270117477")</f>
        <v>14270117477</v>
      </c>
      <c r="I8" s="7" t="s">
        <v>30</v>
      </c>
      <c r="J8" s="7" t="s">
        <v>31</v>
      </c>
      <c r="K8" s="7" t="str">
        <f>CONCATENATE("")</f>
        <v/>
      </c>
      <c r="L8" s="7" t="str">
        <f>CONCATENATE("21 21.1 2a")</f>
        <v>21 21.1 2a</v>
      </c>
      <c r="M8" s="7" t="str">
        <f>CONCATENATE("SNTMLL61S42D597P")</f>
        <v>SNTMLL61S42D597P</v>
      </c>
      <c r="N8" s="7" t="s">
        <v>64</v>
      </c>
      <c r="O8" s="7" t="s">
        <v>55</v>
      </c>
      <c r="P8" s="8">
        <v>44321</v>
      </c>
      <c r="Q8" s="7" t="s">
        <v>32</v>
      </c>
      <c r="R8" s="7" t="s">
        <v>33</v>
      </c>
      <c r="S8" s="7" t="s">
        <v>34</v>
      </c>
      <c r="T8" s="7"/>
      <c r="U8" s="7" t="s">
        <v>35</v>
      </c>
      <c r="V8" s="9">
        <v>1000</v>
      </c>
      <c r="W8" s="7">
        <v>431.2</v>
      </c>
      <c r="X8" s="7">
        <v>398.2</v>
      </c>
      <c r="Y8" s="7">
        <v>0</v>
      </c>
      <c r="Z8" s="7">
        <v>170.6</v>
      </c>
    </row>
    <row r="9" spans="1:26" x14ac:dyDescent="0.35">
      <c r="A9" s="7" t="s">
        <v>27</v>
      </c>
      <c r="B9" s="7" t="s">
        <v>28</v>
      </c>
      <c r="C9" s="7" t="s">
        <v>48</v>
      </c>
      <c r="D9" s="7" t="s">
        <v>56</v>
      </c>
      <c r="E9" s="7" t="s">
        <v>43</v>
      </c>
      <c r="F9" s="7" t="s">
        <v>43</v>
      </c>
      <c r="G9" s="7">
        <v>2017</v>
      </c>
      <c r="H9" s="7" t="str">
        <f>CONCATENATE("14270117022")</f>
        <v>14270117022</v>
      </c>
      <c r="I9" s="7" t="s">
        <v>30</v>
      </c>
      <c r="J9" s="7" t="s">
        <v>31</v>
      </c>
      <c r="K9" s="7" t="str">
        <f>CONCATENATE("")</f>
        <v/>
      </c>
      <c r="L9" s="7" t="str">
        <f>CONCATENATE("21 21.1 2a")</f>
        <v>21 21.1 2a</v>
      </c>
      <c r="M9" s="7" t="str">
        <f>CONCATENATE("SCNTMR53R59B468R")</f>
        <v>SCNTMR53R59B468R</v>
      </c>
      <c r="N9" s="7" t="s">
        <v>65</v>
      </c>
      <c r="O9" s="7" t="s">
        <v>55</v>
      </c>
      <c r="P9" s="8">
        <v>44321</v>
      </c>
      <c r="Q9" s="7" t="s">
        <v>32</v>
      </c>
      <c r="R9" s="7" t="s">
        <v>33</v>
      </c>
      <c r="S9" s="7" t="s">
        <v>34</v>
      </c>
      <c r="T9" s="7"/>
      <c r="U9" s="7" t="s">
        <v>35</v>
      </c>
      <c r="V9" s="9">
        <v>7000</v>
      </c>
      <c r="W9" s="9">
        <v>3018.4</v>
      </c>
      <c r="X9" s="9">
        <v>2787.4</v>
      </c>
      <c r="Y9" s="7">
        <v>0</v>
      </c>
      <c r="Z9" s="9">
        <v>1194.2</v>
      </c>
    </row>
    <row r="10" spans="1:26" x14ac:dyDescent="0.35">
      <c r="A10" s="7" t="s">
        <v>27</v>
      </c>
      <c r="B10" s="7" t="s">
        <v>28</v>
      </c>
      <c r="C10" s="7" t="s">
        <v>48</v>
      </c>
      <c r="D10" s="7" t="s">
        <v>62</v>
      </c>
      <c r="E10" s="7" t="s">
        <v>29</v>
      </c>
      <c r="F10" s="7" t="s">
        <v>66</v>
      </c>
      <c r="G10" s="7">
        <v>2017</v>
      </c>
      <c r="H10" s="7" t="str">
        <f>CONCATENATE("14270117543")</f>
        <v>14270117543</v>
      </c>
      <c r="I10" s="7" t="s">
        <v>30</v>
      </c>
      <c r="J10" s="7" t="s">
        <v>31</v>
      </c>
      <c r="K10" s="7" t="str">
        <f>CONCATENATE("")</f>
        <v/>
      </c>
      <c r="L10" s="7" t="str">
        <f>CONCATENATE("21 21.1 2a")</f>
        <v>21 21.1 2a</v>
      </c>
      <c r="M10" s="7" t="str">
        <f>CONCATENATE("00607050432")</f>
        <v>00607050432</v>
      </c>
      <c r="N10" s="7" t="s">
        <v>67</v>
      </c>
      <c r="O10" s="7" t="s">
        <v>55</v>
      </c>
      <c r="P10" s="8">
        <v>44321</v>
      </c>
      <c r="Q10" s="7" t="s">
        <v>32</v>
      </c>
      <c r="R10" s="7" t="s">
        <v>33</v>
      </c>
      <c r="S10" s="7" t="s">
        <v>34</v>
      </c>
      <c r="T10" s="7"/>
      <c r="U10" s="7" t="s">
        <v>35</v>
      </c>
      <c r="V10" s="9">
        <v>7000</v>
      </c>
      <c r="W10" s="9">
        <v>3018.4</v>
      </c>
      <c r="X10" s="9">
        <v>2787.4</v>
      </c>
      <c r="Y10" s="7">
        <v>0</v>
      </c>
      <c r="Z10" s="9">
        <v>1194.2</v>
      </c>
    </row>
    <row r="11" spans="1:26" x14ac:dyDescent="0.35">
      <c r="A11" s="7" t="s">
        <v>27</v>
      </c>
      <c r="B11" s="7" t="s">
        <v>28</v>
      </c>
      <c r="C11" s="7" t="s">
        <v>48</v>
      </c>
      <c r="D11" s="7" t="s">
        <v>59</v>
      </c>
      <c r="E11" s="7" t="s">
        <v>29</v>
      </c>
      <c r="F11" s="7" t="s">
        <v>68</v>
      </c>
      <c r="G11" s="7">
        <v>2017</v>
      </c>
      <c r="H11" s="7" t="str">
        <f>CONCATENATE("14270117337")</f>
        <v>14270117337</v>
      </c>
      <c r="I11" s="7" t="s">
        <v>30</v>
      </c>
      <c r="J11" s="7" t="s">
        <v>31</v>
      </c>
      <c r="K11" s="7" t="str">
        <f>CONCATENATE("")</f>
        <v/>
      </c>
      <c r="L11" s="7" t="str">
        <f>CONCATENATE("21 21.1 2a")</f>
        <v>21 21.1 2a</v>
      </c>
      <c r="M11" s="7" t="str">
        <f>CONCATENATE("SLVSLL71H56D488E")</f>
        <v>SLVSLL71H56D488E</v>
      </c>
      <c r="N11" s="7" t="s">
        <v>69</v>
      </c>
      <c r="O11" s="7" t="s">
        <v>55</v>
      </c>
      <c r="P11" s="8">
        <v>44321</v>
      </c>
      <c r="Q11" s="7" t="s">
        <v>32</v>
      </c>
      <c r="R11" s="7" t="s">
        <v>33</v>
      </c>
      <c r="S11" s="7" t="s">
        <v>34</v>
      </c>
      <c r="T11" s="7"/>
      <c r="U11" s="7" t="s">
        <v>35</v>
      </c>
      <c r="V11" s="9">
        <v>7000</v>
      </c>
      <c r="W11" s="9">
        <v>3018.4</v>
      </c>
      <c r="X11" s="9">
        <v>2787.4</v>
      </c>
      <c r="Y11" s="7">
        <v>0</v>
      </c>
      <c r="Z11" s="9">
        <v>1194.2</v>
      </c>
    </row>
    <row r="12" spans="1:26" x14ac:dyDescent="0.35">
      <c r="A12" s="7" t="s">
        <v>27</v>
      </c>
      <c r="B12" s="7" t="s">
        <v>28</v>
      </c>
      <c r="C12" s="7" t="s">
        <v>48</v>
      </c>
      <c r="D12" s="7" t="s">
        <v>62</v>
      </c>
      <c r="E12" s="7" t="s">
        <v>43</v>
      </c>
      <c r="F12" s="7" t="s">
        <v>43</v>
      </c>
      <c r="G12" s="7">
        <v>2017</v>
      </c>
      <c r="H12" s="7" t="str">
        <f>CONCATENATE("14270117204")</f>
        <v>14270117204</v>
      </c>
      <c r="I12" s="7" t="s">
        <v>30</v>
      </c>
      <c r="J12" s="7" t="s">
        <v>31</v>
      </c>
      <c r="K12" s="7" t="str">
        <f>CONCATENATE("")</f>
        <v/>
      </c>
      <c r="L12" s="7" t="str">
        <f>CONCATENATE("21 21.1 2a")</f>
        <v>21 21.1 2a</v>
      </c>
      <c r="M12" s="7" t="str">
        <f>CONCATENATE("02009610433")</f>
        <v>02009610433</v>
      </c>
      <c r="N12" s="7" t="s">
        <v>70</v>
      </c>
      <c r="O12" s="7" t="s">
        <v>55</v>
      </c>
      <c r="P12" s="8">
        <v>44321</v>
      </c>
      <c r="Q12" s="7" t="s">
        <v>32</v>
      </c>
      <c r="R12" s="7" t="s">
        <v>33</v>
      </c>
      <c r="S12" s="7" t="s">
        <v>34</v>
      </c>
      <c r="T12" s="7"/>
      <c r="U12" s="7" t="s">
        <v>35</v>
      </c>
      <c r="V12" s="9">
        <v>7000</v>
      </c>
      <c r="W12" s="9">
        <v>3018.4</v>
      </c>
      <c r="X12" s="9">
        <v>2787.4</v>
      </c>
      <c r="Y12" s="7">
        <v>0</v>
      </c>
      <c r="Z12" s="9">
        <v>1194.2</v>
      </c>
    </row>
    <row r="13" spans="1:26" x14ac:dyDescent="0.35">
      <c r="A13" s="7" t="s">
        <v>27</v>
      </c>
      <c r="B13" s="7" t="s">
        <v>28</v>
      </c>
      <c r="C13" s="7" t="s">
        <v>48</v>
      </c>
      <c r="D13" s="7" t="s">
        <v>59</v>
      </c>
      <c r="E13" s="7" t="s">
        <v>43</v>
      </c>
      <c r="F13" s="7" t="s">
        <v>43</v>
      </c>
      <c r="G13" s="7">
        <v>2017</v>
      </c>
      <c r="H13" s="7" t="str">
        <f>CONCATENATE("14270117550")</f>
        <v>14270117550</v>
      </c>
      <c r="I13" s="7" t="s">
        <v>30</v>
      </c>
      <c r="J13" s="7" t="s">
        <v>31</v>
      </c>
      <c r="K13" s="7" t="str">
        <f>CONCATENATE("")</f>
        <v/>
      </c>
      <c r="L13" s="7" t="str">
        <f>CONCATENATE("21 21.1 2a")</f>
        <v>21 21.1 2a</v>
      </c>
      <c r="M13" s="7" t="str">
        <f>CONCATENATE("01379100413")</f>
        <v>01379100413</v>
      </c>
      <c r="N13" s="7" t="s">
        <v>71</v>
      </c>
      <c r="O13" s="7" t="s">
        <v>55</v>
      </c>
      <c r="P13" s="8">
        <v>44321</v>
      </c>
      <c r="Q13" s="7" t="s">
        <v>32</v>
      </c>
      <c r="R13" s="7" t="s">
        <v>33</v>
      </c>
      <c r="S13" s="7" t="s">
        <v>34</v>
      </c>
      <c r="T13" s="7"/>
      <c r="U13" s="7" t="s">
        <v>35</v>
      </c>
      <c r="V13" s="9">
        <v>6115.92</v>
      </c>
      <c r="W13" s="9">
        <v>2637.18</v>
      </c>
      <c r="X13" s="9">
        <v>2435.36</v>
      </c>
      <c r="Y13" s="7">
        <v>0</v>
      </c>
      <c r="Z13" s="9">
        <v>1043.3800000000001</v>
      </c>
    </row>
    <row r="14" spans="1:26" x14ac:dyDescent="0.35">
      <c r="A14" s="7" t="s">
        <v>27</v>
      </c>
      <c r="B14" s="7" t="s">
        <v>28</v>
      </c>
      <c r="C14" s="7" t="s">
        <v>48</v>
      </c>
      <c r="D14" s="7" t="s">
        <v>62</v>
      </c>
      <c r="E14" s="7" t="s">
        <v>43</v>
      </c>
      <c r="F14" s="7" t="s">
        <v>43</v>
      </c>
      <c r="G14" s="7">
        <v>2017</v>
      </c>
      <c r="H14" s="7" t="str">
        <f>CONCATENATE("14270117220")</f>
        <v>14270117220</v>
      </c>
      <c r="I14" s="7" t="s">
        <v>30</v>
      </c>
      <c r="J14" s="7" t="s">
        <v>31</v>
      </c>
      <c r="K14" s="7" t="str">
        <f>CONCATENATE("")</f>
        <v/>
      </c>
      <c r="L14" s="7" t="str">
        <f>CONCATENATE("21 21.1 2a")</f>
        <v>21 21.1 2a</v>
      </c>
      <c r="M14" s="7" t="str">
        <f>CONCATENATE("VNHRNS72E25Z126Y")</f>
        <v>VNHRNS72E25Z126Y</v>
      </c>
      <c r="N14" s="7" t="s">
        <v>72</v>
      </c>
      <c r="O14" s="7" t="s">
        <v>55</v>
      </c>
      <c r="P14" s="8">
        <v>44321</v>
      </c>
      <c r="Q14" s="7" t="s">
        <v>32</v>
      </c>
      <c r="R14" s="7" t="s">
        <v>33</v>
      </c>
      <c r="S14" s="7" t="s">
        <v>34</v>
      </c>
      <c r="T14" s="7"/>
      <c r="U14" s="7" t="s">
        <v>35</v>
      </c>
      <c r="V14" s="9">
        <v>3024.88</v>
      </c>
      <c r="W14" s="9">
        <v>1304.33</v>
      </c>
      <c r="X14" s="9">
        <v>1204.51</v>
      </c>
      <c r="Y14" s="7">
        <v>0</v>
      </c>
      <c r="Z14" s="7">
        <v>516.04</v>
      </c>
    </row>
    <row r="15" spans="1:26" x14ac:dyDescent="0.35">
      <c r="A15" s="7" t="s">
        <v>27</v>
      </c>
      <c r="B15" s="7" t="s">
        <v>28</v>
      </c>
      <c r="C15" s="7" t="s">
        <v>48</v>
      </c>
      <c r="D15" s="7" t="s">
        <v>49</v>
      </c>
      <c r="E15" s="7" t="s">
        <v>43</v>
      </c>
      <c r="F15" s="7" t="s">
        <v>43</v>
      </c>
      <c r="G15" s="7">
        <v>2017</v>
      </c>
      <c r="H15" s="7" t="str">
        <f>CONCATENATE("14270117196")</f>
        <v>14270117196</v>
      </c>
      <c r="I15" s="7" t="s">
        <v>30</v>
      </c>
      <c r="J15" s="7" t="s">
        <v>31</v>
      </c>
      <c r="K15" s="7" t="str">
        <f>CONCATENATE("")</f>
        <v/>
      </c>
      <c r="L15" s="7" t="str">
        <f>CONCATENATE("21 21.1 2a")</f>
        <v>21 21.1 2a</v>
      </c>
      <c r="M15" s="7" t="str">
        <f>CONCATENATE("01986270443")</f>
        <v>01986270443</v>
      </c>
      <c r="N15" s="7" t="s">
        <v>73</v>
      </c>
      <c r="O15" s="7" t="s">
        <v>55</v>
      </c>
      <c r="P15" s="8">
        <v>44321</v>
      </c>
      <c r="Q15" s="7" t="s">
        <v>32</v>
      </c>
      <c r="R15" s="7" t="s">
        <v>33</v>
      </c>
      <c r="S15" s="7" t="s">
        <v>34</v>
      </c>
      <c r="T15" s="7"/>
      <c r="U15" s="7" t="s">
        <v>35</v>
      </c>
      <c r="V15" s="9">
        <v>7000</v>
      </c>
      <c r="W15" s="9">
        <v>3018.4</v>
      </c>
      <c r="X15" s="9">
        <v>2787.4</v>
      </c>
      <c r="Y15" s="7">
        <v>0</v>
      </c>
      <c r="Z15" s="9">
        <v>1194.2</v>
      </c>
    </row>
    <row r="16" spans="1:26" x14ac:dyDescent="0.35">
      <c r="A16" s="7" t="s">
        <v>27</v>
      </c>
      <c r="B16" s="7" t="s">
        <v>28</v>
      </c>
      <c r="C16" s="7" t="s">
        <v>48</v>
      </c>
      <c r="D16" s="7" t="s">
        <v>59</v>
      </c>
      <c r="E16" s="7" t="s">
        <v>43</v>
      </c>
      <c r="F16" s="7" t="s">
        <v>43</v>
      </c>
      <c r="G16" s="7">
        <v>2017</v>
      </c>
      <c r="H16" s="7" t="str">
        <f>CONCATENATE("14270117261")</f>
        <v>14270117261</v>
      </c>
      <c r="I16" s="7" t="s">
        <v>30</v>
      </c>
      <c r="J16" s="7" t="s">
        <v>31</v>
      </c>
      <c r="K16" s="7" t="str">
        <f>CONCATENATE("")</f>
        <v/>
      </c>
      <c r="L16" s="7" t="str">
        <f>CONCATENATE("21 21.1 2a")</f>
        <v>21 21.1 2a</v>
      </c>
      <c r="M16" s="7" t="str">
        <f>CONCATENATE("LNDSTR48C60A327Y")</f>
        <v>LNDSTR48C60A327Y</v>
      </c>
      <c r="N16" s="7" t="s">
        <v>74</v>
      </c>
      <c r="O16" s="7" t="s">
        <v>55</v>
      </c>
      <c r="P16" s="8">
        <v>44321</v>
      </c>
      <c r="Q16" s="7" t="s">
        <v>32</v>
      </c>
      <c r="R16" s="7" t="s">
        <v>33</v>
      </c>
      <c r="S16" s="7" t="s">
        <v>34</v>
      </c>
      <c r="T16" s="7"/>
      <c r="U16" s="7" t="s">
        <v>35</v>
      </c>
      <c r="V16" s="9">
        <v>7000</v>
      </c>
      <c r="W16" s="9">
        <v>3018.4</v>
      </c>
      <c r="X16" s="9">
        <v>2787.4</v>
      </c>
      <c r="Y16" s="7">
        <v>0</v>
      </c>
      <c r="Z16" s="9">
        <v>1194.2</v>
      </c>
    </row>
    <row r="17" spans="1:26" x14ac:dyDescent="0.35">
      <c r="A17" s="7" t="s">
        <v>27</v>
      </c>
      <c r="B17" s="7" t="s">
        <v>28</v>
      </c>
      <c r="C17" s="7" t="s">
        <v>48</v>
      </c>
      <c r="D17" s="7" t="s">
        <v>62</v>
      </c>
      <c r="E17" s="7" t="s">
        <v>43</v>
      </c>
      <c r="F17" s="7" t="s">
        <v>43</v>
      </c>
      <c r="G17" s="7">
        <v>2017</v>
      </c>
      <c r="H17" s="7" t="str">
        <f>CONCATENATE("14270117295")</f>
        <v>14270117295</v>
      </c>
      <c r="I17" s="7" t="s">
        <v>30</v>
      </c>
      <c r="J17" s="7" t="s">
        <v>31</v>
      </c>
      <c r="K17" s="7" t="str">
        <f>CONCATENATE("")</f>
        <v/>
      </c>
      <c r="L17" s="7" t="str">
        <f>CONCATENATE("21 21.1 2a")</f>
        <v>21 21.1 2a</v>
      </c>
      <c r="M17" s="7" t="str">
        <f>CONCATENATE("SPDFBL67H64C704C")</f>
        <v>SPDFBL67H64C704C</v>
      </c>
      <c r="N17" s="7" t="s">
        <v>75</v>
      </c>
      <c r="O17" s="7" t="s">
        <v>55</v>
      </c>
      <c r="P17" s="8">
        <v>44321</v>
      </c>
      <c r="Q17" s="7" t="s">
        <v>32</v>
      </c>
      <c r="R17" s="7" t="s">
        <v>33</v>
      </c>
      <c r="S17" s="7" t="s">
        <v>34</v>
      </c>
      <c r="T17" s="7"/>
      <c r="U17" s="7" t="s">
        <v>35</v>
      </c>
      <c r="V17" s="9">
        <v>7000</v>
      </c>
      <c r="W17" s="9">
        <v>3018.4</v>
      </c>
      <c r="X17" s="9">
        <v>2787.4</v>
      </c>
      <c r="Y17" s="7">
        <v>0</v>
      </c>
      <c r="Z17" s="9">
        <v>1194.2</v>
      </c>
    </row>
    <row r="18" spans="1:26" x14ac:dyDescent="0.35">
      <c r="A18" s="7" t="s">
        <v>27</v>
      </c>
      <c r="B18" s="7" t="s">
        <v>28</v>
      </c>
      <c r="C18" s="7" t="s">
        <v>48</v>
      </c>
      <c r="D18" s="7" t="s">
        <v>49</v>
      </c>
      <c r="E18" s="7" t="s">
        <v>29</v>
      </c>
      <c r="F18" s="7" t="s">
        <v>76</v>
      </c>
      <c r="G18" s="7">
        <v>2017</v>
      </c>
      <c r="H18" s="7" t="str">
        <f>CONCATENATE("14270116586")</f>
        <v>14270116586</v>
      </c>
      <c r="I18" s="7" t="s">
        <v>30</v>
      </c>
      <c r="J18" s="7" t="s">
        <v>31</v>
      </c>
      <c r="K18" s="7" t="str">
        <f>CONCATENATE("")</f>
        <v/>
      </c>
      <c r="L18" s="7" t="str">
        <f>CONCATENATE("21 21.1 2a")</f>
        <v>21 21.1 2a</v>
      </c>
      <c r="M18" s="7" t="str">
        <f>CONCATENATE("BBRCRN66L64G516D")</f>
        <v>BBRCRN66L64G516D</v>
      </c>
      <c r="N18" s="7" t="s">
        <v>77</v>
      </c>
      <c r="O18" s="7" t="s">
        <v>78</v>
      </c>
      <c r="P18" s="8">
        <v>44321</v>
      </c>
      <c r="Q18" s="7" t="s">
        <v>32</v>
      </c>
      <c r="R18" s="7" t="s">
        <v>33</v>
      </c>
      <c r="S18" s="7" t="s">
        <v>34</v>
      </c>
      <c r="T18" s="7"/>
      <c r="U18" s="7" t="s">
        <v>35</v>
      </c>
      <c r="V18" s="9">
        <v>2975.33</v>
      </c>
      <c r="W18" s="9">
        <v>1282.96</v>
      </c>
      <c r="X18" s="9">
        <v>1184.78</v>
      </c>
      <c r="Y18" s="7">
        <v>0</v>
      </c>
      <c r="Z18" s="7">
        <v>507.59</v>
      </c>
    </row>
    <row r="19" spans="1:26" x14ac:dyDescent="0.35">
      <c r="A19" s="7" t="s">
        <v>27</v>
      </c>
      <c r="B19" s="7" t="s">
        <v>28</v>
      </c>
      <c r="C19" s="7" t="s">
        <v>48</v>
      </c>
      <c r="D19" s="7" t="s">
        <v>56</v>
      </c>
      <c r="E19" s="7" t="s">
        <v>43</v>
      </c>
      <c r="F19" s="7" t="s">
        <v>43</v>
      </c>
      <c r="G19" s="7">
        <v>2017</v>
      </c>
      <c r="H19" s="7" t="str">
        <f>CONCATENATE("14270128425")</f>
        <v>14270128425</v>
      </c>
      <c r="I19" s="7" t="s">
        <v>30</v>
      </c>
      <c r="J19" s="7" t="s">
        <v>31</v>
      </c>
      <c r="K19" s="7" t="str">
        <f>CONCATENATE("")</f>
        <v/>
      </c>
      <c r="L19" s="7" t="str">
        <f>CONCATENATE("21 21.1 2a")</f>
        <v>21 21.1 2a</v>
      </c>
      <c r="M19" s="7" t="str">
        <f>CONCATENATE("LSSLRT91H07A271K")</f>
        <v>LSSLRT91H07A271K</v>
      </c>
      <c r="N19" s="7" t="s">
        <v>79</v>
      </c>
      <c r="O19" s="7" t="s">
        <v>78</v>
      </c>
      <c r="P19" s="8">
        <v>44321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9">
        <v>1253.56</v>
      </c>
      <c r="W19" s="7">
        <v>540.54</v>
      </c>
      <c r="X19" s="7">
        <v>499.17</v>
      </c>
      <c r="Y19" s="7">
        <v>0</v>
      </c>
      <c r="Z19" s="7">
        <v>213.85</v>
      </c>
    </row>
    <row r="20" spans="1:26" x14ac:dyDescent="0.35">
      <c r="A20" s="7" t="s">
        <v>27</v>
      </c>
      <c r="B20" s="7" t="s">
        <v>28</v>
      </c>
      <c r="C20" s="7" t="s">
        <v>48</v>
      </c>
      <c r="D20" s="7" t="s">
        <v>62</v>
      </c>
      <c r="E20" s="7" t="s">
        <v>43</v>
      </c>
      <c r="F20" s="7" t="s">
        <v>43</v>
      </c>
      <c r="G20" s="7">
        <v>2017</v>
      </c>
      <c r="H20" s="7" t="str">
        <f>CONCATENATE("14270128417")</f>
        <v>14270128417</v>
      </c>
      <c r="I20" s="7" t="s">
        <v>30</v>
      </c>
      <c r="J20" s="7" t="s">
        <v>31</v>
      </c>
      <c r="K20" s="7" t="str">
        <f>CONCATENATE("")</f>
        <v/>
      </c>
      <c r="L20" s="7" t="str">
        <f>CONCATENATE("21 21.1 2a")</f>
        <v>21 21.1 2a</v>
      </c>
      <c r="M20" s="7" t="str">
        <f>CONCATENATE("PPGLND80E23I156C")</f>
        <v>PPGLND80E23I156C</v>
      </c>
      <c r="N20" s="7" t="s">
        <v>80</v>
      </c>
      <c r="O20" s="7" t="s">
        <v>78</v>
      </c>
      <c r="P20" s="8">
        <v>44321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7000</v>
      </c>
      <c r="W20" s="9">
        <v>3018.4</v>
      </c>
      <c r="X20" s="9">
        <v>2787.4</v>
      </c>
      <c r="Y20" s="7">
        <v>0</v>
      </c>
      <c r="Z20" s="9">
        <v>1194.2</v>
      </c>
    </row>
    <row r="21" spans="1:26" x14ac:dyDescent="0.35">
      <c r="A21" s="7" t="s">
        <v>27</v>
      </c>
      <c r="B21" s="7" t="s">
        <v>28</v>
      </c>
      <c r="C21" s="7" t="s">
        <v>48</v>
      </c>
      <c r="D21" s="7" t="s">
        <v>59</v>
      </c>
      <c r="E21" s="7" t="s">
        <v>43</v>
      </c>
      <c r="F21" s="7" t="s">
        <v>43</v>
      </c>
      <c r="G21" s="7">
        <v>2017</v>
      </c>
      <c r="H21" s="7" t="str">
        <f>CONCATENATE("14270116594")</f>
        <v>14270116594</v>
      </c>
      <c r="I21" s="7" t="s">
        <v>30</v>
      </c>
      <c r="J21" s="7" t="s">
        <v>31</v>
      </c>
      <c r="K21" s="7" t="str">
        <f>CONCATENATE("")</f>
        <v/>
      </c>
      <c r="L21" s="7" t="str">
        <f>CONCATENATE("21 21.1 2a")</f>
        <v>21 21.1 2a</v>
      </c>
      <c r="M21" s="7" t="str">
        <f>CONCATENATE("DLLGPP58C02H801Z")</f>
        <v>DLLGPP58C02H801Z</v>
      </c>
      <c r="N21" s="7" t="s">
        <v>81</v>
      </c>
      <c r="O21" s="7" t="s">
        <v>78</v>
      </c>
      <c r="P21" s="8">
        <v>44321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9">
        <v>6041.38</v>
      </c>
      <c r="W21" s="9">
        <v>2605.04</v>
      </c>
      <c r="X21" s="9">
        <v>2405.6799999999998</v>
      </c>
      <c r="Y21" s="7">
        <v>0</v>
      </c>
      <c r="Z21" s="9">
        <v>1030.6600000000001</v>
      </c>
    </row>
    <row r="22" spans="1:26" x14ac:dyDescent="0.35">
      <c r="A22" s="7" t="s">
        <v>27</v>
      </c>
      <c r="B22" s="7" t="s">
        <v>28</v>
      </c>
      <c r="C22" s="7" t="s">
        <v>48</v>
      </c>
      <c r="D22" s="7" t="s">
        <v>56</v>
      </c>
      <c r="E22" s="7" t="s">
        <v>29</v>
      </c>
      <c r="F22" s="7" t="s">
        <v>82</v>
      </c>
      <c r="G22" s="7">
        <v>2017</v>
      </c>
      <c r="H22" s="7" t="str">
        <f>CONCATENATE("14270116826")</f>
        <v>14270116826</v>
      </c>
      <c r="I22" s="7" t="s">
        <v>30</v>
      </c>
      <c r="J22" s="7" t="s">
        <v>31</v>
      </c>
      <c r="K22" s="7" t="str">
        <f>CONCATENATE("")</f>
        <v/>
      </c>
      <c r="L22" s="7" t="str">
        <f>CONCATENATE("21 21.1 2a")</f>
        <v>21 21.1 2a</v>
      </c>
      <c r="M22" s="7" t="str">
        <f>CONCATENATE("02078240427")</f>
        <v>02078240427</v>
      </c>
      <c r="N22" s="7" t="s">
        <v>83</v>
      </c>
      <c r="O22" s="7" t="s">
        <v>78</v>
      </c>
      <c r="P22" s="8">
        <v>44321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9">
        <v>7000</v>
      </c>
      <c r="W22" s="9">
        <v>3018.4</v>
      </c>
      <c r="X22" s="9">
        <v>2787.4</v>
      </c>
      <c r="Y22" s="7">
        <v>0</v>
      </c>
      <c r="Z22" s="9">
        <v>1194.2</v>
      </c>
    </row>
    <row r="23" spans="1:26" x14ac:dyDescent="0.35">
      <c r="A23" s="7" t="s">
        <v>27</v>
      </c>
      <c r="B23" s="7" t="s">
        <v>28</v>
      </c>
      <c r="C23" s="7" t="s">
        <v>48</v>
      </c>
      <c r="D23" s="7" t="s">
        <v>59</v>
      </c>
      <c r="E23" s="7" t="s">
        <v>43</v>
      </c>
      <c r="F23" s="7" t="s">
        <v>43</v>
      </c>
      <c r="G23" s="7">
        <v>2017</v>
      </c>
      <c r="H23" s="7" t="str">
        <f>CONCATENATE("14270116735")</f>
        <v>14270116735</v>
      </c>
      <c r="I23" s="7" t="s">
        <v>30</v>
      </c>
      <c r="J23" s="7" t="s">
        <v>31</v>
      </c>
      <c r="K23" s="7" t="str">
        <f>CONCATENATE("")</f>
        <v/>
      </c>
      <c r="L23" s="7" t="str">
        <f>CONCATENATE("21 21.1 2a")</f>
        <v>21 21.1 2a</v>
      </c>
      <c r="M23" s="7" t="str">
        <f>CONCATENATE("CNTFRC74R51H274F")</f>
        <v>CNTFRC74R51H274F</v>
      </c>
      <c r="N23" s="7" t="s">
        <v>84</v>
      </c>
      <c r="O23" s="7" t="s">
        <v>78</v>
      </c>
      <c r="P23" s="8">
        <v>44321</v>
      </c>
      <c r="Q23" s="7" t="s">
        <v>32</v>
      </c>
      <c r="R23" s="7" t="s">
        <v>33</v>
      </c>
      <c r="S23" s="7" t="s">
        <v>34</v>
      </c>
      <c r="T23" s="7"/>
      <c r="U23" s="7" t="s">
        <v>35</v>
      </c>
      <c r="V23" s="9">
        <v>7000</v>
      </c>
      <c r="W23" s="9">
        <v>3018.4</v>
      </c>
      <c r="X23" s="9">
        <v>2787.4</v>
      </c>
      <c r="Y23" s="7">
        <v>0</v>
      </c>
      <c r="Z23" s="9">
        <v>1194.2</v>
      </c>
    </row>
    <row r="24" spans="1:26" x14ac:dyDescent="0.35">
      <c r="A24" s="7" t="s">
        <v>27</v>
      </c>
      <c r="B24" s="7" t="s">
        <v>28</v>
      </c>
      <c r="C24" s="7" t="s">
        <v>48</v>
      </c>
      <c r="D24" s="7" t="s">
        <v>59</v>
      </c>
      <c r="E24" s="7" t="s">
        <v>43</v>
      </c>
      <c r="F24" s="7" t="s">
        <v>43</v>
      </c>
      <c r="G24" s="7">
        <v>2017</v>
      </c>
      <c r="H24" s="7" t="str">
        <f>CONCATENATE("14270116834")</f>
        <v>14270116834</v>
      </c>
      <c r="I24" s="7" t="s">
        <v>30</v>
      </c>
      <c r="J24" s="7" t="s">
        <v>31</v>
      </c>
      <c r="K24" s="7" t="str">
        <f>CONCATENATE("")</f>
        <v/>
      </c>
      <c r="L24" s="7" t="str">
        <f>CONCATENATE("21 21.1 2a")</f>
        <v>21 21.1 2a</v>
      </c>
      <c r="M24" s="7" t="str">
        <f>CONCATENATE("FRSFBA65C29D488E")</f>
        <v>FRSFBA65C29D488E</v>
      </c>
      <c r="N24" s="7" t="s">
        <v>85</v>
      </c>
      <c r="O24" s="7" t="s">
        <v>78</v>
      </c>
      <c r="P24" s="8">
        <v>44321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9">
        <v>7000</v>
      </c>
      <c r="W24" s="9">
        <v>3018.4</v>
      </c>
      <c r="X24" s="9">
        <v>2787.4</v>
      </c>
      <c r="Y24" s="7">
        <v>0</v>
      </c>
      <c r="Z24" s="9">
        <v>1194.2</v>
      </c>
    </row>
    <row r="25" spans="1:26" x14ac:dyDescent="0.35">
      <c r="A25" s="7" t="s">
        <v>27</v>
      </c>
      <c r="B25" s="7" t="s">
        <v>28</v>
      </c>
      <c r="C25" s="7" t="s">
        <v>48</v>
      </c>
      <c r="D25" s="7" t="s">
        <v>62</v>
      </c>
      <c r="E25" s="7" t="s">
        <v>29</v>
      </c>
      <c r="F25" s="7" t="s">
        <v>86</v>
      </c>
      <c r="G25" s="7">
        <v>2017</v>
      </c>
      <c r="H25" s="7" t="str">
        <f>CONCATENATE("14270116545")</f>
        <v>14270116545</v>
      </c>
      <c r="I25" s="7" t="s">
        <v>30</v>
      </c>
      <c r="J25" s="7" t="s">
        <v>31</v>
      </c>
      <c r="K25" s="7" t="str">
        <f>CONCATENATE("")</f>
        <v/>
      </c>
      <c r="L25" s="7" t="str">
        <f>CONCATENATE("21 21.1 2a")</f>
        <v>21 21.1 2a</v>
      </c>
      <c r="M25" s="7" t="str">
        <f>CONCATENATE("BLLLSN79P19C704A")</f>
        <v>BLLLSN79P19C704A</v>
      </c>
      <c r="N25" s="7" t="s">
        <v>87</v>
      </c>
      <c r="O25" s="7" t="s">
        <v>78</v>
      </c>
      <c r="P25" s="8">
        <v>44321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9">
        <v>7000</v>
      </c>
      <c r="W25" s="9">
        <v>3018.4</v>
      </c>
      <c r="X25" s="9">
        <v>2787.4</v>
      </c>
      <c r="Y25" s="7">
        <v>0</v>
      </c>
      <c r="Z25" s="9">
        <v>1194.2</v>
      </c>
    </row>
    <row r="26" spans="1:26" x14ac:dyDescent="0.35">
      <c r="A26" s="7" t="s">
        <v>27</v>
      </c>
      <c r="B26" s="7" t="s">
        <v>28</v>
      </c>
      <c r="C26" s="7" t="s">
        <v>48</v>
      </c>
      <c r="D26" s="7" t="s">
        <v>62</v>
      </c>
      <c r="E26" s="7" t="s">
        <v>29</v>
      </c>
      <c r="F26" s="7" t="s">
        <v>88</v>
      </c>
      <c r="G26" s="7">
        <v>2017</v>
      </c>
      <c r="H26" s="7" t="str">
        <f>CONCATENATE("14270116412")</f>
        <v>14270116412</v>
      </c>
      <c r="I26" s="7" t="s">
        <v>30</v>
      </c>
      <c r="J26" s="7" t="s">
        <v>31</v>
      </c>
      <c r="K26" s="7" t="str">
        <f>CONCATENATE("")</f>
        <v/>
      </c>
      <c r="L26" s="7" t="str">
        <f>CONCATENATE("21 21.1 2a")</f>
        <v>21 21.1 2a</v>
      </c>
      <c r="M26" s="7" t="str">
        <f>CONCATENATE("CRPLRD79R14C770O")</f>
        <v>CRPLRD79R14C770O</v>
      </c>
      <c r="N26" s="7" t="s">
        <v>89</v>
      </c>
      <c r="O26" s="7" t="s">
        <v>78</v>
      </c>
      <c r="P26" s="8">
        <v>44321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9">
        <v>7000</v>
      </c>
      <c r="W26" s="9">
        <v>3018.4</v>
      </c>
      <c r="X26" s="9">
        <v>2787.4</v>
      </c>
      <c r="Y26" s="7">
        <v>0</v>
      </c>
      <c r="Z26" s="9">
        <v>1194.2</v>
      </c>
    </row>
    <row r="27" spans="1:26" x14ac:dyDescent="0.35">
      <c r="A27" s="7" t="s">
        <v>27</v>
      </c>
      <c r="B27" s="7" t="s">
        <v>28</v>
      </c>
      <c r="C27" s="7" t="s">
        <v>48</v>
      </c>
      <c r="D27" s="7" t="s">
        <v>59</v>
      </c>
      <c r="E27" s="7" t="s">
        <v>43</v>
      </c>
      <c r="F27" s="7" t="s">
        <v>43</v>
      </c>
      <c r="G27" s="7">
        <v>2017</v>
      </c>
      <c r="H27" s="7" t="str">
        <f>CONCATENATE("14270116370")</f>
        <v>14270116370</v>
      </c>
      <c r="I27" s="7" t="s">
        <v>30</v>
      </c>
      <c r="J27" s="7" t="s">
        <v>31</v>
      </c>
      <c r="K27" s="7" t="str">
        <f>CONCATENATE("")</f>
        <v/>
      </c>
      <c r="L27" s="7" t="str">
        <f>CONCATENATE("21 21.1 2a")</f>
        <v>21 21.1 2a</v>
      </c>
      <c r="M27" s="7" t="str">
        <f>CONCATENATE("02399120423")</f>
        <v>02399120423</v>
      </c>
      <c r="N27" s="7" t="s">
        <v>90</v>
      </c>
      <c r="O27" s="7" t="s">
        <v>78</v>
      </c>
      <c r="P27" s="8">
        <v>44321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9">
        <v>7000</v>
      </c>
      <c r="W27" s="9">
        <v>3018.4</v>
      </c>
      <c r="X27" s="9">
        <v>2787.4</v>
      </c>
      <c r="Y27" s="7">
        <v>0</v>
      </c>
      <c r="Z27" s="9">
        <v>1194.2</v>
      </c>
    </row>
    <row r="28" spans="1:26" x14ac:dyDescent="0.35">
      <c r="A28" s="7" t="s">
        <v>27</v>
      </c>
      <c r="B28" s="7" t="s">
        <v>28</v>
      </c>
      <c r="C28" s="7" t="s">
        <v>48</v>
      </c>
      <c r="D28" s="7" t="s">
        <v>59</v>
      </c>
      <c r="E28" s="7" t="s">
        <v>43</v>
      </c>
      <c r="F28" s="7" t="s">
        <v>43</v>
      </c>
      <c r="G28" s="7">
        <v>2017</v>
      </c>
      <c r="H28" s="7" t="str">
        <f>CONCATENATE("14270116578")</f>
        <v>14270116578</v>
      </c>
      <c r="I28" s="7" t="s">
        <v>30</v>
      </c>
      <c r="J28" s="7" t="s">
        <v>31</v>
      </c>
      <c r="K28" s="7" t="str">
        <f>CONCATENATE("")</f>
        <v/>
      </c>
      <c r="L28" s="7" t="str">
        <f>CONCATENATE("21 21.1 2a")</f>
        <v>21 21.1 2a</v>
      </c>
      <c r="M28" s="7" t="str">
        <f>CONCATENATE("DMRLCN50T52D488C")</f>
        <v>DMRLCN50T52D488C</v>
      </c>
      <c r="N28" s="7" t="s">
        <v>91</v>
      </c>
      <c r="O28" s="7" t="s">
        <v>78</v>
      </c>
      <c r="P28" s="8">
        <v>44321</v>
      </c>
      <c r="Q28" s="7" t="s">
        <v>32</v>
      </c>
      <c r="R28" s="7" t="s">
        <v>33</v>
      </c>
      <c r="S28" s="7" t="s">
        <v>34</v>
      </c>
      <c r="T28" s="7"/>
      <c r="U28" s="7" t="s">
        <v>35</v>
      </c>
      <c r="V28" s="9">
        <v>7000</v>
      </c>
      <c r="W28" s="9">
        <v>3018.4</v>
      </c>
      <c r="X28" s="9">
        <v>2787.4</v>
      </c>
      <c r="Y28" s="7">
        <v>0</v>
      </c>
      <c r="Z28" s="9">
        <v>1194.2</v>
      </c>
    </row>
    <row r="29" spans="1:26" x14ac:dyDescent="0.35">
      <c r="A29" s="7" t="s">
        <v>27</v>
      </c>
      <c r="B29" s="7" t="s">
        <v>28</v>
      </c>
      <c r="C29" s="7" t="s">
        <v>48</v>
      </c>
      <c r="D29" s="7" t="s">
        <v>56</v>
      </c>
      <c r="E29" s="7" t="s">
        <v>43</v>
      </c>
      <c r="F29" s="7" t="s">
        <v>43</v>
      </c>
      <c r="G29" s="7">
        <v>2017</v>
      </c>
      <c r="H29" s="7" t="str">
        <f>CONCATENATE("14270116388")</f>
        <v>14270116388</v>
      </c>
      <c r="I29" s="7" t="s">
        <v>30</v>
      </c>
      <c r="J29" s="7" t="s">
        <v>31</v>
      </c>
      <c r="K29" s="7" t="str">
        <f>CONCATENATE("")</f>
        <v/>
      </c>
      <c r="L29" s="7" t="str">
        <f>CONCATENATE("21 21.1 2a")</f>
        <v>21 21.1 2a</v>
      </c>
      <c r="M29" s="7" t="str">
        <f>CONCATENATE("00652180423")</f>
        <v>00652180423</v>
      </c>
      <c r="N29" s="7" t="s">
        <v>92</v>
      </c>
      <c r="O29" s="7" t="s">
        <v>78</v>
      </c>
      <c r="P29" s="8">
        <v>44321</v>
      </c>
      <c r="Q29" s="7" t="s">
        <v>32</v>
      </c>
      <c r="R29" s="7" t="s">
        <v>33</v>
      </c>
      <c r="S29" s="7" t="s">
        <v>34</v>
      </c>
      <c r="T29" s="7"/>
      <c r="U29" s="7" t="s">
        <v>35</v>
      </c>
      <c r="V29" s="9">
        <v>7000</v>
      </c>
      <c r="W29" s="9">
        <v>3018.4</v>
      </c>
      <c r="X29" s="9">
        <v>2787.4</v>
      </c>
      <c r="Y29" s="7">
        <v>0</v>
      </c>
      <c r="Z29" s="9">
        <v>1194.2</v>
      </c>
    </row>
    <row r="30" spans="1:26" x14ac:dyDescent="0.35">
      <c r="A30" s="7" t="s">
        <v>27</v>
      </c>
      <c r="B30" s="7" t="s">
        <v>28</v>
      </c>
      <c r="C30" s="7" t="s">
        <v>48</v>
      </c>
      <c r="D30" s="7" t="s">
        <v>49</v>
      </c>
      <c r="E30" s="7" t="s">
        <v>37</v>
      </c>
      <c r="F30" s="7" t="s">
        <v>93</v>
      </c>
      <c r="G30" s="7">
        <v>2017</v>
      </c>
      <c r="H30" s="7" t="str">
        <f>CONCATENATE("14270116396")</f>
        <v>14270116396</v>
      </c>
      <c r="I30" s="7" t="s">
        <v>30</v>
      </c>
      <c r="J30" s="7" t="s">
        <v>31</v>
      </c>
      <c r="K30" s="7" t="str">
        <f>CONCATENATE("")</f>
        <v/>
      </c>
      <c r="L30" s="7" t="str">
        <f>CONCATENATE("21 21.1 2a")</f>
        <v>21 21.1 2a</v>
      </c>
      <c r="M30" s="7" t="str">
        <f>CONCATENATE("FRNSFN74A08L219R")</f>
        <v>FRNSFN74A08L219R</v>
      </c>
      <c r="N30" s="7" t="s">
        <v>94</v>
      </c>
      <c r="O30" s="7" t="s">
        <v>78</v>
      </c>
      <c r="P30" s="8">
        <v>44321</v>
      </c>
      <c r="Q30" s="7" t="s">
        <v>32</v>
      </c>
      <c r="R30" s="7" t="s">
        <v>33</v>
      </c>
      <c r="S30" s="7" t="s">
        <v>34</v>
      </c>
      <c r="T30" s="7"/>
      <c r="U30" s="7" t="s">
        <v>35</v>
      </c>
      <c r="V30" s="9">
        <v>7000</v>
      </c>
      <c r="W30" s="9">
        <v>3018.4</v>
      </c>
      <c r="X30" s="9">
        <v>2787.4</v>
      </c>
      <c r="Y30" s="7">
        <v>0</v>
      </c>
      <c r="Z30" s="9">
        <v>1194.2</v>
      </c>
    </row>
    <row r="31" spans="1:26" x14ac:dyDescent="0.35">
      <c r="A31" s="7" t="s">
        <v>27</v>
      </c>
      <c r="B31" s="7" t="s">
        <v>36</v>
      </c>
      <c r="C31" s="7" t="s">
        <v>48</v>
      </c>
      <c r="D31" s="7" t="s">
        <v>49</v>
      </c>
      <c r="E31" s="7" t="s">
        <v>29</v>
      </c>
      <c r="F31" s="7" t="s">
        <v>95</v>
      </c>
      <c r="G31" s="7">
        <v>2020</v>
      </c>
      <c r="H31" s="7" t="str">
        <f>CONCATENATE("04240770372")</f>
        <v>04240770372</v>
      </c>
      <c r="I31" s="7" t="s">
        <v>30</v>
      </c>
      <c r="J31" s="7" t="s">
        <v>31</v>
      </c>
      <c r="K31" s="7" t="str">
        <f>CONCATENATE("")</f>
        <v/>
      </c>
      <c r="L31" s="7" t="str">
        <f>CONCATENATE("11 11.1 4b")</f>
        <v>11 11.1 4b</v>
      </c>
      <c r="M31" s="7" t="str">
        <f>CONCATENATE("VLNVRN78A50D542K")</f>
        <v>VLNVRN78A50D542K</v>
      </c>
      <c r="N31" s="7" t="s">
        <v>96</v>
      </c>
      <c r="O31" s="7" t="s">
        <v>52</v>
      </c>
      <c r="P31" s="8">
        <v>44321</v>
      </c>
      <c r="Q31" s="7" t="s">
        <v>32</v>
      </c>
      <c r="R31" s="7" t="s">
        <v>33</v>
      </c>
      <c r="S31" s="7" t="s">
        <v>34</v>
      </c>
      <c r="T31" s="7"/>
      <c r="U31" s="7" t="s">
        <v>35</v>
      </c>
      <c r="V31" s="9">
        <v>1446.07</v>
      </c>
      <c r="W31" s="7">
        <v>623.54999999999995</v>
      </c>
      <c r="X31" s="7">
        <v>575.83000000000004</v>
      </c>
      <c r="Y31" s="7">
        <v>0</v>
      </c>
      <c r="Z31" s="7">
        <v>246.69</v>
      </c>
    </row>
    <row r="32" spans="1:26" x14ac:dyDescent="0.35">
      <c r="A32" s="7" t="s">
        <v>27</v>
      </c>
      <c r="B32" s="7" t="s">
        <v>36</v>
      </c>
      <c r="C32" s="7" t="s">
        <v>48</v>
      </c>
      <c r="D32" s="7" t="s">
        <v>49</v>
      </c>
      <c r="E32" s="7" t="s">
        <v>40</v>
      </c>
      <c r="F32" s="7" t="s">
        <v>97</v>
      </c>
      <c r="G32" s="7">
        <v>2020</v>
      </c>
      <c r="H32" s="7" t="str">
        <f>CONCATENATE("04241316647")</f>
        <v>04241316647</v>
      </c>
      <c r="I32" s="7" t="s">
        <v>30</v>
      </c>
      <c r="J32" s="7" t="s">
        <v>31</v>
      </c>
      <c r="K32" s="7" t="str">
        <f>CONCATENATE("")</f>
        <v/>
      </c>
      <c r="L32" s="7" t="str">
        <f>CONCATENATE("11 11.1 4b")</f>
        <v>11 11.1 4b</v>
      </c>
      <c r="M32" s="7" t="str">
        <f>CONCATENATE("LNRSML78S16H769U")</f>
        <v>LNRSML78S16H769U</v>
      </c>
      <c r="N32" s="7" t="s">
        <v>98</v>
      </c>
      <c r="O32" s="7" t="s">
        <v>52</v>
      </c>
      <c r="P32" s="8">
        <v>44321</v>
      </c>
      <c r="Q32" s="7" t="s">
        <v>32</v>
      </c>
      <c r="R32" s="7" t="s">
        <v>33</v>
      </c>
      <c r="S32" s="7" t="s">
        <v>34</v>
      </c>
      <c r="T32" s="7"/>
      <c r="U32" s="7" t="s">
        <v>35</v>
      </c>
      <c r="V32" s="9">
        <v>3324.15</v>
      </c>
      <c r="W32" s="9">
        <v>1433.37</v>
      </c>
      <c r="X32" s="9">
        <v>1323.68</v>
      </c>
      <c r="Y32" s="7">
        <v>0</v>
      </c>
      <c r="Z32" s="7">
        <v>567.1</v>
      </c>
    </row>
    <row r="33" spans="1:26" x14ac:dyDescent="0.35">
      <c r="A33" s="7" t="s">
        <v>27</v>
      </c>
      <c r="B33" s="7" t="s">
        <v>36</v>
      </c>
      <c r="C33" s="7" t="s">
        <v>48</v>
      </c>
      <c r="D33" s="7" t="s">
        <v>49</v>
      </c>
      <c r="E33" s="7" t="s">
        <v>40</v>
      </c>
      <c r="F33" s="7" t="s">
        <v>99</v>
      </c>
      <c r="G33" s="7">
        <v>2020</v>
      </c>
      <c r="H33" s="7" t="str">
        <f>CONCATENATE("04240440190")</f>
        <v>04240440190</v>
      </c>
      <c r="I33" s="7" t="s">
        <v>30</v>
      </c>
      <c r="J33" s="7" t="s">
        <v>31</v>
      </c>
      <c r="K33" s="7" t="str">
        <f>CONCATENATE("")</f>
        <v/>
      </c>
      <c r="L33" s="7" t="str">
        <f>CONCATENATE("11 11.2 4b")</f>
        <v>11 11.2 4b</v>
      </c>
      <c r="M33" s="7" t="str">
        <f>CONCATENATE("02347900447")</f>
        <v>02347900447</v>
      </c>
      <c r="N33" s="7" t="s">
        <v>100</v>
      </c>
      <c r="O33" s="7" t="s">
        <v>52</v>
      </c>
      <c r="P33" s="8">
        <v>44321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9">
        <v>13996.14</v>
      </c>
      <c r="W33" s="9">
        <v>6035.14</v>
      </c>
      <c r="X33" s="9">
        <v>5573.26</v>
      </c>
      <c r="Y33" s="7">
        <v>0</v>
      </c>
      <c r="Z33" s="9">
        <v>2387.7399999999998</v>
      </c>
    </row>
    <row r="34" spans="1:26" x14ac:dyDescent="0.35">
      <c r="A34" s="7" t="s">
        <v>27</v>
      </c>
      <c r="B34" s="7" t="s">
        <v>36</v>
      </c>
      <c r="C34" s="7" t="s">
        <v>48</v>
      </c>
      <c r="D34" s="7" t="s">
        <v>49</v>
      </c>
      <c r="E34" s="7" t="s">
        <v>41</v>
      </c>
      <c r="F34" s="7" t="s">
        <v>101</v>
      </c>
      <c r="G34" s="7">
        <v>2020</v>
      </c>
      <c r="H34" s="7" t="str">
        <f>CONCATENATE("04240652794")</f>
        <v>04240652794</v>
      </c>
      <c r="I34" s="7" t="s">
        <v>30</v>
      </c>
      <c r="J34" s="7" t="s">
        <v>31</v>
      </c>
      <c r="K34" s="7" t="str">
        <f>CONCATENATE("")</f>
        <v/>
      </c>
      <c r="L34" s="7" t="str">
        <f>CONCATENATE("11 11.1 4b")</f>
        <v>11 11.1 4b</v>
      </c>
      <c r="M34" s="7" t="str">
        <f>CONCATENATE("LCNLCU92R08A462C")</f>
        <v>LCNLCU92R08A462C</v>
      </c>
      <c r="N34" s="7" t="s">
        <v>102</v>
      </c>
      <c r="O34" s="7" t="s">
        <v>52</v>
      </c>
      <c r="P34" s="8">
        <v>44321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16989.669999999998</v>
      </c>
      <c r="W34" s="9">
        <v>7325.95</v>
      </c>
      <c r="X34" s="9">
        <v>6765.29</v>
      </c>
      <c r="Y34" s="7">
        <v>0</v>
      </c>
      <c r="Z34" s="9">
        <v>2898.43</v>
      </c>
    </row>
    <row r="35" spans="1:26" x14ac:dyDescent="0.35">
      <c r="A35" s="7" t="s">
        <v>27</v>
      </c>
      <c r="B35" s="7" t="s">
        <v>36</v>
      </c>
      <c r="C35" s="7" t="s">
        <v>48</v>
      </c>
      <c r="D35" s="7" t="s">
        <v>49</v>
      </c>
      <c r="E35" s="7" t="s">
        <v>42</v>
      </c>
      <c r="F35" s="7" t="s">
        <v>50</v>
      </c>
      <c r="G35" s="7">
        <v>2020</v>
      </c>
      <c r="H35" s="7" t="str">
        <f>CONCATENATE("04240599581")</f>
        <v>04240599581</v>
      </c>
      <c r="I35" s="7" t="s">
        <v>30</v>
      </c>
      <c r="J35" s="7" t="s">
        <v>31</v>
      </c>
      <c r="K35" s="7" t="str">
        <f>CONCATENATE("")</f>
        <v/>
      </c>
      <c r="L35" s="7" t="str">
        <f>CONCATENATE("11 11.2 4b")</f>
        <v>11 11.2 4b</v>
      </c>
      <c r="M35" s="7" t="str">
        <f>CONCATENATE("CCCTRS54B53F268R")</f>
        <v>CCCTRS54B53F268R</v>
      </c>
      <c r="N35" s="7" t="s">
        <v>103</v>
      </c>
      <c r="O35" s="7" t="s">
        <v>52</v>
      </c>
      <c r="P35" s="8">
        <v>44321</v>
      </c>
      <c r="Q35" s="7" t="s">
        <v>32</v>
      </c>
      <c r="R35" s="7" t="s">
        <v>33</v>
      </c>
      <c r="S35" s="7" t="s">
        <v>34</v>
      </c>
      <c r="T35" s="7"/>
      <c r="U35" s="7" t="s">
        <v>35</v>
      </c>
      <c r="V35" s="7">
        <v>442.97</v>
      </c>
      <c r="W35" s="7">
        <v>191.01</v>
      </c>
      <c r="X35" s="7">
        <v>176.39</v>
      </c>
      <c r="Y35" s="7">
        <v>0</v>
      </c>
      <c r="Z35" s="7">
        <v>75.569999999999993</v>
      </c>
    </row>
    <row r="36" spans="1:26" ht="17.5" x14ac:dyDescent="0.35">
      <c r="A36" s="7" t="s">
        <v>27</v>
      </c>
      <c r="B36" s="7" t="s">
        <v>36</v>
      </c>
      <c r="C36" s="7" t="s">
        <v>48</v>
      </c>
      <c r="D36" s="7" t="s">
        <v>49</v>
      </c>
      <c r="E36" s="7" t="s">
        <v>29</v>
      </c>
      <c r="F36" s="7" t="s">
        <v>104</v>
      </c>
      <c r="G36" s="7">
        <v>2020</v>
      </c>
      <c r="H36" s="7" t="str">
        <f>CONCATENATE("04241097320")</f>
        <v>04241097320</v>
      </c>
      <c r="I36" s="7" t="s">
        <v>30</v>
      </c>
      <c r="J36" s="7" t="s">
        <v>31</v>
      </c>
      <c r="K36" s="7" t="str">
        <f>CONCATENATE("")</f>
        <v/>
      </c>
      <c r="L36" s="7" t="str">
        <f>CONCATENATE("11 11.2 4b")</f>
        <v>11 11.2 4b</v>
      </c>
      <c r="M36" s="7" t="str">
        <f>CONCATENATE("MRNNMR56L50C321N")</f>
        <v>MRNNMR56L50C321N</v>
      </c>
      <c r="N36" s="7" t="s">
        <v>105</v>
      </c>
      <c r="O36" s="7" t="s">
        <v>52</v>
      </c>
      <c r="P36" s="8">
        <v>44321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9">
        <v>1790.85</v>
      </c>
      <c r="W36" s="7">
        <v>772.21</v>
      </c>
      <c r="X36" s="7">
        <v>713.12</v>
      </c>
      <c r="Y36" s="7">
        <v>0</v>
      </c>
      <c r="Z36" s="7">
        <v>305.52</v>
      </c>
    </row>
    <row r="37" spans="1:26" x14ac:dyDescent="0.35">
      <c r="A37" s="7" t="s">
        <v>27</v>
      </c>
      <c r="B37" s="7" t="s">
        <v>28</v>
      </c>
      <c r="C37" s="7" t="s">
        <v>48</v>
      </c>
      <c r="D37" s="7" t="s">
        <v>56</v>
      </c>
      <c r="E37" s="7" t="s">
        <v>29</v>
      </c>
      <c r="F37" s="7" t="s">
        <v>106</v>
      </c>
      <c r="G37" s="7">
        <v>2017</v>
      </c>
      <c r="H37" s="7" t="str">
        <f>CONCATENATE("14270116701")</f>
        <v>14270116701</v>
      </c>
      <c r="I37" s="7" t="s">
        <v>30</v>
      </c>
      <c r="J37" s="7" t="s">
        <v>31</v>
      </c>
      <c r="K37" s="7" t="str">
        <f>CONCATENATE("")</f>
        <v/>
      </c>
      <c r="L37" s="7" t="str">
        <f>CONCATENATE("21 21.1 2a")</f>
        <v>21 21.1 2a</v>
      </c>
      <c r="M37" s="7" t="str">
        <f>CONCATENATE("CRTCRL33T24F453O")</f>
        <v>CRTCRL33T24F453O</v>
      </c>
      <c r="N37" s="7" t="s">
        <v>107</v>
      </c>
      <c r="O37" s="7" t="s">
        <v>78</v>
      </c>
      <c r="P37" s="8">
        <v>44321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9">
        <v>5113.95</v>
      </c>
      <c r="W37" s="9">
        <v>2205.14</v>
      </c>
      <c r="X37" s="9">
        <v>2036.37</v>
      </c>
      <c r="Y37" s="7">
        <v>0</v>
      </c>
      <c r="Z37" s="7">
        <v>872.44</v>
      </c>
    </row>
    <row r="38" spans="1:26" x14ac:dyDescent="0.35">
      <c r="A38" s="7" t="s">
        <v>27</v>
      </c>
      <c r="B38" s="7" t="s">
        <v>28</v>
      </c>
      <c r="C38" s="7" t="s">
        <v>48</v>
      </c>
      <c r="D38" s="7" t="s">
        <v>56</v>
      </c>
      <c r="E38" s="7" t="s">
        <v>43</v>
      </c>
      <c r="F38" s="7" t="s">
        <v>43</v>
      </c>
      <c r="G38" s="7">
        <v>2017</v>
      </c>
      <c r="H38" s="7" t="str">
        <f>CONCATENATE("14270116669")</f>
        <v>14270116669</v>
      </c>
      <c r="I38" s="7" t="s">
        <v>30</v>
      </c>
      <c r="J38" s="7" t="s">
        <v>31</v>
      </c>
      <c r="K38" s="7" t="str">
        <f>CONCATENATE("")</f>
        <v/>
      </c>
      <c r="L38" s="7" t="str">
        <f>CONCATENATE("21 21.1 2a")</f>
        <v>21 21.1 2a</v>
      </c>
      <c r="M38" s="7" t="str">
        <f>CONCATENATE("CSDSRA80R48A271O")</f>
        <v>CSDSRA80R48A271O</v>
      </c>
      <c r="N38" s="7" t="s">
        <v>108</v>
      </c>
      <c r="O38" s="7" t="s">
        <v>78</v>
      </c>
      <c r="P38" s="8">
        <v>44321</v>
      </c>
      <c r="Q38" s="7" t="s">
        <v>32</v>
      </c>
      <c r="R38" s="7" t="s">
        <v>33</v>
      </c>
      <c r="S38" s="7" t="s">
        <v>34</v>
      </c>
      <c r="T38" s="7"/>
      <c r="U38" s="7" t="s">
        <v>35</v>
      </c>
      <c r="V38" s="9">
        <v>1181.25</v>
      </c>
      <c r="W38" s="7">
        <v>509.36</v>
      </c>
      <c r="X38" s="7">
        <v>470.37</v>
      </c>
      <c r="Y38" s="7">
        <v>0</v>
      </c>
      <c r="Z38" s="7">
        <v>201.52</v>
      </c>
    </row>
    <row r="39" spans="1:26" x14ac:dyDescent="0.35">
      <c r="A39" s="7" t="s">
        <v>27</v>
      </c>
      <c r="B39" s="7" t="s">
        <v>28</v>
      </c>
      <c r="C39" s="7" t="s">
        <v>48</v>
      </c>
      <c r="D39" s="7" t="s">
        <v>59</v>
      </c>
      <c r="E39" s="7" t="s">
        <v>43</v>
      </c>
      <c r="F39" s="7" t="s">
        <v>43</v>
      </c>
      <c r="G39" s="7">
        <v>2017</v>
      </c>
      <c r="H39" s="7" t="str">
        <f>CONCATENATE("14270116479")</f>
        <v>14270116479</v>
      </c>
      <c r="I39" s="7" t="s">
        <v>30</v>
      </c>
      <c r="J39" s="7" t="s">
        <v>31</v>
      </c>
      <c r="K39" s="7" t="str">
        <f>CONCATENATE("")</f>
        <v/>
      </c>
      <c r="L39" s="7" t="str">
        <f>CONCATENATE("21 21.1 2a")</f>
        <v>21 21.1 2a</v>
      </c>
      <c r="M39" s="7" t="str">
        <f>CONCATENATE("CLNFRZ78R17G479M")</f>
        <v>CLNFRZ78R17G479M</v>
      </c>
      <c r="N39" s="7" t="s">
        <v>109</v>
      </c>
      <c r="O39" s="7" t="s">
        <v>78</v>
      </c>
      <c r="P39" s="8">
        <v>44321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9">
        <v>2455.85</v>
      </c>
      <c r="W39" s="9">
        <v>1058.96</v>
      </c>
      <c r="X39" s="7">
        <v>977.92</v>
      </c>
      <c r="Y39" s="7">
        <v>0</v>
      </c>
      <c r="Z39" s="7">
        <v>418.97</v>
      </c>
    </row>
    <row r="40" spans="1:26" x14ac:dyDescent="0.35">
      <c r="A40" s="7" t="s">
        <v>27</v>
      </c>
      <c r="B40" s="7" t="s">
        <v>28</v>
      </c>
      <c r="C40" s="7" t="s">
        <v>48</v>
      </c>
      <c r="D40" s="7" t="s">
        <v>49</v>
      </c>
      <c r="E40" s="7" t="s">
        <v>42</v>
      </c>
      <c r="F40" s="7" t="s">
        <v>50</v>
      </c>
      <c r="G40" s="7">
        <v>2017</v>
      </c>
      <c r="H40" s="7" t="str">
        <f>CONCATENATE("14270116891")</f>
        <v>14270116891</v>
      </c>
      <c r="I40" s="7" t="s">
        <v>30</v>
      </c>
      <c r="J40" s="7" t="s">
        <v>31</v>
      </c>
      <c r="K40" s="7" t="str">
        <f>CONCATENATE("")</f>
        <v/>
      </c>
      <c r="L40" s="7" t="str">
        <f>CONCATENATE("21 21.1 2a")</f>
        <v>21 21.1 2a</v>
      </c>
      <c r="M40" s="7" t="str">
        <f>CONCATENATE("DLCMDL63H52A462O")</f>
        <v>DLCMDL63H52A462O</v>
      </c>
      <c r="N40" s="7" t="s">
        <v>110</v>
      </c>
      <c r="O40" s="7" t="s">
        <v>78</v>
      </c>
      <c r="P40" s="8">
        <v>44321</v>
      </c>
      <c r="Q40" s="7" t="s">
        <v>32</v>
      </c>
      <c r="R40" s="7" t="s">
        <v>33</v>
      </c>
      <c r="S40" s="7" t="s">
        <v>34</v>
      </c>
      <c r="T40" s="7"/>
      <c r="U40" s="7" t="s">
        <v>35</v>
      </c>
      <c r="V40" s="9">
        <v>2045</v>
      </c>
      <c r="W40" s="7">
        <v>881.8</v>
      </c>
      <c r="X40" s="7">
        <v>814.32</v>
      </c>
      <c r="Y40" s="7">
        <v>0</v>
      </c>
      <c r="Z40" s="7">
        <v>348.88</v>
      </c>
    </row>
    <row r="41" spans="1:26" x14ac:dyDescent="0.35">
      <c r="A41" s="7" t="s">
        <v>27</v>
      </c>
      <c r="B41" s="7" t="s">
        <v>28</v>
      </c>
      <c r="C41" s="7" t="s">
        <v>48</v>
      </c>
      <c r="D41" s="7" t="s">
        <v>56</v>
      </c>
      <c r="E41" s="7" t="s">
        <v>29</v>
      </c>
      <c r="F41" s="7" t="s">
        <v>82</v>
      </c>
      <c r="G41" s="7">
        <v>2017</v>
      </c>
      <c r="H41" s="7" t="str">
        <f>CONCATENATE("14270116909")</f>
        <v>14270116909</v>
      </c>
      <c r="I41" s="7" t="s">
        <v>30</v>
      </c>
      <c r="J41" s="7" t="s">
        <v>31</v>
      </c>
      <c r="K41" s="7" t="str">
        <f>CONCATENATE("")</f>
        <v/>
      </c>
      <c r="L41" s="7" t="str">
        <f>CONCATENATE("21 21.1 2a")</f>
        <v>21 21.1 2a</v>
      </c>
      <c r="M41" s="7" t="str">
        <f>CONCATENATE("DLCRFL73M15Z133V")</f>
        <v>DLCRFL73M15Z133V</v>
      </c>
      <c r="N41" s="7" t="s">
        <v>111</v>
      </c>
      <c r="O41" s="7" t="s">
        <v>78</v>
      </c>
      <c r="P41" s="8">
        <v>44321</v>
      </c>
      <c r="Q41" s="7" t="s">
        <v>32</v>
      </c>
      <c r="R41" s="7" t="s">
        <v>33</v>
      </c>
      <c r="S41" s="7" t="s">
        <v>34</v>
      </c>
      <c r="T41" s="7"/>
      <c r="U41" s="7" t="s">
        <v>35</v>
      </c>
      <c r="V41" s="9">
        <v>7000</v>
      </c>
      <c r="W41" s="9">
        <v>3018.4</v>
      </c>
      <c r="X41" s="9">
        <v>2787.4</v>
      </c>
      <c r="Y41" s="7">
        <v>0</v>
      </c>
      <c r="Z41" s="9">
        <v>1194.2</v>
      </c>
    </row>
    <row r="42" spans="1:26" x14ac:dyDescent="0.35">
      <c r="A42" s="7" t="s">
        <v>27</v>
      </c>
      <c r="B42" s="7" t="s">
        <v>28</v>
      </c>
      <c r="C42" s="7" t="s">
        <v>48</v>
      </c>
      <c r="D42" s="7" t="s">
        <v>49</v>
      </c>
      <c r="E42" s="7" t="s">
        <v>43</v>
      </c>
      <c r="F42" s="7" t="s">
        <v>43</v>
      </c>
      <c r="G42" s="7">
        <v>2017</v>
      </c>
      <c r="H42" s="7" t="str">
        <f>CONCATENATE("14270118145")</f>
        <v>14270118145</v>
      </c>
      <c r="I42" s="7" t="s">
        <v>30</v>
      </c>
      <c r="J42" s="7" t="s">
        <v>31</v>
      </c>
      <c r="K42" s="7" t="str">
        <f>CONCATENATE("")</f>
        <v/>
      </c>
      <c r="L42" s="7" t="str">
        <f>CONCATENATE("21 21.1 2a")</f>
        <v>21 21.1 2a</v>
      </c>
      <c r="M42" s="7" t="str">
        <f>CONCATENATE("BRCRTI61T60G436B")</f>
        <v>BRCRTI61T60G436B</v>
      </c>
      <c r="N42" s="7" t="s">
        <v>112</v>
      </c>
      <c r="O42" s="7" t="s">
        <v>78</v>
      </c>
      <c r="P42" s="8">
        <v>44321</v>
      </c>
      <c r="Q42" s="7" t="s">
        <v>32</v>
      </c>
      <c r="R42" s="7" t="s">
        <v>33</v>
      </c>
      <c r="S42" s="7" t="s">
        <v>34</v>
      </c>
      <c r="T42" s="7"/>
      <c r="U42" s="7" t="s">
        <v>35</v>
      </c>
      <c r="V42" s="9">
        <v>7000</v>
      </c>
      <c r="W42" s="9">
        <v>3018.4</v>
      </c>
      <c r="X42" s="9">
        <v>2787.4</v>
      </c>
      <c r="Y42" s="7">
        <v>0</v>
      </c>
      <c r="Z42" s="9">
        <v>1194.2</v>
      </c>
    </row>
    <row r="43" spans="1:26" x14ac:dyDescent="0.35">
      <c r="A43" s="7" t="s">
        <v>27</v>
      </c>
      <c r="B43" s="7" t="s">
        <v>28</v>
      </c>
      <c r="C43" s="7" t="s">
        <v>48</v>
      </c>
      <c r="D43" s="7" t="s">
        <v>56</v>
      </c>
      <c r="E43" s="7" t="s">
        <v>29</v>
      </c>
      <c r="F43" s="7" t="s">
        <v>113</v>
      </c>
      <c r="G43" s="7">
        <v>2017</v>
      </c>
      <c r="H43" s="7" t="str">
        <f>CONCATENATE("14270118152")</f>
        <v>14270118152</v>
      </c>
      <c r="I43" s="7" t="s">
        <v>30</v>
      </c>
      <c r="J43" s="7" t="s">
        <v>31</v>
      </c>
      <c r="K43" s="7" t="str">
        <f>CONCATENATE("")</f>
        <v/>
      </c>
      <c r="L43" s="7" t="str">
        <f>CONCATENATE("21 21.1 2a")</f>
        <v>21 21.1 2a</v>
      </c>
      <c r="M43" s="7" t="str">
        <f>CONCATENATE("CNTMRA61T09I653I")</f>
        <v>CNTMRA61T09I653I</v>
      </c>
      <c r="N43" s="7" t="s">
        <v>114</v>
      </c>
      <c r="O43" s="7" t="s">
        <v>78</v>
      </c>
      <c r="P43" s="8">
        <v>44321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5208.1899999999996</v>
      </c>
      <c r="W43" s="9">
        <v>2245.77</v>
      </c>
      <c r="X43" s="9">
        <v>2073.9</v>
      </c>
      <c r="Y43" s="7">
        <v>0</v>
      </c>
      <c r="Z43" s="7">
        <v>888.52</v>
      </c>
    </row>
    <row r="44" spans="1:26" x14ac:dyDescent="0.35">
      <c r="A44" s="7" t="s">
        <v>27</v>
      </c>
      <c r="B44" s="7" t="s">
        <v>28</v>
      </c>
      <c r="C44" s="7" t="s">
        <v>48</v>
      </c>
      <c r="D44" s="7" t="s">
        <v>49</v>
      </c>
      <c r="E44" s="7" t="s">
        <v>29</v>
      </c>
      <c r="F44" s="7" t="s">
        <v>115</v>
      </c>
      <c r="G44" s="7">
        <v>2017</v>
      </c>
      <c r="H44" s="7" t="str">
        <f>CONCATENATE("14270116925")</f>
        <v>14270116925</v>
      </c>
      <c r="I44" s="7" t="s">
        <v>30</v>
      </c>
      <c r="J44" s="7" t="s">
        <v>31</v>
      </c>
      <c r="K44" s="7" t="str">
        <f>CONCATENATE("")</f>
        <v/>
      </c>
      <c r="L44" s="7" t="str">
        <f>CONCATENATE("21 21.1 2a")</f>
        <v>21 21.1 2a</v>
      </c>
      <c r="M44" s="7" t="str">
        <f>CONCATENATE("DNCSVN56T23G005Y")</f>
        <v>DNCSVN56T23G005Y</v>
      </c>
      <c r="N44" s="7" t="s">
        <v>116</v>
      </c>
      <c r="O44" s="7" t="s">
        <v>78</v>
      </c>
      <c r="P44" s="8">
        <v>44321</v>
      </c>
      <c r="Q44" s="7" t="s">
        <v>32</v>
      </c>
      <c r="R44" s="7" t="s">
        <v>33</v>
      </c>
      <c r="S44" s="7" t="s">
        <v>34</v>
      </c>
      <c r="T44" s="7"/>
      <c r="U44" s="7" t="s">
        <v>35</v>
      </c>
      <c r="V44" s="9">
        <v>5119</v>
      </c>
      <c r="W44" s="9">
        <v>2207.31</v>
      </c>
      <c r="X44" s="9">
        <v>2038.39</v>
      </c>
      <c r="Y44" s="7">
        <v>0</v>
      </c>
      <c r="Z44" s="7">
        <v>873.3</v>
      </c>
    </row>
    <row r="45" spans="1:26" x14ac:dyDescent="0.35">
      <c r="A45" s="7" t="s">
        <v>27</v>
      </c>
      <c r="B45" s="7" t="s">
        <v>28</v>
      </c>
      <c r="C45" s="7" t="s">
        <v>48</v>
      </c>
      <c r="D45" s="7" t="s">
        <v>62</v>
      </c>
      <c r="E45" s="7" t="s">
        <v>29</v>
      </c>
      <c r="F45" s="7" t="s">
        <v>86</v>
      </c>
      <c r="G45" s="7">
        <v>2017</v>
      </c>
      <c r="H45" s="7" t="str">
        <f>CONCATENATE("14270116503")</f>
        <v>14270116503</v>
      </c>
      <c r="I45" s="7" t="s">
        <v>30</v>
      </c>
      <c r="J45" s="7" t="s">
        <v>31</v>
      </c>
      <c r="K45" s="7" t="str">
        <f>CONCATENATE("")</f>
        <v/>
      </c>
      <c r="L45" s="7" t="str">
        <f>CONCATENATE("21 21.1 2a")</f>
        <v>21 21.1 2a</v>
      </c>
      <c r="M45" s="7" t="str">
        <f>CONCATENATE("FRTFDN38D19A329N")</f>
        <v>FRTFDN38D19A329N</v>
      </c>
      <c r="N45" s="7" t="s">
        <v>117</v>
      </c>
      <c r="O45" s="7" t="s">
        <v>78</v>
      </c>
      <c r="P45" s="8">
        <v>44321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9">
        <v>7000</v>
      </c>
      <c r="W45" s="9">
        <v>3018.4</v>
      </c>
      <c r="X45" s="9">
        <v>2787.4</v>
      </c>
      <c r="Y45" s="7">
        <v>0</v>
      </c>
      <c r="Z45" s="9">
        <v>1194.2</v>
      </c>
    </row>
    <row r="46" spans="1:26" x14ac:dyDescent="0.35">
      <c r="A46" s="7" t="s">
        <v>27</v>
      </c>
      <c r="B46" s="7" t="s">
        <v>28</v>
      </c>
      <c r="C46" s="7" t="s">
        <v>48</v>
      </c>
      <c r="D46" s="7" t="s">
        <v>59</v>
      </c>
      <c r="E46" s="7" t="s">
        <v>43</v>
      </c>
      <c r="F46" s="7" t="s">
        <v>43</v>
      </c>
      <c r="G46" s="7">
        <v>2017</v>
      </c>
      <c r="H46" s="7" t="str">
        <f>CONCATENATE("14270116800")</f>
        <v>14270116800</v>
      </c>
      <c r="I46" s="7" t="s">
        <v>30</v>
      </c>
      <c r="J46" s="7" t="s">
        <v>31</v>
      </c>
      <c r="K46" s="7" t="str">
        <f>CONCATENATE("")</f>
        <v/>
      </c>
      <c r="L46" s="7" t="str">
        <f>CONCATENATE("21 21.1 2a")</f>
        <v>21 21.1 2a</v>
      </c>
      <c r="M46" s="7" t="str">
        <f>CONCATENATE("02650710417")</f>
        <v>02650710417</v>
      </c>
      <c r="N46" s="7" t="s">
        <v>118</v>
      </c>
      <c r="O46" s="7" t="s">
        <v>78</v>
      </c>
      <c r="P46" s="8">
        <v>44321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9">
        <v>7000</v>
      </c>
      <c r="W46" s="9">
        <v>3018.4</v>
      </c>
      <c r="X46" s="9">
        <v>2787.4</v>
      </c>
      <c r="Y46" s="7">
        <v>0</v>
      </c>
      <c r="Z46" s="9">
        <v>1194.2</v>
      </c>
    </row>
    <row r="47" spans="1:26" x14ac:dyDescent="0.35">
      <c r="A47" s="7" t="s">
        <v>27</v>
      </c>
      <c r="B47" s="7" t="s">
        <v>28</v>
      </c>
      <c r="C47" s="7" t="s">
        <v>48</v>
      </c>
      <c r="D47" s="7" t="s">
        <v>49</v>
      </c>
      <c r="E47" s="7" t="s">
        <v>40</v>
      </c>
      <c r="F47" s="7" t="s">
        <v>119</v>
      </c>
      <c r="G47" s="7">
        <v>2017</v>
      </c>
      <c r="H47" s="7" t="str">
        <f>CONCATENATE("14270116453")</f>
        <v>14270116453</v>
      </c>
      <c r="I47" s="7" t="s">
        <v>30</v>
      </c>
      <c r="J47" s="7" t="s">
        <v>31</v>
      </c>
      <c r="K47" s="7" t="str">
        <f>CONCATENATE("")</f>
        <v/>
      </c>
      <c r="L47" s="7" t="str">
        <f>CONCATENATE("21 21.1 2a")</f>
        <v>21 21.1 2a</v>
      </c>
      <c r="M47" s="7" t="str">
        <f>CONCATENATE("MLNGPP49H52C877H")</f>
        <v>MLNGPP49H52C877H</v>
      </c>
      <c r="N47" s="7" t="s">
        <v>120</v>
      </c>
      <c r="O47" s="7" t="s">
        <v>78</v>
      </c>
      <c r="P47" s="8">
        <v>44321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9">
        <v>7000</v>
      </c>
      <c r="W47" s="9">
        <v>3018.4</v>
      </c>
      <c r="X47" s="9">
        <v>2787.4</v>
      </c>
      <c r="Y47" s="7">
        <v>0</v>
      </c>
      <c r="Z47" s="9">
        <v>1194.2</v>
      </c>
    </row>
    <row r="48" spans="1:26" x14ac:dyDescent="0.35">
      <c r="A48" s="7" t="s">
        <v>27</v>
      </c>
      <c r="B48" s="7" t="s">
        <v>28</v>
      </c>
      <c r="C48" s="7" t="s">
        <v>48</v>
      </c>
      <c r="D48" s="7" t="s">
        <v>59</v>
      </c>
      <c r="E48" s="7" t="s">
        <v>29</v>
      </c>
      <c r="F48" s="7" t="s">
        <v>121</v>
      </c>
      <c r="G48" s="7">
        <v>2017</v>
      </c>
      <c r="H48" s="7" t="str">
        <f>CONCATENATE("14270116677")</f>
        <v>14270116677</v>
      </c>
      <c r="I48" s="7" t="s">
        <v>30</v>
      </c>
      <c r="J48" s="7" t="s">
        <v>31</v>
      </c>
      <c r="K48" s="7" t="str">
        <f>CONCATENATE("")</f>
        <v/>
      </c>
      <c r="L48" s="7" t="str">
        <f>CONCATENATE("21 21.1 2a")</f>
        <v>21 21.1 2a</v>
      </c>
      <c r="M48" s="7" t="str">
        <f>CONCATENATE("MRARND46R11L498S")</f>
        <v>MRARND46R11L498S</v>
      </c>
      <c r="N48" s="7" t="s">
        <v>122</v>
      </c>
      <c r="O48" s="7" t="s">
        <v>78</v>
      </c>
      <c r="P48" s="8">
        <v>44321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9">
        <v>7000</v>
      </c>
      <c r="W48" s="9">
        <v>3018.4</v>
      </c>
      <c r="X48" s="9">
        <v>2787.4</v>
      </c>
      <c r="Y48" s="7">
        <v>0</v>
      </c>
      <c r="Z48" s="9">
        <v>1194.2</v>
      </c>
    </row>
    <row r="49" spans="1:26" x14ac:dyDescent="0.35">
      <c r="A49" s="7" t="s">
        <v>27</v>
      </c>
      <c r="B49" s="7" t="s">
        <v>28</v>
      </c>
      <c r="C49" s="7" t="s">
        <v>48</v>
      </c>
      <c r="D49" s="7" t="s">
        <v>49</v>
      </c>
      <c r="E49" s="7" t="s">
        <v>42</v>
      </c>
      <c r="F49" s="7" t="s">
        <v>50</v>
      </c>
      <c r="G49" s="7">
        <v>2017</v>
      </c>
      <c r="H49" s="7" t="str">
        <f>CONCATENATE("14270116875")</f>
        <v>14270116875</v>
      </c>
      <c r="I49" s="7" t="s">
        <v>30</v>
      </c>
      <c r="J49" s="7" t="s">
        <v>31</v>
      </c>
      <c r="K49" s="7" t="str">
        <f>CONCATENATE("")</f>
        <v/>
      </c>
      <c r="L49" s="7" t="str">
        <f>CONCATENATE("21 21.1 2a")</f>
        <v>21 21.1 2a</v>
      </c>
      <c r="M49" s="7" t="str">
        <f>CONCATENATE("MZZNRC70B02A252W")</f>
        <v>MZZNRC70B02A252W</v>
      </c>
      <c r="N49" s="7" t="s">
        <v>123</v>
      </c>
      <c r="O49" s="7" t="s">
        <v>78</v>
      </c>
      <c r="P49" s="8">
        <v>44321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9">
        <v>7000</v>
      </c>
      <c r="W49" s="9">
        <v>3018.4</v>
      </c>
      <c r="X49" s="9">
        <v>2787.4</v>
      </c>
      <c r="Y49" s="7">
        <v>0</v>
      </c>
      <c r="Z49" s="9">
        <v>1194.2</v>
      </c>
    </row>
    <row r="50" spans="1:26" x14ac:dyDescent="0.35">
      <c r="A50" s="7" t="s">
        <v>27</v>
      </c>
      <c r="B50" s="7" t="s">
        <v>28</v>
      </c>
      <c r="C50" s="7" t="s">
        <v>48</v>
      </c>
      <c r="D50" s="7" t="s">
        <v>56</v>
      </c>
      <c r="E50" s="7" t="s">
        <v>29</v>
      </c>
      <c r="F50" s="7" t="s">
        <v>124</v>
      </c>
      <c r="G50" s="7">
        <v>2017</v>
      </c>
      <c r="H50" s="7" t="str">
        <f>CONCATENATE("14270117279")</f>
        <v>14270117279</v>
      </c>
      <c r="I50" s="7" t="s">
        <v>30</v>
      </c>
      <c r="J50" s="7" t="s">
        <v>31</v>
      </c>
      <c r="K50" s="7" t="str">
        <f>CONCATENATE("")</f>
        <v/>
      </c>
      <c r="L50" s="7" t="str">
        <f>CONCATENATE("21 21.1 2a")</f>
        <v>21 21.1 2a</v>
      </c>
      <c r="M50" s="7" t="str">
        <f>CONCATENATE("PRMFNC55P58D965X")</f>
        <v>PRMFNC55P58D965X</v>
      </c>
      <c r="N50" s="7" t="s">
        <v>125</v>
      </c>
      <c r="O50" s="7" t="s">
        <v>55</v>
      </c>
      <c r="P50" s="8">
        <v>44321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1550.24</v>
      </c>
      <c r="W50" s="7">
        <v>668.46</v>
      </c>
      <c r="X50" s="7">
        <v>617.30999999999995</v>
      </c>
      <c r="Y50" s="7">
        <v>0</v>
      </c>
      <c r="Z50" s="7">
        <v>264.47000000000003</v>
      </c>
    </row>
    <row r="51" spans="1:26" x14ac:dyDescent="0.35">
      <c r="A51" s="7" t="s">
        <v>27</v>
      </c>
      <c r="B51" s="7" t="s">
        <v>28</v>
      </c>
      <c r="C51" s="7" t="s">
        <v>48</v>
      </c>
      <c r="D51" s="7" t="s">
        <v>49</v>
      </c>
      <c r="E51" s="7" t="s">
        <v>29</v>
      </c>
      <c r="F51" s="7" t="s">
        <v>126</v>
      </c>
      <c r="G51" s="7">
        <v>2017</v>
      </c>
      <c r="H51" s="7" t="str">
        <f>CONCATENATE("14270116743")</f>
        <v>14270116743</v>
      </c>
      <c r="I51" s="7" t="s">
        <v>30</v>
      </c>
      <c r="J51" s="7" t="s">
        <v>31</v>
      </c>
      <c r="K51" s="7" t="str">
        <f>CONCATENATE("")</f>
        <v/>
      </c>
      <c r="L51" s="7" t="str">
        <f>CONCATENATE("21 21.1 2a")</f>
        <v>21 21.1 2a</v>
      </c>
      <c r="M51" s="7" t="str">
        <f>CONCATENATE("01979770441")</f>
        <v>01979770441</v>
      </c>
      <c r="N51" s="7" t="s">
        <v>127</v>
      </c>
      <c r="O51" s="7" t="s">
        <v>78</v>
      </c>
      <c r="P51" s="8">
        <v>44321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9">
        <v>7000</v>
      </c>
      <c r="W51" s="9">
        <v>3018.4</v>
      </c>
      <c r="X51" s="9">
        <v>2787.4</v>
      </c>
      <c r="Y51" s="7">
        <v>0</v>
      </c>
      <c r="Z51" s="9">
        <v>1194.2</v>
      </c>
    </row>
    <row r="52" spans="1:26" x14ac:dyDescent="0.35">
      <c r="A52" s="7" t="s">
        <v>27</v>
      </c>
      <c r="B52" s="7" t="s">
        <v>36</v>
      </c>
      <c r="C52" s="7" t="s">
        <v>48</v>
      </c>
      <c r="D52" s="7" t="s">
        <v>49</v>
      </c>
      <c r="E52" s="7" t="s">
        <v>29</v>
      </c>
      <c r="F52" s="7" t="s">
        <v>126</v>
      </c>
      <c r="G52" s="7">
        <v>2020</v>
      </c>
      <c r="H52" s="7" t="str">
        <f>CONCATENATE("04240526824")</f>
        <v>04240526824</v>
      </c>
      <c r="I52" s="7" t="s">
        <v>30</v>
      </c>
      <c r="J52" s="7" t="s">
        <v>31</v>
      </c>
      <c r="K52" s="7" t="str">
        <f>CONCATENATE("")</f>
        <v/>
      </c>
      <c r="L52" s="7" t="str">
        <f>CONCATENATE("11 11.2 4b")</f>
        <v>11 11.2 4b</v>
      </c>
      <c r="M52" s="7" t="str">
        <f>CONCATENATE("01979770441")</f>
        <v>01979770441</v>
      </c>
      <c r="N52" s="7" t="s">
        <v>127</v>
      </c>
      <c r="O52" s="7" t="s">
        <v>52</v>
      </c>
      <c r="P52" s="8">
        <v>44321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9">
        <v>2937.08</v>
      </c>
      <c r="W52" s="9">
        <v>1266.47</v>
      </c>
      <c r="X52" s="9">
        <v>1169.55</v>
      </c>
      <c r="Y52" s="7">
        <v>0</v>
      </c>
      <c r="Z52" s="7">
        <v>501.06</v>
      </c>
    </row>
    <row r="53" spans="1:26" x14ac:dyDescent="0.35">
      <c r="A53" s="7" t="s">
        <v>27</v>
      </c>
      <c r="B53" s="7" t="s">
        <v>28</v>
      </c>
      <c r="C53" s="7" t="s">
        <v>48</v>
      </c>
      <c r="D53" s="7" t="s">
        <v>56</v>
      </c>
      <c r="E53" s="7" t="s">
        <v>29</v>
      </c>
      <c r="F53" s="7" t="s">
        <v>128</v>
      </c>
      <c r="G53" s="7">
        <v>2017</v>
      </c>
      <c r="H53" s="7" t="str">
        <f>CONCATENATE("14270116347")</f>
        <v>14270116347</v>
      </c>
      <c r="I53" s="7" t="s">
        <v>30</v>
      </c>
      <c r="J53" s="7" t="s">
        <v>31</v>
      </c>
      <c r="K53" s="7" t="str">
        <f>CONCATENATE("")</f>
        <v/>
      </c>
      <c r="L53" s="7" t="str">
        <f>CONCATENATE("21 21.1 2a")</f>
        <v>21 21.1 2a</v>
      </c>
      <c r="M53" s="7" t="str">
        <f>CONCATENATE("CRNCST80P65E388Y")</f>
        <v>CRNCST80P65E388Y</v>
      </c>
      <c r="N53" s="7" t="s">
        <v>129</v>
      </c>
      <c r="O53" s="7" t="s">
        <v>78</v>
      </c>
      <c r="P53" s="8">
        <v>44321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7000</v>
      </c>
      <c r="W53" s="9">
        <v>3018.4</v>
      </c>
      <c r="X53" s="9">
        <v>2787.4</v>
      </c>
      <c r="Y53" s="7">
        <v>0</v>
      </c>
      <c r="Z53" s="9">
        <v>1194.2</v>
      </c>
    </row>
    <row r="54" spans="1:26" x14ac:dyDescent="0.35">
      <c r="A54" s="7" t="s">
        <v>27</v>
      </c>
      <c r="B54" s="7" t="s">
        <v>36</v>
      </c>
      <c r="C54" s="7" t="s">
        <v>48</v>
      </c>
      <c r="D54" s="7" t="s">
        <v>49</v>
      </c>
      <c r="E54" s="7" t="s">
        <v>43</v>
      </c>
      <c r="F54" s="7" t="s">
        <v>43</v>
      </c>
      <c r="G54" s="7">
        <v>2020</v>
      </c>
      <c r="H54" s="7" t="str">
        <f>CONCATENATE("04241052721")</f>
        <v>04241052721</v>
      </c>
      <c r="I54" s="7" t="s">
        <v>30</v>
      </c>
      <c r="J54" s="7" t="s">
        <v>31</v>
      </c>
      <c r="K54" s="7" t="str">
        <f>CONCATENATE("")</f>
        <v/>
      </c>
      <c r="L54" s="7" t="str">
        <f>CONCATENATE("11 11.2 4b")</f>
        <v>11 11.2 4b</v>
      </c>
      <c r="M54" s="7" t="str">
        <f>CONCATENATE("FLCSFN67C54F520F")</f>
        <v>FLCSFN67C54F520F</v>
      </c>
      <c r="N54" s="7" t="s">
        <v>130</v>
      </c>
      <c r="O54" s="7" t="s">
        <v>52</v>
      </c>
      <c r="P54" s="8">
        <v>44321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9">
        <v>3466.83</v>
      </c>
      <c r="W54" s="9">
        <v>1494.9</v>
      </c>
      <c r="X54" s="9">
        <v>1380.49</v>
      </c>
      <c r="Y54" s="7">
        <v>0</v>
      </c>
      <c r="Z54" s="7">
        <v>591.44000000000005</v>
      </c>
    </row>
    <row r="55" spans="1:26" x14ac:dyDescent="0.35">
      <c r="A55" s="7" t="s">
        <v>27</v>
      </c>
      <c r="B55" s="7" t="s">
        <v>36</v>
      </c>
      <c r="C55" s="7" t="s">
        <v>48</v>
      </c>
      <c r="D55" s="7" t="s">
        <v>49</v>
      </c>
      <c r="E55" s="7" t="s">
        <v>29</v>
      </c>
      <c r="F55" s="7" t="s">
        <v>104</v>
      </c>
      <c r="G55" s="7">
        <v>2020</v>
      </c>
      <c r="H55" s="7" t="str">
        <f>CONCATENATE("04241078445")</f>
        <v>04241078445</v>
      </c>
      <c r="I55" s="7" t="s">
        <v>30</v>
      </c>
      <c r="J55" s="7" t="s">
        <v>31</v>
      </c>
      <c r="K55" s="7" t="str">
        <f>CONCATENATE("")</f>
        <v/>
      </c>
      <c r="L55" s="7" t="str">
        <f>CONCATENATE("11 11.2 4b")</f>
        <v>11 11.2 4b</v>
      </c>
      <c r="M55" s="7" t="str">
        <f>CONCATENATE("MDNVRM72P69F205Y")</f>
        <v>MDNVRM72P69F205Y</v>
      </c>
      <c r="N55" s="7" t="s">
        <v>131</v>
      </c>
      <c r="O55" s="7" t="s">
        <v>52</v>
      </c>
      <c r="P55" s="8">
        <v>44321</v>
      </c>
      <c r="Q55" s="7" t="s">
        <v>32</v>
      </c>
      <c r="R55" s="7" t="s">
        <v>33</v>
      </c>
      <c r="S55" s="7" t="s">
        <v>34</v>
      </c>
      <c r="T55" s="7"/>
      <c r="U55" s="7" t="s">
        <v>35</v>
      </c>
      <c r="V55" s="9">
        <v>3321.6</v>
      </c>
      <c r="W55" s="9">
        <v>1432.27</v>
      </c>
      <c r="X55" s="9">
        <v>1322.66</v>
      </c>
      <c r="Y55" s="7">
        <v>0</v>
      </c>
      <c r="Z55" s="7">
        <v>566.66999999999996</v>
      </c>
    </row>
    <row r="56" spans="1:26" x14ac:dyDescent="0.35">
      <c r="A56" s="7" t="s">
        <v>27</v>
      </c>
      <c r="B56" s="7" t="s">
        <v>36</v>
      </c>
      <c r="C56" s="7" t="s">
        <v>48</v>
      </c>
      <c r="D56" s="7" t="s">
        <v>49</v>
      </c>
      <c r="E56" s="7" t="s">
        <v>29</v>
      </c>
      <c r="F56" s="7" t="s">
        <v>104</v>
      </c>
      <c r="G56" s="7">
        <v>2020</v>
      </c>
      <c r="H56" s="7" t="str">
        <f>CONCATENATE("04241077595")</f>
        <v>04241077595</v>
      </c>
      <c r="I56" s="7" t="s">
        <v>30</v>
      </c>
      <c r="J56" s="7" t="s">
        <v>31</v>
      </c>
      <c r="K56" s="7" t="str">
        <f>CONCATENATE("")</f>
        <v/>
      </c>
      <c r="L56" s="7" t="str">
        <f>CONCATENATE("11 11.2 4b")</f>
        <v>11 11.2 4b</v>
      </c>
      <c r="M56" s="7" t="str">
        <f>CONCATENATE("MDNVRM72P69F205Y")</f>
        <v>MDNVRM72P69F205Y</v>
      </c>
      <c r="N56" s="7" t="s">
        <v>131</v>
      </c>
      <c r="O56" s="7" t="s">
        <v>52</v>
      </c>
      <c r="P56" s="8">
        <v>44321</v>
      </c>
      <c r="Q56" s="7" t="s">
        <v>32</v>
      </c>
      <c r="R56" s="7" t="s">
        <v>33</v>
      </c>
      <c r="S56" s="7" t="s">
        <v>34</v>
      </c>
      <c r="T56" s="7"/>
      <c r="U56" s="7" t="s">
        <v>35</v>
      </c>
      <c r="V56" s="7">
        <v>370.54</v>
      </c>
      <c r="W56" s="7">
        <v>159.78</v>
      </c>
      <c r="X56" s="7">
        <v>147.55000000000001</v>
      </c>
      <c r="Y56" s="7">
        <v>0</v>
      </c>
      <c r="Z56" s="7">
        <v>63.21</v>
      </c>
    </row>
    <row r="57" spans="1:26" x14ac:dyDescent="0.35">
      <c r="A57" s="7" t="s">
        <v>27</v>
      </c>
      <c r="B57" s="7" t="s">
        <v>36</v>
      </c>
      <c r="C57" s="7" t="s">
        <v>48</v>
      </c>
      <c r="D57" s="7" t="s">
        <v>49</v>
      </c>
      <c r="E57" s="7" t="s">
        <v>38</v>
      </c>
      <c r="F57" s="7" t="s">
        <v>132</v>
      </c>
      <c r="G57" s="7">
        <v>2020</v>
      </c>
      <c r="H57" s="7" t="str">
        <f>CONCATENATE("04241044439")</f>
        <v>04241044439</v>
      </c>
      <c r="I57" s="7" t="s">
        <v>30</v>
      </c>
      <c r="J57" s="7" t="s">
        <v>31</v>
      </c>
      <c r="K57" s="7" t="str">
        <f>CONCATENATE("")</f>
        <v/>
      </c>
      <c r="L57" s="7" t="str">
        <f>CONCATENATE("10 10.1 4a")</f>
        <v>10 10.1 4a</v>
      </c>
      <c r="M57" s="7" t="str">
        <f>CONCATENATE("01979160445")</f>
        <v>01979160445</v>
      </c>
      <c r="N57" s="7" t="s">
        <v>133</v>
      </c>
      <c r="O57" s="7" t="s">
        <v>134</v>
      </c>
      <c r="P57" s="8">
        <v>44321</v>
      </c>
      <c r="Q57" s="7" t="s">
        <v>32</v>
      </c>
      <c r="R57" s="7" t="s">
        <v>33</v>
      </c>
      <c r="S57" s="7" t="s">
        <v>34</v>
      </c>
      <c r="T57" s="7"/>
      <c r="U57" s="7" t="s">
        <v>35</v>
      </c>
      <c r="V57" s="7">
        <v>434.56</v>
      </c>
      <c r="W57" s="7">
        <v>187.38</v>
      </c>
      <c r="X57" s="7">
        <v>173.04</v>
      </c>
      <c r="Y57" s="7">
        <v>0</v>
      </c>
      <c r="Z57" s="7">
        <v>74.14</v>
      </c>
    </row>
    <row r="58" spans="1:26" x14ac:dyDescent="0.35">
      <c r="A58" s="7" t="s">
        <v>27</v>
      </c>
      <c r="B58" s="7" t="s">
        <v>36</v>
      </c>
      <c r="C58" s="7" t="s">
        <v>48</v>
      </c>
      <c r="D58" s="7" t="s">
        <v>49</v>
      </c>
      <c r="E58" s="7" t="s">
        <v>40</v>
      </c>
      <c r="F58" s="7" t="s">
        <v>99</v>
      </c>
      <c r="G58" s="7">
        <v>2020</v>
      </c>
      <c r="H58" s="7" t="str">
        <f>CONCATENATE("04240923757")</f>
        <v>04240923757</v>
      </c>
      <c r="I58" s="7" t="s">
        <v>30</v>
      </c>
      <c r="J58" s="7" t="s">
        <v>31</v>
      </c>
      <c r="K58" s="7" t="str">
        <f>CONCATENATE("")</f>
        <v/>
      </c>
      <c r="L58" s="7" t="str">
        <f>CONCATENATE("11 11.1 4b")</f>
        <v>11 11.1 4b</v>
      </c>
      <c r="M58" s="7" t="str">
        <f>CONCATENATE("ZNTNDR91D10M089E")</f>
        <v>ZNTNDR91D10M089E</v>
      </c>
      <c r="N58" s="7" t="s">
        <v>135</v>
      </c>
      <c r="O58" s="7" t="s">
        <v>52</v>
      </c>
      <c r="P58" s="8">
        <v>44321</v>
      </c>
      <c r="Q58" s="7" t="s">
        <v>32</v>
      </c>
      <c r="R58" s="7" t="s">
        <v>33</v>
      </c>
      <c r="S58" s="7" t="s">
        <v>34</v>
      </c>
      <c r="T58" s="7"/>
      <c r="U58" s="7" t="s">
        <v>35</v>
      </c>
      <c r="V58" s="9">
        <v>8499.32</v>
      </c>
      <c r="W58" s="9">
        <v>3664.91</v>
      </c>
      <c r="X58" s="9">
        <v>3384.43</v>
      </c>
      <c r="Y58" s="7">
        <v>0</v>
      </c>
      <c r="Z58" s="9">
        <v>1449.98</v>
      </c>
    </row>
    <row r="59" spans="1:26" x14ac:dyDescent="0.35">
      <c r="A59" s="7" t="s">
        <v>27</v>
      </c>
      <c r="B59" s="7" t="s">
        <v>36</v>
      </c>
      <c r="C59" s="7" t="s">
        <v>48</v>
      </c>
      <c r="D59" s="7" t="s">
        <v>49</v>
      </c>
      <c r="E59" s="7" t="s">
        <v>29</v>
      </c>
      <c r="F59" s="7" t="s">
        <v>95</v>
      </c>
      <c r="G59" s="7">
        <v>2020</v>
      </c>
      <c r="H59" s="7" t="str">
        <f>CONCATENATE("04240842114")</f>
        <v>04240842114</v>
      </c>
      <c r="I59" s="7" t="s">
        <v>30</v>
      </c>
      <c r="J59" s="7" t="s">
        <v>31</v>
      </c>
      <c r="K59" s="7" t="str">
        <f>CONCATENATE("")</f>
        <v/>
      </c>
      <c r="L59" s="7" t="str">
        <f>CONCATENATE("11 11.2 4b")</f>
        <v>11 11.2 4b</v>
      </c>
      <c r="M59" s="7" t="str">
        <f>CONCATENATE("LTTGPP72E44F520T")</f>
        <v>LTTGPP72E44F520T</v>
      </c>
      <c r="N59" s="7" t="s">
        <v>136</v>
      </c>
      <c r="O59" s="7" t="s">
        <v>52</v>
      </c>
      <c r="P59" s="8">
        <v>44321</v>
      </c>
      <c r="Q59" s="7" t="s">
        <v>32</v>
      </c>
      <c r="R59" s="7" t="s">
        <v>33</v>
      </c>
      <c r="S59" s="7" t="s">
        <v>34</v>
      </c>
      <c r="T59" s="7"/>
      <c r="U59" s="7" t="s">
        <v>35</v>
      </c>
      <c r="V59" s="9">
        <v>3913.38</v>
      </c>
      <c r="W59" s="9">
        <v>1687.45</v>
      </c>
      <c r="X59" s="9">
        <v>1558.31</v>
      </c>
      <c r="Y59" s="7">
        <v>0</v>
      </c>
      <c r="Z59" s="7">
        <v>667.62</v>
      </c>
    </row>
    <row r="60" spans="1:26" x14ac:dyDescent="0.35">
      <c r="A60" s="7" t="s">
        <v>27</v>
      </c>
      <c r="B60" s="7" t="s">
        <v>36</v>
      </c>
      <c r="C60" s="7" t="s">
        <v>48</v>
      </c>
      <c r="D60" s="7" t="s">
        <v>49</v>
      </c>
      <c r="E60" s="7" t="s">
        <v>43</v>
      </c>
      <c r="F60" s="7" t="s">
        <v>43</v>
      </c>
      <c r="G60" s="7">
        <v>2020</v>
      </c>
      <c r="H60" s="7" t="str">
        <f>CONCATENATE("04240641607")</f>
        <v>04240641607</v>
      </c>
      <c r="I60" s="7" t="s">
        <v>30</v>
      </c>
      <c r="J60" s="7" t="s">
        <v>31</v>
      </c>
      <c r="K60" s="7" t="str">
        <f>CONCATENATE("")</f>
        <v/>
      </c>
      <c r="L60" s="7" t="str">
        <f>CONCATENATE("10 10.1 4a")</f>
        <v>10 10.1 4a</v>
      </c>
      <c r="M60" s="7" t="str">
        <f>CONCATENATE("CPRCLD84M02H769E")</f>
        <v>CPRCLD84M02H769E</v>
      </c>
      <c r="N60" s="7" t="s">
        <v>137</v>
      </c>
      <c r="O60" s="7" t="s">
        <v>134</v>
      </c>
      <c r="P60" s="8">
        <v>44321</v>
      </c>
      <c r="Q60" s="7" t="s">
        <v>32</v>
      </c>
      <c r="R60" s="7" t="s">
        <v>33</v>
      </c>
      <c r="S60" s="7" t="s">
        <v>34</v>
      </c>
      <c r="T60" s="7"/>
      <c r="U60" s="7" t="s">
        <v>35</v>
      </c>
      <c r="V60" s="9">
        <v>1541.76</v>
      </c>
      <c r="W60" s="7">
        <v>664.81</v>
      </c>
      <c r="X60" s="7">
        <v>613.92999999999995</v>
      </c>
      <c r="Y60" s="7">
        <v>0</v>
      </c>
      <c r="Z60" s="7">
        <v>263.02</v>
      </c>
    </row>
    <row r="61" spans="1:26" ht="17.5" x14ac:dyDescent="0.35">
      <c r="A61" s="7" t="s">
        <v>27</v>
      </c>
      <c r="B61" s="7" t="s">
        <v>36</v>
      </c>
      <c r="C61" s="7" t="s">
        <v>48</v>
      </c>
      <c r="D61" s="7" t="s">
        <v>49</v>
      </c>
      <c r="E61" s="7" t="s">
        <v>29</v>
      </c>
      <c r="F61" s="7" t="s">
        <v>138</v>
      </c>
      <c r="G61" s="7">
        <v>2020</v>
      </c>
      <c r="H61" s="7" t="str">
        <f>CONCATENATE("04240115495")</f>
        <v>04240115495</v>
      </c>
      <c r="I61" s="7" t="s">
        <v>30</v>
      </c>
      <c r="J61" s="7" t="s">
        <v>31</v>
      </c>
      <c r="K61" s="7" t="str">
        <f>CONCATENATE("")</f>
        <v/>
      </c>
      <c r="L61" s="7" t="str">
        <f>CONCATENATE("11 11.2 4b")</f>
        <v>11 11.2 4b</v>
      </c>
      <c r="M61" s="7" t="str">
        <f>CONCATENATE("GMNGSI76M51H769O")</f>
        <v>GMNGSI76M51H769O</v>
      </c>
      <c r="N61" s="7" t="s">
        <v>139</v>
      </c>
      <c r="O61" s="7" t="s">
        <v>52</v>
      </c>
      <c r="P61" s="8">
        <v>44321</v>
      </c>
      <c r="Q61" s="7" t="s">
        <v>32</v>
      </c>
      <c r="R61" s="7" t="s">
        <v>33</v>
      </c>
      <c r="S61" s="7" t="s">
        <v>34</v>
      </c>
      <c r="T61" s="7"/>
      <c r="U61" s="7" t="s">
        <v>35</v>
      </c>
      <c r="V61" s="9">
        <v>3722.3</v>
      </c>
      <c r="W61" s="9">
        <v>1605.06</v>
      </c>
      <c r="X61" s="9">
        <v>1482.22</v>
      </c>
      <c r="Y61" s="7">
        <v>0</v>
      </c>
      <c r="Z61" s="7">
        <v>635.02</v>
      </c>
    </row>
    <row r="62" spans="1:26" ht="17.5" x14ac:dyDescent="0.35">
      <c r="A62" s="7" t="s">
        <v>27</v>
      </c>
      <c r="B62" s="7" t="s">
        <v>28</v>
      </c>
      <c r="C62" s="7" t="s">
        <v>48</v>
      </c>
      <c r="D62" s="7" t="s">
        <v>49</v>
      </c>
      <c r="E62" s="7" t="s">
        <v>29</v>
      </c>
      <c r="F62" s="7" t="s">
        <v>138</v>
      </c>
      <c r="G62" s="7">
        <v>2017</v>
      </c>
      <c r="H62" s="7" t="str">
        <f>CONCATENATE("14270116792")</f>
        <v>14270116792</v>
      </c>
      <c r="I62" s="7" t="s">
        <v>30</v>
      </c>
      <c r="J62" s="7" t="s">
        <v>31</v>
      </c>
      <c r="K62" s="7" t="str">
        <f>CONCATENATE("")</f>
        <v/>
      </c>
      <c r="L62" s="7" t="str">
        <f>CONCATENATE("21 21.1 2a")</f>
        <v>21 21.1 2a</v>
      </c>
      <c r="M62" s="7" t="str">
        <f>CONCATENATE("GMNGSI76M51H769O")</f>
        <v>GMNGSI76M51H769O</v>
      </c>
      <c r="N62" s="7" t="s">
        <v>139</v>
      </c>
      <c r="O62" s="7" t="s">
        <v>78</v>
      </c>
      <c r="P62" s="8">
        <v>44321</v>
      </c>
      <c r="Q62" s="7" t="s">
        <v>32</v>
      </c>
      <c r="R62" s="7" t="s">
        <v>33</v>
      </c>
      <c r="S62" s="7" t="s">
        <v>34</v>
      </c>
      <c r="T62" s="7"/>
      <c r="U62" s="7" t="s">
        <v>35</v>
      </c>
      <c r="V62" s="9">
        <v>7000</v>
      </c>
      <c r="W62" s="9">
        <v>3018.4</v>
      </c>
      <c r="X62" s="9">
        <v>2787.4</v>
      </c>
      <c r="Y62" s="7">
        <v>0</v>
      </c>
      <c r="Z62" s="9">
        <v>1194.2</v>
      </c>
    </row>
    <row r="63" spans="1:26" x14ac:dyDescent="0.35">
      <c r="A63" s="7" t="s">
        <v>27</v>
      </c>
      <c r="B63" s="7" t="s">
        <v>36</v>
      </c>
      <c r="C63" s="7" t="s">
        <v>48</v>
      </c>
      <c r="D63" s="7" t="s">
        <v>49</v>
      </c>
      <c r="E63" s="7" t="s">
        <v>41</v>
      </c>
      <c r="F63" s="7" t="s">
        <v>101</v>
      </c>
      <c r="G63" s="7">
        <v>2020</v>
      </c>
      <c r="H63" s="7" t="str">
        <f>CONCATENATE("04240559247")</f>
        <v>04240559247</v>
      </c>
      <c r="I63" s="7" t="s">
        <v>30</v>
      </c>
      <c r="J63" s="7" t="s">
        <v>31</v>
      </c>
      <c r="K63" s="7" t="str">
        <f>CONCATENATE("")</f>
        <v/>
      </c>
      <c r="L63" s="7" t="str">
        <f>CONCATENATE("11 11.2 4b")</f>
        <v>11 11.2 4b</v>
      </c>
      <c r="M63" s="7" t="str">
        <f>CONCATENATE("FRTSRN89D66A462D")</f>
        <v>FRTSRN89D66A462D</v>
      </c>
      <c r="N63" s="7" t="s">
        <v>140</v>
      </c>
      <c r="O63" s="7" t="s">
        <v>52</v>
      </c>
      <c r="P63" s="8">
        <v>44321</v>
      </c>
      <c r="Q63" s="7" t="s">
        <v>32</v>
      </c>
      <c r="R63" s="7" t="s">
        <v>33</v>
      </c>
      <c r="S63" s="7" t="s">
        <v>34</v>
      </c>
      <c r="T63" s="7"/>
      <c r="U63" s="7" t="s">
        <v>35</v>
      </c>
      <c r="V63" s="7">
        <v>75.66</v>
      </c>
      <c r="W63" s="7">
        <v>32.619999999999997</v>
      </c>
      <c r="X63" s="7">
        <v>30.13</v>
      </c>
      <c r="Y63" s="7">
        <v>0</v>
      </c>
      <c r="Z63" s="7">
        <v>12.91</v>
      </c>
    </row>
    <row r="64" spans="1:26" x14ac:dyDescent="0.35">
      <c r="A64" s="7" t="s">
        <v>27</v>
      </c>
      <c r="B64" s="7" t="s">
        <v>36</v>
      </c>
      <c r="C64" s="7" t="s">
        <v>48</v>
      </c>
      <c r="D64" s="7" t="s">
        <v>49</v>
      </c>
      <c r="E64" s="7" t="s">
        <v>42</v>
      </c>
      <c r="F64" s="7" t="s">
        <v>141</v>
      </c>
      <c r="G64" s="7">
        <v>2020</v>
      </c>
      <c r="H64" s="7" t="str">
        <f>CONCATENATE("04240718363")</f>
        <v>04240718363</v>
      </c>
      <c r="I64" s="7" t="s">
        <v>30</v>
      </c>
      <c r="J64" s="7" t="s">
        <v>31</v>
      </c>
      <c r="K64" s="7" t="str">
        <f>CONCATENATE("")</f>
        <v/>
      </c>
      <c r="L64" s="7" t="str">
        <f>CONCATENATE("11 11.2 4b")</f>
        <v>11 11.2 4b</v>
      </c>
      <c r="M64" s="7" t="str">
        <f>CONCATENATE("01593930447")</f>
        <v>01593930447</v>
      </c>
      <c r="N64" s="7" t="s">
        <v>142</v>
      </c>
      <c r="O64" s="7" t="s">
        <v>52</v>
      </c>
      <c r="P64" s="8">
        <v>44321</v>
      </c>
      <c r="Q64" s="7" t="s">
        <v>32</v>
      </c>
      <c r="R64" s="7" t="s">
        <v>33</v>
      </c>
      <c r="S64" s="7" t="s">
        <v>34</v>
      </c>
      <c r="T64" s="7"/>
      <c r="U64" s="7" t="s">
        <v>35</v>
      </c>
      <c r="V64" s="9">
        <v>6005.83</v>
      </c>
      <c r="W64" s="9">
        <v>2589.71</v>
      </c>
      <c r="X64" s="9">
        <v>2391.52</v>
      </c>
      <c r="Y64" s="7">
        <v>0</v>
      </c>
      <c r="Z64" s="9">
        <v>1024.5999999999999</v>
      </c>
    </row>
    <row r="65" spans="1:26" x14ac:dyDescent="0.35">
      <c r="A65" s="7" t="s">
        <v>27</v>
      </c>
      <c r="B65" s="7" t="s">
        <v>36</v>
      </c>
      <c r="C65" s="7" t="s">
        <v>48</v>
      </c>
      <c r="D65" s="7" t="s">
        <v>49</v>
      </c>
      <c r="E65" s="7" t="s">
        <v>29</v>
      </c>
      <c r="F65" s="7" t="s">
        <v>126</v>
      </c>
      <c r="G65" s="7">
        <v>2020</v>
      </c>
      <c r="H65" s="7" t="str">
        <f>CONCATENATE("04240387573")</f>
        <v>04240387573</v>
      </c>
      <c r="I65" s="7" t="s">
        <v>30</v>
      </c>
      <c r="J65" s="7" t="s">
        <v>31</v>
      </c>
      <c r="K65" s="7" t="str">
        <f>CONCATENATE("")</f>
        <v/>
      </c>
      <c r="L65" s="7" t="str">
        <f>CONCATENATE("11 11.2 4b")</f>
        <v>11 11.2 4b</v>
      </c>
      <c r="M65" s="7" t="str">
        <f>CONCATENATE("LNCGTN52C29D096W")</f>
        <v>LNCGTN52C29D096W</v>
      </c>
      <c r="N65" s="7" t="s">
        <v>143</v>
      </c>
      <c r="O65" s="7" t="s">
        <v>52</v>
      </c>
      <c r="P65" s="8">
        <v>44321</v>
      </c>
      <c r="Q65" s="7" t="s">
        <v>32</v>
      </c>
      <c r="R65" s="7" t="s">
        <v>33</v>
      </c>
      <c r="S65" s="7" t="s">
        <v>34</v>
      </c>
      <c r="T65" s="7"/>
      <c r="U65" s="7" t="s">
        <v>35</v>
      </c>
      <c r="V65" s="9">
        <v>3321</v>
      </c>
      <c r="W65" s="9">
        <v>1432.02</v>
      </c>
      <c r="X65" s="9">
        <v>1322.42</v>
      </c>
      <c r="Y65" s="7">
        <v>0</v>
      </c>
      <c r="Z65" s="7">
        <v>566.55999999999995</v>
      </c>
    </row>
    <row r="66" spans="1:26" ht="17.5" x14ac:dyDescent="0.35">
      <c r="A66" s="7" t="s">
        <v>27</v>
      </c>
      <c r="B66" s="7" t="s">
        <v>36</v>
      </c>
      <c r="C66" s="7" t="s">
        <v>48</v>
      </c>
      <c r="D66" s="7" t="s">
        <v>49</v>
      </c>
      <c r="E66" s="7" t="s">
        <v>42</v>
      </c>
      <c r="F66" s="7" t="s">
        <v>141</v>
      </c>
      <c r="G66" s="7">
        <v>2020</v>
      </c>
      <c r="H66" s="7" t="str">
        <f>CONCATENATE("04240722910")</f>
        <v>04240722910</v>
      </c>
      <c r="I66" s="7" t="s">
        <v>30</v>
      </c>
      <c r="J66" s="7" t="s">
        <v>31</v>
      </c>
      <c r="K66" s="7" t="str">
        <f>CONCATENATE("")</f>
        <v/>
      </c>
      <c r="L66" s="7" t="str">
        <f>CONCATENATE("11 11.1 4b")</f>
        <v>11 11.1 4b</v>
      </c>
      <c r="M66" s="7" t="str">
        <f>CONCATENATE("01968650448")</f>
        <v>01968650448</v>
      </c>
      <c r="N66" s="7" t="s">
        <v>144</v>
      </c>
      <c r="O66" s="7" t="s">
        <v>52</v>
      </c>
      <c r="P66" s="8">
        <v>44321</v>
      </c>
      <c r="Q66" s="7" t="s">
        <v>32</v>
      </c>
      <c r="R66" s="7" t="s">
        <v>33</v>
      </c>
      <c r="S66" s="7" t="s">
        <v>34</v>
      </c>
      <c r="T66" s="7"/>
      <c r="U66" s="7" t="s">
        <v>35</v>
      </c>
      <c r="V66" s="9">
        <v>43080.32</v>
      </c>
      <c r="W66" s="9">
        <v>18576.23</v>
      </c>
      <c r="X66" s="9">
        <v>17154.580000000002</v>
      </c>
      <c r="Y66" s="7">
        <v>0</v>
      </c>
      <c r="Z66" s="9">
        <v>7349.51</v>
      </c>
    </row>
    <row r="67" spans="1:26" ht="17.5" x14ac:dyDescent="0.35">
      <c r="A67" s="7" t="s">
        <v>27</v>
      </c>
      <c r="B67" s="7" t="s">
        <v>36</v>
      </c>
      <c r="C67" s="7" t="s">
        <v>48</v>
      </c>
      <c r="D67" s="7" t="s">
        <v>49</v>
      </c>
      <c r="E67" s="7" t="s">
        <v>29</v>
      </c>
      <c r="F67" s="7" t="s">
        <v>115</v>
      </c>
      <c r="G67" s="7">
        <v>2020</v>
      </c>
      <c r="H67" s="7" t="str">
        <f>CONCATENATE("04241112913")</f>
        <v>04241112913</v>
      </c>
      <c r="I67" s="7" t="s">
        <v>30</v>
      </c>
      <c r="J67" s="7" t="s">
        <v>31</v>
      </c>
      <c r="K67" s="7" t="str">
        <f>CONCATENATE("")</f>
        <v/>
      </c>
      <c r="L67" s="7" t="str">
        <f>CONCATENATE("11 11.2 4b")</f>
        <v>11 11.2 4b</v>
      </c>
      <c r="M67" s="7" t="str">
        <f>CONCATENATE("02274900444")</f>
        <v>02274900444</v>
      </c>
      <c r="N67" s="7" t="s">
        <v>145</v>
      </c>
      <c r="O67" s="7" t="s">
        <v>52</v>
      </c>
      <c r="P67" s="8">
        <v>44321</v>
      </c>
      <c r="Q67" s="7" t="s">
        <v>32</v>
      </c>
      <c r="R67" s="7" t="s">
        <v>33</v>
      </c>
      <c r="S67" s="7" t="s">
        <v>34</v>
      </c>
      <c r="T67" s="7"/>
      <c r="U67" s="7" t="s">
        <v>35</v>
      </c>
      <c r="V67" s="9">
        <v>2911.28</v>
      </c>
      <c r="W67" s="9">
        <v>1255.3399999999999</v>
      </c>
      <c r="X67" s="9">
        <v>1159.27</v>
      </c>
      <c r="Y67" s="7">
        <v>0</v>
      </c>
      <c r="Z67" s="7">
        <v>496.67</v>
      </c>
    </row>
    <row r="68" spans="1:26" x14ac:dyDescent="0.35">
      <c r="A68" s="7" t="s">
        <v>27</v>
      </c>
      <c r="B68" s="7" t="s">
        <v>36</v>
      </c>
      <c r="C68" s="7" t="s">
        <v>48</v>
      </c>
      <c r="D68" s="7" t="s">
        <v>49</v>
      </c>
      <c r="E68" s="7" t="s">
        <v>37</v>
      </c>
      <c r="F68" s="7" t="s">
        <v>53</v>
      </c>
      <c r="G68" s="7">
        <v>2020</v>
      </c>
      <c r="H68" s="7" t="str">
        <f>CONCATENATE("04240934093")</f>
        <v>04240934093</v>
      </c>
      <c r="I68" s="7" t="s">
        <v>30</v>
      </c>
      <c r="J68" s="7" t="s">
        <v>31</v>
      </c>
      <c r="K68" s="7" t="str">
        <f>CONCATENATE("")</f>
        <v/>
      </c>
      <c r="L68" s="7" t="str">
        <f>CONCATENATE("11 11.2 4b")</f>
        <v>11 11.2 4b</v>
      </c>
      <c r="M68" s="7" t="str">
        <f>CONCATENATE("02387790443")</f>
        <v>02387790443</v>
      </c>
      <c r="N68" s="7" t="s">
        <v>146</v>
      </c>
      <c r="O68" s="7" t="s">
        <v>52</v>
      </c>
      <c r="P68" s="8">
        <v>44321</v>
      </c>
      <c r="Q68" s="7" t="s">
        <v>32</v>
      </c>
      <c r="R68" s="7" t="s">
        <v>33</v>
      </c>
      <c r="S68" s="7" t="s">
        <v>34</v>
      </c>
      <c r="T68" s="7"/>
      <c r="U68" s="7" t="s">
        <v>35</v>
      </c>
      <c r="V68" s="7">
        <v>192.22</v>
      </c>
      <c r="W68" s="7">
        <v>82.89</v>
      </c>
      <c r="X68" s="7">
        <v>76.540000000000006</v>
      </c>
      <c r="Y68" s="7">
        <v>0</v>
      </c>
      <c r="Z68" s="7">
        <v>32.79</v>
      </c>
    </row>
    <row r="69" spans="1:26" x14ac:dyDescent="0.35">
      <c r="A69" s="7" t="s">
        <v>27</v>
      </c>
      <c r="B69" s="7" t="s">
        <v>36</v>
      </c>
      <c r="C69" s="7" t="s">
        <v>48</v>
      </c>
      <c r="D69" s="7" t="s">
        <v>49</v>
      </c>
      <c r="E69" s="7" t="s">
        <v>29</v>
      </c>
      <c r="F69" s="7" t="s">
        <v>138</v>
      </c>
      <c r="G69" s="7">
        <v>2020</v>
      </c>
      <c r="H69" s="7" t="str">
        <f>CONCATENATE("04241047556")</f>
        <v>04241047556</v>
      </c>
      <c r="I69" s="7" t="s">
        <v>30</v>
      </c>
      <c r="J69" s="7" t="s">
        <v>31</v>
      </c>
      <c r="K69" s="7" t="str">
        <f>CONCATENATE("")</f>
        <v/>
      </c>
      <c r="L69" s="7" t="str">
        <f>CONCATENATE("11 11.2 4b")</f>
        <v>11 11.2 4b</v>
      </c>
      <c r="M69" s="7" t="str">
        <f>CONCATENATE("CCCFNC53A27C935K")</f>
        <v>CCCFNC53A27C935K</v>
      </c>
      <c r="N69" s="7" t="s">
        <v>147</v>
      </c>
      <c r="O69" s="7" t="s">
        <v>52</v>
      </c>
      <c r="P69" s="8">
        <v>44321</v>
      </c>
      <c r="Q69" s="7" t="s">
        <v>32</v>
      </c>
      <c r="R69" s="7" t="s">
        <v>33</v>
      </c>
      <c r="S69" s="7" t="s">
        <v>34</v>
      </c>
      <c r="T69" s="7"/>
      <c r="U69" s="7" t="s">
        <v>35</v>
      </c>
      <c r="V69" s="9">
        <v>18226.71</v>
      </c>
      <c r="W69" s="9">
        <v>7859.36</v>
      </c>
      <c r="X69" s="9">
        <v>7257.88</v>
      </c>
      <c r="Y69" s="7">
        <v>0</v>
      </c>
      <c r="Z69" s="9">
        <v>3109.47</v>
      </c>
    </row>
    <row r="70" spans="1:26" x14ac:dyDescent="0.35">
      <c r="A70" s="7" t="s">
        <v>27</v>
      </c>
      <c r="B70" s="7" t="s">
        <v>36</v>
      </c>
      <c r="C70" s="7" t="s">
        <v>48</v>
      </c>
      <c r="D70" s="7" t="s">
        <v>49</v>
      </c>
      <c r="E70" s="7" t="s">
        <v>38</v>
      </c>
      <c r="F70" s="7" t="s">
        <v>132</v>
      </c>
      <c r="G70" s="7">
        <v>2020</v>
      </c>
      <c r="H70" s="7" t="str">
        <f>CONCATENATE("04240592362")</f>
        <v>04240592362</v>
      </c>
      <c r="I70" s="7" t="s">
        <v>30</v>
      </c>
      <c r="J70" s="7" t="s">
        <v>31</v>
      </c>
      <c r="K70" s="7" t="str">
        <f>CONCATENATE("")</f>
        <v/>
      </c>
      <c r="L70" s="7" t="str">
        <f>CONCATENATE("11 11.2 4b")</f>
        <v>11 11.2 4b</v>
      </c>
      <c r="M70" s="7" t="str">
        <f>CONCATENATE("LDDLRD85C02D542R")</f>
        <v>LDDLRD85C02D542R</v>
      </c>
      <c r="N70" s="7" t="s">
        <v>148</v>
      </c>
      <c r="O70" s="7" t="s">
        <v>52</v>
      </c>
      <c r="P70" s="8">
        <v>44321</v>
      </c>
      <c r="Q70" s="7" t="s">
        <v>32</v>
      </c>
      <c r="R70" s="7" t="s">
        <v>33</v>
      </c>
      <c r="S70" s="7" t="s">
        <v>34</v>
      </c>
      <c r="T70" s="7"/>
      <c r="U70" s="7" t="s">
        <v>35</v>
      </c>
      <c r="V70" s="9">
        <v>5767.78</v>
      </c>
      <c r="W70" s="9">
        <v>2487.0700000000002</v>
      </c>
      <c r="X70" s="9">
        <v>2296.73</v>
      </c>
      <c r="Y70" s="7">
        <v>0</v>
      </c>
      <c r="Z70" s="7">
        <v>983.98</v>
      </c>
    </row>
    <row r="71" spans="1:26" ht="17.5" x14ac:dyDescent="0.35">
      <c r="A71" s="7" t="s">
        <v>27</v>
      </c>
      <c r="B71" s="7" t="s">
        <v>36</v>
      </c>
      <c r="C71" s="7" t="s">
        <v>48</v>
      </c>
      <c r="D71" s="7" t="s">
        <v>49</v>
      </c>
      <c r="E71" s="7" t="s">
        <v>40</v>
      </c>
      <c r="F71" s="7" t="s">
        <v>149</v>
      </c>
      <c r="G71" s="7">
        <v>2020</v>
      </c>
      <c r="H71" s="7" t="str">
        <f>CONCATENATE("04241041427")</f>
        <v>04241041427</v>
      </c>
      <c r="I71" s="7" t="s">
        <v>30</v>
      </c>
      <c r="J71" s="7" t="s">
        <v>31</v>
      </c>
      <c r="K71" s="7" t="str">
        <f>CONCATENATE("")</f>
        <v/>
      </c>
      <c r="L71" s="7" t="str">
        <f>CONCATENATE("11 11.2 4b")</f>
        <v>11 11.2 4b</v>
      </c>
      <c r="M71" s="7" t="str">
        <f>CONCATENATE("SNZGCM73D03F520W")</f>
        <v>SNZGCM73D03F520W</v>
      </c>
      <c r="N71" s="7" t="s">
        <v>150</v>
      </c>
      <c r="O71" s="7" t="s">
        <v>52</v>
      </c>
      <c r="P71" s="8">
        <v>44321</v>
      </c>
      <c r="Q71" s="7" t="s">
        <v>32</v>
      </c>
      <c r="R71" s="7" t="s">
        <v>33</v>
      </c>
      <c r="S71" s="7" t="s">
        <v>34</v>
      </c>
      <c r="T71" s="7"/>
      <c r="U71" s="7" t="s">
        <v>35</v>
      </c>
      <c r="V71" s="7">
        <v>57.4</v>
      </c>
      <c r="W71" s="7">
        <v>24.75</v>
      </c>
      <c r="X71" s="7">
        <v>22.86</v>
      </c>
      <c r="Y71" s="7">
        <v>0</v>
      </c>
      <c r="Z71" s="7">
        <v>9.7899999999999991</v>
      </c>
    </row>
    <row r="72" spans="1:26" ht="17.5" x14ac:dyDescent="0.35">
      <c r="A72" s="7" t="s">
        <v>27</v>
      </c>
      <c r="B72" s="7" t="s">
        <v>36</v>
      </c>
      <c r="C72" s="7" t="s">
        <v>48</v>
      </c>
      <c r="D72" s="7" t="s">
        <v>49</v>
      </c>
      <c r="E72" s="7" t="s">
        <v>40</v>
      </c>
      <c r="F72" s="7" t="s">
        <v>149</v>
      </c>
      <c r="G72" s="7">
        <v>2020</v>
      </c>
      <c r="H72" s="7" t="str">
        <f>CONCATENATE("04241041468")</f>
        <v>04241041468</v>
      </c>
      <c r="I72" s="7" t="s">
        <v>30</v>
      </c>
      <c r="J72" s="7" t="s">
        <v>31</v>
      </c>
      <c r="K72" s="7" t="str">
        <f>CONCATENATE("")</f>
        <v/>
      </c>
      <c r="L72" s="7" t="str">
        <f>CONCATENATE("11 11.2 4b")</f>
        <v>11 11.2 4b</v>
      </c>
      <c r="M72" s="7" t="str">
        <f>CONCATENATE("SNZGCM73D03F520W")</f>
        <v>SNZGCM73D03F520W</v>
      </c>
      <c r="N72" s="7" t="s">
        <v>150</v>
      </c>
      <c r="O72" s="7" t="s">
        <v>52</v>
      </c>
      <c r="P72" s="8">
        <v>44321</v>
      </c>
      <c r="Q72" s="7" t="s">
        <v>32</v>
      </c>
      <c r="R72" s="7" t="s">
        <v>33</v>
      </c>
      <c r="S72" s="7" t="s">
        <v>34</v>
      </c>
      <c r="T72" s="7"/>
      <c r="U72" s="7" t="s">
        <v>35</v>
      </c>
      <c r="V72" s="9">
        <v>15332.22</v>
      </c>
      <c r="W72" s="9">
        <v>6611.25</v>
      </c>
      <c r="X72" s="9">
        <v>6105.29</v>
      </c>
      <c r="Y72" s="7">
        <v>0</v>
      </c>
      <c r="Z72" s="9">
        <v>2615.6799999999998</v>
      </c>
    </row>
    <row r="73" spans="1:26" ht="17.5" x14ac:dyDescent="0.35">
      <c r="A73" s="7" t="s">
        <v>27</v>
      </c>
      <c r="B73" s="7" t="s">
        <v>36</v>
      </c>
      <c r="C73" s="7" t="s">
        <v>48</v>
      </c>
      <c r="D73" s="7" t="s">
        <v>49</v>
      </c>
      <c r="E73" s="7" t="s">
        <v>29</v>
      </c>
      <c r="F73" s="7" t="s">
        <v>126</v>
      </c>
      <c r="G73" s="7">
        <v>2020</v>
      </c>
      <c r="H73" s="7" t="str">
        <f>CONCATENATE("04240483182")</f>
        <v>04240483182</v>
      </c>
      <c r="I73" s="7" t="s">
        <v>30</v>
      </c>
      <c r="J73" s="7" t="s">
        <v>31</v>
      </c>
      <c r="K73" s="7" t="str">
        <f>CONCATENATE("")</f>
        <v/>
      </c>
      <c r="L73" s="7" t="str">
        <f>CONCATENATE("11 11.2 4b")</f>
        <v>11 11.2 4b</v>
      </c>
      <c r="M73" s="7" t="str">
        <f>CONCATENATE("MRNMNN70A63F501T")</f>
        <v>MRNMNN70A63F501T</v>
      </c>
      <c r="N73" s="7" t="s">
        <v>151</v>
      </c>
      <c r="O73" s="7" t="s">
        <v>52</v>
      </c>
      <c r="P73" s="8">
        <v>44321</v>
      </c>
      <c r="Q73" s="7" t="s">
        <v>32</v>
      </c>
      <c r="R73" s="7" t="s">
        <v>33</v>
      </c>
      <c r="S73" s="7" t="s">
        <v>34</v>
      </c>
      <c r="T73" s="7"/>
      <c r="U73" s="7" t="s">
        <v>35</v>
      </c>
      <c r="V73" s="9">
        <v>1974.48</v>
      </c>
      <c r="W73" s="7">
        <v>851.4</v>
      </c>
      <c r="X73" s="7">
        <v>786.24</v>
      </c>
      <c r="Y73" s="7">
        <v>0</v>
      </c>
      <c r="Z73" s="7">
        <v>336.84</v>
      </c>
    </row>
    <row r="74" spans="1:26" x14ac:dyDescent="0.35">
      <c r="A74" s="7" t="s">
        <v>27</v>
      </c>
      <c r="B74" s="7" t="s">
        <v>28</v>
      </c>
      <c r="C74" s="7" t="s">
        <v>48</v>
      </c>
      <c r="D74" s="7" t="s">
        <v>56</v>
      </c>
      <c r="E74" s="7" t="s">
        <v>29</v>
      </c>
      <c r="F74" s="7" t="s">
        <v>152</v>
      </c>
      <c r="G74" s="7">
        <v>2017</v>
      </c>
      <c r="H74" s="7" t="str">
        <f>CONCATENATE("14270116461")</f>
        <v>14270116461</v>
      </c>
      <c r="I74" s="7" t="s">
        <v>30</v>
      </c>
      <c r="J74" s="7" t="s">
        <v>31</v>
      </c>
      <c r="K74" s="7" t="str">
        <f>CONCATENATE("")</f>
        <v/>
      </c>
      <c r="L74" s="7" t="str">
        <f>CONCATENATE("21 21.1 2a")</f>
        <v>21 21.1 2a</v>
      </c>
      <c r="M74" s="7" t="str">
        <f>CONCATENATE("NGRLRT63L51L407G")</f>
        <v>NGRLRT63L51L407G</v>
      </c>
      <c r="N74" s="7" t="s">
        <v>153</v>
      </c>
      <c r="O74" s="7" t="s">
        <v>78</v>
      </c>
      <c r="P74" s="8">
        <v>44321</v>
      </c>
      <c r="Q74" s="7" t="s">
        <v>32</v>
      </c>
      <c r="R74" s="7" t="s">
        <v>33</v>
      </c>
      <c r="S74" s="7" t="s">
        <v>34</v>
      </c>
      <c r="T74" s="7"/>
      <c r="U74" s="7" t="s">
        <v>35</v>
      </c>
      <c r="V74" s="9">
        <v>1000</v>
      </c>
      <c r="W74" s="7">
        <v>431.2</v>
      </c>
      <c r="X74" s="7">
        <v>398.2</v>
      </c>
      <c r="Y74" s="7">
        <v>0</v>
      </c>
      <c r="Z74" s="7">
        <v>170.6</v>
      </c>
    </row>
    <row r="75" spans="1:26" x14ac:dyDescent="0.35">
      <c r="A75" s="7" t="s">
        <v>27</v>
      </c>
      <c r="B75" s="7" t="s">
        <v>28</v>
      </c>
      <c r="C75" s="7" t="s">
        <v>48</v>
      </c>
      <c r="D75" s="7" t="s">
        <v>59</v>
      </c>
      <c r="E75" s="7" t="s">
        <v>40</v>
      </c>
      <c r="F75" s="7" t="s">
        <v>154</v>
      </c>
      <c r="G75" s="7">
        <v>2017</v>
      </c>
      <c r="H75" s="7" t="str">
        <f>CONCATENATE("14270116941")</f>
        <v>14270116941</v>
      </c>
      <c r="I75" s="7" t="s">
        <v>30</v>
      </c>
      <c r="J75" s="7" t="s">
        <v>31</v>
      </c>
      <c r="K75" s="7" t="str">
        <f>CONCATENATE("")</f>
        <v/>
      </c>
      <c r="L75" s="7" t="str">
        <f>CONCATENATE("21 21.1 2a")</f>
        <v>21 21.1 2a</v>
      </c>
      <c r="M75" s="7" t="str">
        <f>CONCATENATE("TTLLRC52C29G453Y")</f>
        <v>TTLLRC52C29G453Y</v>
      </c>
      <c r="N75" s="7" t="s">
        <v>155</v>
      </c>
      <c r="O75" s="7" t="s">
        <v>78</v>
      </c>
      <c r="P75" s="8">
        <v>44321</v>
      </c>
      <c r="Q75" s="7" t="s">
        <v>32</v>
      </c>
      <c r="R75" s="7" t="s">
        <v>33</v>
      </c>
      <c r="S75" s="7" t="s">
        <v>34</v>
      </c>
      <c r="T75" s="7"/>
      <c r="U75" s="7" t="s">
        <v>35</v>
      </c>
      <c r="V75" s="9">
        <v>6842.25</v>
      </c>
      <c r="W75" s="9">
        <v>2950.38</v>
      </c>
      <c r="X75" s="9">
        <v>2724.58</v>
      </c>
      <c r="Y75" s="7">
        <v>0</v>
      </c>
      <c r="Z75" s="9">
        <v>1167.29</v>
      </c>
    </row>
    <row r="76" spans="1:26" x14ac:dyDescent="0.35">
      <c r="A76" s="7" t="s">
        <v>27</v>
      </c>
      <c r="B76" s="7" t="s">
        <v>28</v>
      </c>
      <c r="C76" s="7" t="s">
        <v>48</v>
      </c>
      <c r="D76" s="7" t="s">
        <v>49</v>
      </c>
      <c r="E76" s="7" t="s">
        <v>29</v>
      </c>
      <c r="F76" s="7" t="s">
        <v>76</v>
      </c>
      <c r="G76" s="7">
        <v>2017</v>
      </c>
      <c r="H76" s="7" t="str">
        <f>CONCATENATE("14270118160")</f>
        <v>14270118160</v>
      </c>
      <c r="I76" s="7" t="s">
        <v>30</v>
      </c>
      <c r="J76" s="7" t="s">
        <v>31</v>
      </c>
      <c r="K76" s="7" t="str">
        <f>CONCATENATE("")</f>
        <v/>
      </c>
      <c r="L76" s="7" t="str">
        <f>CONCATENATE("21 21.1 2a")</f>
        <v>21 21.1 2a</v>
      </c>
      <c r="M76" s="7" t="str">
        <f>CONCATENATE("PNCGCR48H14F697J")</f>
        <v>PNCGCR48H14F697J</v>
      </c>
      <c r="N76" s="7" t="s">
        <v>156</v>
      </c>
      <c r="O76" s="7" t="s">
        <v>78</v>
      </c>
      <c r="P76" s="8">
        <v>44321</v>
      </c>
      <c r="Q76" s="7" t="s">
        <v>32</v>
      </c>
      <c r="R76" s="7" t="s">
        <v>33</v>
      </c>
      <c r="S76" s="7" t="s">
        <v>34</v>
      </c>
      <c r="T76" s="7"/>
      <c r="U76" s="7" t="s">
        <v>35</v>
      </c>
      <c r="V76" s="9">
        <v>7000</v>
      </c>
      <c r="W76" s="9">
        <v>3018.4</v>
      </c>
      <c r="X76" s="9">
        <v>2787.4</v>
      </c>
      <c r="Y76" s="7">
        <v>0</v>
      </c>
      <c r="Z76" s="9">
        <v>1194.2</v>
      </c>
    </row>
    <row r="77" spans="1:26" x14ac:dyDescent="0.35">
      <c r="A77" s="7" t="s">
        <v>27</v>
      </c>
      <c r="B77" s="7" t="s">
        <v>28</v>
      </c>
      <c r="C77" s="7" t="s">
        <v>48</v>
      </c>
      <c r="D77" s="7" t="s">
        <v>59</v>
      </c>
      <c r="E77" s="7" t="s">
        <v>43</v>
      </c>
      <c r="F77" s="7" t="s">
        <v>43</v>
      </c>
      <c r="G77" s="7">
        <v>2017</v>
      </c>
      <c r="H77" s="7" t="str">
        <f>CONCATENATE("14270116859")</f>
        <v>14270116859</v>
      </c>
      <c r="I77" s="7" t="s">
        <v>30</v>
      </c>
      <c r="J77" s="7" t="s">
        <v>31</v>
      </c>
      <c r="K77" s="7" t="str">
        <f>CONCATENATE("")</f>
        <v/>
      </c>
      <c r="L77" s="7" t="str">
        <f>CONCATENATE("21 21.1 2a")</f>
        <v>21 21.1 2a</v>
      </c>
      <c r="M77" s="7" t="str">
        <f>CONCATENATE("PZZGRG61E49D150A")</f>
        <v>PZZGRG61E49D150A</v>
      </c>
      <c r="N77" s="7" t="s">
        <v>157</v>
      </c>
      <c r="O77" s="7" t="s">
        <v>78</v>
      </c>
      <c r="P77" s="8">
        <v>44321</v>
      </c>
      <c r="Q77" s="7" t="s">
        <v>32</v>
      </c>
      <c r="R77" s="7" t="s">
        <v>33</v>
      </c>
      <c r="S77" s="7" t="s">
        <v>34</v>
      </c>
      <c r="T77" s="7"/>
      <c r="U77" s="7" t="s">
        <v>35</v>
      </c>
      <c r="V77" s="9">
        <v>7000</v>
      </c>
      <c r="W77" s="9">
        <v>3018.4</v>
      </c>
      <c r="X77" s="9">
        <v>2787.4</v>
      </c>
      <c r="Y77" s="7">
        <v>0</v>
      </c>
      <c r="Z77" s="9">
        <v>1194.2</v>
      </c>
    </row>
    <row r="78" spans="1:26" x14ac:dyDescent="0.35">
      <c r="A78" s="7" t="s">
        <v>27</v>
      </c>
      <c r="B78" s="7" t="s">
        <v>28</v>
      </c>
      <c r="C78" s="7" t="s">
        <v>48</v>
      </c>
      <c r="D78" s="7" t="s">
        <v>59</v>
      </c>
      <c r="E78" s="7" t="s">
        <v>43</v>
      </c>
      <c r="F78" s="7" t="s">
        <v>43</v>
      </c>
      <c r="G78" s="7">
        <v>2017</v>
      </c>
      <c r="H78" s="7" t="str">
        <f>CONCATENATE("14270116693")</f>
        <v>14270116693</v>
      </c>
      <c r="I78" s="7" t="s">
        <v>30</v>
      </c>
      <c r="J78" s="7" t="s">
        <v>31</v>
      </c>
      <c r="K78" s="7" t="str">
        <f>CONCATENATE("")</f>
        <v/>
      </c>
      <c r="L78" s="7" t="str">
        <f>CONCATENATE("21 21.1 2a")</f>
        <v>21 21.1 2a</v>
      </c>
      <c r="M78" s="7" t="str">
        <f>CONCATENATE("RSTDNL48D45G479C")</f>
        <v>RSTDNL48D45G479C</v>
      </c>
      <c r="N78" s="7" t="s">
        <v>158</v>
      </c>
      <c r="O78" s="7" t="s">
        <v>78</v>
      </c>
      <c r="P78" s="8">
        <v>44321</v>
      </c>
      <c r="Q78" s="7" t="s">
        <v>32</v>
      </c>
      <c r="R78" s="7" t="s">
        <v>33</v>
      </c>
      <c r="S78" s="7" t="s">
        <v>34</v>
      </c>
      <c r="T78" s="7"/>
      <c r="U78" s="7" t="s">
        <v>35</v>
      </c>
      <c r="V78" s="9">
        <v>7000</v>
      </c>
      <c r="W78" s="9">
        <v>3018.4</v>
      </c>
      <c r="X78" s="9">
        <v>2787.4</v>
      </c>
      <c r="Y78" s="7">
        <v>0</v>
      </c>
      <c r="Z78" s="9">
        <v>1194.2</v>
      </c>
    </row>
    <row r="79" spans="1:26" x14ac:dyDescent="0.35">
      <c r="A79" s="7" t="s">
        <v>27</v>
      </c>
      <c r="B79" s="7" t="s">
        <v>28</v>
      </c>
      <c r="C79" s="7" t="s">
        <v>48</v>
      </c>
      <c r="D79" s="7" t="s">
        <v>59</v>
      </c>
      <c r="E79" s="7" t="s">
        <v>43</v>
      </c>
      <c r="F79" s="7" t="s">
        <v>43</v>
      </c>
      <c r="G79" s="7">
        <v>2017</v>
      </c>
      <c r="H79" s="7" t="str">
        <f>CONCATENATE("14270116610")</f>
        <v>14270116610</v>
      </c>
      <c r="I79" s="7" t="s">
        <v>30</v>
      </c>
      <c r="J79" s="7" t="s">
        <v>31</v>
      </c>
      <c r="K79" s="7" t="str">
        <f>CONCATENATE("")</f>
        <v/>
      </c>
      <c r="L79" s="7" t="str">
        <f>CONCATENATE("21 21.1 2a")</f>
        <v>21 21.1 2a</v>
      </c>
      <c r="M79" s="7" t="str">
        <f>CONCATENATE("SCHLNZ81A12D749D")</f>
        <v>SCHLNZ81A12D749D</v>
      </c>
      <c r="N79" s="7" t="s">
        <v>159</v>
      </c>
      <c r="O79" s="7" t="s">
        <v>78</v>
      </c>
      <c r="P79" s="8">
        <v>44321</v>
      </c>
      <c r="Q79" s="7" t="s">
        <v>32</v>
      </c>
      <c r="R79" s="7" t="s">
        <v>33</v>
      </c>
      <c r="S79" s="7" t="s">
        <v>34</v>
      </c>
      <c r="T79" s="7"/>
      <c r="U79" s="7" t="s">
        <v>35</v>
      </c>
      <c r="V79" s="9">
        <v>4972.9799999999996</v>
      </c>
      <c r="W79" s="9">
        <v>2144.35</v>
      </c>
      <c r="X79" s="9">
        <v>1980.24</v>
      </c>
      <c r="Y79" s="7">
        <v>0</v>
      </c>
      <c r="Z79" s="7">
        <v>848.39</v>
      </c>
    </row>
    <row r="80" spans="1:26" x14ac:dyDescent="0.35">
      <c r="A80" s="7" t="s">
        <v>27</v>
      </c>
      <c r="B80" s="7" t="s">
        <v>28</v>
      </c>
      <c r="C80" s="7" t="s">
        <v>48</v>
      </c>
      <c r="D80" s="7" t="s">
        <v>56</v>
      </c>
      <c r="E80" s="7" t="s">
        <v>29</v>
      </c>
      <c r="F80" s="7" t="s">
        <v>124</v>
      </c>
      <c r="G80" s="7">
        <v>2017</v>
      </c>
      <c r="H80" s="7" t="str">
        <f>CONCATENATE("14270116917")</f>
        <v>14270116917</v>
      </c>
      <c r="I80" s="7" t="s">
        <v>30</v>
      </c>
      <c r="J80" s="7" t="s">
        <v>31</v>
      </c>
      <c r="K80" s="7" t="str">
        <f>CONCATENATE("")</f>
        <v/>
      </c>
      <c r="L80" s="7" t="str">
        <f>CONCATENATE("21 21.1 2a")</f>
        <v>21 21.1 2a</v>
      </c>
      <c r="M80" s="7" t="str">
        <f>CONCATENATE("02375540420")</f>
        <v>02375540420</v>
      </c>
      <c r="N80" s="7" t="s">
        <v>160</v>
      </c>
      <c r="O80" s="7" t="s">
        <v>78</v>
      </c>
      <c r="P80" s="8">
        <v>44321</v>
      </c>
      <c r="Q80" s="7" t="s">
        <v>32</v>
      </c>
      <c r="R80" s="7" t="s">
        <v>33</v>
      </c>
      <c r="S80" s="7" t="s">
        <v>34</v>
      </c>
      <c r="T80" s="7"/>
      <c r="U80" s="7" t="s">
        <v>35</v>
      </c>
      <c r="V80" s="9">
        <v>7000</v>
      </c>
      <c r="W80" s="9">
        <v>3018.4</v>
      </c>
      <c r="X80" s="9">
        <v>2787.4</v>
      </c>
      <c r="Y80" s="7">
        <v>0</v>
      </c>
      <c r="Z80" s="9">
        <v>1194.2</v>
      </c>
    </row>
    <row r="81" spans="1:26" x14ac:dyDescent="0.35">
      <c r="A81" s="7" t="s">
        <v>27</v>
      </c>
      <c r="B81" s="7" t="s">
        <v>28</v>
      </c>
      <c r="C81" s="7" t="s">
        <v>48</v>
      </c>
      <c r="D81" s="7" t="s">
        <v>49</v>
      </c>
      <c r="E81" s="7" t="s">
        <v>43</v>
      </c>
      <c r="F81" s="7" t="s">
        <v>43</v>
      </c>
      <c r="G81" s="7">
        <v>2017</v>
      </c>
      <c r="H81" s="7" t="str">
        <f>CONCATENATE("14270116602")</f>
        <v>14270116602</v>
      </c>
      <c r="I81" s="7" t="s">
        <v>30</v>
      </c>
      <c r="J81" s="7" t="s">
        <v>31</v>
      </c>
      <c r="K81" s="7" t="str">
        <f>CONCATENATE("")</f>
        <v/>
      </c>
      <c r="L81" s="7" t="str">
        <f>CONCATENATE("21 21.1 2a")</f>
        <v>21 21.1 2a</v>
      </c>
      <c r="M81" s="7" t="str">
        <f>CONCATENATE("SPNSLV85L63H501V")</f>
        <v>SPNSLV85L63H501V</v>
      </c>
      <c r="N81" s="7" t="s">
        <v>161</v>
      </c>
      <c r="O81" s="7" t="s">
        <v>78</v>
      </c>
      <c r="P81" s="8">
        <v>44321</v>
      </c>
      <c r="Q81" s="7" t="s">
        <v>32</v>
      </c>
      <c r="R81" s="7" t="s">
        <v>33</v>
      </c>
      <c r="S81" s="7" t="s">
        <v>34</v>
      </c>
      <c r="T81" s="7"/>
      <c r="U81" s="7" t="s">
        <v>35</v>
      </c>
      <c r="V81" s="9">
        <v>2918.52</v>
      </c>
      <c r="W81" s="9">
        <v>1258.47</v>
      </c>
      <c r="X81" s="9">
        <v>1162.1500000000001</v>
      </c>
      <c r="Y81" s="7">
        <v>0</v>
      </c>
      <c r="Z81" s="7">
        <v>497.9</v>
      </c>
    </row>
    <row r="82" spans="1:26" x14ac:dyDescent="0.35">
      <c r="A82" s="7" t="s">
        <v>27</v>
      </c>
      <c r="B82" s="7" t="s">
        <v>28</v>
      </c>
      <c r="C82" s="7" t="s">
        <v>48</v>
      </c>
      <c r="D82" s="7" t="s">
        <v>59</v>
      </c>
      <c r="E82" s="7" t="s">
        <v>43</v>
      </c>
      <c r="F82" s="7" t="s">
        <v>43</v>
      </c>
      <c r="G82" s="7">
        <v>2017</v>
      </c>
      <c r="H82" s="7" t="str">
        <f>CONCATENATE("14270116438")</f>
        <v>14270116438</v>
      </c>
      <c r="I82" s="7" t="s">
        <v>30</v>
      </c>
      <c r="J82" s="7" t="s">
        <v>31</v>
      </c>
      <c r="K82" s="7" t="str">
        <f>CONCATENATE("")</f>
        <v/>
      </c>
      <c r="L82" s="7" t="str">
        <f>CONCATENATE("21 21.1 2a")</f>
        <v>21 21.1 2a</v>
      </c>
      <c r="M82" s="7" t="str">
        <f>CONCATENATE("ZNGLTT56R65D488Y")</f>
        <v>ZNGLTT56R65D488Y</v>
      </c>
      <c r="N82" s="7" t="s">
        <v>162</v>
      </c>
      <c r="O82" s="7" t="s">
        <v>78</v>
      </c>
      <c r="P82" s="8">
        <v>44321</v>
      </c>
      <c r="Q82" s="7" t="s">
        <v>32</v>
      </c>
      <c r="R82" s="7" t="s">
        <v>33</v>
      </c>
      <c r="S82" s="7" t="s">
        <v>34</v>
      </c>
      <c r="T82" s="7"/>
      <c r="U82" s="7" t="s">
        <v>35</v>
      </c>
      <c r="V82" s="9">
        <v>7000</v>
      </c>
      <c r="W82" s="9">
        <v>3018.4</v>
      </c>
      <c r="X82" s="9">
        <v>2787.4</v>
      </c>
      <c r="Y82" s="7">
        <v>0</v>
      </c>
      <c r="Z82" s="9">
        <v>1194.2</v>
      </c>
    </row>
    <row r="83" spans="1:26" x14ac:dyDescent="0.35">
      <c r="A83" s="7" t="s">
        <v>27</v>
      </c>
      <c r="B83" s="7" t="s">
        <v>28</v>
      </c>
      <c r="C83" s="7" t="s">
        <v>48</v>
      </c>
      <c r="D83" s="7" t="s">
        <v>59</v>
      </c>
      <c r="E83" s="7" t="s">
        <v>40</v>
      </c>
      <c r="F83" s="7" t="s">
        <v>163</v>
      </c>
      <c r="G83" s="7">
        <v>2017</v>
      </c>
      <c r="H83" s="7" t="str">
        <f>CONCATENATE("14270116768")</f>
        <v>14270116768</v>
      </c>
      <c r="I83" s="7" t="s">
        <v>30</v>
      </c>
      <c r="J83" s="7" t="s">
        <v>31</v>
      </c>
      <c r="K83" s="7" t="str">
        <f>CONCATENATE("")</f>
        <v/>
      </c>
      <c r="L83" s="7" t="str">
        <f>CONCATENATE("21 21.1 2a")</f>
        <v>21 21.1 2a</v>
      </c>
      <c r="M83" s="7" t="str">
        <f>CONCATENATE("TNOTZN72S43L219R")</f>
        <v>TNOTZN72S43L219R</v>
      </c>
      <c r="N83" s="7" t="s">
        <v>164</v>
      </c>
      <c r="O83" s="7" t="s">
        <v>78</v>
      </c>
      <c r="P83" s="8">
        <v>44321</v>
      </c>
      <c r="Q83" s="7" t="s">
        <v>32</v>
      </c>
      <c r="R83" s="7" t="s">
        <v>33</v>
      </c>
      <c r="S83" s="7" t="s">
        <v>34</v>
      </c>
      <c r="T83" s="7"/>
      <c r="U83" s="7" t="s">
        <v>35</v>
      </c>
      <c r="V83" s="9">
        <v>1402.15</v>
      </c>
      <c r="W83" s="7">
        <v>604.61</v>
      </c>
      <c r="X83" s="7">
        <v>558.34</v>
      </c>
      <c r="Y83" s="7">
        <v>0</v>
      </c>
      <c r="Z83" s="7">
        <v>239.2</v>
      </c>
    </row>
    <row r="84" spans="1:26" x14ac:dyDescent="0.35">
      <c r="A84" s="7" t="s">
        <v>27</v>
      </c>
      <c r="B84" s="7" t="s">
        <v>28</v>
      </c>
      <c r="C84" s="7" t="s">
        <v>48</v>
      </c>
      <c r="D84" s="7" t="s">
        <v>59</v>
      </c>
      <c r="E84" s="7" t="s">
        <v>40</v>
      </c>
      <c r="F84" s="7" t="s">
        <v>165</v>
      </c>
      <c r="G84" s="7">
        <v>2017</v>
      </c>
      <c r="H84" s="7" t="str">
        <f>CONCATENATE("14270116685")</f>
        <v>14270116685</v>
      </c>
      <c r="I84" s="7" t="s">
        <v>30</v>
      </c>
      <c r="J84" s="7" t="s">
        <v>31</v>
      </c>
      <c r="K84" s="7" t="str">
        <f>CONCATENATE("")</f>
        <v/>
      </c>
      <c r="L84" s="7" t="str">
        <f>CONCATENATE("21 21.1 2a")</f>
        <v>21 21.1 2a</v>
      </c>
      <c r="M84" s="7" t="str">
        <f>CONCATENATE("SCTMDL76L71F205L")</f>
        <v>SCTMDL76L71F205L</v>
      </c>
      <c r="N84" s="7" t="s">
        <v>166</v>
      </c>
      <c r="O84" s="7" t="s">
        <v>78</v>
      </c>
      <c r="P84" s="8">
        <v>44321</v>
      </c>
      <c r="Q84" s="7" t="s">
        <v>32</v>
      </c>
      <c r="R84" s="7" t="s">
        <v>33</v>
      </c>
      <c r="S84" s="7" t="s">
        <v>34</v>
      </c>
      <c r="T84" s="7"/>
      <c r="U84" s="7" t="s">
        <v>35</v>
      </c>
      <c r="V84" s="9">
        <v>7000</v>
      </c>
      <c r="W84" s="9">
        <v>3018.4</v>
      </c>
      <c r="X84" s="9">
        <v>2787.4</v>
      </c>
      <c r="Y84" s="7">
        <v>0</v>
      </c>
      <c r="Z84" s="9">
        <v>1194.2</v>
      </c>
    </row>
    <row r="85" spans="1:26" ht="17.5" x14ac:dyDescent="0.35">
      <c r="A85" s="7" t="s">
        <v>27</v>
      </c>
      <c r="B85" s="7" t="s">
        <v>28</v>
      </c>
      <c r="C85" s="7" t="s">
        <v>48</v>
      </c>
      <c r="D85" s="7" t="s">
        <v>62</v>
      </c>
      <c r="E85" s="7" t="s">
        <v>29</v>
      </c>
      <c r="F85" s="7" t="s">
        <v>167</v>
      </c>
      <c r="G85" s="7">
        <v>2017</v>
      </c>
      <c r="H85" s="7" t="str">
        <f>CONCATENATE("14270116883")</f>
        <v>14270116883</v>
      </c>
      <c r="I85" s="7" t="s">
        <v>30</v>
      </c>
      <c r="J85" s="7" t="s">
        <v>31</v>
      </c>
      <c r="K85" s="7" t="str">
        <f>CONCATENATE("")</f>
        <v/>
      </c>
      <c r="L85" s="7" t="str">
        <f>CONCATENATE("21 21.1 2a")</f>
        <v>21 21.1 2a</v>
      </c>
      <c r="M85" s="7" t="str">
        <f>CONCATENATE("01104210438")</f>
        <v>01104210438</v>
      </c>
      <c r="N85" s="7" t="s">
        <v>168</v>
      </c>
      <c r="O85" s="7" t="s">
        <v>78</v>
      </c>
      <c r="P85" s="8">
        <v>44321</v>
      </c>
      <c r="Q85" s="7" t="s">
        <v>32</v>
      </c>
      <c r="R85" s="7" t="s">
        <v>33</v>
      </c>
      <c r="S85" s="7" t="s">
        <v>34</v>
      </c>
      <c r="T85" s="7"/>
      <c r="U85" s="7" t="s">
        <v>35</v>
      </c>
      <c r="V85" s="9">
        <v>7000</v>
      </c>
      <c r="W85" s="9">
        <v>3018.4</v>
      </c>
      <c r="X85" s="9">
        <v>2787.4</v>
      </c>
      <c r="Y85" s="7">
        <v>0</v>
      </c>
      <c r="Z85" s="9">
        <v>1194.2</v>
      </c>
    </row>
    <row r="86" spans="1:26" ht="17.5" x14ac:dyDescent="0.35">
      <c r="A86" s="7" t="s">
        <v>27</v>
      </c>
      <c r="B86" s="7" t="s">
        <v>28</v>
      </c>
      <c r="C86" s="7" t="s">
        <v>48</v>
      </c>
      <c r="D86" s="7" t="s">
        <v>49</v>
      </c>
      <c r="E86" s="7" t="s">
        <v>37</v>
      </c>
      <c r="F86" s="7" t="s">
        <v>93</v>
      </c>
      <c r="G86" s="7">
        <v>2017</v>
      </c>
      <c r="H86" s="7" t="str">
        <f>CONCATENATE("14270116750")</f>
        <v>14270116750</v>
      </c>
      <c r="I86" s="7" t="s">
        <v>30</v>
      </c>
      <c r="J86" s="7" t="s">
        <v>31</v>
      </c>
      <c r="K86" s="7" t="str">
        <f>CONCATENATE("")</f>
        <v/>
      </c>
      <c r="L86" s="7" t="str">
        <f>CONCATENATE("21 21.1 2a")</f>
        <v>21 21.1 2a</v>
      </c>
      <c r="M86" s="7" t="str">
        <f>CONCATENATE("01376650444")</f>
        <v>01376650444</v>
      </c>
      <c r="N86" s="7" t="s">
        <v>169</v>
      </c>
      <c r="O86" s="7" t="s">
        <v>78</v>
      </c>
      <c r="P86" s="8">
        <v>44321</v>
      </c>
      <c r="Q86" s="7" t="s">
        <v>32</v>
      </c>
      <c r="R86" s="7" t="s">
        <v>33</v>
      </c>
      <c r="S86" s="7" t="s">
        <v>34</v>
      </c>
      <c r="T86" s="7"/>
      <c r="U86" s="7" t="s">
        <v>35</v>
      </c>
      <c r="V86" s="9">
        <v>7000</v>
      </c>
      <c r="W86" s="9">
        <v>3018.4</v>
      </c>
      <c r="X86" s="9">
        <v>2787.4</v>
      </c>
      <c r="Y86" s="7">
        <v>0</v>
      </c>
      <c r="Z86" s="9">
        <v>1194.2</v>
      </c>
    </row>
    <row r="87" spans="1:26" x14ac:dyDescent="0.35">
      <c r="A87" s="7" t="s">
        <v>27</v>
      </c>
      <c r="B87" s="7" t="s">
        <v>28</v>
      </c>
      <c r="C87" s="7" t="s">
        <v>48</v>
      </c>
      <c r="D87" s="7" t="s">
        <v>49</v>
      </c>
      <c r="E87" s="7" t="s">
        <v>29</v>
      </c>
      <c r="F87" s="7" t="s">
        <v>138</v>
      </c>
      <c r="G87" s="7">
        <v>2017</v>
      </c>
      <c r="H87" s="7" t="str">
        <f>CONCATENATE("14270116644")</f>
        <v>14270116644</v>
      </c>
      <c r="I87" s="7" t="s">
        <v>30</v>
      </c>
      <c r="J87" s="7" t="s">
        <v>31</v>
      </c>
      <c r="K87" s="7" t="str">
        <f>CONCATENATE("")</f>
        <v/>
      </c>
      <c r="L87" s="7" t="str">
        <f>CONCATENATE("21 21.1 2a")</f>
        <v>21 21.1 2a</v>
      </c>
      <c r="M87" s="7" t="str">
        <f>CONCATENATE("TRNGZL54T48H588K")</f>
        <v>TRNGZL54T48H588K</v>
      </c>
      <c r="N87" s="7" t="s">
        <v>170</v>
      </c>
      <c r="O87" s="7" t="s">
        <v>78</v>
      </c>
      <c r="P87" s="8">
        <v>44321</v>
      </c>
      <c r="Q87" s="7" t="s">
        <v>32</v>
      </c>
      <c r="R87" s="7" t="s">
        <v>33</v>
      </c>
      <c r="S87" s="7" t="s">
        <v>34</v>
      </c>
      <c r="T87" s="7"/>
      <c r="U87" s="7" t="s">
        <v>35</v>
      </c>
      <c r="V87" s="9">
        <v>5977.73</v>
      </c>
      <c r="W87" s="9">
        <v>2577.6</v>
      </c>
      <c r="X87" s="9">
        <v>2380.33</v>
      </c>
      <c r="Y87" s="7">
        <v>0</v>
      </c>
      <c r="Z87" s="9">
        <v>1019.8</v>
      </c>
    </row>
    <row r="88" spans="1:26" x14ac:dyDescent="0.35">
      <c r="A88" s="7" t="s">
        <v>27</v>
      </c>
      <c r="B88" s="7" t="s">
        <v>36</v>
      </c>
      <c r="C88" s="7" t="s">
        <v>48</v>
      </c>
      <c r="D88" s="7" t="s">
        <v>49</v>
      </c>
      <c r="E88" s="7" t="s">
        <v>29</v>
      </c>
      <c r="F88" s="7" t="s">
        <v>126</v>
      </c>
      <c r="G88" s="7">
        <v>2020</v>
      </c>
      <c r="H88" s="7" t="str">
        <f>CONCATENATE("04240972135")</f>
        <v>04240972135</v>
      </c>
      <c r="I88" s="7" t="s">
        <v>30</v>
      </c>
      <c r="J88" s="7" t="s">
        <v>31</v>
      </c>
      <c r="K88" s="7" t="str">
        <f>CONCATENATE("")</f>
        <v/>
      </c>
      <c r="L88" s="7" t="str">
        <f>CONCATENATE("11 11.2 4b")</f>
        <v>11 11.2 4b</v>
      </c>
      <c r="M88" s="7" t="str">
        <f>CONCATENATE("SGRDVD82E27H769M")</f>
        <v>SGRDVD82E27H769M</v>
      </c>
      <c r="N88" s="7" t="s">
        <v>171</v>
      </c>
      <c r="O88" s="7" t="s">
        <v>52</v>
      </c>
      <c r="P88" s="8">
        <v>44321</v>
      </c>
      <c r="Q88" s="7" t="s">
        <v>32</v>
      </c>
      <c r="R88" s="7" t="s">
        <v>33</v>
      </c>
      <c r="S88" s="7" t="s">
        <v>34</v>
      </c>
      <c r="T88" s="7"/>
      <c r="U88" s="7" t="s">
        <v>35</v>
      </c>
      <c r="V88" s="9">
        <v>17318.45</v>
      </c>
      <c r="W88" s="9">
        <v>7467.72</v>
      </c>
      <c r="X88" s="9">
        <v>6896.21</v>
      </c>
      <c r="Y88" s="7">
        <v>0</v>
      </c>
      <c r="Z88" s="9">
        <v>2954.52</v>
      </c>
    </row>
    <row r="89" spans="1:26" x14ac:dyDescent="0.35">
      <c r="A89" s="7" t="s">
        <v>27</v>
      </c>
      <c r="B89" s="7" t="s">
        <v>28</v>
      </c>
      <c r="C89" s="7" t="s">
        <v>48</v>
      </c>
      <c r="D89" s="7" t="s">
        <v>56</v>
      </c>
      <c r="E89" s="7" t="s">
        <v>29</v>
      </c>
      <c r="F89" s="7" t="s">
        <v>128</v>
      </c>
      <c r="G89" s="7">
        <v>2017</v>
      </c>
      <c r="H89" s="7" t="str">
        <f>CONCATENATE("14270117055")</f>
        <v>14270117055</v>
      </c>
      <c r="I89" s="7" t="s">
        <v>30</v>
      </c>
      <c r="J89" s="7" t="s">
        <v>31</v>
      </c>
      <c r="K89" s="7" t="str">
        <f>CONCATENATE("")</f>
        <v/>
      </c>
      <c r="L89" s="7" t="str">
        <f>CONCATENATE("21 21.1 2a")</f>
        <v>21 21.1 2a</v>
      </c>
      <c r="M89" s="7" t="str">
        <f>CONCATENATE("NCNGLG60M18H575V")</f>
        <v>NCNGLG60M18H575V</v>
      </c>
      <c r="N89" s="7" t="s">
        <v>172</v>
      </c>
      <c r="O89" s="7" t="s">
        <v>55</v>
      </c>
      <c r="P89" s="8">
        <v>44321</v>
      </c>
      <c r="Q89" s="7" t="s">
        <v>32</v>
      </c>
      <c r="R89" s="7" t="s">
        <v>33</v>
      </c>
      <c r="S89" s="7" t="s">
        <v>34</v>
      </c>
      <c r="T89" s="7"/>
      <c r="U89" s="7" t="s">
        <v>35</v>
      </c>
      <c r="V89" s="9">
        <v>7000</v>
      </c>
      <c r="W89" s="9">
        <v>3018.4</v>
      </c>
      <c r="X89" s="9">
        <v>2787.4</v>
      </c>
      <c r="Y89" s="7">
        <v>0</v>
      </c>
      <c r="Z89" s="9">
        <v>1194.2</v>
      </c>
    </row>
    <row r="90" spans="1:26" x14ac:dyDescent="0.35">
      <c r="A90" s="7" t="s">
        <v>27</v>
      </c>
      <c r="B90" s="7" t="s">
        <v>28</v>
      </c>
      <c r="C90" s="7" t="s">
        <v>48</v>
      </c>
      <c r="D90" s="7" t="s">
        <v>59</v>
      </c>
      <c r="E90" s="7" t="s">
        <v>29</v>
      </c>
      <c r="F90" s="7" t="s">
        <v>173</v>
      </c>
      <c r="G90" s="7">
        <v>2017</v>
      </c>
      <c r="H90" s="7" t="str">
        <f>CONCATENATE("14270117154")</f>
        <v>14270117154</v>
      </c>
      <c r="I90" s="7" t="s">
        <v>30</v>
      </c>
      <c r="J90" s="7" t="s">
        <v>31</v>
      </c>
      <c r="K90" s="7" t="str">
        <f>CONCATENATE("")</f>
        <v/>
      </c>
      <c r="L90" s="7" t="str">
        <f>CONCATENATE("21 21.1 2a")</f>
        <v>21 21.1 2a</v>
      </c>
      <c r="M90" s="7" t="str">
        <f>CONCATENATE("BCCRSN60R47Z103V")</f>
        <v>BCCRSN60R47Z103V</v>
      </c>
      <c r="N90" s="7" t="s">
        <v>174</v>
      </c>
      <c r="O90" s="7" t="s">
        <v>55</v>
      </c>
      <c r="P90" s="8">
        <v>44321</v>
      </c>
      <c r="Q90" s="7" t="s">
        <v>32</v>
      </c>
      <c r="R90" s="7" t="s">
        <v>33</v>
      </c>
      <c r="S90" s="7" t="s">
        <v>34</v>
      </c>
      <c r="T90" s="7"/>
      <c r="U90" s="7" t="s">
        <v>35</v>
      </c>
      <c r="V90" s="9">
        <v>1759.17</v>
      </c>
      <c r="W90" s="7">
        <v>758.55</v>
      </c>
      <c r="X90" s="7">
        <v>700.5</v>
      </c>
      <c r="Y90" s="7">
        <v>0</v>
      </c>
      <c r="Z90" s="7">
        <v>300.12</v>
      </c>
    </row>
    <row r="91" spans="1:26" x14ac:dyDescent="0.35">
      <c r="A91" s="7" t="s">
        <v>27</v>
      </c>
      <c r="B91" s="7" t="s">
        <v>28</v>
      </c>
      <c r="C91" s="7" t="s">
        <v>48</v>
      </c>
      <c r="D91" s="7" t="s">
        <v>49</v>
      </c>
      <c r="E91" s="7" t="s">
        <v>29</v>
      </c>
      <c r="F91" s="7" t="s">
        <v>76</v>
      </c>
      <c r="G91" s="7">
        <v>2017</v>
      </c>
      <c r="H91" s="7" t="str">
        <f>CONCATENATE("14270117451")</f>
        <v>14270117451</v>
      </c>
      <c r="I91" s="7" t="s">
        <v>30</v>
      </c>
      <c r="J91" s="7" t="s">
        <v>31</v>
      </c>
      <c r="K91" s="7" t="str">
        <f>CONCATENATE("")</f>
        <v/>
      </c>
      <c r="L91" s="7" t="str">
        <f>CONCATENATE("21 21.1 2a")</f>
        <v>21 21.1 2a</v>
      </c>
      <c r="M91" s="7" t="str">
        <f>CONCATENATE("BRDCST71B04G920K")</f>
        <v>BRDCST71B04G920K</v>
      </c>
      <c r="N91" s="7" t="s">
        <v>175</v>
      </c>
      <c r="O91" s="7" t="s">
        <v>55</v>
      </c>
      <c r="P91" s="8">
        <v>44321</v>
      </c>
      <c r="Q91" s="7" t="s">
        <v>32</v>
      </c>
      <c r="R91" s="7" t="s">
        <v>33</v>
      </c>
      <c r="S91" s="7" t="s">
        <v>34</v>
      </c>
      <c r="T91" s="7"/>
      <c r="U91" s="7" t="s">
        <v>35</v>
      </c>
      <c r="V91" s="9">
        <v>7000</v>
      </c>
      <c r="W91" s="9">
        <v>3018.4</v>
      </c>
      <c r="X91" s="9">
        <v>2787.4</v>
      </c>
      <c r="Y91" s="7">
        <v>0</v>
      </c>
      <c r="Z91" s="9">
        <v>1194.2</v>
      </c>
    </row>
    <row r="92" spans="1:26" x14ac:dyDescent="0.35">
      <c r="A92" s="7" t="s">
        <v>27</v>
      </c>
      <c r="B92" s="7" t="s">
        <v>28</v>
      </c>
      <c r="C92" s="7" t="s">
        <v>48</v>
      </c>
      <c r="D92" s="7" t="s">
        <v>62</v>
      </c>
      <c r="E92" s="7" t="s">
        <v>29</v>
      </c>
      <c r="F92" s="7" t="s">
        <v>176</v>
      </c>
      <c r="G92" s="7">
        <v>2017</v>
      </c>
      <c r="H92" s="7" t="str">
        <f>CONCATENATE("14270117428")</f>
        <v>14270117428</v>
      </c>
      <c r="I92" s="7" t="s">
        <v>30</v>
      </c>
      <c r="J92" s="7" t="s">
        <v>31</v>
      </c>
      <c r="K92" s="7" t="str">
        <f>CONCATENATE("")</f>
        <v/>
      </c>
      <c r="L92" s="7" t="str">
        <f>CONCATENATE("21 21.1 2a")</f>
        <v>21 21.1 2a</v>
      </c>
      <c r="M92" s="7" t="str">
        <f>CONCATENATE("MRLMRA36M11C886F")</f>
        <v>MRLMRA36M11C886F</v>
      </c>
      <c r="N92" s="7" t="s">
        <v>177</v>
      </c>
      <c r="O92" s="7" t="s">
        <v>55</v>
      </c>
      <c r="P92" s="8">
        <v>44321</v>
      </c>
      <c r="Q92" s="7" t="s">
        <v>32</v>
      </c>
      <c r="R92" s="7" t="s">
        <v>33</v>
      </c>
      <c r="S92" s="7" t="s">
        <v>34</v>
      </c>
      <c r="T92" s="7"/>
      <c r="U92" s="7" t="s">
        <v>35</v>
      </c>
      <c r="V92" s="9">
        <v>4068.64</v>
      </c>
      <c r="W92" s="9">
        <v>1754.4</v>
      </c>
      <c r="X92" s="9">
        <v>1620.13</v>
      </c>
      <c r="Y92" s="7">
        <v>0</v>
      </c>
      <c r="Z92" s="7">
        <v>694.11</v>
      </c>
    </row>
    <row r="93" spans="1:26" x14ac:dyDescent="0.35">
      <c r="A93" s="7" t="s">
        <v>27</v>
      </c>
      <c r="B93" s="7" t="s">
        <v>28</v>
      </c>
      <c r="C93" s="7" t="s">
        <v>48</v>
      </c>
      <c r="D93" s="7" t="s">
        <v>59</v>
      </c>
      <c r="E93" s="7" t="s">
        <v>44</v>
      </c>
      <c r="F93" s="7" t="s">
        <v>178</v>
      </c>
      <c r="G93" s="7">
        <v>2017</v>
      </c>
      <c r="H93" s="7" t="str">
        <f>CONCATENATE("14270117048")</f>
        <v>14270117048</v>
      </c>
      <c r="I93" s="7" t="s">
        <v>30</v>
      </c>
      <c r="J93" s="7" t="s">
        <v>31</v>
      </c>
      <c r="K93" s="7" t="str">
        <f>CONCATENATE("")</f>
        <v/>
      </c>
      <c r="L93" s="7" t="str">
        <f>CONCATENATE("21 21.1 2a")</f>
        <v>21 21.1 2a</v>
      </c>
      <c r="M93" s="7" t="str">
        <f>CONCATENATE("02386680413")</f>
        <v>02386680413</v>
      </c>
      <c r="N93" s="7" t="s">
        <v>179</v>
      </c>
      <c r="O93" s="7" t="s">
        <v>55</v>
      </c>
      <c r="P93" s="8">
        <v>44321</v>
      </c>
      <c r="Q93" s="7" t="s">
        <v>32</v>
      </c>
      <c r="R93" s="7" t="s">
        <v>33</v>
      </c>
      <c r="S93" s="7" t="s">
        <v>34</v>
      </c>
      <c r="T93" s="7"/>
      <c r="U93" s="7" t="s">
        <v>35</v>
      </c>
      <c r="V93" s="9">
        <v>7000</v>
      </c>
      <c r="W93" s="9">
        <v>3018.4</v>
      </c>
      <c r="X93" s="9">
        <v>2787.4</v>
      </c>
      <c r="Y93" s="7">
        <v>0</v>
      </c>
      <c r="Z93" s="9">
        <v>1194.2</v>
      </c>
    </row>
    <row r="94" spans="1:26" x14ac:dyDescent="0.35">
      <c r="A94" s="7" t="s">
        <v>27</v>
      </c>
      <c r="B94" s="7" t="s">
        <v>28</v>
      </c>
      <c r="C94" s="7" t="s">
        <v>48</v>
      </c>
      <c r="D94" s="7" t="s">
        <v>59</v>
      </c>
      <c r="E94" s="7" t="s">
        <v>40</v>
      </c>
      <c r="F94" s="7" t="s">
        <v>165</v>
      </c>
      <c r="G94" s="7">
        <v>2017</v>
      </c>
      <c r="H94" s="7" t="str">
        <f>CONCATENATE("14270117303")</f>
        <v>14270117303</v>
      </c>
      <c r="I94" s="7" t="s">
        <v>30</v>
      </c>
      <c r="J94" s="7" t="s">
        <v>31</v>
      </c>
      <c r="K94" s="7" t="str">
        <f>CONCATENATE("")</f>
        <v/>
      </c>
      <c r="L94" s="7" t="str">
        <f>CONCATENATE("21 21.1 2a")</f>
        <v>21 21.1 2a</v>
      </c>
      <c r="M94" s="7" t="str">
        <f>CONCATENATE("FRRWLM68L28B352M")</f>
        <v>FRRWLM68L28B352M</v>
      </c>
      <c r="N94" s="7" t="s">
        <v>180</v>
      </c>
      <c r="O94" s="7" t="s">
        <v>55</v>
      </c>
      <c r="P94" s="8">
        <v>44321</v>
      </c>
      <c r="Q94" s="7" t="s">
        <v>32</v>
      </c>
      <c r="R94" s="7" t="s">
        <v>33</v>
      </c>
      <c r="S94" s="7" t="s">
        <v>34</v>
      </c>
      <c r="T94" s="7"/>
      <c r="U94" s="7" t="s">
        <v>35</v>
      </c>
      <c r="V94" s="9">
        <v>7000</v>
      </c>
      <c r="W94" s="9">
        <v>3018.4</v>
      </c>
      <c r="X94" s="9">
        <v>2787.4</v>
      </c>
      <c r="Y94" s="7">
        <v>0</v>
      </c>
      <c r="Z94" s="9">
        <v>1194.2</v>
      </c>
    </row>
    <row r="95" spans="1:26" x14ac:dyDescent="0.35">
      <c r="A95" s="7" t="s">
        <v>27</v>
      </c>
      <c r="B95" s="7" t="s">
        <v>28</v>
      </c>
      <c r="C95" s="7" t="s">
        <v>48</v>
      </c>
      <c r="D95" s="7" t="s">
        <v>59</v>
      </c>
      <c r="E95" s="7" t="s">
        <v>29</v>
      </c>
      <c r="F95" s="7" t="s">
        <v>173</v>
      </c>
      <c r="G95" s="7">
        <v>2017</v>
      </c>
      <c r="H95" s="7" t="str">
        <f>CONCATENATE("14270117535")</f>
        <v>14270117535</v>
      </c>
      <c r="I95" s="7" t="s">
        <v>30</v>
      </c>
      <c r="J95" s="7" t="s">
        <v>31</v>
      </c>
      <c r="K95" s="7" t="str">
        <f>CONCATENATE("")</f>
        <v/>
      </c>
      <c r="L95" s="7" t="str">
        <f>CONCATENATE("21 21.1 2a")</f>
        <v>21 21.1 2a</v>
      </c>
      <c r="M95" s="7" t="str">
        <f>CONCATENATE("CLVLRA86B51D451O")</f>
        <v>CLVLRA86B51D451O</v>
      </c>
      <c r="N95" s="7" t="s">
        <v>181</v>
      </c>
      <c r="O95" s="7" t="s">
        <v>55</v>
      </c>
      <c r="P95" s="8">
        <v>44321</v>
      </c>
      <c r="Q95" s="7" t="s">
        <v>32</v>
      </c>
      <c r="R95" s="7" t="s">
        <v>33</v>
      </c>
      <c r="S95" s="7" t="s">
        <v>34</v>
      </c>
      <c r="T95" s="7"/>
      <c r="U95" s="7" t="s">
        <v>35</v>
      </c>
      <c r="V95" s="9">
        <v>7000</v>
      </c>
      <c r="W95" s="9">
        <v>3018.4</v>
      </c>
      <c r="X95" s="9">
        <v>2787.4</v>
      </c>
      <c r="Y95" s="7">
        <v>0</v>
      </c>
      <c r="Z95" s="9">
        <v>1194.2</v>
      </c>
    </row>
    <row r="96" spans="1:26" x14ac:dyDescent="0.35">
      <c r="A96" s="7" t="s">
        <v>27</v>
      </c>
      <c r="B96" s="7" t="s">
        <v>28</v>
      </c>
      <c r="C96" s="7" t="s">
        <v>48</v>
      </c>
      <c r="D96" s="7" t="s">
        <v>62</v>
      </c>
      <c r="E96" s="7" t="s">
        <v>43</v>
      </c>
      <c r="F96" s="7" t="s">
        <v>43</v>
      </c>
      <c r="G96" s="7">
        <v>2017</v>
      </c>
      <c r="H96" s="7" t="str">
        <f>CONCATENATE("14270117089")</f>
        <v>14270117089</v>
      </c>
      <c r="I96" s="7" t="s">
        <v>30</v>
      </c>
      <c r="J96" s="7" t="s">
        <v>31</v>
      </c>
      <c r="K96" s="7" t="str">
        <f>CONCATENATE("")</f>
        <v/>
      </c>
      <c r="L96" s="7" t="str">
        <f>CONCATENATE("21 21.1 2a")</f>
        <v>21 21.1 2a</v>
      </c>
      <c r="M96" s="7" t="str">
        <f>CONCATENATE("FRBFBA90T27I156N")</f>
        <v>FRBFBA90T27I156N</v>
      </c>
      <c r="N96" s="7" t="s">
        <v>182</v>
      </c>
      <c r="O96" s="7" t="s">
        <v>55</v>
      </c>
      <c r="P96" s="8">
        <v>44321</v>
      </c>
      <c r="Q96" s="7" t="s">
        <v>32</v>
      </c>
      <c r="R96" s="7" t="s">
        <v>33</v>
      </c>
      <c r="S96" s="7" t="s">
        <v>34</v>
      </c>
      <c r="T96" s="7"/>
      <c r="U96" s="7" t="s">
        <v>35</v>
      </c>
      <c r="V96" s="9">
        <v>7000</v>
      </c>
      <c r="W96" s="9">
        <v>3018.4</v>
      </c>
      <c r="X96" s="9">
        <v>2787.4</v>
      </c>
      <c r="Y96" s="7">
        <v>0</v>
      </c>
      <c r="Z96" s="9">
        <v>1194.2</v>
      </c>
    </row>
    <row r="97" spans="1:26" x14ac:dyDescent="0.35">
      <c r="A97" s="7" t="s">
        <v>27</v>
      </c>
      <c r="B97" s="7" t="s">
        <v>28</v>
      </c>
      <c r="C97" s="7" t="s">
        <v>48</v>
      </c>
      <c r="D97" s="7" t="s">
        <v>59</v>
      </c>
      <c r="E97" s="7" t="s">
        <v>40</v>
      </c>
      <c r="F97" s="7" t="s">
        <v>183</v>
      </c>
      <c r="G97" s="7">
        <v>2017</v>
      </c>
      <c r="H97" s="7" t="str">
        <f>CONCATENATE("14270121719")</f>
        <v>14270121719</v>
      </c>
      <c r="I97" s="7" t="s">
        <v>30</v>
      </c>
      <c r="J97" s="7" t="s">
        <v>31</v>
      </c>
      <c r="K97" s="7" t="str">
        <f>CONCATENATE("")</f>
        <v/>
      </c>
      <c r="L97" s="7" t="str">
        <f>CONCATENATE("21 21.1 2a")</f>
        <v>21 21.1 2a</v>
      </c>
      <c r="M97" s="7" t="str">
        <f>CONCATENATE("KNDMRC73L17D749B")</f>
        <v>KNDMRC73L17D749B</v>
      </c>
      <c r="N97" s="7" t="s">
        <v>184</v>
      </c>
      <c r="O97" s="7" t="s">
        <v>55</v>
      </c>
      <c r="P97" s="8">
        <v>44321</v>
      </c>
      <c r="Q97" s="7" t="s">
        <v>32</v>
      </c>
      <c r="R97" s="7" t="s">
        <v>33</v>
      </c>
      <c r="S97" s="7" t="s">
        <v>34</v>
      </c>
      <c r="T97" s="7"/>
      <c r="U97" s="7" t="s">
        <v>35</v>
      </c>
      <c r="V97" s="9">
        <v>7000</v>
      </c>
      <c r="W97" s="9">
        <v>3018.4</v>
      </c>
      <c r="X97" s="9">
        <v>2787.4</v>
      </c>
      <c r="Y97" s="7">
        <v>0</v>
      </c>
      <c r="Z97" s="9">
        <v>1194.2</v>
      </c>
    </row>
    <row r="98" spans="1:26" x14ac:dyDescent="0.35">
      <c r="A98" s="7" t="s">
        <v>27</v>
      </c>
      <c r="B98" s="7" t="s">
        <v>28</v>
      </c>
      <c r="C98" s="7" t="s">
        <v>48</v>
      </c>
      <c r="D98" s="7" t="s">
        <v>62</v>
      </c>
      <c r="E98" s="7" t="s">
        <v>29</v>
      </c>
      <c r="F98" s="7" t="s">
        <v>86</v>
      </c>
      <c r="G98" s="7">
        <v>2017</v>
      </c>
      <c r="H98" s="7" t="str">
        <f>CONCATENATE("14270117162")</f>
        <v>14270117162</v>
      </c>
      <c r="I98" s="7" t="s">
        <v>30</v>
      </c>
      <c r="J98" s="7" t="s">
        <v>31</v>
      </c>
      <c r="K98" s="7" t="str">
        <f>CONCATENATE("")</f>
        <v/>
      </c>
      <c r="L98" s="7" t="str">
        <f>CONCATENATE("21 21.1 2a")</f>
        <v>21 21.1 2a</v>
      </c>
      <c r="M98" s="7" t="str">
        <f>CONCATENATE("SCHFNC64S65I156G")</f>
        <v>SCHFNC64S65I156G</v>
      </c>
      <c r="N98" s="7" t="s">
        <v>185</v>
      </c>
      <c r="O98" s="7" t="s">
        <v>55</v>
      </c>
      <c r="P98" s="8">
        <v>44321</v>
      </c>
      <c r="Q98" s="7" t="s">
        <v>32</v>
      </c>
      <c r="R98" s="7" t="s">
        <v>33</v>
      </c>
      <c r="S98" s="7" t="s">
        <v>34</v>
      </c>
      <c r="T98" s="7"/>
      <c r="U98" s="7" t="s">
        <v>35</v>
      </c>
      <c r="V98" s="9">
        <v>7000</v>
      </c>
      <c r="W98" s="9">
        <v>3018.4</v>
      </c>
      <c r="X98" s="9">
        <v>2787.4</v>
      </c>
      <c r="Y98" s="7">
        <v>0</v>
      </c>
      <c r="Z98" s="9">
        <v>1194.2</v>
      </c>
    </row>
    <row r="99" spans="1:26" x14ac:dyDescent="0.35">
      <c r="A99" s="7" t="s">
        <v>27</v>
      </c>
      <c r="B99" s="7" t="s">
        <v>28</v>
      </c>
      <c r="C99" s="7" t="s">
        <v>48</v>
      </c>
      <c r="D99" s="7" t="s">
        <v>56</v>
      </c>
      <c r="E99" s="7" t="s">
        <v>43</v>
      </c>
      <c r="F99" s="7" t="s">
        <v>43</v>
      </c>
      <c r="G99" s="7">
        <v>2017</v>
      </c>
      <c r="H99" s="7" t="str">
        <f>CONCATENATE("14270117436")</f>
        <v>14270117436</v>
      </c>
      <c r="I99" s="7" t="s">
        <v>30</v>
      </c>
      <c r="J99" s="7" t="s">
        <v>31</v>
      </c>
      <c r="K99" s="7" t="str">
        <f>CONCATENATE("")</f>
        <v/>
      </c>
      <c r="L99" s="7" t="str">
        <f>CONCATENATE("21 21.1 2a")</f>
        <v>21 21.1 2a</v>
      </c>
      <c r="M99" s="7" t="str">
        <f>CONCATENATE("FRRMHL99D20H211B")</f>
        <v>FRRMHL99D20H211B</v>
      </c>
      <c r="N99" s="7" t="s">
        <v>186</v>
      </c>
      <c r="O99" s="7" t="s">
        <v>55</v>
      </c>
      <c r="P99" s="8">
        <v>44321</v>
      </c>
      <c r="Q99" s="7" t="s">
        <v>32</v>
      </c>
      <c r="R99" s="7" t="s">
        <v>33</v>
      </c>
      <c r="S99" s="7" t="s">
        <v>34</v>
      </c>
      <c r="T99" s="7"/>
      <c r="U99" s="7" t="s">
        <v>35</v>
      </c>
      <c r="V99" s="9">
        <v>7000</v>
      </c>
      <c r="W99" s="9">
        <v>3018.4</v>
      </c>
      <c r="X99" s="9">
        <v>2787.4</v>
      </c>
      <c r="Y99" s="7">
        <v>0</v>
      </c>
      <c r="Z99" s="9">
        <v>1194.2</v>
      </c>
    </row>
    <row r="100" spans="1:26" x14ac:dyDescent="0.35">
      <c r="A100" s="7" t="s">
        <v>27</v>
      </c>
      <c r="B100" s="7" t="s">
        <v>28</v>
      </c>
      <c r="C100" s="7" t="s">
        <v>48</v>
      </c>
      <c r="D100" s="7" t="s">
        <v>59</v>
      </c>
      <c r="E100" s="7" t="s">
        <v>43</v>
      </c>
      <c r="F100" s="7" t="s">
        <v>43</v>
      </c>
      <c r="G100" s="7">
        <v>2017</v>
      </c>
      <c r="H100" s="7" t="str">
        <f>CONCATENATE("14270116990")</f>
        <v>14270116990</v>
      </c>
      <c r="I100" s="7" t="s">
        <v>30</v>
      </c>
      <c r="J100" s="7" t="s">
        <v>31</v>
      </c>
      <c r="K100" s="7" t="str">
        <f>CONCATENATE("")</f>
        <v/>
      </c>
      <c r="L100" s="7" t="str">
        <f>CONCATENATE("21 21.1 2a")</f>
        <v>21 21.1 2a</v>
      </c>
      <c r="M100" s="7" t="str">
        <f>CONCATENATE("GGGNNL57A57C152F")</f>
        <v>GGGNNL57A57C152F</v>
      </c>
      <c r="N100" s="7" t="s">
        <v>187</v>
      </c>
      <c r="O100" s="7" t="s">
        <v>55</v>
      </c>
      <c r="P100" s="8">
        <v>44321</v>
      </c>
      <c r="Q100" s="7" t="s">
        <v>32</v>
      </c>
      <c r="R100" s="7" t="s">
        <v>33</v>
      </c>
      <c r="S100" s="7" t="s">
        <v>34</v>
      </c>
      <c r="T100" s="7"/>
      <c r="U100" s="7" t="s">
        <v>35</v>
      </c>
      <c r="V100" s="9">
        <v>1974.38</v>
      </c>
      <c r="W100" s="7">
        <v>851.35</v>
      </c>
      <c r="X100" s="7">
        <v>786.2</v>
      </c>
      <c r="Y100" s="7">
        <v>0</v>
      </c>
      <c r="Z100" s="7">
        <v>336.83</v>
      </c>
    </row>
    <row r="101" spans="1:26" x14ac:dyDescent="0.35">
      <c r="A101" s="7" t="s">
        <v>27</v>
      </c>
      <c r="B101" s="7" t="s">
        <v>28</v>
      </c>
      <c r="C101" s="7" t="s">
        <v>48</v>
      </c>
      <c r="D101" s="7" t="s">
        <v>49</v>
      </c>
      <c r="E101" s="7" t="s">
        <v>40</v>
      </c>
      <c r="F101" s="7" t="s">
        <v>119</v>
      </c>
      <c r="G101" s="7">
        <v>2017</v>
      </c>
      <c r="H101" s="7" t="str">
        <f>CONCATENATE("14270117121")</f>
        <v>14270117121</v>
      </c>
      <c r="I101" s="7" t="s">
        <v>30</v>
      </c>
      <c r="J101" s="7" t="s">
        <v>31</v>
      </c>
      <c r="K101" s="7" t="str">
        <f>CONCATENATE("")</f>
        <v/>
      </c>
      <c r="L101" s="7" t="str">
        <f>CONCATENATE("21 21.1 2a")</f>
        <v>21 21.1 2a</v>
      </c>
      <c r="M101" s="7" t="str">
        <f>CONCATENATE("01291960449")</f>
        <v>01291960449</v>
      </c>
      <c r="N101" s="7" t="s">
        <v>188</v>
      </c>
      <c r="O101" s="7" t="s">
        <v>55</v>
      </c>
      <c r="P101" s="8">
        <v>44321</v>
      </c>
      <c r="Q101" s="7" t="s">
        <v>32</v>
      </c>
      <c r="R101" s="7" t="s">
        <v>33</v>
      </c>
      <c r="S101" s="7" t="s">
        <v>34</v>
      </c>
      <c r="T101" s="7"/>
      <c r="U101" s="7" t="s">
        <v>35</v>
      </c>
      <c r="V101" s="9">
        <v>7000</v>
      </c>
      <c r="W101" s="9">
        <v>3018.4</v>
      </c>
      <c r="X101" s="9">
        <v>2787.4</v>
      </c>
      <c r="Y101" s="7">
        <v>0</v>
      </c>
      <c r="Z101" s="9">
        <v>1194.2</v>
      </c>
    </row>
    <row r="102" spans="1:26" x14ac:dyDescent="0.35">
      <c r="A102" s="7" t="s">
        <v>27</v>
      </c>
      <c r="B102" s="7" t="s">
        <v>28</v>
      </c>
      <c r="C102" s="7" t="s">
        <v>48</v>
      </c>
      <c r="D102" s="7" t="s">
        <v>56</v>
      </c>
      <c r="E102" s="7" t="s">
        <v>43</v>
      </c>
      <c r="F102" s="7" t="s">
        <v>43</v>
      </c>
      <c r="G102" s="7">
        <v>2017</v>
      </c>
      <c r="H102" s="7" t="str">
        <f>CONCATENATE("14270117170")</f>
        <v>14270117170</v>
      </c>
      <c r="I102" s="7" t="s">
        <v>30</v>
      </c>
      <c r="J102" s="7" t="s">
        <v>31</v>
      </c>
      <c r="K102" s="7" t="str">
        <f>CONCATENATE("")</f>
        <v/>
      </c>
      <c r="L102" s="7" t="str">
        <f>CONCATENATE("21 21.1 2a")</f>
        <v>21 21.1 2a</v>
      </c>
      <c r="M102" s="7" t="str">
        <f>CONCATENATE("GLDSDR64C10G157Z")</f>
        <v>GLDSDR64C10G157Z</v>
      </c>
      <c r="N102" s="7" t="s">
        <v>189</v>
      </c>
      <c r="O102" s="7" t="s">
        <v>55</v>
      </c>
      <c r="P102" s="8">
        <v>44321</v>
      </c>
      <c r="Q102" s="7" t="s">
        <v>32</v>
      </c>
      <c r="R102" s="7" t="s">
        <v>33</v>
      </c>
      <c r="S102" s="7" t="s">
        <v>34</v>
      </c>
      <c r="T102" s="7"/>
      <c r="U102" s="7" t="s">
        <v>35</v>
      </c>
      <c r="V102" s="9">
        <v>7000</v>
      </c>
      <c r="W102" s="9">
        <v>3018.4</v>
      </c>
      <c r="X102" s="9">
        <v>2787.4</v>
      </c>
      <c r="Y102" s="7">
        <v>0</v>
      </c>
      <c r="Z102" s="9">
        <v>1194.2</v>
      </c>
    </row>
    <row r="103" spans="1:26" x14ac:dyDescent="0.35">
      <c r="A103" s="7" t="s">
        <v>27</v>
      </c>
      <c r="B103" s="7" t="s">
        <v>28</v>
      </c>
      <c r="C103" s="7" t="s">
        <v>48</v>
      </c>
      <c r="D103" s="7" t="s">
        <v>62</v>
      </c>
      <c r="E103" s="7" t="s">
        <v>43</v>
      </c>
      <c r="F103" s="7" t="s">
        <v>43</v>
      </c>
      <c r="G103" s="7">
        <v>2017</v>
      </c>
      <c r="H103" s="7" t="str">
        <f>CONCATENATE("14270118210")</f>
        <v>14270118210</v>
      </c>
      <c r="I103" s="7" t="s">
        <v>30</v>
      </c>
      <c r="J103" s="7" t="s">
        <v>31</v>
      </c>
      <c r="K103" s="7" t="str">
        <f>CONCATENATE("")</f>
        <v/>
      </c>
      <c r="L103" s="7" t="str">
        <f>CONCATENATE("21 21.1 2a")</f>
        <v>21 21.1 2a</v>
      </c>
      <c r="M103" s="7" t="str">
        <f>CONCATENATE("MSCMLN66C66H211A")</f>
        <v>MSCMLN66C66H211A</v>
      </c>
      <c r="N103" s="7" t="s">
        <v>190</v>
      </c>
      <c r="O103" s="7" t="s">
        <v>55</v>
      </c>
      <c r="P103" s="8">
        <v>44321</v>
      </c>
      <c r="Q103" s="7" t="s">
        <v>32</v>
      </c>
      <c r="R103" s="7" t="s">
        <v>33</v>
      </c>
      <c r="S103" s="7" t="s">
        <v>34</v>
      </c>
      <c r="T103" s="7"/>
      <c r="U103" s="7" t="s">
        <v>35</v>
      </c>
      <c r="V103" s="9">
        <v>7000</v>
      </c>
      <c r="W103" s="9">
        <v>3018.4</v>
      </c>
      <c r="X103" s="9">
        <v>2787.4</v>
      </c>
      <c r="Y103" s="7">
        <v>0</v>
      </c>
      <c r="Z103" s="9">
        <v>1194.2</v>
      </c>
    </row>
    <row r="104" spans="1:26" x14ac:dyDescent="0.35">
      <c r="A104" s="7" t="s">
        <v>27</v>
      </c>
      <c r="B104" s="7" t="s">
        <v>36</v>
      </c>
      <c r="C104" s="7" t="s">
        <v>48</v>
      </c>
      <c r="D104" s="7" t="s">
        <v>56</v>
      </c>
      <c r="E104" s="7" t="s">
        <v>29</v>
      </c>
      <c r="F104" s="7" t="s">
        <v>113</v>
      </c>
      <c r="G104" s="7">
        <v>2020</v>
      </c>
      <c r="H104" s="7" t="str">
        <f>CONCATENATE("04210037968")</f>
        <v>04210037968</v>
      </c>
      <c r="I104" s="7" t="s">
        <v>30</v>
      </c>
      <c r="J104" s="7" t="s">
        <v>31</v>
      </c>
      <c r="K104" s="7" t="str">
        <f>CONCATENATE("")</f>
        <v/>
      </c>
      <c r="L104" s="7" t="str">
        <f>CONCATENATE("13 13.1 4a")</f>
        <v>13 13.1 4a</v>
      </c>
      <c r="M104" s="7" t="str">
        <f>CONCATENATE("FRRLRA68M47D211Y")</f>
        <v>FRRLRA68M47D211Y</v>
      </c>
      <c r="N104" s="7" t="s">
        <v>191</v>
      </c>
      <c r="O104" s="7" t="s">
        <v>192</v>
      </c>
      <c r="P104" s="8">
        <v>44257</v>
      </c>
      <c r="Q104" s="7" t="s">
        <v>32</v>
      </c>
      <c r="R104" s="7" t="s">
        <v>33</v>
      </c>
      <c r="S104" s="7" t="s">
        <v>34</v>
      </c>
      <c r="T104" s="7"/>
      <c r="U104" s="7" t="s">
        <v>35</v>
      </c>
      <c r="V104" s="9">
        <v>1237.82</v>
      </c>
      <c r="W104" s="7">
        <v>533.75</v>
      </c>
      <c r="X104" s="7">
        <v>492.9</v>
      </c>
      <c r="Y104" s="7">
        <v>0</v>
      </c>
      <c r="Z104" s="7">
        <v>211.17</v>
      </c>
    </row>
    <row r="105" spans="1:26" x14ac:dyDescent="0.35">
      <c r="A105" s="7" t="s">
        <v>27</v>
      </c>
      <c r="B105" s="7" t="s">
        <v>36</v>
      </c>
      <c r="C105" s="7" t="s">
        <v>48</v>
      </c>
      <c r="D105" s="7" t="s">
        <v>56</v>
      </c>
      <c r="E105" s="7" t="s">
        <v>29</v>
      </c>
      <c r="F105" s="7" t="s">
        <v>113</v>
      </c>
      <c r="G105" s="7">
        <v>2020</v>
      </c>
      <c r="H105" s="7" t="str">
        <f>CONCATENATE("04210223204")</f>
        <v>04210223204</v>
      </c>
      <c r="I105" s="7" t="s">
        <v>30</v>
      </c>
      <c r="J105" s="7" t="s">
        <v>31</v>
      </c>
      <c r="K105" s="7" t="str">
        <f>CONCATENATE("")</f>
        <v/>
      </c>
      <c r="L105" s="7" t="str">
        <f>CONCATENATE("13 13.1 4a")</f>
        <v>13 13.1 4a</v>
      </c>
      <c r="M105" s="7" t="str">
        <f>CONCATENATE("BRNGPP49P05C704T")</f>
        <v>BRNGPP49P05C704T</v>
      </c>
      <c r="N105" s="7" t="s">
        <v>193</v>
      </c>
      <c r="O105" s="7" t="s">
        <v>192</v>
      </c>
      <c r="P105" s="8">
        <v>44257</v>
      </c>
      <c r="Q105" s="7" t="s">
        <v>32</v>
      </c>
      <c r="R105" s="7" t="s">
        <v>33</v>
      </c>
      <c r="S105" s="7" t="s">
        <v>34</v>
      </c>
      <c r="T105" s="7"/>
      <c r="U105" s="7" t="s">
        <v>35</v>
      </c>
      <c r="V105" s="7">
        <v>933.96</v>
      </c>
      <c r="W105" s="7">
        <v>402.72</v>
      </c>
      <c r="X105" s="7">
        <v>371.9</v>
      </c>
      <c r="Y105" s="7">
        <v>0</v>
      </c>
      <c r="Z105" s="7">
        <v>159.34</v>
      </c>
    </row>
    <row r="106" spans="1:26" x14ac:dyDescent="0.35">
      <c r="A106" s="7" t="s">
        <v>27</v>
      </c>
      <c r="B106" s="7" t="s">
        <v>28</v>
      </c>
      <c r="C106" s="7" t="s">
        <v>48</v>
      </c>
      <c r="D106" s="7" t="s">
        <v>59</v>
      </c>
      <c r="E106" s="7" t="s">
        <v>40</v>
      </c>
      <c r="F106" s="7" t="s">
        <v>60</v>
      </c>
      <c r="G106" s="7">
        <v>2017</v>
      </c>
      <c r="H106" s="7" t="str">
        <f>CONCATENATE("14270116966")</f>
        <v>14270116966</v>
      </c>
      <c r="I106" s="7" t="s">
        <v>30</v>
      </c>
      <c r="J106" s="7" t="s">
        <v>31</v>
      </c>
      <c r="K106" s="7" t="str">
        <f>CONCATENATE("")</f>
        <v/>
      </c>
      <c r="L106" s="7" t="str">
        <f>CONCATENATE("21 21.1 2a")</f>
        <v>21 21.1 2a</v>
      </c>
      <c r="M106" s="7" t="str">
        <f>CONCATENATE("RCNFBL60T41L081V")</f>
        <v>RCNFBL60T41L081V</v>
      </c>
      <c r="N106" s="7" t="s">
        <v>194</v>
      </c>
      <c r="O106" s="7" t="s">
        <v>78</v>
      </c>
      <c r="P106" s="8">
        <v>44321</v>
      </c>
      <c r="Q106" s="7" t="s">
        <v>32</v>
      </c>
      <c r="R106" s="7" t="s">
        <v>33</v>
      </c>
      <c r="S106" s="7" t="s">
        <v>34</v>
      </c>
      <c r="T106" s="7"/>
      <c r="U106" s="7" t="s">
        <v>35</v>
      </c>
      <c r="V106" s="9">
        <v>7000</v>
      </c>
      <c r="W106" s="9">
        <v>3018.4</v>
      </c>
      <c r="X106" s="9">
        <v>2787.4</v>
      </c>
      <c r="Y106" s="7">
        <v>0</v>
      </c>
      <c r="Z106" s="9">
        <v>1194.2</v>
      </c>
    </row>
    <row r="107" spans="1:26" x14ac:dyDescent="0.35">
      <c r="A107" s="7" t="s">
        <v>27</v>
      </c>
      <c r="B107" s="7" t="s">
        <v>28</v>
      </c>
      <c r="C107" s="7" t="s">
        <v>48</v>
      </c>
      <c r="D107" s="7" t="s">
        <v>59</v>
      </c>
      <c r="E107" s="7" t="s">
        <v>29</v>
      </c>
      <c r="F107" s="7" t="s">
        <v>195</v>
      </c>
      <c r="G107" s="7">
        <v>2017</v>
      </c>
      <c r="H107" s="7" t="str">
        <f>CONCATENATE("14270118178")</f>
        <v>14270118178</v>
      </c>
      <c r="I107" s="7" t="s">
        <v>30</v>
      </c>
      <c r="J107" s="7" t="s">
        <v>31</v>
      </c>
      <c r="K107" s="7" t="str">
        <f>CONCATENATE("")</f>
        <v/>
      </c>
      <c r="L107" s="7" t="str">
        <f>CONCATENATE("21 21.1 2a")</f>
        <v>21 21.1 2a</v>
      </c>
      <c r="M107" s="7" t="str">
        <f>CONCATENATE("DNTCLD72H59I287N")</f>
        <v>DNTCLD72H59I287N</v>
      </c>
      <c r="N107" s="7" t="s">
        <v>196</v>
      </c>
      <c r="O107" s="7" t="s">
        <v>78</v>
      </c>
      <c r="P107" s="8">
        <v>44321</v>
      </c>
      <c r="Q107" s="7" t="s">
        <v>32</v>
      </c>
      <c r="R107" s="7" t="s">
        <v>33</v>
      </c>
      <c r="S107" s="7" t="s">
        <v>34</v>
      </c>
      <c r="T107" s="7"/>
      <c r="U107" s="7" t="s">
        <v>35</v>
      </c>
      <c r="V107" s="9">
        <v>7000</v>
      </c>
      <c r="W107" s="9">
        <v>3018.4</v>
      </c>
      <c r="X107" s="9">
        <v>2787.4</v>
      </c>
      <c r="Y107" s="7">
        <v>0</v>
      </c>
      <c r="Z107" s="9">
        <v>1194.2</v>
      </c>
    </row>
    <row r="108" spans="1:26" x14ac:dyDescent="0.35">
      <c r="A108" s="7" t="s">
        <v>27</v>
      </c>
      <c r="B108" s="7" t="s">
        <v>28</v>
      </c>
      <c r="C108" s="7" t="s">
        <v>48</v>
      </c>
      <c r="D108" s="7" t="s">
        <v>49</v>
      </c>
      <c r="E108" s="7" t="s">
        <v>40</v>
      </c>
      <c r="F108" s="7" t="s">
        <v>119</v>
      </c>
      <c r="G108" s="7">
        <v>2017</v>
      </c>
      <c r="H108" s="7" t="str">
        <f>CONCATENATE("14270116537")</f>
        <v>14270116537</v>
      </c>
      <c r="I108" s="7" t="s">
        <v>30</v>
      </c>
      <c r="J108" s="7" t="s">
        <v>31</v>
      </c>
      <c r="K108" s="7" t="str">
        <f>CONCATENATE("")</f>
        <v/>
      </c>
      <c r="L108" s="7" t="str">
        <f>CONCATENATE("21 21.1 2a")</f>
        <v>21 21.1 2a</v>
      </c>
      <c r="M108" s="7" t="str">
        <f>CONCATENATE("CLLGPP45D56A462B")</f>
        <v>CLLGPP45D56A462B</v>
      </c>
      <c r="N108" s="7" t="s">
        <v>197</v>
      </c>
      <c r="O108" s="7" t="s">
        <v>78</v>
      </c>
      <c r="P108" s="8">
        <v>44321</v>
      </c>
      <c r="Q108" s="7" t="s">
        <v>32</v>
      </c>
      <c r="R108" s="7" t="s">
        <v>33</v>
      </c>
      <c r="S108" s="7" t="s">
        <v>34</v>
      </c>
      <c r="T108" s="7"/>
      <c r="U108" s="7" t="s">
        <v>35</v>
      </c>
      <c r="V108" s="9">
        <v>1017.95</v>
      </c>
      <c r="W108" s="7">
        <v>438.94</v>
      </c>
      <c r="X108" s="7">
        <v>405.35</v>
      </c>
      <c r="Y108" s="7">
        <v>0</v>
      </c>
      <c r="Z108" s="7">
        <v>173.66</v>
      </c>
    </row>
    <row r="109" spans="1:26" x14ac:dyDescent="0.35">
      <c r="A109" s="7" t="s">
        <v>27</v>
      </c>
      <c r="B109" s="7" t="s">
        <v>28</v>
      </c>
      <c r="C109" s="7" t="s">
        <v>48</v>
      </c>
      <c r="D109" s="7" t="s">
        <v>49</v>
      </c>
      <c r="E109" s="7" t="s">
        <v>40</v>
      </c>
      <c r="F109" s="7" t="s">
        <v>119</v>
      </c>
      <c r="G109" s="7">
        <v>2017</v>
      </c>
      <c r="H109" s="7" t="str">
        <f>CONCATENATE("14270116842")</f>
        <v>14270116842</v>
      </c>
      <c r="I109" s="7" t="s">
        <v>30</v>
      </c>
      <c r="J109" s="7" t="s">
        <v>31</v>
      </c>
      <c r="K109" s="7" t="str">
        <f>CONCATENATE("")</f>
        <v/>
      </c>
      <c r="L109" s="7" t="str">
        <f>CONCATENATE("21 21.1 2a")</f>
        <v>21 21.1 2a</v>
      </c>
      <c r="M109" s="7" t="str">
        <f>CONCATENATE("CSSGNI62A04F501K")</f>
        <v>CSSGNI62A04F501K</v>
      </c>
      <c r="N109" s="7" t="s">
        <v>198</v>
      </c>
      <c r="O109" s="7" t="s">
        <v>78</v>
      </c>
      <c r="P109" s="8">
        <v>44321</v>
      </c>
      <c r="Q109" s="7" t="s">
        <v>32</v>
      </c>
      <c r="R109" s="7" t="s">
        <v>33</v>
      </c>
      <c r="S109" s="7" t="s">
        <v>34</v>
      </c>
      <c r="T109" s="7"/>
      <c r="U109" s="7" t="s">
        <v>35</v>
      </c>
      <c r="V109" s="9">
        <v>7000</v>
      </c>
      <c r="W109" s="9">
        <v>3018.4</v>
      </c>
      <c r="X109" s="9">
        <v>2787.4</v>
      </c>
      <c r="Y109" s="7">
        <v>0</v>
      </c>
      <c r="Z109" s="9">
        <v>1194.2</v>
      </c>
    </row>
    <row r="110" spans="1:26" ht="17.5" x14ac:dyDescent="0.35">
      <c r="A110" s="7" t="s">
        <v>27</v>
      </c>
      <c r="B110" s="7" t="s">
        <v>28</v>
      </c>
      <c r="C110" s="7" t="s">
        <v>48</v>
      </c>
      <c r="D110" s="7" t="s">
        <v>59</v>
      </c>
      <c r="E110" s="7" t="s">
        <v>40</v>
      </c>
      <c r="F110" s="7" t="s">
        <v>199</v>
      </c>
      <c r="G110" s="7">
        <v>2017</v>
      </c>
      <c r="H110" s="7" t="str">
        <f>CONCATENATE("14270116784")</f>
        <v>14270116784</v>
      </c>
      <c r="I110" s="7" t="s">
        <v>30</v>
      </c>
      <c r="J110" s="7" t="s">
        <v>31</v>
      </c>
      <c r="K110" s="7" t="str">
        <f>CONCATENATE("")</f>
        <v/>
      </c>
      <c r="L110" s="7" t="str">
        <f>CONCATENATE("21 21.1 2a")</f>
        <v>21 21.1 2a</v>
      </c>
      <c r="M110" s="7" t="str">
        <f>CONCATENATE("MGAMRS69A53G479N")</f>
        <v>MGAMRS69A53G479N</v>
      </c>
      <c r="N110" s="7" t="s">
        <v>200</v>
      </c>
      <c r="O110" s="7" t="s">
        <v>78</v>
      </c>
      <c r="P110" s="8">
        <v>44321</v>
      </c>
      <c r="Q110" s="7" t="s">
        <v>32</v>
      </c>
      <c r="R110" s="7" t="s">
        <v>33</v>
      </c>
      <c r="S110" s="7" t="s">
        <v>34</v>
      </c>
      <c r="T110" s="7"/>
      <c r="U110" s="7" t="s">
        <v>35</v>
      </c>
      <c r="V110" s="9">
        <v>7000</v>
      </c>
      <c r="W110" s="9">
        <v>3018.4</v>
      </c>
      <c r="X110" s="9">
        <v>2787.4</v>
      </c>
      <c r="Y110" s="7">
        <v>0</v>
      </c>
      <c r="Z110" s="9">
        <v>1194.2</v>
      </c>
    </row>
    <row r="111" spans="1:26" x14ac:dyDescent="0.35">
      <c r="A111" s="7" t="s">
        <v>27</v>
      </c>
      <c r="B111" s="7" t="s">
        <v>28</v>
      </c>
      <c r="C111" s="7" t="s">
        <v>48</v>
      </c>
      <c r="D111" s="7" t="s">
        <v>59</v>
      </c>
      <c r="E111" s="7" t="s">
        <v>47</v>
      </c>
      <c r="F111" s="7" t="s">
        <v>201</v>
      </c>
      <c r="G111" s="7">
        <v>2017</v>
      </c>
      <c r="H111" s="7" t="str">
        <f>CONCATENATE("14270116552")</f>
        <v>14270116552</v>
      </c>
      <c r="I111" s="7" t="s">
        <v>30</v>
      </c>
      <c r="J111" s="7" t="s">
        <v>31</v>
      </c>
      <c r="K111" s="7" t="str">
        <f>CONCATENATE("")</f>
        <v/>
      </c>
      <c r="L111" s="7" t="str">
        <f>CONCATENATE("21 21.1 2a")</f>
        <v>21 21.1 2a</v>
      </c>
      <c r="M111" s="7" t="str">
        <f>CONCATENATE("MRLCSR96R03L500H")</f>
        <v>MRLCSR96R03L500H</v>
      </c>
      <c r="N111" s="7" t="s">
        <v>202</v>
      </c>
      <c r="O111" s="7" t="s">
        <v>78</v>
      </c>
      <c r="P111" s="8">
        <v>44321</v>
      </c>
      <c r="Q111" s="7" t="s">
        <v>32</v>
      </c>
      <c r="R111" s="7" t="s">
        <v>33</v>
      </c>
      <c r="S111" s="7" t="s">
        <v>34</v>
      </c>
      <c r="T111" s="7"/>
      <c r="U111" s="7" t="s">
        <v>35</v>
      </c>
      <c r="V111" s="9">
        <v>7000</v>
      </c>
      <c r="W111" s="9">
        <v>3018.4</v>
      </c>
      <c r="X111" s="9">
        <v>2787.4</v>
      </c>
      <c r="Y111" s="7">
        <v>0</v>
      </c>
      <c r="Z111" s="9">
        <v>1194.2</v>
      </c>
    </row>
    <row r="112" spans="1:26" x14ac:dyDescent="0.35">
      <c r="A112" s="7" t="s">
        <v>27</v>
      </c>
      <c r="B112" s="7" t="s">
        <v>28</v>
      </c>
      <c r="C112" s="7" t="s">
        <v>48</v>
      </c>
      <c r="D112" s="7" t="s">
        <v>49</v>
      </c>
      <c r="E112" s="7" t="s">
        <v>42</v>
      </c>
      <c r="F112" s="7" t="s">
        <v>50</v>
      </c>
      <c r="G112" s="7">
        <v>2017</v>
      </c>
      <c r="H112" s="7" t="str">
        <f>CONCATENATE("14270116636")</f>
        <v>14270116636</v>
      </c>
      <c r="I112" s="7" t="s">
        <v>30</v>
      </c>
      <c r="J112" s="7" t="s">
        <v>31</v>
      </c>
      <c r="K112" s="7" t="str">
        <f>CONCATENATE("")</f>
        <v/>
      </c>
      <c r="L112" s="7" t="str">
        <f>CONCATENATE("21 21.1 2a")</f>
        <v>21 21.1 2a</v>
      </c>
      <c r="M112" s="7" t="str">
        <f>CONCATENATE("NNZMRS74E59C935H")</f>
        <v>NNZMRS74E59C935H</v>
      </c>
      <c r="N112" s="7" t="s">
        <v>203</v>
      </c>
      <c r="O112" s="7" t="s">
        <v>78</v>
      </c>
      <c r="P112" s="8">
        <v>44321</v>
      </c>
      <c r="Q112" s="7" t="s">
        <v>32</v>
      </c>
      <c r="R112" s="7" t="s">
        <v>33</v>
      </c>
      <c r="S112" s="7" t="s">
        <v>34</v>
      </c>
      <c r="T112" s="7"/>
      <c r="U112" s="7" t="s">
        <v>35</v>
      </c>
      <c r="V112" s="9">
        <v>1000</v>
      </c>
      <c r="W112" s="7">
        <v>431.2</v>
      </c>
      <c r="X112" s="7">
        <v>398.2</v>
      </c>
      <c r="Y112" s="7">
        <v>0</v>
      </c>
      <c r="Z112" s="7">
        <v>170.6</v>
      </c>
    </row>
    <row r="113" spans="1:26" x14ac:dyDescent="0.35">
      <c r="A113" s="7" t="s">
        <v>27</v>
      </c>
      <c r="B113" s="7" t="s">
        <v>28</v>
      </c>
      <c r="C113" s="7" t="s">
        <v>48</v>
      </c>
      <c r="D113" s="7" t="s">
        <v>49</v>
      </c>
      <c r="E113" s="7" t="s">
        <v>42</v>
      </c>
      <c r="F113" s="7" t="s">
        <v>50</v>
      </c>
      <c r="G113" s="7">
        <v>2017</v>
      </c>
      <c r="H113" s="7" t="str">
        <f>CONCATENATE("14270116818")</f>
        <v>14270116818</v>
      </c>
      <c r="I113" s="7" t="s">
        <v>30</v>
      </c>
      <c r="J113" s="7" t="s">
        <v>31</v>
      </c>
      <c r="K113" s="7" t="str">
        <f>CONCATENATE("")</f>
        <v/>
      </c>
      <c r="L113" s="7" t="str">
        <f>CONCATENATE("21 21.1 2a")</f>
        <v>21 21.1 2a</v>
      </c>
      <c r="M113" s="7" t="str">
        <f>CONCATENATE("PSCFLC52T60F570V")</f>
        <v>PSCFLC52T60F570V</v>
      </c>
      <c r="N113" s="7" t="s">
        <v>204</v>
      </c>
      <c r="O113" s="7" t="s">
        <v>78</v>
      </c>
      <c r="P113" s="8">
        <v>44321</v>
      </c>
      <c r="Q113" s="7" t="s">
        <v>32</v>
      </c>
      <c r="R113" s="7" t="s">
        <v>33</v>
      </c>
      <c r="S113" s="7" t="s">
        <v>34</v>
      </c>
      <c r="T113" s="7"/>
      <c r="U113" s="7" t="s">
        <v>35</v>
      </c>
      <c r="V113" s="9">
        <v>7000</v>
      </c>
      <c r="W113" s="9">
        <v>3018.4</v>
      </c>
      <c r="X113" s="9">
        <v>2787.4</v>
      </c>
      <c r="Y113" s="7">
        <v>0</v>
      </c>
      <c r="Z113" s="9">
        <v>1194.2</v>
      </c>
    </row>
    <row r="114" spans="1:26" x14ac:dyDescent="0.35">
      <c r="A114" s="7" t="s">
        <v>27</v>
      </c>
      <c r="B114" s="7" t="s">
        <v>28</v>
      </c>
      <c r="C114" s="7" t="s">
        <v>48</v>
      </c>
      <c r="D114" s="7" t="s">
        <v>49</v>
      </c>
      <c r="E114" s="7" t="s">
        <v>29</v>
      </c>
      <c r="F114" s="7" t="s">
        <v>138</v>
      </c>
      <c r="G114" s="7">
        <v>2017</v>
      </c>
      <c r="H114" s="7" t="str">
        <f>CONCATENATE("14270116420")</f>
        <v>14270116420</v>
      </c>
      <c r="I114" s="7" t="s">
        <v>30</v>
      </c>
      <c r="J114" s="7" t="s">
        <v>31</v>
      </c>
      <c r="K114" s="7" t="str">
        <f>CONCATENATE("")</f>
        <v/>
      </c>
      <c r="L114" s="7" t="str">
        <f>CONCATENATE("21 21.1 2a")</f>
        <v>21 21.1 2a</v>
      </c>
      <c r="M114" s="7" t="str">
        <f>CONCATENATE("TZIDRN62D01F570C")</f>
        <v>TZIDRN62D01F570C</v>
      </c>
      <c r="N114" s="7" t="s">
        <v>205</v>
      </c>
      <c r="O114" s="7" t="s">
        <v>78</v>
      </c>
      <c r="P114" s="8">
        <v>44321</v>
      </c>
      <c r="Q114" s="7" t="s">
        <v>32</v>
      </c>
      <c r="R114" s="7" t="s">
        <v>33</v>
      </c>
      <c r="S114" s="7" t="s">
        <v>34</v>
      </c>
      <c r="T114" s="7"/>
      <c r="U114" s="7" t="s">
        <v>35</v>
      </c>
      <c r="V114" s="9">
        <v>2135.2399999999998</v>
      </c>
      <c r="W114" s="7">
        <v>920.72</v>
      </c>
      <c r="X114" s="7">
        <v>850.25</v>
      </c>
      <c r="Y114" s="7">
        <v>0</v>
      </c>
      <c r="Z114" s="7">
        <v>364.27</v>
      </c>
    </row>
    <row r="115" spans="1:26" x14ac:dyDescent="0.35">
      <c r="A115" s="7" t="s">
        <v>27</v>
      </c>
      <c r="B115" s="7" t="s">
        <v>28</v>
      </c>
      <c r="C115" s="7" t="s">
        <v>48</v>
      </c>
      <c r="D115" s="7" t="s">
        <v>49</v>
      </c>
      <c r="E115" s="7" t="s">
        <v>40</v>
      </c>
      <c r="F115" s="7" t="s">
        <v>99</v>
      </c>
      <c r="G115" s="7">
        <v>2017</v>
      </c>
      <c r="H115" s="7" t="str">
        <f>CONCATENATE("14270116487")</f>
        <v>14270116487</v>
      </c>
      <c r="I115" s="7" t="s">
        <v>30</v>
      </c>
      <c r="J115" s="7" t="s">
        <v>31</v>
      </c>
      <c r="K115" s="7" t="str">
        <f>CONCATENATE("")</f>
        <v/>
      </c>
      <c r="L115" s="7" t="str">
        <f>CONCATENATE("21 21.1 2a")</f>
        <v>21 21.1 2a</v>
      </c>
      <c r="M115" s="7" t="str">
        <f>CONCATENATE("VGNLLN61M50Z110B")</f>
        <v>VGNLLN61M50Z110B</v>
      </c>
      <c r="N115" s="7" t="s">
        <v>206</v>
      </c>
      <c r="O115" s="7" t="s">
        <v>78</v>
      </c>
      <c r="P115" s="8">
        <v>44321</v>
      </c>
      <c r="Q115" s="7" t="s">
        <v>32</v>
      </c>
      <c r="R115" s="7" t="s">
        <v>33</v>
      </c>
      <c r="S115" s="7" t="s">
        <v>34</v>
      </c>
      <c r="T115" s="7"/>
      <c r="U115" s="7" t="s">
        <v>35</v>
      </c>
      <c r="V115" s="9">
        <v>7000</v>
      </c>
      <c r="W115" s="9">
        <v>3018.4</v>
      </c>
      <c r="X115" s="9">
        <v>2787.4</v>
      </c>
      <c r="Y115" s="7">
        <v>0</v>
      </c>
      <c r="Z115" s="9">
        <v>1194.2</v>
      </c>
    </row>
    <row r="116" spans="1:26" ht="17.5" x14ac:dyDescent="0.35">
      <c r="A116" s="7" t="s">
        <v>27</v>
      </c>
      <c r="B116" s="7" t="s">
        <v>36</v>
      </c>
      <c r="C116" s="7" t="s">
        <v>48</v>
      </c>
      <c r="D116" s="7" t="s">
        <v>49</v>
      </c>
      <c r="E116" s="7" t="s">
        <v>43</v>
      </c>
      <c r="F116" s="7" t="s">
        <v>43</v>
      </c>
      <c r="G116" s="7">
        <v>2020</v>
      </c>
      <c r="H116" s="7" t="str">
        <f>CONCATENATE("04240997777")</f>
        <v>04240997777</v>
      </c>
      <c r="I116" s="7" t="s">
        <v>30</v>
      </c>
      <c r="J116" s="7" t="s">
        <v>31</v>
      </c>
      <c r="K116" s="7" t="str">
        <f>CONCATENATE("")</f>
        <v/>
      </c>
      <c r="L116" s="7" t="str">
        <f>CONCATENATE("11 11.2 4b")</f>
        <v>11 11.2 4b</v>
      </c>
      <c r="M116" s="7" t="str">
        <f>CONCATENATE("01511110445")</f>
        <v>01511110445</v>
      </c>
      <c r="N116" s="7" t="s">
        <v>207</v>
      </c>
      <c r="O116" s="7" t="s">
        <v>52</v>
      </c>
      <c r="P116" s="8">
        <v>44321</v>
      </c>
      <c r="Q116" s="7" t="s">
        <v>32</v>
      </c>
      <c r="R116" s="7" t="s">
        <v>33</v>
      </c>
      <c r="S116" s="7" t="s">
        <v>34</v>
      </c>
      <c r="T116" s="7"/>
      <c r="U116" s="7" t="s">
        <v>35</v>
      </c>
      <c r="V116" s="9">
        <v>106554.34</v>
      </c>
      <c r="W116" s="9">
        <v>45946.23</v>
      </c>
      <c r="X116" s="9">
        <v>42429.94</v>
      </c>
      <c r="Y116" s="7">
        <v>0</v>
      </c>
      <c r="Z116" s="9">
        <v>18178.169999999998</v>
      </c>
    </row>
    <row r="117" spans="1:26" x14ac:dyDescent="0.35">
      <c r="A117" s="7" t="s">
        <v>27</v>
      </c>
      <c r="B117" s="7" t="s">
        <v>28</v>
      </c>
      <c r="C117" s="7" t="s">
        <v>48</v>
      </c>
      <c r="D117" s="7" t="s">
        <v>49</v>
      </c>
      <c r="E117" s="7" t="s">
        <v>37</v>
      </c>
      <c r="F117" s="7" t="s">
        <v>53</v>
      </c>
      <c r="G117" s="7">
        <v>2017</v>
      </c>
      <c r="H117" s="7" t="str">
        <f>CONCATENATE("14270118186")</f>
        <v>14270118186</v>
      </c>
      <c r="I117" s="7" t="s">
        <v>30</v>
      </c>
      <c r="J117" s="7" t="s">
        <v>31</v>
      </c>
      <c r="K117" s="7" t="str">
        <f>CONCATENATE("")</f>
        <v/>
      </c>
      <c r="L117" s="7" t="str">
        <f>CONCATENATE("21 21.1 2a")</f>
        <v>21 21.1 2a</v>
      </c>
      <c r="M117" s="7" t="str">
        <f>CONCATENATE("01983810449")</f>
        <v>01983810449</v>
      </c>
      <c r="N117" s="7" t="s">
        <v>208</v>
      </c>
      <c r="O117" s="7" t="s">
        <v>55</v>
      </c>
      <c r="P117" s="8">
        <v>44321</v>
      </c>
      <c r="Q117" s="7" t="s">
        <v>32</v>
      </c>
      <c r="R117" s="7" t="s">
        <v>33</v>
      </c>
      <c r="S117" s="7" t="s">
        <v>34</v>
      </c>
      <c r="T117" s="7"/>
      <c r="U117" s="7" t="s">
        <v>35</v>
      </c>
      <c r="V117" s="9">
        <v>6832.08</v>
      </c>
      <c r="W117" s="9">
        <v>2945.99</v>
      </c>
      <c r="X117" s="9">
        <v>2720.53</v>
      </c>
      <c r="Y117" s="7">
        <v>0</v>
      </c>
      <c r="Z117" s="9">
        <v>1165.56</v>
      </c>
    </row>
    <row r="118" spans="1:26" x14ac:dyDescent="0.35">
      <c r="A118" s="7" t="s">
        <v>27</v>
      </c>
      <c r="B118" s="7" t="s">
        <v>28</v>
      </c>
      <c r="C118" s="7" t="s">
        <v>48</v>
      </c>
      <c r="D118" s="7" t="s">
        <v>59</v>
      </c>
      <c r="E118" s="7" t="s">
        <v>43</v>
      </c>
      <c r="F118" s="7" t="s">
        <v>43</v>
      </c>
      <c r="G118" s="7">
        <v>2017</v>
      </c>
      <c r="H118" s="7" t="str">
        <f>CONCATENATE("14270117063")</f>
        <v>14270117063</v>
      </c>
      <c r="I118" s="7" t="s">
        <v>30</v>
      </c>
      <c r="J118" s="7" t="s">
        <v>31</v>
      </c>
      <c r="K118" s="7" t="str">
        <f>CONCATENATE("")</f>
        <v/>
      </c>
      <c r="L118" s="7" t="str">
        <f>CONCATENATE("21 21.1 2a")</f>
        <v>21 21.1 2a</v>
      </c>
      <c r="M118" s="7" t="str">
        <f>CONCATENATE("NTNFDN47A12E012O")</f>
        <v>NTNFDN47A12E012O</v>
      </c>
      <c r="N118" s="7" t="s">
        <v>209</v>
      </c>
      <c r="O118" s="7" t="s">
        <v>55</v>
      </c>
      <c r="P118" s="8">
        <v>44321</v>
      </c>
      <c r="Q118" s="7" t="s">
        <v>32</v>
      </c>
      <c r="R118" s="7" t="s">
        <v>33</v>
      </c>
      <c r="S118" s="7" t="s">
        <v>34</v>
      </c>
      <c r="T118" s="7"/>
      <c r="U118" s="7" t="s">
        <v>35</v>
      </c>
      <c r="V118" s="9">
        <v>6372.53</v>
      </c>
      <c r="W118" s="9">
        <v>2747.83</v>
      </c>
      <c r="X118" s="9">
        <v>2537.54</v>
      </c>
      <c r="Y118" s="7">
        <v>0</v>
      </c>
      <c r="Z118" s="9">
        <v>1087.1600000000001</v>
      </c>
    </row>
    <row r="119" spans="1:26" x14ac:dyDescent="0.35">
      <c r="A119" s="7" t="s">
        <v>27</v>
      </c>
      <c r="B119" s="7" t="s">
        <v>28</v>
      </c>
      <c r="C119" s="7" t="s">
        <v>48</v>
      </c>
      <c r="D119" s="7" t="s">
        <v>49</v>
      </c>
      <c r="E119" s="7" t="s">
        <v>43</v>
      </c>
      <c r="F119" s="7" t="s">
        <v>43</v>
      </c>
      <c r="G119" s="7">
        <v>2017</v>
      </c>
      <c r="H119" s="7" t="str">
        <f>CONCATENATE("14270117139")</f>
        <v>14270117139</v>
      </c>
      <c r="I119" s="7" t="s">
        <v>30</v>
      </c>
      <c r="J119" s="7" t="s">
        <v>31</v>
      </c>
      <c r="K119" s="7" t="str">
        <f>CONCATENATE("")</f>
        <v/>
      </c>
      <c r="L119" s="7" t="str">
        <f>CONCATENATE("21 21.1 2a")</f>
        <v>21 21.1 2a</v>
      </c>
      <c r="M119" s="7" t="str">
        <f>CONCATENATE("MRCMHL72M52F520S")</f>
        <v>MRCMHL72M52F520S</v>
      </c>
      <c r="N119" s="7" t="s">
        <v>210</v>
      </c>
      <c r="O119" s="7" t="s">
        <v>55</v>
      </c>
      <c r="P119" s="8">
        <v>44321</v>
      </c>
      <c r="Q119" s="7" t="s">
        <v>32</v>
      </c>
      <c r="R119" s="7" t="s">
        <v>33</v>
      </c>
      <c r="S119" s="7" t="s">
        <v>34</v>
      </c>
      <c r="T119" s="7"/>
      <c r="U119" s="7" t="s">
        <v>35</v>
      </c>
      <c r="V119" s="9">
        <v>7000</v>
      </c>
      <c r="W119" s="9">
        <v>3018.4</v>
      </c>
      <c r="X119" s="9">
        <v>2787.4</v>
      </c>
      <c r="Y119" s="7">
        <v>0</v>
      </c>
      <c r="Z119" s="9">
        <v>1194.2</v>
      </c>
    </row>
    <row r="120" spans="1:26" x14ac:dyDescent="0.35">
      <c r="A120" s="7" t="s">
        <v>27</v>
      </c>
      <c r="B120" s="7" t="s">
        <v>28</v>
      </c>
      <c r="C120" s="7" t="s">
        <v>48</v>
      </c>
      <c r="D120" s="7" t="s">
        <v>62</v>
      </c>
      <c r="E120" s="7" t="s">
        <v>43</v>
      </c>
      <c r="F120" s="7" t="s">
        <v>43</v>
      </c>
      <c r="G120" s="7">
        <v>2017</v>
      </c>
      <c r="H120" s="7" t="str">
        <f>CONCATENATE("14270117386")</f>
        <v>14270117386</v>
      </c>
      <c r="I120" s="7" t="s">
        <v>30</v>
      </c>
      <c r="J120" s="7" t="s">
        <v>31</v>
      </c>
      <c r="K120" s="7" t="str">
        <f>CONCATENATE("")</f>
        <v/>
      </c>
      <c r="L120" s="7" t="str">
        <f>CONCATENATE("21 21.1 2a")</f>
        <v>21 21.1 2a</v>
      </c>
      <c r="M120" s="7" t="str">
        <f>CONCATENATE("01351070436")</f>
        <v>01351070436</v>
      </c>
      <c r="N120" s="7" t="s">
        <v>211</v>
      </c>
      <c r="O120" s="7" t="s">
        <v>55</v>
      </c>
      <c r="P120" s="8">
        <v>44321</v>
      </c>
      <c r="Q120" s="7" t="s">
        <v>32</v>
      </c>
      <c r="R120" s="7" t="s">
        <v>33</v>
      </c>
      <c r="S120" s="7" t="s">
        <v>34</v>
      </c>
      <c r="T120" s="7"/>
      <c r="U120" s="7" t="s">
        <v>35</v>
      </c>
      <c r="V120" s="9">
        <v>7000</v>
      </c>
      <c r="W120" s="9">
        <v>3018.4</v>
      </c>
      <c r="X120" s="9">
        <v>2787.4</v>
      </c>
      <c r="Y120" s="7">
        <v>0</v>
      </c>
      <c r="Z120" s="9">
        <v>1194.2</v>
      </c>
    </row>
    <row r="121" spans="1:26" x14ac:dyDescent="0.35">
      <c r="A121" s="7" t="s">
        <v>27</v>
      </c>
      <c r="B121" s="7" t="s">
        <v>28</v>
      </c>
      <c r="C121" s="7" t="s">
        <v>48</v>
      </c>
      <c r="D121" s="7" t="s">
        <v>59</v>
      </c>
      <c r="E121" s="7" t="s">
        <v>44</v>
      </c>
      <c r="F121" s="7" t="s">
        <v>178</v>
      </c>
      <c r="G121" s="7">
        <v>2017</v>
      </c>
      <c r="H121" s="7" t="str">
        <f>CONCATENATE("14270117493")</f>
        <v>14270117493</v>
      </c>
      <c r="I121" s="7" t="s">
        <v>30</v>
      </c>
      <c r="J121" s="7" t="s">
        <v>31</v>
      </c>
      <c r="K121" s="7" t="str">
        <f>CONCATENATE("")</f>
        <v/>
      </c>
      <c r="L121" s="7" t="str">
        <f>CONCATENATE("21 21.1 2a")</f>
        <v>21 21.1 2a</v>
      </c>
      <c r="M121" s="7" t="str">
        <f>CONCATENATE("02598340418")</f>
        <v>02598340418</v>
      </c>
      <c r="N121" s="7" t="s">
        <v>212</v>
      </c>
      <c r="O121" s="7" t="s">
        <v>55</v>
      </c>
      <c r="P121" s="8">
        <v>44321</v>
      </c>
      <c r="Q121" s="7" t="s">
        <v>32</v>
      </c>
      <c r="R121" s="7" t="s">
        <v>33</v>
      </c>
      <c r="S121" s="7" t="s">
        <v>34</v>
      </c>
      <c r="T121" s="7"/>
      <c r="U121" s="7" t="s">
        <v>35</v>
      </c>
      <c r="V121" s="9">
        <v>7000</v>
      </c>
      <c r="W121" s="9">
        <v>3018.4</v>
      </c>
      <c r="X121" s="9">
        <v>2787.4</v>
      </c>
      <c r="Y121" s="7">
        <v>0</v>
      </c>
      <c r="Z121" s="9">
        <v>1194.2</v>
      </c>
    </row>
    <row r="122" spans="1:26" x14ac:dyDescent="0.35">
      <c r="A122" s="7" t="s">
        <v>27</v>
      </c>
      <c r="B122" s="7" t="s">
        <v>28</v>
      </c>
      <c r="C122" s="7" t="s">
        <v>48</v>
      </c>
      <c r="D122" s="7" t="s">
        <v>49</v>
      </c>
      <c r="E122" s="7" t="s">
        <v>42</v>
      </c>
      <c r="F122" s="7" t="s">
        <v>50</v>
      </c>
      <c r="G122" s="7">
        <v>2017</v>
      </c>
      <c r="H122" s="7" t="str">
        <f>CONCATENATE("14270118194")</f>
        <v>14270118194</v>
      </c>
      <c r="I122" s="7" t="s">
        <v>30</v>
      </c>
      <c r="J122" s="7" t="s">
        <v>31</v>
      </c>
      <c r="K122" s="7" t="str">
        <f>CONCATENATE("")</f>
        <v/>
      </c>
      <c r="L122" s="7" t="str">
        <f>CONCATENATE("21 21.1 2a")</f>
        <v>21 21.1 2a</v>
      </c>
      <c r="M122" s="7" t="str">
        <f>CONCATENATE("VNTZEI63B17H390J")</f>
        <v>VNTZEI63B17H390J</v>
      </c>
      <c r="N122" s="7" t="s">
        <v>213</v>
      </c>
      <c r="O122" s="7" t="s">
        <v>55</v>
      </c>
      <c r="P122" s="8">
        <v>44321</v>
      </c>
      <c r="Q122" s="7" t="s">
        <v>32</v>
      </c>
      <c r="R122" s="7" t="s">
        <v>33</v>
      </c>
      <c r="S122" s="7" t="s">
        <v>34</v>
      </c>
      <c r="T122" s="7"/>
      <c r="U122" s="7" t="s">
        <v>35</v>
      </c>
      <c r="V122" s="9">
        <v>4655.21</v>
      </c>
      <c r="W122" s="9">
        <v>2007.33</v>
      </c>
      <c r="X122" s="9">
        <v>1853.7</v>
      </c>
      <c r="Y122" s="7">
        <v>0</v>
      </c>
      <c r="Z122" s="7">
        <v>794.18</v>
      </c>
    </row>
    <row r="123" spans="1:26" x14ac:dyDescent="0.35">
      <c r="A123" s="7" t="s">
        <v>27</v>
      </c>
      <c r="B123" s="7" t="s">
        <v>28</v>
      </c>
      <c r="C123" s="7" t="s">
        <v>48</v>
      </c>
      <c r="D123" s="7" t="s">
        <v>49</v>
      </c>
      <c r="E123" s="7" t="s">
        <v>29</v>
      </c>
      <c r="F123" s="7" t="s">
        <v>126</v>
      </c>
      <c r="G123" s="7">
        <v>2017</v>
      </c>
      <c r="H123" s="7" t="str">
        <f>CONCATENATE("14270121727")</f>
        <v>14270121727</v>
      </c>
      <c r="I123" s="7" t="s">
        <v>30</v>
      </c>
      <c r="J123" s="7" t="s">
        <v>31</v>
      </c>
      <c r="K123" s="7" t="str">
        <f>CONCATENATE("")</f>
        <v/>
      </c>
      <c r="L123" s="7" t="str">
        <f>CONCATENATE("21 21.1 2a")</f>
        <v>21 21.1 2a</v>
      </c>
      <c r="M123" s="7" t="str">
        <f>CONCATENATE("SCNLLL65H44H321W")</f>
        <v>SCNLLL65H44H321W</v>
      </c>
      <c r="N123" s="7" t="s">
        <v>214</v>
      </c>
      <c r="O123" s="7" t="s">
        <v>55</v>
      </c>
      <c r="P123" s="8">
        <v>44321</v>
      </c>
      <c r="Q123" s="7" t="s">
        <v>32</v>
      </c>
      <c r="R123" s="7" t="s">
        <v>33</v>
      </c>
      <c r="S123" s="7" t="s">
        <v>34</v>
      </c>
      <c r="T123" s="7"/>
      <c r="U123" s="7" t="s">
        <v>35</v>
      </c>
      <c r="V123" s="9">
        <v>7000</v>
      </c>
      <c r="W123" s="9">
        <v>3018.4</v>
      </c>
      <c r="X123" s="9">
        <v>2787.4</v>
      </c>
      <c r="Y123" s="7">
        <v>0</v>
      </c>
      <c r="Z123" s="9">
        <v>1194.2</v>
      </c>
    </row>
    <row r="124" spans="1:26" ht="17.5" x14ac:dyDescent="0.35">
      <c r="A124" s="7" t="s">
        <v>27</v>
      </c>
      <c r="B124" s="7" t="s">
        <v>28</v>
      </c>
      <c r="C124" s="7" t="s">
        <v>48</v>
      </c>
      <c r="D124" s="7" t="s">
        <v>49</v>
      </c>
      <c r="E124" s="7" t="s">
        <v>29</v>
      </c>
      <c r="F124" s="7" t="s">
        <v>138</v>
      </c>
      <c r="G124" s="7">
        <v>2017</v>
      </c>
      <c r="H124" s="7" t="str">
        <f>CONCATENATE("14270117501")</f>
        <v>14270117501</v>
      </c>
      <c r="I124" s="7" t="s">
        <v>30</v>
      </c>
      <c r="J124" s="7" t="s">
        <v>31</v>
      </c>
      <c r="K124" s="7" t="str">
        <f>CONCATENATE("")</f>
        <v/>
      </c>
      <c r="L124" s="7" t="str">
        <f>CONCATENATE("21 21.1 2a")</f>
        <v>21 21.1 2a</v>
      </c>
      <c r="M124" s="7" t="str">
        <f>CONCATENATE("MCZGMB59M16B534U")</f>
        <v>MCZGMB59M16B534U</v>
      </c>
      <c r="N124" s="7" t="s">
        <v>215</v>
      </c>
      <c r="O124" s="7" t="s">
        <v>55</v>
      </c>
      <c r="P124" s="8">
        <v>44321</v>
      </c>
      <c r="Q124" s="7" t="s">
        <v>32</v>
      </c>
      <c r="R124" s="7" t="s">
        <v>33</v>
      </c>
      <c r="S124" s="7" t="s">
        <v>34</v>
      </c>
      <c r="T124" s="7"/>
      <c r="U124" s="7" t="s">
        <v>35</v>
      </c>
      <c r="V124" s="9">
        <v>7000</v>
      </c>
      <c r="W124" s="9">
        <v>3018.4</v>
      </c>
      <c r="X124" s="9">
        <v>2787.4</v>
      </c>
      <c r="Y124" s="7">
        <v>0</v>
      </c>
      <c r="Z124" s="9">
        <v>1194.2</v>
      </c>
    </row>
    <row r="125" spans="1:26" x14ac:dyDescent="0.35">
      <c r="A125" s="7" t="s">
        <v>27</v>
      </c>
      <c r="B125" s="7" t="s">
        <v>28</v>
      </c>
      <c r="C125" s="7" t="s">
        <v>48</v>
      </c>
      <c r="D125" s="7" t="s">
        <v>62</v>
      </c>
      <c r="E125" s="7" t="s">
        <v>29</v>
      </c>
      <c r="F125" s="7" t="s">
        <v>216</v>
      </c>
      <c r="G125" s="7">
        <v>2017</v>
      </c>
      <c r="H125" s="7" t="str">
        <f>CONCATENATE("14270117345")</f>
        <v>14270117345</v>
      </c>
      <c r="I125" s="7" t="s">
        <v>30</v>
      </c>
      <c r="J125" s="7" t="s">
        <v>31</v>
      </c>
      <c r="K125" s="7" t="str">
        <f>CONCATENATE("")</f>
        <v/>
      </c>
      <c r="L125" s="7" t="str">
        <f>CONCATENATE("21 21.1 2a")</f>
        <v>21 21.1 2a</v>
      </c>
      <c r="M125" s="7" t="str">
        <f>CONCATENATE("CNGSFN65A70E783M")</f>
        <v>CNGSFN65A70E783M</v>
      </c>
      <c r="N125" s="7" t="s">
        <v>217</v>
      </c>
      <c r="O125" s="7" t="s">
        <v>55</v>
      </c>
      <c r="P125" s="8">
        <v>44321</v>
      </c>
      <c r="Q125" s="7" t="s">
        <v>32</v>
      </c>
      <c r="R125" s="7" t="s">
        <v>33</v>
      </c>
      <c r="S125" s="7" t="s">
        <v>34</v>
      </c>
      <c r="T125" s="7"/>
      <c r="U125" s="7" t="s">
        <v>35</v>
      </c>
      <c r="V125" s="9">
        <v>5147.22</v>
      </c>
      <c r="W125" s="9">
        <v>2219.48</v>
      </c>
      <c r="X125" s="9">
        <v>2049.62</v>
      </c>
      <c r="Y125" s="7">
        <v>0</v>
      </c>
      <c r="Z125" s="7">
        <v>878.12</v>
      </c>
    </row>
    <row r="126" spans="1:26" x14ac:dyDescent="0.35">
      <c r="A126" s="7" t="s">
        <v>27</v>
      </c>
      <c r="B126" s="7" t="s">
        <v>28</v>
      </c>
      <c r="C126" s="7" t="s">
        <v>48</v>
      </c>
      <c r="D126" s="7" t="s">
        <v>49</v>
      </c>
      <c r="E126" s="7" t="s">
        <v>43</v>
      </c>
      <c r="F126" s="7" t="s">
        <v>43</v>
      </c>
      <c r="G126" s="7">
        <v>2017</v>
      </c>
      <c r="H126" s="7" t="str">
        <f>CONCATENATE("14270117287")</f>
        <v>14270117287</v>
      </c>
      <c r="I126" s="7" t="s">
        <v>30</v>
      </c>
      <c r="J126" s="7" t="s">
        <v>31</v>
      </c>
      <c r="K126" s="7" t="str">
        <f>CONCATENATE("")</f>
        <v/>
      </c>
      <c r="L126" s="7" t="str">
        <f>CONCATENATE("21 21.1 2a")</f>
        <v>21 21.1 2a</v>
      </c>
      <c r="M126" s="7" t="str">
        <f>CONCATENATE("BRRNTN96P66H769L")</f>
        <v>BRRNTN96P66H769L</v>
      </c>
      <c r="N126" s="7" t="s">
        <v>218</v>
      </c>
      <c r="O126" s="7" t="s">
        <v>55</v>
      </c>
      <c r="P126" s="8">
        <v>44321</v>
      </c>
      <c r="Q126" s="7" t="s">
        <v>32</v>
      </c>
      <c r="R126" s="7" t="s">
        <v>33</v>
      </c>
      <c r="S126" s="7" t="s">
        <v>34</v>
      </c>
      <c r="T126" s="7"/>
      <c r="U126" s="7" t="s">
        <v>35</v>
      </c>
      <c r="V126" s="9">
        <v>7000</v>
      </c>
      <c r="W126" s="9">
        <v>3018.4</v>
      </c>
      <c r="X126" s="9">
        <v>2787.4</v>
      </c>
      <c r="Y126" s="7">
        <v>0</v>
      </c>
      <c r="Z126" s="9">
        <v>1194.2</v>
      </c>
    </row>
    <row r="127" spans="1:26" x14ac:dyDescent="0.35">
      <c r="A127" s="7" t="s">
        <v>27</v>
      </c>
      <c r="B127" s="7" t="s">
        <v>28</v>
      </c>
      <c r="C127" s="7" t="s">
        <v>48</v>
      </c>
      <c r="D127" s="7" t="s">
        <v>62</v>
      </c>
      <c r="E127" s="7" t="s">
        <v>29</v>
      </c>
      <c r="F127" s="7" t="s">
        <v>216</v>
      </c>
      <c r="G127" s="7">
        <v>2017</v>
      </c>
      <c r="H127" s="7" t="str">
        <f>CONCATENATE("14270118202")</f>
        <v>14270118202</v>
      </c>
      <c r="I127" s="7" t="s">
        <v>30</v>
      </c>
      <c r="J127" s="7" t="s">
        <v>31</v>
      </c>
      <c r="K127" s="7" t="str">
        <f>CONCATENATE("")</f>
        <v/>
      </c>
      <c r="L127" s="7" t="str">
        <f>CONCATENATE("21 21.1 2a")</f>
        <v>21 21.1 2a</v>
      </c>
      <c r="M127" s="7" t="str">
        <f>CONCATENATE("PRSLNE58S58G702W")</f>
        <v>PRSLNE58S58G702W</v>
      </c>
      <c r="N127" s="7" t="s">
        <v>219</v>
      </c>
      <c r="O127" s="7" t="s">
        <v>55</v>
      </c>
      <c r="P127" s="8">
        <v>44321</v>
      </c>
      <c r="Q127" s="7" t="s">
        <v>32</v>
      </c>
      <c r="R127" s="7" t="s">
        <v>33</v>
      </c>
      <c r="S127" s="7" t="s">
        <v>34</v>
      </c>
      <c r="T127" s="7"/>
      <c r="U127" s="7" t="s">
        <v>35</v>
      </c>
      <c r="V127" s="9">
        <v>2873.21</v>
      </c>
      <c r="W127" s="9">
        <v>1238.93</v>
      </c>
      <c r="X127" s="9">
        <v>1144.1099999999999</v>
      </c>
      <c r="Y127" s="7">
        <v>0</v>
      </c>
      <c r="Z127" s="7">
        <v>490.17</v>
      </c>
    </row>
    <row r="128" spans="1:26" x14ac:dyDescent="0.35">
      <c r="A128" s="7" t="s">
        <v>27</v>
      </c>
      <c r="B128" s="7" t="s">
        <v>28</v>
      </c>
      <c r="C128" s="7" t="s">
        <v>48</v>
      </c>
      <c r="D128" s="7" t="s">
        <v>59</v>
      </c>
      <c r="E128" s="7" t="s">
        <v>43</v>
      </c>
      <c r="F128" s="7" t="s">
        <v>43</v>
      </c>
      <c r="G128" s="7">
        <v>2017</v>
      </c>
      <c r="H128" s="7" t="str">
        <f>CONCATENATE("14270117527")</f>
        <v>14270117527</v>
      </c>
      <c r="I128" s="7" t="s">
        <v>30</v>
      </c>
      <c r="J128" s="7" t="s">
        <v>31</v>
      </c>
      <c r="K128" s="7" t="str">
        <f>CONCATENATE("")</f>
        <v/>
      </c>
      <c r="L128" s="7" t="str">
        <f>CONCATENATE("21 21.1 2a")</f>
        <v>21 21.1 2a</v>
      </c>
      <c r="M128" s="7" t="str">
        <f>CONCATENATE("PRNPLA61C29F347G")</f>
        <v>PRNPLA61C29F347G</v>
      </c>
      <c r="N128" s="7" t="s">
        <v>220</v>
      </c>
      <c r="O128" s="7" t="s">
        <v>55</v>
      </c>
      <c r="P128" s="8">
        <v>44321</v>
      </c>
      <c r="Q128" s="7" t="s">
        <v>32</v>
      </c>
      <c r="R128" s="7" t="s">
        <v>33</v>
      </c>
      <c r="S128" s="7" t="s">
        <v>34</v>
      </c>
      <c r="T128" s="7"/>
      <c r="U128" s="7" t="s">
        <v>35</v>
      </c>
      <c r="V128" s="9">
        <v>7000</v>
      </c>
      <c r="W128" s="9">
        <v>3018.4</v>
      </c>
      <c r="X128" s="9">
        <v>2787.4</v>
      </c>
      <c r="Y128" s="7">
        <v>0</v>
      </c>
      <c r="Z128" s="9">
        <v>1194.2</v>
      </c>
    </row>
    <row r="129" spans="1:26" x14ac:dyDescent="0.35">
      <c r="A129" s="7" t="s">
        <v>27</v>
      </c>
      <c r="B129" s="7" t="s">
        <v>28</v>
      </c>
      <c r="C129" s="7" t="s">
        <v>48</v>
      </c>
      <c r="D129" s="7" t="s">
        <v>62</v>
      </c>
      <c r="E129" s="7" t="s">
        <v>43</v>
      </c>
      <c r="F129" s="7" t="s">
        <v>43</v>
      </c>
      <c r="G129" s="7">
        <v>2017</v>
      </c>
      <c r="H129" s="7" t="str">
        <f>CONCATENATE("14270117444")</f>
        <v>14270117444</v>
      </c>
      <c r="I129" s="7" t="s">
        <v>30</v>
      </c>
      <c r="J129" s="7" t="s">
        <v>31</v>
      </c>
      <c r="K129" s="7" t="str">
        <f>CONCATENATE("")</f>
        <v/>
      </c>
      <c r="L129" s="7" t="str">
        <f>CONCATENATE("21 21.1 2a")</f>
        <v>21 21.1 2a</v>
      </c>
      <c r="M129" s="7" t="str">
        <f>CONCATENATE("BRTSNO79H48L366G")</f>
        <v>BRTSNO79H48L366G</v>
      </c>
      <c r="N129" s="7" t="s">
        <v>221</v>
      </c>
      <c r="O129" s="7" t="s">
        <v>55</v>
      </c>
      <c r="P129" s="8">
        <v>44321</v>
      </c>
      <c r="Q129" s="7" t="s">
        <v>32</v>
      </c>
      <c r="R129" s="7" t="s">
        <v>33</v>
      </c>
      <c r="S129" s="7" t="s">
        <v>34</v>
      </c>
      <c r="T129" s="7"/>
      <c r="U129" s="7" t="s">
        <v>35</v>
      </c>
      <c r="V129" s="9">
        <v>7000</v>
      </c>
      <c r="W129" s="9">
        <v>3018.4</v>
      </c>
      <c r="X129" s="9">
        <v>2787.4</v>
      </c>
      <c r="Y129" s="7">
        <v>0</v>
      </c>
      <c r="Z129" s="9">
        <v>1194.2</v>
      </c>
    </row>
    <row r="130" spans="1:26" x14ac:dyDescent="0.35">
      <c r="A130" s="7" t="s">
        <v>27</v>
      </c>
      <c r="B130" s="7" t="s">
        <v>28</v>
      </c>
      <c r="C130" s="7" t="s">
        <v>48</v>
      </c>
      <c r="D130" s="7" t="s">
        <v>62</v>
      </c>
      <c r="E130" s="7" t="s">
        <v>43</v>
      </c>
      <c r="F130" s="7" t="s">
        <v>43</v>
      </c>
      <c r="G130" s="7">
        <v>2017</v>
      </c>
      <c r="H130" s="7" t="str">
        <f>CONCATENATE("14270117105")</f>
        <v>14270117105</v>
      </c>
      <c r="I130" s="7" t="s">
        <v>30</v>
      </c>
      <c r="J130" s="7" t="s">
        <v>31</v>
      </c>
      <c r="K130" s="7" t="str">
        <f>CONCATENATE("")</f>
        <v/>
      </c>
      <c r="L130" s="7" t="str">
        <f>CONCATENATE("21 21.1 2a")</f>
        <v>21 21.1 2a</v>
      </c>
      <c r="M130" s="7" t="str">
        <f>CONCATENATE("01340930435")</f>
        <v>01340930435</v>
      </c>
      <c r="N130" s="7" t="s">
        <v>222</v>
      </c>
      <c r="O130" s="7" t="s">
        <v>55</v>
      </c>
      <c r="P130" s="8">
        <v>44321</v>
      </c>
      <c r="Q130" s="7" t="s">
        <v>32</v>
      </c>
      <c r="R130" s="7" t="s">
        <v>33</v>
      </c>
      <c r="S130" s="7" t="s">
        <v>34</v>
      </c>
      <c r="T130" s="7"/>
      <c r="U130" s="7" t="s">
        <v>35</v>
      </c>
      <c r="V130" s="9">
        <v>7000</v>
      </c>
      <c r="W130" s="9">
        <v>3018.4</v>
      </c>
      <c r="X130" s="9">
        <v>2787.4</v>
      </c>
      <c r="Y130" s="7">
        <v>0</v>
      </c>
      <c r="Z130" s="9">
        <v>1194.2</v>
      </c>
    </row>
    <row r="131" spans="1:26" x14ac:dyDescent="0.35">
      <c r="A131" s="7" t="s">
        <v>27</v>
      </c>
      <c r="B131" s="7" t="s">
        <v>28</v>
      </c>
      <c r="C131" s="7" t="s">
        <v>48</v>
      </c>
      <c r="D131" s="7" t="s">
        <v>49</v>
      </c>
      <c r="E131" s="7" t="s">
        <v>43</v>
      </c>
      <c r="F131" s="7" t="s">
        <v>43</v>
      </c>
      <c r="G131" s="7">
        <v>2017</v>
      </c>
      <c r="H131" s="7" t="str">
        <f>CONCATENATE("14270117246")</f>
        <v>14270117246</v>
      </c>
      <c r="I131" s="7" t="s">
        <v>30</v>
      </c>
      <c r="J131" s="7" t="s">
        <v>31</v>
      </c>
      <c r="K131" s="7" t="str">
        <f>CONCATENATE("")</f>
        <v/>
      </c>
      <c r="L131" s="7" t="str">
        <f>CONCATENATE("21 21.1 2a")</f>
        <v>21 21.1 2a</v>
      </c>
      <c r="M131" s="7" t="str">
        <f>CONCATENATE("BNCLRZ91R60D542U")</f>
        <v>BNCLRZ91R60D542U</v>
      </c>
      <c r="N131" s="7" t="s">
        <v>223</v>
      </c>
      <c r="O131" s="7" t="s">
        <v>55</v>
      </c>
      <c r="P131" s="8">
        <v>44321</v>
      </c>
      <c r="Q131" s="7" t="s">
        <v>32</v>
      </c>
      <c r="R131" s="7" t="s">
        <v>33</v>
      </c>
      <c r="S131" s="7" t="s">
        <v>34</v>
      </c>
      <c r="T131" s="7"/>
      <c r="U131" s="7" t="s">
        <v>35</v>
      </c>
      <c r="V131" s="9">
        <v>7000</v>
      </c>
      <c r="W131" s="9">
        <v>3018.4</v>
      </c>
      <c r="X131" s="9">
        <v>2787.4</v>
      </c>
      <c r="Y131" s="7">
        <v>0</v>
      </c>
      <c r="Z131" s="9">
        <v>1194.2</v>
      </c>
    </row>
    <row r="132" spans="1:26" x14ac:dyDescent="0.35">
      <c r="A132" s="7" t="s">
        <v>27</v>
      </c>
      <c r="B132" s="7" t="s">
        <v>28</v>
      </c>
      <c r="C132" s="7" t="s">
        <v>48</v>
      </c>
      <c r="D132" s="7" t="s">
        <v>59</v>
      </c>
      <c r="E132" s="7" t="s">
        <v>40</v>
      </c>
      <c r="F132" s="7" t="s">
        <v>199</v>
      </c>
      <c r="G132" s="7">
        <v>2017</v>
      </c>
      <c r="H132" s="7" t="str">
        <f>CONCATENATE("14270117394")</f>
        <v>14270117394</v>
      </c>
      <c r="I132" s="7" t="s">
        <v>30</v>
      </c>
      <c r="J132" s="7" t="s">
        <v>31</v>
      </c>
      <c r="K132" s="7" t="str">
        <f>CONCATENATE("")</f>
        <v/>
      </c>
      <c r="L132" s="7" t="str">
        <f>CONCATENATE("21 21.1 2a")</f>
        <v>21 21.1 2a</v>
      </c>
      <c r="M132" s="7" t="str">
        <f>CONCATENATE("CNTRLL57B65I670E")</f>
        <v>CNTRLL57B65I670E</v>
      </c>
      <c r="N132" s="7" t="s">
        <v>224</v>
      </c>
      <c r="O132" s="7" t="s">
        <v>55</v>
      </c>
      <c r="P132" s="8">
        <v>44321</v>
      </c>
      <c r="Q132" s="7" t="s">
        <v>32</v>
      </c>
      <c r="R132" s="7" t="s">
        <v>33</v>
      </c>
      <c r="S132" s="7" t="s">
        <v>34</v>
      </c>
      <c r="T132" s="7"/>
      <c r="U132" s="7" t="s">
        <v>35</v>
      </c>
      <c r="V132" s="9">
        <v>4389.32</v>
      </c>
      <c r="W132" s="9">
        <v>1892.67</v>
      </c>
      <c r="X132" s="9">
        <v>1747.83</v>
      </c>
      <c r="Y132" s="7">
        <v>0</v>
      </c>
      <c r="Z132" s="7">
        <v>748.82</v>
      </c>
    </row>
    <row r="133" spans="1:26" x14ac:dyDescent="0.35">
      <c r="A133" s="7" t="s">
        <v>27</v>
      </c>
      <c r="B133" s="7" t="s">
        <v>28</v>
      </c>
      <c r="C133" s="7" t="s">
        <v>48</v>
      </c>
      <c r="D133" s="7" t="s">
        <v>59</v>
      </c>
      <c r="E133" s="7" t="s">
        <v>29</v>
      </c>
      <c r="F133" s="7" t="s">
        <v>225</v>
      </c>
      <c r="G133" s="7">
        <v>2017</v>
      </c>
      <c r="H133" s="7" t="str">
        <f>CONCATENATE("14270117238")</f>
        <v>14270117238</v>
      </c>
      <c r="I133" s="7" t="s">
        <v>30</v>
      </c>
      <c r="J133" s="7" t="s">
        <v>31</v>
      </c>
      <c r="K133" s="7" t="str">
        <f>CONCATENATE("")</f>
        <v/>
      </c>
      <c r="L133" s="7" t="str">
        <f>CONCATENATE("21 21.1 2a")</f>
        <v>21 21.1 2a</v>
      </c>
      <c r="M133" s="7" t="str">
        <f>CONCATENATE("PRNTZN66A70G453W")</f>
        <v>PRNTZN66A70G453W</v>
      </c>
      <c r="N133" s="7" t="s">
        <v>226</v>
      </c>
      <c r="O133" s="7" t="s">
        <v>55</v>
      </c>
      <c r="P133" s="8">
        <v>44321</v>
      </c>
      <c r="Q133" s="7" t="s">
        <v>32</v>
      </c>
      <c r="R133" s="7" t="s">
        <v>33</v>
      </c>
      <c r="S133" s="7" t="s">
        <v>34</v>
      </c>
      <c r="T133" s="7"/>
      <c r="U133" s="7" t="s">
        <v>35</v>
      </c>
      <c r="V133" s="9">
        <v>5007.74</v>
      </c>
      <c r="W133" s="9">
        <v>2159.34</v>
      </c>
      <c r="X133" s="9">
        <v>1994.08</v>
      </c>
      <c r="Y133" s="7">
        <v>0</v>
      </c>
      <c r="Z133" s="7">
        <v>854.32</v>
      </c>
    </row>
    <row r="134" spans="1:26" x14ac:dyDescent="0.35">
      <c r="A134" s="7" t="s">
        <v>27</v>
      </c>
      <c r="B134" s="7" t="s">
        <v>28</v>
      </c>
      <c r="C134" s="7" t="s">
        <v>48</v>
      </c>
      <c r="D134" s="7" t="s">
        <v>49</v>
      </c>
      <c r="E134" s="7" t="s">
        <v>43</v>
      </c>
      <c r="F134" s="7" t="s">
        <v>43</v>
      </c>
      <c r="G134" s="7">
        <v>2017</v>
      </c>
      <c r="H134" s="7" t="str">
        <f>CONCATENATE("14270117311")</f>
        <v>14270117311</v>
      </c>
      <c r="I134" s="7" t="s">
        <v>30</v>
      </c>
      <c r="J134" s="7" t="s">
        <v>31</v>
      </c>
      <c r="K134" s="7" t="str">
        <f>CONCATENATE("")</f>
        <v/>
      </c>
      <c r="L134" s="7" t="str">
        <f>CONCATENATE("21 21.1 2a")</f>
        <v>21 21.1 2a</v>
      </c>
      <c r="M134" s="7" t="str">
        <f>CONCATENATE("FRNMRA91L25D542G")</f>
        <v>FRNMRA91L25D542G</v>
      </c>
      <c r="N134" s="7" t="s">
        <v>227</v>
      </c>
      <c r="O134" s="7" t="s">
        <v>55</v>
      </c>
      <c r="P134" s="8">
        <v>44321</v>
      </c>
      <c r="Q134" s="7" t="s">
        <v>32</v>
      </c>
      <c r="R134" s="7" t="s">
        <v>33</v>
      </c>
      <c r="S134" s="7" t="s">
        <v>34</v>
      </c>
      <c r="T134" s="7"/>
      <c r="U134" s="7" t="s">
        <v>35</v>
      </c>
      <c r="V134" s="9">
        <v>2279.7399999999998</v>
      </c>
      <c r="W134" s="7">
        <v>983.02</v>
      </c>
      <c r="X134" s="7">
        <v>907.79</v>
      </c>
      <c r="Y134" s="7">
        <v>0</v>
      </c>
      <c r="Z134" s="7">
        <v>388.93</v>
      </c>
    </row>
    <row r="135" spans="1:26" ht="17.5" x14ac:dyDescent="0.35">
      <c r="A135" s="7" t="s">
        <v>27</v>
      </c>
      <c r="B135" s="7" t="s">
        <v>28</v>
      </c>
      <c r="C135" s="7" t="s">
        <v>48</v>
      </c>
      <c r="D135" s="7" t="s">
        <v>49</v>
      </c>
      <c r="E135" s="7" t="s">
        <v>37</v>
      </c>
      <c r="F135" s="7" t="s">
        <v>93</v>
      </c>
      <c r="G135" s="7">
        <v>2017</v>
      </c>
      <c r="H135" s="7" t="str">
        <f>CONCATENATE("14270117147")</f>
        <v>14270117147</v>
      </c>
      <c r="I135" s="7" t="s">
        <v>30</v>
      </c>
      <c r="J135" s="7" t="s">
        <v>31</v>
      </c>
      <c r="K135" s="7" t="str">
        <f>CONCATENATE("")</f>
        <v/>
      </c>
      <c r="L135" s="7" t="str">
        <f>CONCATENATE("21 21.1 2a")</f>
        <v>21 21.1 2a</v>
      </c>
      <c r="M135" s="7" t="str">
        <f>CONCATENATE("00491220448")</f>
        <v>00491220448</v>
      </c>
      <c r="N135" s="7" t="s">
        <v>228</v>
      </c>
      <c r="O135" s="7" t="s">
        <v>55</v>
      </c>
      <c r="P135" s="8">
        <v>44321</v>
      </c>
      <c r="Q135" s="7" t="s">
        <v>32</v>
      </c>
      <c r="R135" s="7" t="s">
        <v>33</v>
      </c>
      <c r="S135" s="7" t="s">
        <v>34</v>
      </c>
      <c r="T135" s="7"/>
      <c r="U135" s="7" t="s">
        <v>35</v>
      </c>
      <c r="V135" s="9">
        <v>2524.66</v>
      </c>
      <c r="W135" s="9">
        <v>1088.6300000000001</v>
      </c>
      <c r="X135" s="9">
        <v>1005.32</v>
      </c>
      <c r="Y135" s="7">
        <v>0</v>
      </c>
      <c r="Z135" s="7">
        <v>430.71</v>
      </c>
    </row>
    <row r="136" spans="1:26" x14ac:dyDescent="0.35">
      <c r="A136" s="7" t="s">
        <v>27</v>
      </c>
      <c r="B136" s="7" t="s">
        <v>28</v>
      </c>
      <c r="C136" s="7" t="s">
        <v>48</v>
      </c>
      <c r="D136" s="7" t="s">
        <v>56</v>
      </c>
      <c r="E136" s="7" t="s">
        <v>29</v>
      </c>
      <c r="F136" s="7" t="s">
        <v>128</v>
      </c>
      <c r="G136" s="7">
        <v>2017</v>
      </c>
      <c r="H136" s="7" t="str">
        <f>CONCATENATE("14270117352")</f>
        <v>14270117352</v>
      </c>
      <c r="I136" s="7" t="s">
        <v>30</v>
      </c>
      <c r="J136" s="7" t="s">
        <v>31</v>
      </c>
      <c r="K136" s="7" t="str">
        <f>CONCATENATE("")</f>
        <v/>
      </c>
      <c r="L136" s="7" t="str">
        <f>CONCATENATE("21 21.1 2a")</f>
        <v>21 21.1 2a</v>
      </c>
      <c r="M136" s="7" t="str">
        <f>CONCATENATE("CRGNLN67T02F453E")</f>
        <v>CRGNLN67T02F453E</v>
      </c>
      <c r="N136" s="7" t="s">
        <v>229</v>
      </c>
      <c r="O136" s="7" t="s">
        <v>55</v>
      </c>
      <c r="P136" s="8">
        <v>44321</v>
      </c>
      <c r="Q136" s="7" t="s">
        <v>32</v>
      </c>
      <c r="R136" s="7" t="s">
        <v>33</v>
      </c>
      <c r="S136" s="7" t="s">
        <v>34</v>
      </c>
      <c r="T136" s="7"/>
      <c r="U136" s="7" t="s">
        <v>35</v>
      </c>
      <c r="V136" s="9">
        <v>7000</v>
      </c>
      <c r="W136" s="9">
        <v>3018.4</v>
      </c>
      <c r="X136" s="9">
        <v>2787.4</v>
      </c>
      <c r="Y136" s="7">
        <v>0</v>
      </c>
      <c r="Z136" s="9">
        <v>1194.2</v>
      </c>
    </row>
    <row r="137" spans="1:26" x14ac:dyDescent="0.35">
      <c r="A137" s="7" t="s">
        <v>27</v>
      </c>
      <c r="B137" s="7" t="s">
        <v>28</v>
      </c>
      <c r="C137" s="7" t="s">
        <v>48</v>
      </c>
      <c r="D137" s="7" t="s">
        <v>49</v>
      </c>
      <c r="E137" s="7" t="s">
        <v>42</v>
      </c>
      <c r="F137" s="7" t="s">
        <v>50</v>
      </c>
      <c r="G137" s="7">
        <v>2017</v>
      </c>
      <c r="H137" s="7" t="str">
        <f>CONCATENATE("14270117030")</f>
        <v>14270117030</v>
      </c>
      <c r="I137" s="7" t="s">
        <v>30</v>
      </c>
      <c r="J137" s="7" t="s">
        <v>31</v>
      </c>
      <c r="K137" s="7" t="str">
        <f>CONCATENATE("")</f>
        <v/>
      </c>
      <c r="L137" s="7" t="str">
        <f>CONCATENATE("21 21.1 2a")</f>
        <v>21 21.1 2a</v>
      </c>
      <c r="M137" s="7" t="str">
        <f>CONCATENATE("BRTLRI86P48A252U")</f>
        <v>BRTLRI86P48A252U</v>
      </c>
      <c r="N137" s="7" t="s">
        <v>230</v>
      </c>
      <c r="O137" s="7" t="s">
        <v>55</v>
      </c>
      <c r="P137" s="8">
        <v>44321</v>
      </c>
      <c r="Q137" s="7" t="s">
        <v>32</v>
      </c>
      <c r="R137" s="7" t="s">
        <v>33</v>
      </c>
      <c r="S137" s="7" t="s">
        <v>34</v>
      </c>
      <c r="T137" s="7"/>
      <c r="U137" s="7" t="s">
        <v>35</v>
      </c>
      <c r="V137" s="9">
        <v>7000</v>
      </c>
      <c r="W137" s="9">
        <v>3018.4</v>
      </c>
      <c r="X137" s="9">
        <v>2787.4</v>
      </c>
      <c r="Y137" s="7">
        <v>0</v>
      </c>
      <c r="Z137" s="9">
        <v>1194.2</v>
      </c>
    </row>
    <row r="138" spans="1:26" x14ac:dyDescent="0.35">
      <c r="A138" s="7" t="s">
        <v>27</v>
      </c>
      <c r="B138" s="7" t="s">
        <v>28</v>
      </c>
      <c r="C138" s="7" t="s">
        <v>48</v>
      </c>
      <c r="D138" s="7" t="s">
        <v>49</v>
      </c>
      <c r="E138" s="7" t="s">
        <v>42</v>
      </c>
      <c r="F138" s="7" t="s">
        <v>231</v>
      </c>
      <c r="G138" s="7">
        <v>2017</v>
      </c>
      <c r="H138" s="7" t="str">
        <f>CONCATENATE("14270117402")</f>
        <v>14270117402</v>
      </c>
      <c r="I138" s="7" t="s">
        <v>30</v>
      </c>
      <c r="J138" s="7" t="s">
        <v>31</v>
      </c>
      <c r="K138" s="7" t="str">
        <f>CONCATENATE("")</f>
        <v/>
      </c>
      <c r="L138" s="7" t="str">
        <f>CONCATENATE("21 21.1 2a")</f>
        <v>21 21.1 2a</v>
      </c>
      <c r="M138" s="7" t="str">
        <f>CONCATENATE("FBBCDD69P50F241V")</f>
        <v>FBBCDD69P50F241V</v>
      </c>
      <c r="N138" s="7" t="s">
        <v>232</v>
      </c>
      <c r="O138" s="7" t="s">
        <v>55</v>
      </c>
      <c r="P138" s="8">
        <v>44321</v>
      </c>
      <c r="Q138" s="7" t="s">
        <v>32</v>
      </c>
      <c r="R138" s="7" t="s">
        <v>33</v>
      </c>
      <c r="S138" s="7" t="s">
        <v>34</v>
      </c>
      <c r="T138" s="7"/>
      <c r="U138" s="7" t="s">
        <v>35</v>
      </c>
      <c r="V138" s="9">
        <v>7000</v>
      </c>
      <c r="W138" s="9">
        <v>3018.4</v>
      </c>
      <c r="X138" s="9">
        <v>2787.4</v>
      </c>
      <c r="Y138" s="7">
        <v>0</v>
      </c>
      <c r="Z138" s="9">
        <v>1194.2</v>
      </c>
    </row>
    <row r="139" spans="1:26" x14ac:dyDescent="0.35">
      <c r="A139" s="7" t="s">
        <v>27</v>
      </c>
      <c r="B139" s="7" t="s">
        <v>28</v>
      </c>
      <c r="C139" s="7" t="s">
        <v>48</v>
      </c>
      <c r="D139" s="7" t="s">
        <v>59</v>
      </c>
      <c r="E139" s="7" t="s">
        <v>44</v>
      </c>
      <c r="F139" s="7" t="s">
        <v>178</v>
      </c>
      <c r="G139" s="7">
        <v>2017</v>
      </c>
      <c r="H139" s="7" t="str">
        <f>CONCATENATE("14270117469")</f>
        <v>14270117469</v>
      </c>
      <c r="I139" s="7" t="s">
        <v>30</v>
      </c>
      <c r="J139" s="7" t="s">
        <v>31</v>
      </c>
      <c r="K139" s="7" t="str">
        <f>CONCATENATE("")</f>
        <v/>
      </c>
      <c r="L139" s="7" t="str">
        <f>CONCATENATE("21 21.1 2a")</f>
        <v>21 21.1 2a</v>
      </c>
      <c r="M139" s="7" t="str">
        <f>CONCATENATE("GLTMNL60S46G479Q")</f>
        <v>GLTMNL60S46G479Q</v>
      </c>
      <c r="N139" s="7" t="s">
        <v>233</v>
      </c>
      <c r="O139" s="7" t="s">
        <v>55</v>
      </c>
      <c r="P139" s="8">
        <v>44321</v>
      </c>
      <c r="Q139" s="7" t="s">
        <v>32</v>
      </c>
      <c r="R139" s="7" t="s">
        <v>33</v>
      </c>
      <c r="S139" s="7" t="s">
        <v>34</v>
      </c>
      <c r="T139" s="7"/>
      <c r="U139" s="7" t="s">
        <v>35</v>
      </c>
      <c r="V139" s="9">
        <v>7000</v>
      </c>
      <c r="W139" s="9">
        <v>3018.4</v>
      </c>
      <c r="X139" s="9">
        <v>2787.4</v>
      </c>
      <c r="Y139" s="7">
        <v>0</v>
      </c>
      <c r="Z139" s="9">
        <v>1194.2</v>
      </c>
    </row>
    <row r="140" spans="1:26" x14ac:dyDescent="0.35">
      <c r="A140" s="7" t="s">
        <v>27</v>
      </c>
      <c r="B140" s="7" t="s">
        <v>28</v>
      </c>
      <c r="C140" s="7" t="s">
        <v>48</v>
      </c>
      <c r="D140" s="7" t="s">
        <v>62</v>
      </c>
      <c r="E140" s="7" t="s">
        <v>44</v>
      </c>
      <c r="F140" s="7" t="s">
        <v>234</v>
      </c>
      <c r="G140" s="7">
        <v>2017</v>
      </c>
      <c r="H140" s="7" t="str">
        <f>CONCATENATE("14270117212")</f>
        <v>14270117212</v>
      </c>
      <c r="I140" s="7" t="s">
        <v>30</v>
      </c>
      <c r="J140" s="7" t="s">
        <v>31</v>
      </c>
      <c r="K140" s="7" t="str">
        <f>CONCATENATE("")</f>
        <v/>
      </c>
      <c r="L140" s="7" t="str">
        <f>CONCATENATE("21 21.1 2a")</f>
        <v>21 21.1 2a</v>
      </c>
      <c r="M140" s="7" t="str">
        <f>CONCATENATE("01434100432")</f>
        <v>01434100432</v>
      </c>
      <c r="N140" s="7" t="s">
        <v>235</v>
      </c>
      <c r="O140" s="7" t="s">
        <v>55</v>
      </c>
      <c r="P140" s="8">
        <v>44321</v>
      </c>
      <c r="Q140" s="7" t="s">
        <v>32</v>
      </c>
      <c r="R140" s="7" t="s">
        <v>33</v>
      </c>
      <c r="S140" s="7" t="s">
        <v>34</v>
      </c>
      <c r="T140" s="7"/>
      <c r="U140" s="7" t="s">
        <v>35</v>
      </c>
      <c r="V140" s="9">
        <v>7000</v>
      </c>
      <c r="W140" s="9">
        <v>3018.4</v>
      </c>
      <c r="X140" s="9">
        <v>2787.4</v>
      </c>
      <c r="Y140" s="7">
        <v>0</v>
      </c>
      <c r="Z140" s="9">
        <v>1194.2</v>
      </c>
    </row>
    <row r="141" spans="1:26" x14ac:dyDescent="0.35">
      <c r="A141" s="7" t="s">
        <v>27</v>
      </c>
      <c r="B141" s="7" t="s">
        <v>28</v>
      </c>
      <c r="C141" s="7" t="s">
        <v>48</v>
      </c>
      <c r="D141" s="7" t="s">
        <v>59</v>
      </c>
      <c r="E141" s="7" t="s">
        <v>40</v>
      </c>
      <c r="F141" s="7" t="s">
        <v>165</v>
      </c>
      <c r="G141" s="7">
        <v>2017</v>
      </c>
      <c r="H141" s="7" t="str">
        <f>CONCATENATE("14270117485")</f>
        <v>14270117485</v>
      </c>
      <c r="I141" s="7" t="s">
        <v>30</v>
      </c>
      <c r="J141" s="7" t="s">
        <v>31</v>
      </c>
      <c r="K141" s="7" t="str">
        <f>CONCATENATE("")</f>
        <v/>
      </c>
      <c r="L141" s="7" t="str">
        <f>CONCATENATE("21 21.1 2a")</f>
        <v>21 21.1 2a</v>
      </c>
      <c r="M141" s="7" t="str">
        <f>CONCATENATE("HMNNJL72B56Z126T")</f>
        <v>HMNNJL72B56Z126T</v>
      </c>
      <c r="N141" s="7" t="s">
        <v>236</v>
      </c>
      <c r="O141" s="7" t="s">
        <v>55</v>
      </c>
      <c r="P141" s="8">
        <v>44321</v>
      </c>
      <c r="Q141" s="7" t="s">
        <v>32</v>
      </c>
      <c r="R141" s="7" t="s">
        <v>33</v>
      </c>
      <c r="S141" s="7" t="s">
        <v>34</v>
      </c>
      <c r="T141" s="7"/>
      <c r="U141" s="7" t="s">
        <v>35</v>
      </c>
      <c r="V141" s="9">
        <v>5525.58</v>
      </c>
      <c r="W141" s="9">
        <v>2382.63</v>
      </c>
      <c r="X141" s="9">
        <v>2200.29</v>
      </c>
      <c r="Y141" s="7">
        <v>0</v>
      </c>
      <c r="Z141" s="7">
        <v>942.66</v>
      </c>
    </row>
    <row r="142" spans="1:26" x14ac:dyDescent="0.35">
      <c r="A142" s="7" t="s">
        <v>27</v>
      </c>
      <c r="B142" s="7" t="s">
        <v>28</v>
      </c>
      <c r="C142" s="7" t="s">
        <v>48</v>
      </c>
      <c r="D142" s="7" t="s">
        <v>56</v>
      </c>
      <c r="E142" s="7" t="s">
        <v>29</v>
      </c>
      <c r="F142" s="7" t="s">
        <v>128</v>
      </c>
      <c r="G142" s="7">
        <v>2017</v>
      </c>
      <c r="H142" s="7" t="str">
        <f>CONCATENATE("14270117329")</f>
        <v>14270117329</v>
      </c>
      <c r="I142" s="7" t="s">
        <v>30</v>
      </c>
      <c r="J142" s="7" t="s">
        <v>31</v>
      </c>
      <c r="K142" s="7" t="str">
        <f>CONCATENATE("")</f>
        <v/>
      </c>
      <c r="L142" s="7" t="str">
        <f>CONCATENATE("21 21.1 2a")</f>
        <v>21 21.1 2a</v>
      </c>
      <c r="M142" s="7" t="str">
        <f>CONCATENATE("MRRMLL62H50F453G")</f>
        <v>MRRMLL62H50F453G</v>
      </c>
      <c r="N142" s="7" t="s">
        <v>237</v>
      </c>
      <c r="O142" s="7" t="s">
        <v>55</v>
      </c>
      <c r="P142" s="8">
        <v>44321</v>
      </c>
      <c r="Q142" s="7" t="s">
        <v>32</v>
      </c>
      <c r="R142" s="7" t="s">
        <v>33</v>
      </c>
      <c r="S142" s="7" t="s">
        <v>34</v>
      </c>
      <c r="T142" s="7"/>
      <c r="U142" s="7" t="s">
        <v>35</v>
      </c>
      <c r="V142" s="9">
        <v>7000</v>
      </c>
      <c r="W142" s="9">
        <v>3018.4</v>
      </c>
      <c r="X142" s="9">
        <v>2787.4</v>
      </c>
      <c r="Y142" s="7">
        <v>0</v>
      </c>
      <c r="Z142" s="9">
        <v>1194.2</v>
      </c>
    </row>
    <row r="143" spans="1:26" x14ac:dyDescent="0.35">
      <c r="A143" s="7" t="s">
        <v>27</v>
      </c>
      <c r="B143" s="7" t="s">
        <v>28</v>
      </c>
      <c r="C143" s="7" t="s">
        <v>48</v>
      </c>
      <c r="D143" s="7" t="s">
        <v>56</v>
      </c>
      <c r="E143" s="7" t="s">
        <v>42</v>
      </c>
      <c r="F143" s="7" t="s">
        <v>57</v>
      </c>
      <c r="G143" s="7">
        <v>2017</v>
      </c>
      <c r="H143" s="7" t="str">
        <f>CONCATENATE("14270117378")</f>
        <v>14270117378</v>
      </c>
      <c r="I143" s="7" t="s">
        <v>30</v>
      </c>
      <c r="J143" s="7" t="s">
        <v>31</v>
      </c>
      <c r="K143" s="7" t="str">
        <f>CONCATENATE("")</f>
        <v/>
      </c>
      <c r="L143" s="7" t="str">
        <f>CONCATENATE("21 21.1 2a")</f>
        <v>21 21.1 2a</v>
      </c>
      <c r="M143" s="7" t="str">
        <f>CONCATENATE("MRCKTA79T41A271Q")</f>
        <v>MRCKTA79T41A271Q</v>
      </c>
      <c r="N143" s="7" t="s">
        <v>238</v>
      </c>
      <c r="O143" s="7" t="s">
        <v>55</v>
      </c>
      <c r="P143" s="8">
        <v>44321</v>
      </c>
      <c r="Q143" s="7" t="s">
        <v>32</v>
      </c>
      <c r="R143" s="7" t="s">
        <v>33</v>
      </c>
      <c r="S143" s="7" t="s">
        <v>34</v>
      </c>
      <c r="T143" s="7"/>
      <c r="U143" s="7" t="s">
        <v>35</v>
      </c>
      <c r="V143" s="9">
        <v>7000</v>
      </c>
      <c r="W143" s="9">
        <v>3018.4</v>
      </c>
      <c r="X143" s="9">
        <v>2787.4</v>
      </c>
      <c r="Y143" s="7">
        <v>0</v>
      </c>
      <c r="Z143" s="9">
        <v>1194.2</v>
      </c>
    </row>
    <row r="144" spans="1:26" x14ac:dyDescent="0.35">
      <c r="A144" s="7" t="s">
        <v>27</v>
      </c>
      <c r="B144" s="7" t="s">
        <v>28</v>
      </c>
      <c r="C144" s="7" t="s">
        <v>48</v>
      </c>
      <c r="D144" s="7" t="s">
        <v>59</v>
      </c>
      <c r="E144" s="7" t="s">
        <v>40</v>
      </c>
      <c r="F144" s="7" t="s">
        <v>199</v>
      </c>
      <c r="G144" s="7">
        <v>2017</v>
      </c>
      <c r="H144" s="7" t="str">
        <f>CONCATENATE("14270117253")</f>
        <v>14270117253</v>
      </c>
      <c r="I144" s="7" t="s">
        <v>30</v>
      </c>
      <c r="J144" s="7" t="s">
        <v>31</v>
      </c>
      <c r="K144" s="7" t="str">
        <f>CONCATENATE("")</f>
        <v/>
      </c>
      <c r="L144" s="7" t="str">
        <f>CONCATENATE("21 21.1 2a")</f>
        <v>21 21.1 2a</v>
      </c>
      <c r="M144" s="7" t="str">
        <f>CONCATENATE("MNCMRA67R47L498Z")</f>
        <v>MNCMRA67R47L498Z</v>
      </c>
      <c r="N144" s="7" t="s">
        <v>239</v>
      </c>
      <c r="O144" s="7" t="s">
        <v>55</v>
      </c>
      <c r="P144" s="8">
        <v>44321</v>
      </c>
      <c r="Q144" s="7" t="s">
        <v>32</v>
      </c>
      <c r="R144" s="7" t="s">
        <v>33</v>
      </c>
      <c r="S144" s="7" t="s">
        <v>34</v>
      </c>
      <c r="T144" s="7"/>
      <c r="U144" s="7" t="s">
        <v>35</v>
      </c>
      <c r="V144" s="9">
        <v>2137.88</v>
      </c>
      <c r="W144" s="7">
        <v>921.85</v>
      </c>
      <c r="X144" s="7">
        <v>851.3</v>
      </c>
      <c r="Y144" s="7">
        <v>0</v>
      </c>
      <c r="Z144" s="7">
        <v>364.73</v>
      </c>
    </row>
    <row r="145" spans="1:26" x14ac:dyDescent="0.35">
      <c r="A145" s="7" t="s">
        <v>27</v>
      </c>
      <c r="B145" s="7" t="s">
        <v>36</v>
      </c>
      <c r="C145" s="7" t="s">
        <v>48</v>
      </c>
      <c r="D145" s="7" t="s">
        <v>59</v>
      </c>
      <c r="E145" s="7" t="s">
        <v>29</v>
      </c>
      <c r="F145" s="7" t="s">
        <v>195</v>
      </c>
      <c r="G145" s="7">
        <v>2020</v>
      </c>
      <c r="H145" s="7" t="str">
        <f>CONCATENATE("04240556672")</f>
        <v>04240556672</v>
      </c>
      <c r="I145" s="7" t="s">
        <v>30</v>
      </c>
      <c r="J145" s="7" t="s">
        <v>31</v>
      </c>
      <c r="K145" s="7" t="str">
        <f>CONCATENATE("")</f>
        <v/>
      </c>
      <c r="L145" s="7" t="str">
        <f>CONCATENATE("11 11.2 4b")</f>
        <v>11 11.2 4b</v>
      </c>
      <c r="M145" s="7" t="str">
        <f>CONCATENATE("MZZGRG74M13L498Z")</f>
        <v>MZZGRG74M13L498Z</v>
      </c>
      <c r="N145" s="7" t="s">
        <v>240</v>
      </c>
      <c r="O145" s="7" t="s">
        <v>241</v>
      </c>
      <c r="P145" s="8">
        <v>44257</v>
      </c>
      <c r="Q145" s="7" t="s">
        <v>32</v>
      </c>
      <c r="R145" s="7" t="s">
        <v>33</v>
      </c>
      <c r="S145" s="7" t="s">
        <v>34</v>
      </c>
      <c r="T145" s="7"/>
      <c r="U145" s="7" t="s">
        <v>35</v>
      </c>
      <c r="V145" s="7">
        <v>761.32</v>
      </c>
      <c r="W145" s="7">
        <v>328.28</v>
      </c>
      <c r="X145" s="7">
        <v>303.16000000000003</v>
      </c>
      <c r="Y145" s="7">
        <v>0</v>
      </c>
      <c r="Z145" s="7">
        <v>129.88</v>
      </c>
    </row>
    <row r="146" spans="1:26" x14ac:dyDescent="0.35">
      <c r="A146" s="7" t="s">
        <v>27</v>
      </c>
      <c r="B146" s="7" t="s">
        <v>28</v>
      </c>
      <c r="C146" s="7" t="s">
        <v>48</v>
      </c>
      <c r="D146" s="7" t="s">
        <v>49</v>
      </c>
      <c r="E146" s="7" t="s">
        <v>29</v>
      </c>
      <c r="F146" s="7" t="s">
        <v>76</v>
      </c>
      <c r="G146" s="7">
        <v>2017</v>
      </c>
      <c r="H146" s="7" t="str">
        <f>CONCATENATE("14270116982")</f>
        <v>14270116982</v>
      </c>
      <c r="I146" s="7" t="s">
        <v>30</v>
      </c>
      <c r="J146" s="7" t="s">
        <v>31</v>
      </c>
      <c r="K146" s="7" t="str">
        <f>CONCATENATE("")</f>
        <v/>
      </c>
      <c r="L146" s="7" t="str">
        <f>CONCATENATE("21 21.1 2a")</f>
        <v>21 21.1 2a</v>
      </c>
      <c r="M146" s="7" t="str">
        <f>CONCATENATE("01678860444")</f>
        <v>01678860444</v>
      </c>
      <c r="N146" s="7" t="s">
        <v>242</v>
      </c>
      <c r="O146" s="7" t="s">
        <v>55</v>
      </c>
      <c r="P146" s="8">
        <v>44321</v>
      </c>
      <c r="Q146" s="7" t="s">
        <v>32</v>
      </c>
      <c r="R146" s="7" t="s">
        <v>33</v>
      </c>
      <c r="S146" s="7" t="s">
        <v>34</v>
      </c>
      <c r="T146" s="7"/>
      <c r="U146" s="7" t="s">
        <v>35</v>
      </c>
      <c r="V146" s="9">
        <v>7000</v>
      </c>
      <c r="W146" s="9">
        <v>3018.4</v>
      </c>
      <c r="X146" s="9">
        <v>2787.4</v>
      </c>
      <c r="Y146" s="7">
        <v>0</v>
      </c>
      <c r="Z146" s="9">
        <v>1194.2</v>
      </c>
    </row>
    <row r="147" spans="1:26" x14ac:dyDescent="0.35">
      <c r="A147" s="7" t="s">
        <v>27</v>
      </c>
      <c r="B147" s="7" t="s">
        <v>28</v>
      </c>
      <c r="C147" s="7" t="s">
        <v>48</v>
      </c>
      <c r="D147" s="7" t="s">
        <v>49</v>
      </c>
      <c r="E147" s="7" t="s">
        <v>42</v>
      </c>
      <c r="F147" s="7" t="s">
        <v>50</v>
      </c>
      <c r="G147" s="7">
        <v>2017</v>
      </c>
      <c r="H147" s="7" t="str">
        <f>CONCATENATE("14270117188")</f>
        <v>14270117188</v>
      </c>
      <c r="I147" s="7" t="s">
        <v>30</v>
      </c>
      <c r="J147" s="7" t="s">
        <v>31</v>
      </c>
      <c r="K147" s="7" t="str">
        <f>CONCATENATE("")</f>
        <v/>
      </c>
      <c r="L147" s="7" t="str">
        <f>CONCATENATE("21 21.1 2a")</f>
        <v>21 21.1 2a</v>
      </c>
      <c r="M147" s="7" t="str">
        <f>CONCATENATE("02340300447")</f>
        <v>02340300447</v>
      </c>
      <c r="N147" s="7" t="s">
        <v>243</v>
      </c>
      <c r="O147" s="7" t="s">
        <v>55</v>
      </c>
      <c r="P147" s="8">
        <v>44321</v>
      </c>
      <c r="Q147" s="7" t="s">
        <v>32</v>
      </c>
      <c r="R147" s="7" t="s">
        <v>33</v>
      </c>
      <c r="S147" s="7" t="s">
        <v>34</v>
      </c>
      <c r="T147" s="7"/>
      <c r="U147" s="7" t="s">
        <v>35</v>
      </c>
      <c r="V147" s="9">
        <v>7000</v>
      </c>
      <c r="W147" s="9">
        <v>3018.4</v>
      </c>
      <c r="X147" s="9">
        <v>2787.4</v>
      </c>
      <c r="Y147" s="7">
        <v>0</v>
      </c>
      <c r="Z147" s="9">
        <v>1194.2</v>
      </c>
    </row>
    <row r="148" spans="1:26" x14ac:dyDescent="0.35">
      <c r="A148" s="7" t="s">
        <v>27</v>
      </c>
      <c r="B148" s="7" t="s">
        <v>28</v>
      </c>
      <c r="C148" s="7" t="s">
        <v>48</v>
      </c>
      <c r="D148" s="7" t="s">
        <v>49</v>
      </c>
      <c r="E148" s="7" t="s">
        <v>40</v>
      </c>
      <c r="F148" s="7" t="s">
        <v>119</v>
      </c>
      <c r="G148" s="7">
        <v>2017</v>
      </c>
      <c r="H148" s="7" t="str">
        <f>CONCATENATE("14270117410")</f>
        <v>14270117410</v>
      </c>
      <c r="I148" s="7" t="s">
        <v>30</v>
      </c>
      <c r="J148" s="7" t="s">
        <v>31</v>
      </c>
      <c r="K148" s="7" t="str">
        <f>CONCATENATE("")</f>
        <v/>
      </c>
      <c r="L148" s="7" t="str">
        <f>CONCATENATE("21 21.1 2a")</f>
        <v>21 21.1 2a</v>
      </c>
      <c r="M148" s="7" t="str">
        <f>CONCATENATE("02327340440")</f>
        <v>02327340440</v>
      </c>
      <c r="N148" s="7" t="s">
        <v>244</v>
      </c>
      <c r="O148" s="7" t="s">
        <v>55</v>
      </c>
      <c r="P148" s="8">
        <v>44321</v>
      </c>
      <c r="Q148" s="7" t="s">
        <v>32</v>
      </c>
      <c r="R148" s="7" t="s">
        <v>33</v>
      </c>
      <c r="S148" s="7" t="s">
        <v>34</v>
      </c>
      <c r="T148" s="7"/>
      <c r="U148" s="7" t="s">
        <v>35</v>
      </c>
      <c r="V148" s="9">
        <v>3389.46</v>
      </c>
      <c r="W148" s="9">
        <v>1461.54</v>
      </c>
      <c r="X148" s="9">
        <v>1349.68</v>
      </c>
      <c r="Y148" s="7">
        <v>0</v>
      </c>
      <c r="Z148" s="7">
        <v>578.24</v>
      </c>
    </row>
    <row r="149" spans="1:26" x14ac:dyDescent="0.35">
      <c r="A149" s="7" t="s">
        <v>27</v>
      </c>
      <c r="B149" s="7" t="s">
        <v>28</v>
      </c>
      <c r="C149" s="7" t="s">
        <v>48</v>
      </c>
      <c r="D149" s="7" t="s">
        <v>59</v>
      </c>
      <c r="E149" s="7" t="s">
        <v>40</v>
      </c>
      <c r="F149" s="7" t="s">
        <v>60</v>
      </c>
      <c r="G149" s="7">
        <v>2017</v>
      </c>
      <c r="H149" s="7" t="str">
        <f>CONCATENATE("14270117113")</f>
        <v>14270117113</v>
      </c>
      <c r="I149" s="7" t="s">
        <v>30</v>
      </c>
      <c r="J149" s="7" t="s">
        <v>31</v>
      </c>
      <c r="K149" s="7" t="str">
        <f>CONCATENATE("")</f>
        <v/>
      </c>
      <c r="L149" s="7" t="str">
        <f>CONCATENATE("21 21.1 2a")</f>
        <v>21 21.1 2a</v>
      </c>
      <c r="M149" s="7" t="str">
        <f>CONCATENATE("LNZPLM83P51C424T")</f>
        <v>LNZPLM83P51C424T</v>
      </c>
      <c r="N149" s="7" t="s">
        <v>245</v>
      </c>
      <c r="O149" s="7" t="s">
        <v>55</v>
      </c>
      <c r="P149" s="8">
        <v>44321</v>
      </c>
      <c r="Q149" s="7" t="s">
        <v>32</v>
      </c>
      <c r="R149" s="7" t="s">
        <v>33</v>
      </c>
      <c r="S149" s="7" t="s">
        <v>34</v>
      </c>
      <c r="T149" s="7"/>
      <c r="U149" s="7" t="s">
        <v>35</v>
      </c>
      <c r="V149" s="9">
        <v>7000</v>
      </c>
      <c r="W149" s="9">
        <v>3018.4</v>
      </c>
      <c r="X149" s="9">
        <v>2787.4</v>
      </c>
      <c r="Y149" s="7">
        <v>0</v>
      </c>
      <c r="Z149" s="9">
        <v>1194.2</v>
      </c>
    </row>
    <row r="150" spans="1:26" ht="17.5" x14ac:dyDescent="0.35">
      <c r="A150" s="7" t="s">
        <v>27</v>
      </c>
      <c r="B150" s="7" t="s">
        <v>28</v>
      </c>
      <c r="C150" s="7" t="s">
        <v>48</v>
      </c>
      <c r="D150" s="7" t="s">
        <v>62</v>
      </c>
      <c r="E150" s="7" t="s">
        <v>29</v>
      </c>
      <c r="F150" s="7" t="s">
        <v>167</v>
      </c>
      <c r="G150" s="7">
        <v>2017</v>
      </c>
      <c r="H150" s="7" t="str">
        <f>CONCATENATE("14270117006")</f>
        <v>14270117006</v>
      </c>
      <c r="I150" s="7" t="s">
        <v>30</v>
      </c>
      <c r="J150" s="7" t="s">
        <v>31</v>
      </c>
      <c r="K150" s="7" t="str">
        <f>CONCATENATE("")</f>
        <v/>
      </c>
      <c r="L150" s="7" t="str">
        <f>CONCATENATE("21 21.1 2a")</f>
        <v>21 21.1 2a</v>
      </c>
      <c r="M150" s="7" t="str">
        <f>CONCATENATE("01980780439")</f>
        <v>01980780439</v>
      </c>
      <c r="N150" s="7" t="s">
        <v>246</v>
      </c>
      <c r="O150" s="7" t="s">
        <v>55</v>
      </c>
      <c r="P150" s="8">
        <v>44321</v>
      </c>
      <c r="Q150" s="7" t="s">
        <v>32</v>
      </c>
      <c r="R150" s="7" t="s">
        <v>33</v>
      </c>
      <c r="S150" s="7" t="s">
        <v>34</v>
      </c>
      <c r="T150" s="7"/>
      <c r="U150" s="7" t="s">
        <v>35</v>
      </c>
      <c r="V150" s="9">
        <v>7000</v>
      </c>
      <c r="W150" s="9">
        <v>3018.4</v>
      </c>
      <c r="X150" s="9">
        <v>2787.4</v>
      </c>
      <c r="Y150" s="7">
        <v>0</v>
      </c>
      <c r="Z150" s="9">
        <v>1194.2</v>
      </c>
    </row>
    <row r="151" spans="1:26" x14ac:dyDescent="0.35">
      <c r="A151" s="7" t="s">
        <v>27</v>
      </c>
      <c r="B151" s="7" t="s">
        <v>28</v>
      </c>
      <c r="C151" s="7" t="s">
        <v>48</v>
      </c>
      <c r="D151" s="7" t="s">
        <v>62</v>
      </c>
      <c r="E151" s="7" t="s">
        <v>29</v>
      </c>
      <c r="F151" s="7" t="s">
        <v>176</v>
      </c>
      <c r="G151" s="7">
        <v>2017</v>
      </c>
      <c r="H151" s="7" t="str">
        <f>CONCATENATE("14270117071")</f>
        <v>14270117071</v>
      </c>
      <c r="I151" s="7" t="s">
        <v>30</v>
      </c>
      <c r="J151" s="7" t="s">
        <v>31</v>
      </c>
      <c r="K151" s="7" t="str">
        <f>CONCATENATE("")</f>
        <v/>
      </c>
      <c r="L151" s="7" t="str">
        <f>CONCATENATE("21 21.1 2a")</f>
        <v>21 21.1 2a</v>
      </c>
      <c r="M151" s="7" t="str">
        <f>CONCATENATE("GCNGLN63R46H876X")</f>
        <v>GCNGLN63R46H876X</v>
      </c>
      <c r="N151" s="7" t="s">
        <v>247</v>
      </c>
      <c r="O151" s="7" t="s">
        <v>55</v>
      </c>
      <c r="P151" s="8">
        <v>44321</v>
      </c>
      <c r="Q151" s="7" t="s">
        <v>32</v>
      </c>
      <c r="R151" s="7" t="s">
        <v>33</v>
      </c>
      <c r="S151" s="7" t="s">
        <v>34</v>
      </c>
      <c r="T151" s="7"/>
      <c r="U151" s="7" t="s">
        <v>35</v>
      </c>
      <c r="V151" s="9">
        <v>5917.5</v>
      </c>
      <c r="W151" s="9">
        <v>2551.63</v>
      </c>
      <c r="X151" s="9">
        <v>2356.35</v>
      </c>
      <c r="Y151" s="7">
        <v>0</v>
      </c>
      <c r="Z151" s="9">
        <v>1009.52</v>
      </c>
    </row>
    <row r="152" spans="1:26" x14ac:dyDescent="0.35">
      <c r="A152" s="7" t="s">
        <v>27</v>
      </c>
      <c r="B152" s="7" t="s">
        <v>36</v>
      </c>
      <c r="C152" s="7" t="s">
        <v>48</v>
      </c>
      <c r="D152" s="7" t="s">
        <v>56</v>
      </c>
      <c r="E152" s="7" t="s">
        <v>29</v>
      </c>
      <c r="F152" s="7" t="s">
        <v>113</v>
      </c>
      <c r="G152" s="7">
        <v>2020</v>
      </c>
      <c r="H152" s="7" t="str">
        <f>CONCATENATE("04210332898")</f>
        <v>04210332898</v>
      </c>
      <c r="I152" s="7" t="s">
        <v>30</v>
      </c>
      <c r="J152" s="7" t="s">
        <v>31</v>
      </c>
      <c r="K152" s="7" t="str">
        <f>CONCATENATE("")</f>
        <v/>
      </c>
      <c r="L152" s="7" t="str">
        <f>CONCATENATE("13 13.1 4a")</f>
        <v>13 13.1 4a</v>
      </c>
      <c r="M152" s="7" t="str">
        <f>CONCATENATE("PCGRMG65A13Z133V")</f>
        <v>PCGRMG65A13Z133V</v>
      </c>
      <c r="N152" s="7" t="s">
        <v>248</v>
      </c>
      <c r="O152" s="7" t="s">
        <v>249</v>
      </c>
      <c r="P152" s="8">
        <v>44321</v>
      </c>
      <c r="Q152" s="7" t="s">
        <v>32</v>
      </c>
      <c r="R152" s="7" t="s">
        <v>33</v>
      </c>
      <c r="S152" s="7" t="s">
        <v>34</v>
      </c>
      <c r="T152" s="7"/>
      <c r="U152" s="7" t="s">
        <v>35</v>
      </c>
      <c r="V152" s="9">
        <v>8833.08</v>
      </c>
      <c r="W152" s="9">
        <v>3808.82</v>
      </c>
      <c r="X152" s="9">
        <v>3517.33</v>
      </c>
      <c r="Y152" s="7">
        <v>0</v>
      </c>
      <c r="Z152" s="9">
        <v>1506.93</v>
      </c>
    </row>
    <row r="153" spans="1:26" x14ac:dyDescent="0.35">
      <c r="A153" s="7" t="s">
        <v>27</v>
      </c>
      <c r="B153" s="7" t="s">
        <v>36</v>
      </c>
      <c r="C153" s="7" t="s">
        <v>48</v>
      </c>
      <c r="D153" s="7" t="s">
        <v>56</v>
      </c>
      <c r="E153" s="7" t="s">
        <v>29</v>
      </c>
      <c r="F153" s="7" t="s">
        <v>113</v>
      </c>
      <c r="G153" s="7">
        <v>2020</v>
      </c>
      <c r="H153" s="7" t="str">
        <f>CONCATENATE("04210212967")</f>
        <v>04210212967</v>
      </c>
      <c r="I153" s="7" t="s">
        <v>30</v>
      </c>
      <c r="J153" s="7" t="s">
        <v>31</v>
      </c>
      <c r="K153" s="7" t="str">
        <f>CONCATENATE("")</f>
        <v/>
      </c>
      <c r="L153" s="7" t="str">
        <f>CONCATENATE("13 13.1 4a")</f>
        <v>13 13.1 4a</v>
      </c>
      <c r="M153" s="7" t="str">
        <f>CONCATENATE("FRRRNG41S28D451L")</f>
        <v>FRRRNG41S28D451L</v>
      </c>
      <c r="N153" s="7" t="s">
        <v>250</v>
      </c>
      <c r="O153" s="7" t="s">
        <v>249</v>
      </c>
      <c r="P153" s="8">
        <v>44321</v>
      </c>
      <c r="Q153" s="7" t="s">
        <v>32</v>
      </c>
      <c r="R153" s="7" t="s">
        <v>33</v>
      </c>
      <c r="S153" s="7" t="s">
        <v>34</v>
      </c>
      <c r="T153" s="7"/>
      <c r="U153" s="7" t="s">
        <v>35</v>
      </c>
      <c r="V153" s="9">
        <v>8624.1299999999992</v>
      </c>
      <c r="W153" s="9">
        <v>3718.72</v>
      </c>
      <c r="X153" s="9">
        <v>3434.13</v>
      </c>
      <c r="Y153" s="7">
        <v>0</v>
      </c>
      <c r="Z153" s="9">
        <v>1471.28</v>
      </c>
    </row>
    <row r="154" spans="1:26" x14ac:dyDescent="0.35">
      <c r="A154" s="7" t="s">
        <v>27</v>
      </c>
      <c r="B154" s="7" t="s">
        <v>36</v>
      </c>
      <c r="C154" s="7" t="s">
        <v>48</v>
      </c>
      <c r="D154" s="7" t="s">
        <v>62</v>
      </c>
      <c r="E154" s="7" t="s">
        <v>38</v>
      </c>
      <c r="F154" s="7" t="s">
        <v>251</v>
      </c>
      <c r="G154" s="7">
        <v>2020</v>
      </c>
      <c r="H154" s="7" t="str">
        <f>CONCATENATE("04210239358")</f>
        <v>04210239358</v>
      </c>
      <c r="I154" s="7" t="s">
        <v>30</v>
      </c>
      <c r="J154" s="7" t="s">
        <v>31</v>
      </c>
      <c r="K154" s="7" t="str">
        <f>CONCATENATE("")</f>
        <v/>
      </c>
      <c r="L154" s="7" t="str">
        <f>CONCATENATE("13 13.1 4a")</f>
        <v>13 13.1 4a</v>
      </c>
      <c r="M154" s="7" t="str">
        <f>CONCATENATE("01329350431")</f>
        <v>01329350431</v>
      </c>
      <c r="N154" s="7" t="s">
        <v>252</v>
      </c>
      <c r="O154" s="7" t="s">
        <v>249</v>
      </c>
      <c r="P154" s="8">
        <v>44321</v>
      </c>
      <c r="Q154" s="7" t="s">
        <v>32</v>
      </c>
      <c r="R154" s="7" t="s">
        <v>33</v>
      </c>
      <c r="S154" s="7" t="s">
        <v>34</v>
      </c>
      <c r="T154" s="7"/>
      <c r="U154" s="7" t="s">
        <v>35</v>
      </c>
      <c r="V154" s="7">
        <v>257.94</v>
      </c>
      <c r="W154" s="7">
        <v>111.22</v>
      </c>
      <c r="X154" s="7">
        <v>102.71</v>
      </c>
      <c r="Y154" s="7">
        <v>0</v>
      </c>
      <c r="Z154" s="7">
        <v>44.01</v>
      </c>
    </row>
    <row r="155" spans="1:26" x14ac:dyDescent="0.35">
      <c r="A155" s="7" t="s">
        <v>27</v>
      </c>
      <c r="B155" s="7" t="s">
        <v>36</v>
      </c>
      <c r="C155" s="7" t="s">
        <v>48</v>
      </c>
      <c r="D155" s="7" t="s">
        <v>62</v>
      </c>
      <c r="E155" s="7" t="s">
        <v>29</v>
      </c>
      <c r="F155" s="7" t="s">
        <v>66</v>
      </c>
      <c r="G155" s="7">
        <v>2020</v>
      </c>
      <c r="H155" s="7" t="str">
        <f>CONCATENATE("04210342178")</f>
        <v>04210342178</v>
      </c>
      <c r="I155" s="7" t="s">
        <v>30</v>
      </c>
      <c r="J155" s="7" t="s">
        <v>31</v>
      </c>
      <c r="K155" s="7" t="str">
        <f>CONCATENATE("")</f>
        <v/>
      </c>
      <c r="L155" s="7" t="str">
        <f>CONCATENATE("13 13.1 4a")</f>
        <v>13 13.1 4a</v>
      </c>
      <c r="M155" s="7" t="str">
        <f>CONCATENATE("RCCDVD60M25D564G")</f>
        <v>RCCDVD60M25D564G</v>
      </c>
      <c r="N155" s="7" t="s">
        <v>253</v>
      </c>
      <c r="O155" s="7" t="s">
        <v>249</v>
      </c>
      <c r="P155" s="8">
        <v>44321</v>
      </c>
      <c r="Q155" s="7" t="s">
        <v>32</v>
      </c>
      <c r="R155" s="7" t="s">
        <v>33</v>
      </c>
      <c r="S155" s="7" t="s">
        <v>34</v>
      </c>
      <c r="T155" s="7"/>
      <c r="U155" s="7" t="s">
        <v>35</v>
      </c>
      <c r="V155" s="9">
        <v>3939.15</v>
      </c>
      <c r="W155" s="9">
        <v>1698.56</v>
      </c>
      <c r="X155" s="9">
        <v>1568.57</v>
      </c>
      <c r="Y155" s="7">
        <v>0</v>
      </c>
      <c r="Z155" s="7">
        <v>672.02</v>
      </c>
    </row>
    <row r="156" spans="1:26" x14ac:dyDescent="0.35">
      <c r="A156" s="7" t="s">
        <v>27</v>
      </c>
      <c r="B156" s="7" t="s">
        <v>36</v>
      </c>
      <c r="C156" s="7" t="s">
        <v>48</v>
      </c>
      <c r="D156" s="7" t="s">
        <v>49</v>
      </c>
      <c r="E156" s="7" t="s">
        <v>29</v>
      </c>
      <c r="F156" s="7" t="s">
        <v>138</v>
      </c>
      <c r="G156" s="7">
        <v>2020</v>
      </c>
      <c r="H156" s="7" t="str">
        <f>CONCATENATE("04241218652")</f>
        <v>04241218652</v>
      </c>
      <c r="I156" s="7" t="s">
        <v>30</v>
      </c>
      <c r="J156" s="7" t="s">
        <v>31</v>
      </c>
      <c r="K156" s="7" t="str">
        <f>CONCATENATE("")</f>
        <v/>
      </c>
      <c r="L156" s="7" t="str">
        <f>CONCATENATE("10 10.1 4b")</f>
        <v>10 10.1 4b</v>
      </c>
      <c r="M156" s="7" t="str">
        <f>CONCATENATE("MCCDGI97M04A271O")</f>
        <v>MCCDGI97M04A271O</v>
      </c>
      <c r="N156" s="7" t="s">
        <v>254</v>
      </c>
      <c r="O156" s="7" t="s">
        <v>255</v>
      </c>
      <c r="P156" s="8">
        <v>44321</v>
      </c>
      <c r="Q156" s="7" t="s">
        <v>32</v>
      </c>
      <c r="R156" s="7" t="s">
        <v>33</v>
      </c>
      <c r="S156" s="7" t="s">
        <v>34</v>
      </c>
      <c r="T156" s="7"/>
      <c r="U156" s="7" t="s">
        <v>35</v>
      </c>
      <c r="V156" s="7">
        <v>327.14999999999998</v>
      </c>
      <c r="W156" s="7">
        <v>141.07</v>
      </c>
      <c r="X156" s="7">
        <v>130.27000000000001</v>
      </c>
      <c r="Y156" s="7">
        <v>0</v>
      </c>
      <c r="Z156" s="7">
        <v>55.81</v>
      </c>
    </row>
    <row r="157" spans="1:26" x14ac:dyDescent="0.35">
      <c r="A157" s="7" t="s">
        <v>27</v>
      </c>
      <c r="B157" s="7" t="s">
        <v>36</v>
      </c>
      <c r="C157" s="7" t="s">
        <v>48</v>
      </c>
      <c r="D157" s="7" t="s">
        <v>56</v>
      </c>
      <c r="E157" s="7" t="s">
        <v>29</v>
      </c>
      <c r="F157" s="7" t="s">
        <v>113</v>
      </c>
      <c r="G157" s="7">
        <v>2020</v>
      </c>
      <c r="H157" s="7" t="str">
        <f>CONCATENATE("04210260834")</f>
        <v>04210260834</v>
      </c>
      <c r="I157" s="7" t="s">
        <v>39</v>
      </c>
      <c r="J157" s="7" t="s">
        <v>31</v>
      </c>
      <c r="K157" s="7" t="str">
        <f>CONCATENATE("")</f>
        <v/>
      </c>
      <c r="L157" s="7" t="str">
        <f>CONCATENATE("13 13.1 4a")</f>
        <v>13 13.1 4a</v>
      </c>
      <c r="M157" s="7" t="str">
        <f>CONCATENATE("CNCLRA59H52D451E")</f>
        <v>CNCLRA59H52D451E</v>
      </c>
      <c r="N157" s="7" t="s">
        <v>256</v>
      </c>
      <c r="O157" s="7" t="s">
        <v>249</v>
      </c>
      <c r="P157" s="8">
        <v>44321</v>
      </c>
      <c r="Q157" s="7" t="s">
        <v>32</v>
      </c>
      <c r="R157" s="7" t="s">
        <v>33</v>
      </c>
      <c r="S157" s="7" t="s">
        <v>34</v>
      </c>
      <c r="T157" s="7"/>
      <c r="U157" s="7" t="s">
        <v>35</v>
      </c>
      <c r="V157" s="7">
        <v>207.46</v>
      </c>
      <c r="W157" s="7">
        <v>89.46</v>
      </c>
      <c r="X157" s="7">
        <v>82.61</v>
      </c>
      <c r="Y157" s="7">
        <v>0</v>
      </c>
      <c r="Z157" s="7">
        <v>35.39</v>
      </c>
    </row>
    <row r="158" spans="1:26" x14ac:dyDescent="0.35">
      <c r="A158" s="7" t="s">
        <v>27</v>
      </c>
      <c r="B158" s="7" t="s">
        <v>36</v>
      </c>
      <c r="C158" s="7" t="s">
        <v>48</v>
      </c>
      <c r="D158" s="7" t="s">
        <v>56</v>
      </c>
      <c r="E158" s="7" t="s">
        <v>29</v>
      </c>
      <c r="F158" s="7" t="s">
        <v>124</v>
      </c>
      <c r="G158" s="7">
        <v>2020</v>
      </c>
      <c r="H158" s="7" t="str">
        <f>CONCATENATE("04210438158")</f>
        <v>04210438158</v>
      </c>
      <c r="I158" s="7" t="s">
        <v>30</v>
      </c>
      <c r="J158" s="7" t="s">
        <v>31</v>
      </c>
      <c r="K158" s="7" t="str">
        <f>CONCATENATE("")</f>
        <v/>
      </c>
      <c r="L158" s="7" t="str">
        <f>CONCATENATE("13 13.1 4a")</f>
        <v>13 13.1 4a</v>
      </c>
      <c r="M158" s="7" t="str">
        <f>CONCATENATE("DSHDRT77S64Z100T")</f>
        <v>DSHDRT77S64Z100T</v>
      </c>
      <c r="N158" s="7" t="s">
        <v>257</v>
      </c>
      <c r="O158" s="7" t="s">
        <v>249</v>
      </c>
      <c r="P158" s="8">
        <v>44321</v>
      </c>
      <c r="Q158" s="7" t="s">
        <v>32</v>
      </c>
      <c r="R158" s="7" t="s">
        <v>33</v>
      </c>
      <c r="S158" s="7" t="s">
        <v>34</v>
      </c>
      <c r="T158" s="7"/>
      <c r="U158" s="7" t="s">
        <v>35</v>
      </c>
      <c r="V158" s="7">
        <v>590.27</v>
      </c>
      <c r="W158" s="7">
        <v>254.52</v>
      </c>
      <c r="X158" s="7">
        <v>235.05</v>
      </c>
      <c r="Y158" s="7">
        <v>0</v>
      </c>
      <c r="Z158" s="7">
        <v>100.7</v>
      </c>
    </row>
    <row r="159" spans="1:26" x14ac:dyDescent="0.35">
      <c r="A159" s="7" t="s">
        <v>27</v>
      </c>
      <c r="B159" s="7" t="s">
        <v>36</v>
      </c>
      <c r="C159" s="7" t="s">
        <v>48</v>
      </c>
      <c r="D159" s="7" t="s">
        <v>56</v>
      </c>
      <c r="E159" s="7" t="s">
        <v>29</v>
      </c>
      <c r="F159" s="7" t="s">
        <v>113</v>
      </c>
      <c r="G159" s="7">
        <v>2020</v>
      </c>
      <c r="H159" s="7" t="str">
        <f>CONCATENATE("04210975035")</f>
        <v>04210975035</v>
      </c>
      <c r="I159" s="7" t="s">
        <v>30</v>
      </c>
      <c r="J159" s="7" t="s">
        <v>31</v>
      </c>
      <c r="K159" s="7" t="str">
        <f>CONCATENATE("")</f>
        <v/>
      </c>
      <c r="L159" s="7" t="str">
        <f>CONCATENATE("13 13.1 4a")</f>
        <v>13 13.1 4a</v>
      </c>
      <c r="M159" s="7" t="str">
        <f>CONCATENATE("PDCMTR50A63D451U")</f>
        <v>PDCMTR50A63D451U</v>
      </c>
      <c r="N159" s="7" t="s">
        <v>258</v>
      </c>
      <c r="O159" s="7" t="s">
        <v>249</v>
      </c>
      <c r="P159" s="8">
        <v>44321</v>
      </c>
      <c r="Q159" s="7" t="s">
        <v>32</v>
      </c>
      <c r="R159" s="7" t="s">
        <v>33</v>
      </c>
      <c r="S159" s="7" t="s">
        <v>34</v>
      </c>
      <c r="T159" s="7"/>
      <c r="U159" s="7" t="s">
        <v>35</v>
      </c>
      <c r="V159" s="9">
        <v>4517.62</v>
      </c>
      <c r="W159" s="9">
        <v>1948</v>
      </c>
      <c r="X159" s="9">
        <v>1798.92</v>
      </c>
      <c r="Y159" s="7">
        <v>0</v>
      </c>
      <c r="Z159" s="7">
        <v>770.7</v>
      </c>
    </row>
    <row r="160" spans="1:26" x14ac:dyDescent="0.35">
      <c r="A160" s="7" t="s">
        <v>27</v>
      </c>
      <c r="B160" s="7" t="s">
        <v>36</v>
      </c>
      <c r="C160" s="7" t="s">
        <v>48</v>
      </c>
      <c r="D160" s="7" t="s">
        <v>56</v>
      </c>
      <c r="E160" s="7" t="s">
        <v>29</v>
      </c>
      <c r="F160" s="7" t="s">
        <v>113</v>
      </c>
      <c r="G160" s="7">
        <v>2020</v>
      </c>
      <c r="H160" s="7" t="str">
        <f>CONCATENATE("04210974954")</f>
        <v>04210974954</v>
      </c>
      <c r="I160" s="7" t="s">
        <v>30</v>
      </c>
      <c r="J160" s="7" t="s">
        <v>31</v>
      </c>
      <c r="K160" s="7" t="str">
        <f>CONCATENATE("")</f>
        <v/>
      </c>
      <c r="L160" s="7" t="str">
        <f>CONCATENATE("13 13.1 4a")</f>
        <v>13 13.1 4a</v>
      </c>
      <c r="M160" s="7" t="str">
        <f>CONCATENATE("CFNRLD64H19D451Z")</f>
        <v>CFNRLD64H19D451Z</v>
      </c>
      <c r="N160" s="7" t="s">
        <v>259</v>
      </c>
      <c r="O160" s="7" t="s">
        <v>249</v>
      </c>
      <c r="P160" s="8">
        <v>44321</v>
      </c>
      <c r="Q160" s="7" t="s">
        <v>32</v>
      </c>
      <c r="R160" s="7" t="s">
        <v>33</v>
      </c>
      <c r="S160" s="7" t="s">
        <v>34</v>
      </c>
      <c r="T160" s="7"/>
      <c r="U160" s="7" t="s">
        <v>35</v>
      </c>
      <c r="V160" s="9">
        <v>6311.3</v>
      </c>
      <c r="W160" s="9">
        <v>2721.43</v>
      </c>
      <c r="X160" s="9">
        <v>2513.16</v>
      </c>
      <c r="Y160" s="7">
        <v>0</v>
      </c>
      <c r="Z160" s="9">
        <v>1076.71</v>
      </c>
    </row>
    <row r="161" spans="1:26" x14ac:dyDescent="0.35">
      <c r="A161" s="7" t="s">
        <v>27</v>
      </c>
      <c r="B161" s="7" t="s">
        <v>36</v>
      </c>
      <c r="C161" s="7" t="s">
        <v>48</v>
      </c>
      <c r="D161" s="7" t="s">
        <v>56</v>
      </c>
      <c r="E161" s="7" t="s">
        <v>29</v>
      </c>
      <c r="F161" s="7" t="s">
        <v>113</v>
      </c>
      <c r="G161" s="7">
        <v>2020</v>
      </c>
      <c r="H161" s="7" t="str">
        <f>CONCATENATE("04210182707")</f>
        <v>04210182707</v>
      </c>
      <c r="I161" s="7" t="s">
        <v>30</v>
      </c>
      <c r="J161" s="7" t="s">
        <v>31</v>
      </c>
      <c r="K161" s="7" t="str">
        <f>CONCATENATE("")</f>
        <v/>
      </c>
      <c r="L161" s="7" t="str">
        <f>CONCATENATE("13 13.1 4a")</f>
        <v>13 13.1 4a</v>
      </c>
      <c r="M161" s="7" t="str">
        <f>CONCATENATE("RPNMRK79T31B474M")</f>
        <v>RPNMRK79T31B474M</v>
      </c>
      <c r="N161" s="7" t="s">
        <v>260</v>
      </c>
      <c r="O161" s="7" t="s">
        <v>249</v>
      </c>
      <c r="P161" s="8">
        <v>44321</v>
      </c>
      <c r="Q161" s="7" t="s">
        <v>32</v>
      </c>
      <c r="R161" s="7" t="s">
        <v>33</v>
      </c>
      <c r="S161" s="7" t="s">
        <v>34</v>
      </c>
      <c r="T161" s="7"/>
      <c r="U161" s="7" t="s">
        <v>35</v>
      </c>
      <c r="V161" s="9">
        <v>6766.9</v>
      </c>
      <c r="W161" s="9">
        <v>2917.89</v>
      </c>
      <c r="X161" s="9">
        <v>2694.58</v>
      </c>
      <c r="Y161" s="7">
        <v>0</v>
      </c>
      <c r="Z161" s="9">
        <v>1154.43</v>
      </c>
    </row>
    <row r="162" spans="1:26" x14ac:dyDescent="0.35">
      <c r="A162" s="7" t="s">
        <v>27</v>
      </c>
      <c r="B162" s="7" t="s">
        <v>36</v>
      </c>
      <c r="C162" s="7" t="s">
        <v>48</v>
      </c>
      <c r="D162" s="7" t="s">
        <v>56</v>
      </c>
      <c r="E162" s="7" t="s">
        <v>29</v>
      </c>
      <c r="F162" s="7" t="s">
        <v>124</v>
      </c>
      <c r="G162" s="7">
        <v>2020</v>
      </c>
      <c r="H162" s="7" t="str">
        <f>CONCATENATE("04210544765")</f>
        <v>04210544765</v>
      </c>
      <c r="I162" s="7" t="s">
        <v>30</v>
      </c>
      <c r="J162" s="7" t="s">
        <v>31</v>
      </c>
      <c r="K162" s="7" t="str">
        <f>CONCATENATE("")</f>
        <v/>
      </c>
      <c r="L162" s="7" t="str">
        <f>CONCATENATE("13 13.1 4a")</f>
        <v>13 13.1 4a</v>
      </c>
      <c r="M162" s="7" t="str">
        <f>CONCATENATE("VSCGPP38T06D965O")</f>
        <v>VSCGPP38T06D965O</v>
      </c>
      <c r="N162" s="7" t="s">
        <v>261</v>
      </c>
      <c r="O162" s="7" t="s">
        <v>249</v>
      </c>
      <c r="P162" s="8">
        <v>44321</v>
      </c>
      <c r="Q162" s="7" t="s">
        <v>32</v>
      </c>
      <c r="R162" s="7" t="s">
        <v>33</v>
      </c>
      <c r="S162" s="7" t="s">
        <v>34</v>
      </c>
      <c r="T162" s="7"/>
      <c r="U162" s="7" t="s">
        <v>35</v>
      </c>
      <c r="V162" s="9">
        <v>2711.76</v>
      </c>
      <c r="W162" s="9">
        <v>1169.31</v>
      </c>
      <c r="X162" s="9">
        <v>1079.82</v>
      </c>
      <c r="Y162" s="7">
        <v>0</v>
      </c>
      <c r="Z162" s="7">
        <v>462.63</v>
      </c>
    </row>
    <row r="163" spans="1:26" x14ac:dyDescent="0.35">
      <c r="A163" s="7" t="s">
        <v>27</v>
      </c>
      <c r="B163" s="7" t="s">
        <v>36</v>
      </c>
      <c r="C163" s="7" t="s">
        <v>48</v>
      </c>
      <c r="D163" s="7" t="s">
        <v>62</v>
      </c>
      <c r="E163" s="7" t="s">
        <v>29</v>
      </c>
      <c r="F163" s="7" t="s">
        <v>66</v>
      </c>
      <c r="G163" s="7">
        <v>2020</v>
      </c>
      <c r="H163" s="7" t="str">
        <f>CONCATENATE("04210024578")</f>
        <v>04210024578</v>
      </c>
      <c r="I163" s="7" t="s">
        <v>30</v>
      </c>
      <c r="J163" s="7" t="s">
        <v>31</v>
      </c>
      <c r="K163" s="7" t="str">
        <f>CONCATENATE("")</f>
        <v/>
      </c>
      <c r="L163" s="7" t="str">
        <f>CONCATENATE("13 13.1 4a")</f>
        <v>13 13.1 4a</v>
      </c>
      <c r="M163" s="7" t="str">
        <f>CONCATENATE("00409770435")</f>
        <v>00409770435</v>
      </c>
      <c r="N163" s="7" t="s">
        <v>262</v>
      </c>
      <c r="O163" s="7" t="s">
        <v>249</v>
      </c>
      <c r="P163" s="8">
        <v>44321</v>
      </c>
      <c r="Q163" s="7" t="s">
        <v>32</v>
      </c>
      <c r="R163" s="7" t="s">
        <v>33</v>
      </c>
      <c r="S163" s="7" t="s">
        <v>34</v>
      </c>
      <c r="T163" s="7"/>
      <c r="U163" s="7" t="s">
        <v>35</v>
      </c>
      <c r="V163" s="7">
        <v>990.83</v>
      </c>
      <c r="W163" s="7">
        <v>427.25</v>
      </c>
      <c r="X163" s="7">
        <v>394.55</v>
      </c>
      <c r="Y163" s="7">
        <v>0</v>
      </c>
      <c r="Z163" s="7">
        <v>169.03</v>
      </c>
    </row>
    <row r="164" spans="1:26" x14ac:dyDescent="0.35">
      <c r="A164" s="7" t="s">
        <v>27</v>
      </c>
      <c r="B164" s="7" t="s">
        <v>36</v>
      </c>
      <c r="C164" s="7" t="s">
        <v>48</v>
      </c>
      <c r="D164" s="7" t="s">
        <v>62</v>
      </c>
      <c r="E164" s="7" t="s">
        <v>29</v>
      </c>
      <c r="F164" s="7" t="s">
        <v>176</v>
      </c>
      <c r="G164" s="7">
        <v>2020</v>
      </c>
      <c r="H164" s="7" t="str">
        <f>CONCATENATE("04210019248")</f>
        <v>04210019248</v>
      </c>
      <c r="I164" s="7" t="s">
        <v>30</v>
      </c>
      <c r="J164" s="7" t="s">
        <v>31</v>
      </c>
      <c r="K164" s="7" t="str">
        <f>CONCATENATE("")</f>
        <v/>
      </c>
      <c r="L164" s="7" t="str">
        <f>CONCATENATE("13 13.1 4a")</f>
        <v>13 13.1 4a</v>
      </c>
      <c r="M164" s="7" t="str">
        <f>CONCATENATE("CSCRSO65P45I436Q")</f>
        <v>CSCRSO65P45I436Q</v>
      </c>
      <c r="N164" s="7" t="s">
        <v>263</v>
      </c>
      <c r="O164" s="7" t="s">
        <v>249</v>
      </c>
      <c r="P164" s="8">
        <v>44321</v>
      </c>
      <c r="Q164" s="7" t="s">
        <v>32</v>
      </c>
      <c r="R164" s="7" t="s">
        <v>33</v>
      </c>
      <c r="S164" s="7" t="s">
        <v>34</v>
      </c>
      <c r="T164" s="7"/>
      <c r="U164" s="7" t="s">
        <v>35</v>
      </c>
      <c r="V164" s="7">
        <v>103.26</v>
      </c>
      <c r="W164" s="7">
        <v>44.53</v>
      </c>
      <c r="X164" s="7">
        <v>41.12</v>
      </c>
      <c r="Y164" s="7">
        <v>0</v>
      </c>
      <c r="Z164" s="7">
        <v>17.61</v>
      </c>
    </row>
    <row r="165" spans="1:26" x14ac:dyDescent="0.35">
      <c r="A165" s="7" t="s">
        <v>27</v>
      </c>
      <c r="B165" s="7" t="s">
        <v>36</v>
      </c>
      <c r="C165" s="7" t="s">
        <v>48</v>
      </c>
      <c r="D165" s="7" t="s">
        <v>49</v>
      </c>
      <c r="E165" s="7" t="s">
        <v>43</v>
      </c>
      <c r="F165" s="7" t="s">
        <v>43</v>
      </c>
      <c r="G165" s="7">
        <v>2020</v>
      </c>
      <c r="H165" s="7" t="str">
        <f>CONCATENATE("04241044678")</f>
        <v>04241044678</v>
      </c>
      <c r="I165" s="7" t="s">
        <v>30</v>
      </c>
      <c r="J165" s="7" t="s">
        <v>31</v>
      </c>
      <c r="K165" s="7" t="str">
        <f>CONCATENATE("")</f>
        <v/>
      </c>
      <c r="L165" s="7" t="str">
        <f>CONCATENATE("10 10.1 4b")</f>
        <v>10 10.1 4b</v>
      </c>
      <c r="M165" s="7" t="str">
        <f>CONCATENATE("CPCFRN66T53G005O")</f>
        <v>CPCFRN66T53G005O</v>
      </c>
      <c r="N165" s="7" t="s">
        <v>264</v>
      </c>
      <c r="O165" s="7" t="s">
        <v>255</v>
      </c>
      <c r="P165" s="8">
        <v>44321</v>
      </c>
      <c r="Q165" s="7" t="s">
        <v>32</v>
      </c>
      <c r="R165" s="7" t="s">
        <v>33</v>
      </c>
      <c r="S165" s="7" t="s">
        <v>34</v>
      </c>
      <c r="T165" s="7"/>
      <c r="U165" s="7" t="s">
        <v>35</v>
      </c>
      <c r="V165" s="7">
        <v>545.29999999999995</v>
      </c>
      <c r="W165" s="7">
        <v>235.13</v>
      </c>
      <c r="X165" s="7">
        <v>217.14</v>
      </c>
      <c r="Y165" s="7">
        <v>0</v>
      </c>
      <c r="Z165" s="7">
        <v>93.03</v>
      </c>
    </row>
    <row r="166" spans="1:26" x14ac:dyDescent="0.35">
      <c r="A166" s="7" t="s">
        <v>27</v>
      </c>
      <c r="B166" s="7" t="s">
        <v>36</v>
      </c>
      <c r="C166" s="7" t="s">
        <v>48</v>
      </c>
      <c r="D166" s="7" t="s">
        <v>59</v>
      </c>
      <c r="E166" s="7" t="s">
        <v>29</v>
      </c>
      <c r="F166" s="7" t="s">
        <v>121</v>
      </c>
      <c r="G166" s="7">
        <v>2020</v>
      </c>
      <c r="H166" s="7" t="str">
        <f>CONCATENATE("04240593576")</f>
        <v>04240593576</v>
      </c>
      <c r="I166" s="7" t="s">
        <v>30</v>
      </c>
      <c r="J166" s="7" t="s">
        <v>31</v>
      </c>
      <c r="K166" s="7" t="str">
        <f>CONCATENATE("")</f>
        <v/>
      </c>
      <c r="L166" s="7" t="str">
        <f>CONCATENATE("10 10.1 4b")</f>
        <v>10 10.1 4b</v>
      </c>
      <c r="M166" s="7" t="str">
        <f>CONCATENATE("GMBPLA67E11G479R")</f>
        <v>GMBPLA67E11G479R</v>
      </c>
      <c r="N166" s="7" t="s">
        <v>265</v>
      </c>
      <c r="O166" s="7" t="s">
        <v>255</v>
      </c>
      <c r="P166" s="8">
        <v>44321</v>
      </c>
      <c r="Q166" s="7" t="s">
        <v>32</v>
      </c>
      <c r="R166" s="7" t="s">
        <v>33</v>
      </c>
      <c r="S166" s="7" t="s">
        <v>34</v>
      </c>
      <c r="T166" s="7"/>
      <c r="U166" s="7" t="s">
        <v>35</v>
      </c>
      <c r="V166" s="7">
        <v>122.23</v>
      </c>
      <c r="W166" s="7">
        <v>52.71</v>
      </c>
      <c r="X166" s="7">
        <v>48.67</v>
      </c>
      <c r="Y166" s="7">
        <v>0</v>
      </c>
      <c r="Z166" s="7">
        <v>20.85</v>
      </c>
    </row>
    <row r="167" spans="1:26" x14ac:dyDescent="0.35">
      <c r="A167" s="7" t="s">
        <v>27</v>
      </c>
      <c r="B167" s="7" t="s">
        <v>36</v>
      </c>
      <c r="C167" s="7" t="s">
        <v>48</v>
      </c>
      <c r="D167" s="7" t="s">
        <v>49</v>
      </c>
      <c r="E167" s="7" t="s">
        <v>40</v>
      </c>
      <c r="F167" s="7" t="s">
        <v>97</v>
      </c>
      <c r="G167" s="7">
        <v>2020</v>
      </c>
      <c r="H167" s="7" t="str">
        <f>CONCATENATE("04241069535")</f>
        <v>04241069535</v>
      </c>
      <c r="I167" s="7" t="s">
        <v>30</v>
      </c>
      <c r="J167" s="7" t="s">
        <v>31</v>
      </c>
      <c r="K167" s="7" t="str">
        <f>CONCATENATE("")</f>
        <v/>
      </c>
      <c r="L167" s="7" t="str">
        <f>CONCATENATE("10 10.1 4b")</f>
        <v>10 10.1 4b</v>
      </c>
      <c r="M167" s="7" t="str">
        <f>CONCATENATE("LLLSMN75S11D542Y")</f>
        <v>LLLSMN75S11D542Y</v>
      </c>
      <c r="N167" s="7" t="s">
        <v>266</v>
      </c>
      <c r="O167" s="7" t="s">
        <v>255</v>
      </c>
      <c r="P167" s="8">
        <v>44321</v>
      </c>
      <c r="Q167" s="7" t="s">
        <v>32</v>
      </c>
      <c r="R167" s="7" t="s">
        <v>33</v>
      </c>
      <c r="S167" s="7" t="s">
        <v>34</v>
      </c>
      <c r="T167" s="7"/>
      <c r="U167" s="7" t="s">
        <v>35</v>
      </c>
      <c r="V167" s="7">
        <v>928.92</v>
      </c>
      <c r="W167" s="7">
        <v>400.55</v>
      </c>
      <c r="X167" s="7">
        <v>369.9</v>
      </c>
      <c r="Y167" s="7">
        <v>0</v>
      </c>
      <c r="Z167" s="7">
        <v>158.47</v>
      </c>
    </row>
    <row r="168" spans="1:26" x14ac:dyDescent="0.35">
      <c r="A168" s="7" t="s">
        <v>27</v>
      </c>
      <c r="B168" s="7" t="s">
        <v>36</v>
      </c>
      <c r="C168" s="7" t="s">
        <v>48</v>
      </c>
      <c r="D168" s="7" t="s">
        <v>56</v>
      </c>
      <c r="E168" s="7" t="s">
        <v>29</v>
      </c>
      <c r="F168" s="7" t="s">
        <v>113</v>
      </c>
      <c r="G168" s="7">
        <v>2020</v>
      </c>
      <c r="H168" s="7" t="str">
        <f>CONCATENATE("04240583189")</f>
        <v>04240583189</v>
      </c>
      <c r="I168" s="7" t="s">
        <v>39</v>
      </c>
      <c r="J168" s="7" t="s">
        <v>31</v>
      </c>
      <c r="K168" s="7" t="str">
        <f>CONCATENATE("")</f>
        <v/>
      </c>
      <c r="L168" s="7" t="str">
        <f>CONCATENATE("11 11.2 4b")</f>
        <v>11 11.2 4b</v>
      </c>
      <c r="M168" s="7" t="str">
        <f>CONCATENATE("STRCLL99C58D451C")</f>
        <v>STRCLL99C58D451C</v>
      </c>
      <c r="N168" s="7" t="s">
        <v>267</v>
      </c>
      <c r="O168" s="7" t="s">
        <v>268</v>
      </c>
      <c r="P168" s="8">
        <v>44321</v>
      </c>
      <c r="Q168" s="7" t="s">
        <v>32</v>
      </c>
      <c r="R168" s="7" t="s">
        <v>33</v>
      </c>
      <c r="S168" s="7" t="s">
        <v>34</v>
      </c>
      <c r="T168" s="7"/>
      <c r="U168" s="7" t="s">
        <v>35</v>
      </c>
      <c r="V168" s="9">
        <v>1517.23</v>
      </c>
      <c r="W168" s="7">
        <v>654.23</v>
      </c>
      <c r="X168" s="7">
        <v>604.16</v>
      </c>
      <c r="Y168" s="7">
        <v>0</v>
      </c>
      <c r="Z168" s="7">
        <v>258.83999999999997</v>
      </c>
    </row>
    <row r="169" spans="1:26" x14ac:dyDescent="0.35">
      <c r="A169" s="7" t="s">
        <v>27</v>
      </c>
      <c r="B169" s="7" t="s">
        <v>36</v>
      </c>
      <c r="C169" s="7" t="s">
        <v>48</v>
      </c>
      <c r="D169" s="7" t="s">
        <v>56</v>
      </c>
      <c r="E169" s="7" t="s">
        <v>38</v>
      </c>
      <c r="F169" s="7" t="s">
        <v>269</v>
      </c>
      <c r="G169" s="7">
        <v>2020</v>
      </c>
      <c r="H169" s="7" t="str">
        <f>CONCATENATE("04240466526")</f>
        <v>04240466526</v>
      </c>
      <c r="I169" s="7" t="s">
        <v>30</v>
      </c>
      <c r="J169" s="7" t="s">
        <v>31</v>
      </c>
      <c r="K169" s="7" t="str">
        <f>CONCATENATE("")</f>
        <v/>
      </c>
      <c r="L169" s="7" t="str">
        <f>CONCATENATE("11 11.2 4b")</f>
        <v>11 11.2 4b</v>
      </c>
      <c r="M169" s="7" t="str">
        <f>CONCATENATE("02666090424")</f>
        <v>02666090424</v>
      </c>
      <c r="N169" s="7" t="s">
        <v>270</v>
      </c>
      <c r="O169" s="7" t="s">
        <v>268</v>
      </c>
      <c r="P169" s="8">
        <v>44321</v>
      </c>
      <c r="Q169" s="7" t="s">
        <v>32</v>
      </c>
      <c r="R169" s="7" t="s">
        <v>33</v>
      </c>
      <c r="S169" s="7" t="s">
        <v>34</v>
      </c>
      <c r="T169" s="7"/>
      <c r="U169" s="7" t="s">
        <v>35</v>
      </c>
      <c r="V169" s="9">
        <v>22868.11</v>
      </c>
      <c r="W169" s="9">
        <v>9860.73</v>
      </c>
      <c r="X169" s="9">
        <v>9106.08</v>
      </c>
      <c r="Y169" s="7">
        <v>0</v>
      </c>
      <c r="Z169" s="9">
        <v>3901.3</v>
      </c>
    </row>
    <row r="170" spans="1:26" x14ac:dyDescent="0.35">
      <c r="A170" s="7" t="s">
        <v>27</v>
      </c>
      <c r="B170" s="7" t="s">
        <v>36</v>
      </c>
      <c r="C170" s="7" t="s">
        <v>48</v>
      </c>
      <c r="D170" s="7" t="s">
        <v>56</v>
      </c>
      <c r="E170" s="7" t="s">
        <v>29</v>
      </c>
      <c r="F170" s="7" t="s">
        <v>113</v>
      </c>
      <c r="G170" s="7">
        <v>2020</v>
      </c>
      <c r="H170" s="7" t="str">
        <f>CONCATENATE("04240510034")</f>
        <v>04240510034</v>
      </c>
      <c r="I170" s="7" t="s">
        <v>39</v>
      </c>
      <c r="J170" s="7" t="s">
        <v>31</v>
      </c>
      <c r="K170" s="7" t="str">
        <f>CONCATENATE("")</f>
        <v/>
      </c>
      <c r="L170" s="7" t="str">
        <f>CONCATENATE("11 11.2 4b")</f>
        <v>11 11.2 4b</v>
      </c>
      <c r="M170" s="7" t="str">
        <f>CONCATENATE("BTTDVD61P13D451P")</f>
        <v>BTTDVD61P13D451P</v>
      </c>
      <c r="N170" s="7" t="s">
        <v>271</v>
      </c>
      <c r="O170" s="7" t="s">
        <v>268</v>
      </c>
      <c r="P170" s="8">
        <v>44321</v>
      </c>
      <c r="Q170" s="7" t="s">
        <v>32</v>
      </c>
      <c r="R170" s="7" t="s">
        <v>33</v>
      </c>
      <c r="S170" s="7" t="s">
        <v>34</v>
      </c>
      <c r="T170" s="7"/>
      <c r="U170" s="7" t="s">
        <v>35</v>
      </c>
      <c r="V170" s="7">
        <v>204.67</v>
      </c>
      <c r="W170" s="7">
        <v>88.25</v>
      </c>
      <c r="X170" s="7">
        <v>81.5</v>
      </c>
      <c r="Y170" s="7">
        <v>0</v>
      </c>
      <c r="Z170" s="7">
        <v>34.92</v>
      </c>
    </row>
    <row r="171" spans="1:26" x14ac:dyDescent="0.35">
      <c r="A171" s="7" t="s">
        <v>27</v>
      </c>
      <c r="B171" s="7" t="s">
        <v>36</v>
      </c>
      <c r="C171" s="7" t="s">
        <v>48</v>
      </c>
      <c r="D171" s="7" t="s">
        <v>56</v>
      </c>
      <c r="E171" s="7" t="s">
        <v>40</v>
      </c>
      <c r="F171" s="7" t="s">
        <v>272</v>
      </c>
      <c r="G171" s="7">
        <v>2020</v>
      </c>
      <c r="H171" s="7" t="str">
        <f>CONCATENATE("04240723785")</f>
        <v>04240723785</v>
      </c>
      <c r="I171" s="7" t="s">
        <v>30</v>
      </c>
      <c r="J171" s="7" t="s">
        <v>31</v>
      </c>
      <c r="K171" s="7" t="str">
        <f>CONCATENATE("")</f>
        <v/>
      </c>
      <c r="L171" s="7" t="str">
        <f>CONCATENATE("11 11.1 4b")</f>
        <v>11 11.1 4b</v>
      </c>
      <c r="M171" s="7" t="str">
        <f>CONCATENATE("MRCMRZ60S21F453K")</f>
        <v>MRCMRZ60S21F453K</v>
      </c>
      <c r="N171" s="7" t="s">
        <v>273</v>
      </c>
      <c r="O171" s="7" t="s">
        <v>268</v>
      </c>
      <c r="P171" s="8">
        <v>44321</v>
      </c>
      <c r="Q171" s="7" t="s">
        <v>32</v>
      </c>
      <c r="R171" s="7" t="s">
        <v>33</v>
      </c>
      <c r="S171" s="7" t="s">
        <v>34</v>
      </c>
      <c r="T171" s="7"/>
      <c r="U171" s="7" t="s">
        <v>35</v>
      </c>
      <c r="V171" s="9">
        <v>7783.16</v>
      </c>
      <c r="W171" s="9">
        <v>3356.1</v>
      </c>
      <c r="X171" s="9">
        <v>3099.25</v>
      </c>
      <c r="Y171" s="7">
        <v>0</v>
      </c>
      <c r="Z171" s="9">
        <v>1327.81</v>
      </c>
    </row>
    <row r="172" spans="1:26" x14ac:dyDescent="0.35">
      <c r="A172" s="7" t="s">
        <v>27</v>
      </c>
      <c r="B172" s="7" t="s">
        <v>36</v>
      </c>
      <c r="C172" s="7" t="s">
        <v>48</v>
      </c>
      <c r="D172" s="7" t="s">
        <v>56</v>
      </c>
      <c r="E172" s="7" t="s">
        <v>40</v>
      </c>
      <c r="F172" s="7" t="s">
        <v>272</v>
      </c>
      <c r="G172" s="7">
        <v>2020</v>
      </c>
      <c r="H172" s="7" t="str">
        <f>CONCATENATE("04240672206")</f>
        <v>04240672206</v>
      </c>
      <c r="I172" s="7" t="s">
        <v>30</v>
      </c>
      <c r="J172" s="7" t="s">
        <v>31</v>
      </c>
      <c r="K172" s="7" t="str">
        <f>CONCATENATE("")</f>
        <v/>
      </c>
      <c r="L172" s="7" t="str">
        <f>CONCATENATE("11 11.1 4b")</f>
        <v>11 11.1 4b</v>
      </c>
      <c r="M172" s="7" t="str">
        <f>CONCATENATE("MRCMHL92B25E388A")</f>
        <v>MRCMHL92B25E388A</v>
      </c>
      <c r="N172" s="7" t="s">
        <v>274</v>
      </c>
      <c r="O172" s="7" t="s">
        <v>268</v>
      </c>
      <c r="P172" s="8">
        <v>44321</v>
      </c>
      <c r="Q172" s="7" t="s">
        <v>32</v>
      </c>
      <c r="R172" s="7" t="s">
        <v>33</v>
      </c>
      <c r="S172" s="7" t="s">
        <v>34</v>
      </c>
      <c r="T172" s="7"/>
      <c r="U172" s="7" t="s">
        <v>35</v>
      </c>
      <c r="V172" s="7">
        <v>602.41999999999996</v>
      </c>
      <c r="W172" s="7">
        <v>259.76</v>
      </c>
      <c r="X172" s="7">
        <v>239.88</v>
      </c>
      <c r="Y172" s="7">
        <v>0</v>
      </c>
      <c r="Z172" s="7">
        <v>102.78</v>
      </c>
    </row>
    <row r="173" spans="1:26" x14ac:dyDescent="0.35">
      <c r="A173" s="7" t="s">
        <v>27</v>
      </c>
      <c r="B173" s="7" t="s">
        <v>36</v>
      </c>
      <c r="C173" s="7" t="s">
        <v>48</v>
      </c>
      <c r="D173" s="7" t="s">
        <v>56</v>
      </c>
      <c r="E173" s="7" t="s">
        <v>29</v>
      </c>
      <c r="F173" s="7" t="s">
        <v>113</v>
      </c>
      <c r="G173" s="7">
        <v>2020</v>
      </c>
      <c r="H173" s="7" t="str">
        <f>CONCATENATE("04240150930")</f>
        <v>04240150930</v>
      </c>
      <c r="I173" s="7" t="s">
        <v>39</v>
      </c>
      <c r="J173" s="7" t="s">
        <v>31</v>
      </c>
      <c r="K173" s="7" t="str">
        <f>CONCATENATE("")</f>
        <v/>
      </c>
      <c r="L173" s="7" t="str">
        <f>CONCATENATE("11 11.1 4b")</f>
        <v>11 11.1 4b</v>
      </c>
      <c r="M173" s="7" t="str">
        <f>CONCATENATE("BRTLSS82D21D451P")</f>
        <v>BRTLSS82D21D451P</v>
      </c>
      <c r="N173" s="7" t="s">
        <v>275</v>
      </c>
      <c r="O173" s="7" t="s">
        <v>268</v>
      </c>
      <c r="P173" s="8">
        <v>44321</v>
      </c>
      <c r="Q173" s="7" t="s">
        <v>32</v>
      </c>
      <c r="R173" s="7" t="s">
        <v>33</v>
      </c>
      <c r="S173" s="7" t="s">
        <v>34</v>
      </c>
      <c r="T173" s="7"/>
      <c r="U173" s="7" t="s">
        <v>35</v>
      </c>
      <c r="V173" s="7">
        <v>733.58</v>
      </c>
      <c r="W173" s="7">
        <v>316.32</v>
      </c>
      <c r="X173" s="7">
        <v>292.11</v>
      </c>
      <c r="Y173" s="7">
        <v>0</v>
      </c>
      <c r="Z173" s="7">
        <v>125.15</v>
      </c>
    </row>
    <row r="174" spans="1:26" x14ac:dyDescent="0.35">
      <c r="A174" s="7" t="s">
        <v>27</v>
      </c>
      <c r="B174" s="7" t="s">
        <v>36</v>
      </c>
      <c r="C174" s="7" t="s">
        <v>48</v>
      </c>
      <c r="D174" s="7" t="s">
        <v>56</v>
      </c>
      <c r="E174" s="7" t="s">
        <v>29</v>
      </c>
      <c r="F174" s="7" t="s">
        <v>113</v>
      </c>
      <c r="G174" s="7">
        <v>2020</v>
      </c>
      <c r="H174" s="7" t="str">
        <f>CONCATENATE("04240540833")</f>
        <v>04240540833</v>
      </c>
      <c r="I174" s="7" t="s">
        <v>30</v>
      </c>
      <c r="J174" s="7" t="s">
        <v>31</v>
      </c>
      <c r="K174" s="7" t="str">
        <f>CONCATENATE("")</f>
        <v/>
      </c>
      <c r="L174" s="7" t="str">
        <f>CONCATENATE("11 11.2 4b")</f>
        <v>11 11.2 4b</v>
      </c>
      <c r="M174" s="7" t="str">
        <f>CONCATENATE("PCGRMG65A13Z133V")</f>
        <v>PCGRMG65A13Z133V</v>
      </c>
      <c r="N174" s="7" t="s">
        <v>248</v>
      </c>
      <c r="O174" s="7" t="s">
        <v>268</v>
      </c>
      <c r="P174" s="8">
        <v>44321</v>
      </c>
      <c r="Q174" s="7" t="s">
        <v>32</v>
      </c>
      <c r="R174" s="7" t="s">
        <v>33</v>
      </c>
      <c r="S174" s="7" t="s">
        <v>34</v>
      </c>
      <c r="T174" s="7"/>
      <c r="U174" s="7" t="s">
        <v>35</v>
      </c>
      <c r="V174" s="9">
        <v>5895.74</v>
      </c>
      <c r="W174" s="9">
        <v>2542.2399999999998</v>
      </c>
      <c r="X174" s="9">
        <v>2347.6799999999998</v>
      </c>
      <c r="Y174" s="7">
        <v>0</v>
      </c>
      <c r="Z174" s="9">
        <v>1005.82</v>
      </c>
    </row>
    <row r="175" spans="1:26" x14ac:dyDescent="0.35">
      <c r="A175" s="7" t="s">
        <v>27</v>
      </c>
      <c r="B175" s="7" t="s">
        <v>36</v>
      </c>
      <c r="C175" s="7" t="s">
        <v>48</v>
      </c>
      <c r="D175" s="7" t="s">
        <v>56</v>
      </c>
      <c r="E175" s="7" t="s">
        <v>29</v>
      </c>
      <c r="F175" s="7" t="s">
        <v>113</v>
      </c>
      <c r="G175" s="7">
        <v>2020</v>
      </c>
      <c r="H175" s="7" t="str">
        <f>CONCATENATE("04240075061")</f>
        <v>04240075061</v>
      </c>
      <c r="I175" s="7" t="s">
        <v>30</v>
      </c>
      <c r="J175" s="7" t="s">
        <v>31</v>
      </c>
      <c r="K175" s="7" t="str">
        <f>CONCATENATE("")</f>
        <v/>
      </c>
      <c r="L175" s="7" t="str">
        <f>CONCATENATE("11 11.2 4b")</f>
        <v>11 11.2 4b</v>
      </c>
      <c r="M175" s="7" t="str">
        <f>CONCATENATE("CRSCDD86L59D786O")</f>
        <v>CRSCDD86L59D786O</v>
      </c>
      <c r="N175" s="7" t="s">
        <v>276</v>
      </c>
      <c r="O175" s="7" t="s">
        <v>268</v>
      </c>
      <c r="P175" s="8">
        <v>44321</v>
      </c>
      <c r="Q175" s="7" t="s">
        <v>32</v>
      </c>
      <c r="R175" s="7" t="s">
        <v>33</v>
      </c>
      <c r="S175" s="7" t="s">
        <v>34</v>
      </c>
      <c r="T175" s="7"/>
      <c r="U175" s="7" t="s">
        <v>35</v>
      </c>
      <c r="V175" s="7">
        <v>85.99</v>
      </c>
      <c r="W175" s="7">
        <v>37.08</v>
      </c>
      <c r="X175" s="7">
        <v>34.24</v>
      </c>
      <c r="Y175" s="7">
        <v>0</v>
      </c>
      <c r="Z175" s="7">
        <v>14.67</v>
      </c>
    </row>
    <row r="176" spans="1:26" x14ac:dyDescent="0.35">
      <c r="A176" s="7" t="s">
        <v>27</v>
      </c>
      <c r="B176" s="7" t="s">
        <v>36</v>
      </c>
      <c r="C176" s="7" t="s">
        <v>48</v>
      </c>
      <c r="D176" s="7" t="s">
        <v>56</v>
      </c>
      <c r="E176" s="7" t="s">
        <v>29</v>
      </c>
      <c r="F176" s="7" t="s">
        <v>113</v>
      </c>
      <c r="G176" s="7">
        <v>2020</v>
      </c>
      <c r="H176" s="7" t="str">
        <f>CONCATENATE("04240118614")</f>
        <v>04240118614</v>
      </c>
      <c r="I176" s="7" t="s">
        <v>30</v>
      </c>
      <c r="J176" s="7" t="s">
        <v>31</v>
      </c>
      <c r="K176" s="7" t="str">
        <f>CONCATENATE("")</f>
        <v/>
      </c>
      <c r="L176" s="7" t="str">
        <f>CONCATENATE("11 11.2 4b")</f>
        <v>11 11.2 4b</v>
      </c>
      <c r="M176" s="7" t="str">
        <f>CONCATENATE("FRRRNG41S28D451L")</f>
        <v>FRRRNG41S28D451L</v>
      </c>
      <c r="N176" s="7" t="s">
        <v>250</v>
      </c>
      <c r="O176" s="7" t="s">
        <v>268</v>
      </c>
      <c r="P176" s="8">
        <v>44321</v>
      </c>
      <c r="Q176" s="7" t="s">
        <v>32</v>
      </c>
      <c r="R176" s="7" t="s">
        <v>33</v>
      </c>
      <c r="S176" s="7" t="s">
        <v>34</v>
      </c>
      <c r="T176" s="7"/>
      <c r="U176" s="7" t="s">
        <v>35</v>
      </c>
      <c r="V176" s="9">
        <v>4683.3100000000004</v>
      </c>
      <c r="W176" s="9">
        <v>2019.44</v>
      </c>
      <c r="X176" s="9">
        <v>1864.89</v>
      </c>
      <c r="Y176" s="7">
        <v>0</v>
      </c>
      <c r="Z176" s="7">
        <v>798.98</v>
      </c>
    </row>
    <row r="177" spans="1:26" x14ac:dyDescent="0.35">
      <c r="A177" s="7" t="s">
        <v>27</v>
      </c>
      <c r="B177" s="7" t="s">
        <v>36</v>
      </c>
      <c r="C177" s="7" t="s">
        <v>48</v>
      </c>
      <c r="D177" s="7" t="s">
        <v>56</v>
      </c>
      <c r="E177" s="7" t="s">
        <v>29</v>
      </c>
      <c r="F177" s="7" t="s">
        <v>113</v>
      </c>
      <c r="G177" s="7">
        <v>2020</v>
      </c>
      <c r="H177" s="7" t="str">
        <f>CONCATENATE("04240350886")</f>
        <v>04240350886</v>
      </c>
      <c r="I177" s="7" t="s">
        <v>39</v>
      </c>
      <c r="J177" s="7" t="s">
        <v>31</v>
      </c>
      <c r="K177" s="7" t="str">
        <f>CONCATENATE("")</f>
        <v/>
      </c>
      <c r="L177" s="7" t="str">
        <f>CONCATENATE("11 11.2 4b")</f>
        <v>11 11.2 4b</v>
      </c>
      <c r="M177" s="7" t="str">
        <f>CONCATENATE("GDRPRI54M28E783T")</f>
        <v>GDRPRI54M28E783T</v>
      </c>
      <c r="N177" s="7" t="s">
        <v>277</v>
      </c>
      <c r="O177" s="7" t="s">
        <v>268</v>
      </c>
      <c r="P177" s="8">
        <v>44321</v>
      </c>
      <c r="Q177" s="7" t="s">
        <v>32</v>
      </c>
      <c r="R177" s="7" t="s">
        <v>33</v>
      </c>
      <c r="S177" s="7" t="s">
        <v>34</v>
      </c>
      <c r="T177" s="7"/>
      <c r="U177" s="7" t="s">
        <v>35</v>
      </c>
      <c r="V177" s="7">
        <v>19.690000000000001</v>
      </c>
      <c r="W177" s="7">
        <v>8.49</v>
      </c>
      <c r="X177" s="7">
        <v>7.84</v>
      </c>
      <c r="Y177" s="7">
        <v>0</v>
      </c>
      <c r="Z177" s="7">
        <v>3.36</v>
      </c>
    </row>
    <row r="178" spans="1:26" x14ac:dyDescent="0.35">
      <c r="A178" s="7" t="s">
        <v>27</v>
      </c>
      <c r="B178" s="7" t="s">
        <v>36</v>
      </c>
      <c r="C178" s="7" t="s">
        <v>48</v>
      </c>
      <c r="D178" s="7" t="s">
        <v>56</v>
      </c>
      <c r="E178" s="7" t="s">
        <v>40</v>
      </c>
      <c r="F178" s="7" t="s">
        <v>278</v>
      </c>
      <c r="G178" s="7">
        <v>2020</v>
      </c>
      <c r="H178" s="7" t="str">
        <f>CONCATENATE("04240257867")</f>
        <v>04240257867</v>
      </c>
      <c r="I178" s="7" t="s">
        <v>30</v>
      </c>
      <c r="J178" s="7" t="s">
        <v>31</v>
      </c>
      <c r="K178" s="7" t="str">
        <f>CONCATENATE("")</f>
        <v/>
      </c>
      <c r="L178" s="7" t="str">
        <f>CONCATENATE("11 11.2 4b")</f>
        <v>11 11.2 4b</v>
      </c>
      <c r="M178" s="7" t="str">
        <f>CONCATENATE("02600250423")</f>
        <v>02600250423</v>
      </c>
      <c r="N178" s="7" t="s">
        <v>279</v>
      </c>
      <c r="O178" s="7" t="s">
        <v>268</v>
      </c>
      <c r="P178" s="8">
        <v>44321</v>
      </c>
      <c r="Q178" s="7" t="s">
        <v>32</v>
      </c>
      <c r="R178" s="7" t="s">
        <v>33</v>
      </c>
      <c r="S178" s="7" t="s">
        <v>34</v>
      </c>
      <c r="T178" s="7"/>
      <c r="U178" s="7" t="s">
        <v>35</v>
      </c>
      <c r="V178" s="9">
        <v>2764.83</v>
      </c>
      <c r="W178" s="9">
        <v>1192.19</v>
      </c>
      <c r="X178" s="9">
        <v>1100.96</v>
      </c>
      <c r="Y178" s="7">
        <v>0</v>
      </c>
      <c r="Z178" s="7">
        <v>471.68</v>
      </c>
    </row>
    <row r="179" spans="1:26" x14ac:dyDescent="0.35">
      <c r="A179" s="7" t="s">
        <v>27</v>
      </c>
      <c r="B179" s="7" t="s">
        <v>36</v>
      </c>
      <c r="C179" s="7" t="s">
        <v>48</v>
      </c>
      <c r="D179" s="7" t="s">
        <v>56</v>
      </c>
      <c r="E179" s="7" t="s">
        <v>29</v>
      </c>
      <c r="F179" s="7" t="s">
        <v>124</v>
      </c>
      <c r="G179" s="7">
        <v>2020</v>
      </c>
      <c r="H179" s="7" t="str">
        <f>CONCATENATE("04240287930")</f>
        <v>04240287930</v>
      </c>
      <c r="I179" s="7" t="s">
        <v>30</v>
      </c>
      <c r="J179" s="7" t="s">
        <v>31</v>
      </c>
      <c r="K179" s="7" t="str">
        <f>CONCATENATE("")</f>
        <v/>
      </c>
      <c r="L179" s="7" t="str">
        <f>CONCATENATE("11 11.2 4b")</f>
        <v>11 11.2 4b</v>
      </c>
      <c r="M179" s="7" t="str">
        <f>CONCATENATE("TSSMRT50B04I461Y")</f>
        <v>TSSMRT50B04I461Y</v>
      </c>
      <c r="N179" s="7" t="s">
        <v>280</v>
      </c>
      <c r="O179" s="7" t="s">
        <v>268</v>
      </c>
      <c r="P179" s="8">
        <v>44321</v>
      </c>
      <c r="Q179" s="7" t="s">
        <v>32</v>
      </c>
      <c r="R179" s="7" t="s">
        <v>33</v>
      </c>
      <c r="S179" s="7" t="s">
        <v>34</v>
      </c>
      <c r="T179" s="7"/>
      <c r="U179" s="7" t="s">
        <v>35</v>
      </c>
      <c r="V179" s="9">
        <v>4171.29</v>
      </c>
      <c r="W179" s="9">
        <v>1798.66</v>
      </c>
      <c r="X179" s="9">
        <v>1661.01</v>
      </c>
      <c r="Y179" s="7">
        <v>0</v>
      </c>
      <c r="Z179" s="7">
        <v>711.62</v>
      </c>
    </row>
    <row r="180" spans="1:26" x14ac:dyDescent="0.35">
      <c r="A180" s="7" t="s">
        <v>27</v>
      </c>
      <c r="B180" s="7" t="s">
        <v>36</v>
      </c>
      <c r="C180" s="7" t="s">
        <v>48</v>
      </c>
      <c r="D180" s="7" t="s">
        <v>56</v>
      </c>
      <c r="E180" s="7" t="s">
        <v>40</v>
      </c>
      <c r="F180" s="7" t="s">
        <v>278</v>
      </c>
      <c r="G180" s="7">
        <v>2020</v>
      </c>
      <c r="H180" s="7" t="str">
        <f>CONCATENATE("04240255184")</f>
        <v>04240255184</v>
      </c>
      <c r="I180" s="7" t="s">
        <v>30</v>
      </c>
      <c r="J180" s="7" t="s">
        <v>31</v>
      </c>
      <c r="K180" s="7" t="str">
        <f>CONCATENATE("")</f>
        <v/>
      </c>
      <c r="L180" s="7" t="str">
        <f>CONCATENATE("11 11.2 4b")</f>
        <v>11 11.2 4b</v>
      </c>
      <c r="M180" s="7" t="str">
        <f>CONCATENATE("02600250423")</f>
        <v>02600250423</v>
      </c>
      <c r="N180" s="7" t="s">
        <v>279</v>
      </c>
      <c r="O180" s="7" t="s">
        <v>268</v>
      </c>
      <c r="P180" s="8">
        <v>44321</v>
      </c>
      <c r="Q180" s="7" t="s">
        <v>32</v>
      </c>
      <c r="R180" s="7" t="s">
        <v>33</v>
      </c>
      <c r="S180" s="7" t="s">
        <v>34</v>
      </c>
      <c r="T180" s="7"/>
      <c r="U180" s="7" t="s">
        <v>35</v>
      </c>
      <c r="V180" s="7">
        <v>417.45</v>
      </c>
      <c r="W180" s="7">
        <v>180</v>
      </c>
      <c r="X180" s="7">
        <v>166.23</v>
      </c>
      <c r="Y180" s="7">
        <v>0</v>
      </c>
      <c r="Z180" s="7">
        <v>71.22</v>
      </c>
    </row>
    <row r="181" spans="1:26" x14ac:dyDescent="0.35">
      <c r="A181" s="7" t="s">
        <v>27</v>
      </c>
      <c r="B181" s="7" t="s">
        <v>36</v>
      </c>
      <c r="C181" s="7" t="s">
        <v>48</v>
      </c>
      <c r="D181" s="7" t="s">
        <v>59</v>
      </c>
      <c r="E181" s="7" t="s">
        <v>38</v>
      </c>
      <c r="F181" s="7" t="s">
        <v>281</v>
      </c>
      <c r="G181" s="7">
        <v>2020</v>
      </c>
      <c r="H181" s="7" t="str">
        <f>CONCATENATE("04240974420")</f>
        <v>04240974420</v>
      </c>
      <c r="I181" s="7" t="s">
        <v>30</v>
      </c>
      <c r="J181" s="7" t="s">
        <v>31</v>
      </c>
      <c r="K181" s="7" t="str">
        <f>CONCATENATE("")</f>
        <v/>
      </c>
      <c r="L181" s="7" t="str">
        <f>CONCATENATE("11 11.2 4b")</f>
        <v>11 11.2 4b</v>
      </c>
      <c r="M181" s="7" t="str">
        <f>CONCATENATE("02715560419")</f>
        <v>02715560419</v>
      </c>
      <c r="N181" s="7" t="s">
        <v>282</v>
      </c>
      <c r="O181" s="7" t="s">
        <v>268</v>
      </c>
      <c r="P181" s="8">
        <v>44321</v>
      </c>
      <c r="Q181" s="7" t="s">
        <v>32</v>
      </c>
      <c r="R181" s="7" t="s">
        <v>33</v>
      </c>
      <c r="S181" s="7" t="s">
        <v>34</v>
      </c>
      <c r="T181" s="7"/>
      <c r="U181" s="7" t="s">
        <v>35</v>
      </c>
      <c r="V181" s="9">
        <v>5283.64</v>
      </c>
      <c r="W181" s="9">
        <v>2278.31</v>
      </c>
      <c r="X181" s="9">
        <v>2103.9499999999998</v>
      </c>
      <c r="Y181" s="7">
        <v>0</v>
      </c>
      <c r="Z181" s="7">
        <v>901.38</v>
      </c>
    </row>
    <row r="182" spans="1:26" x14ac:dyDescent="0.35">
      <c r="A182" s="7" t="s">
        <v>27</v>
      </c>
      <c r="B182" s="7" t="s">
        <v>36</v>
      </c>
      <c r="C182" s="7" t="s">
        <v>48</v>
      </c>
      <c r="D182" s="7" t="s">
        <v>56</v>
      </c>
      <c r="E182" s="7" t="s">
        <v>40</v>
      </c>
      <c r="F182" s="7" t="s">
        <v>278</v>
      </c>
      <c r="G182" s="7">
        <v>2020</v>
      </c>
      <c r="H182" s="7" t="str">
        <f>CONCATENATE("04240447401")</f>
        <v>04240447401</v>
      </c>
      <c r="I182" s="7" t="s">
        <v>30</v>
      </c>
      <c r="J182" s="7" t="s">
        <v>31</v>
      </c>
      <c r="K182" s="7" t="str">
        <f>CONCATENATE("")</f>
        <v/>
      </c>
      <c r="L182" s="7" t="str">
        <f>CONCATENATE("11 11.2 4b")</f>
        <v>11 11.2 4b</v>
      </c>
      <c r="M182" s="7" t="str">
        <f>CONCATENATE("SRVCSL71E64L219O")</f>
        <v>SRVCSL71E64L219O</v>
      </c>
      <c r="N182" s="7" t="s">
        <v>283</v>
      </c>
      <c r="O182" s="7" t="s">
        <v>268</v>
      </c>
      <c r="P182" s="8">
        <v>44321</v>
      </c>
      <c r="Q182" s="7" t="s">
        <v>32</v>
      </c>
      <c r="R182" s="7" t="s">
        <v>33</v>
      </c>
      <c r="S182" s="7" t="s">
        <v>34</v>
      </c>
      <c r="T182" s="7"/>
      <c r="U182" s="7" t="s">
        <v>35</v>
      </c>
      <c r="V182" s="9">
        <v>2066</v>
      </c>
      <c r="W182" s="7">
        <v>890.86</v>
      </c>
      <c r="X182" s="7">
        <v>822.68</v>
      </c>
      <c r="Y182" s="7">
        <v>0</v>
      </c>
      <c r="Z182" s="7">
        <v>352.46</v>
      </c>
    </row>
    <row r="183" spans="1:26" x14ac:dyDescent="0.35">
      <c r="A183" s="7" t="s">
        <v>27</v>
      </c>
      <c r="B183" s="7" t="s">
        <v>36</v>
      </c>
      <c r="C183" s="7" t="s">
        <v>48</v>
      </c>
      <c r="D183" s="7" t="s">
        <v>59</v>
      </c>
      <c r="E183" s="7" t="s">
        <v>40</v>
      </c>
      <c r="F183" s="7" t="s">
        <v>60</v>
      </c>
      <c r="G183" s="7">
        <v>2020</v>
      </c>
      <c r="H183" s="7" t="str">
        <f>CONCATENATE("04240100455")</f>
        <v>04240100455</v>
      </c>
      <c r="I183" s="7" t="s">
        <v>30</v>
      </c>
      <c r="J183" s="7" t="s">
        <v>31</v>
      </c>
      <c r="K183" s="7" t="str">
        <f>CONCATENATE("")</f>
        <v/>
      </c>
      <c r="L183" s="7" t="str">
        <f>CONCATENATE("11 11.2 4b")</f>
        <v>11 11.2 4b</v>
      </c>
      <c r="M183" s="7" t="str">
        <f>CONCATENATE("FBBNCL93R12C357I")</f>
        <v>FBBNCL93R12C357I</v>
      </c>
      <c r="N183" s="7" t="s">
        <v>284</v>
      </c>
      <c r="O183" s="7" t="s">
        <v>268</v>
      </c>
      <c r="P183" s="8">
        <v>44321</v>
      </c>
      <c r="Q183" s="7" t="s">
        <v>32</v>
      </c>
      <c r="R183" s="7" t="s">
        <v>33</v>
      </c>
      <c r="S183" s="7" t="s">
        <v>34</v>
      </c>
      <c r="T183" s="7"/>
      <c r="U183" s="7" t="s">
        <v>35</v>
      </c>
      <c r="V183" s="9">
        <v>1649.31</v>
      </c>
      <c r="W183" s="7">
        <v>711.18</v>
      </c>
      <c r="X183" s="7">
        <v>656.76</v>
      </c>
      <c r="Y183" s="7">
        <v>0</v>
      </c>
      <c r="Z183" s="7">
        <v>281.37</v>
      </c>
    </row>
    <row r="184" spans="1:26" x14ac:dyDescent="0.35">
      <c r="A184" s="7" t="s">
        <v>27</v>
      </c>
      <c r="B184" s="7" t="s">
        <v>36</v>
      </c>
      <c r="C184" s="7" t="s">
        <v>48</v>
      </c>
      <c r="D184" s="7" t="s">
        <v>56</v>
      </c>
      <c r="E184" s="7" t="s">
        <v>29</v>
      </c>
      <c r="F184" s="7" t="s">
        <v>285</v>
      </c>
      <c r="G184" s="7">
        <v>2020</v>
      </c>
      <c r="H184" s="7" t="str">
        <f>CONCATENATE("04240153728")</f>
        <v>04240153728</v>
      </c>
      <c r="I184" s="7" t="s">
        <v>30</v>
      </c>
      <c r="J184" s="7" t="s">
        <v>31</v>
      </c>
      <c r="K184" s="7" t="str">
        <f>CONCATENATE("")</f>
        <v/>
      </c>
      <c r="L184" s="7" t="str">
        <f>CONCATENATE("11 11.2 4b")</f>
        <v>11 11.2 4b</v>
      </c>
      <c r="M184" s="7" t="str">
        <f>CONCATENATE("MRNPLA75P30H211M")</f>
        <v>MRNPLA75P30H211M</v>
      </c>
      <c r="N184" s="7" t="s">
        <v>286</v>
      </c>
      <c r="O184" s="7" t="s">
        <v>268</v>
      </c>
      <c r="P184" s="8">
        <v>44321</v>
      </c>
      <c r="Q184" s="7" t="s">
        <v>32</v>
      </c>
      <c r="R184" s="7" t="s">
        <v>33</v>
      </c>
      <c r="S184" s="7" t="s">
        <v>34</v>
      </c>
      <c r="T184" s="7"/>
      <c r="U184" s="7" t="s">
        <v>35</v>
      </c>
      <c r="V184" s="9">
        <v>2642.78</v>
      </c>
      <c r="W184" s="9">
        <v>1139.57</v>
      </c>
      <c r="X184" s="9">
        <v>1052.3499999999999</v>
      </c>
      <c r="Y184" s="7">
        <v>0</v>
      </c>
      <c r="Z184" s="7">
        <v>450.86</v>
      </c>
    </row>
    <row r="185" spans="1:26" x14ac:dyDescent="0.35">
      <c r="A185" s="7" t="s">
        <v>27</v>
      </c>
      <c r="B185" s="7" t="s">
        <v>36</v>
      </c>
      <c r="C185" s="7" t="s">
        <v>48</v>
      </c>
      <c r="D185" s="7" t="s">
        <v>56</v>
      </c>
      <c r="E185" s="7" t="s">
        <v>29</v>
      </c>
      <c r="F185" s="7" t="s">
        <v>113</v>
      </c>
      <c r="G185" s="7">
        <v>2020</v>
      </c>
      <c r="H185" s="7" t="str">
        <f>CONCATENATE("04240572703")</f>
        <v>04240572703</v>
      </c>
      <c r="I185" s="7" t="s">
        <v>39</v>
      </c>
      <c r="J185" s="7" t="s">
        <v>31</v>
      </c>
      <c r="K185" s="7" t="str">
        <f>CONCATENATE("")</f>
        <v/>
      </c>
      <c r="L185" s="7" t="str">
        <f>CONCATENATE("11 11.2 4b")</f>
        <v>11 11.2 4b</v>
      </c>
      <c r="M185" s="7" t="str">
        <f>CONCATENATE("02395070424")</f>
        <v>02395070424</v>
      </c>
      <c r="N185" s="7" t="s">
        <v>287</v>
      </c>
      <c r="O185" s="7" t="s">
        <v>268</v>
      </c>
      <c r="P185" s="8">
        <v>44321</v>
      </c>
      <c r="Q185" s="7" t="s">
        <v>32</v>
      </c>
      <c r="R185" s="7" t="s">
        <v>33</v>
      </c>
      <c r="S185" s="7" t="s">
        <v>34</v>
      </c>
      <c r="T185" s="7"/>
      <c r="U185" s="7" t="s">
        <v>35</v>
      </c>
      <c r="V185" s="9">
        <v>15671.87</v>
      </c>
      <c r="W185" s="9">
        <v>6757.71</v>
      </c>
      <c r="X185" s="9">
        <v>6240.54</v>
      </c>
      <c r="Y185" s="7">
        <v>0</v>
      </c>
      <c r="Z185" s="9">
        <v>2673.62</v>
      </c>
    </row>
    <row r="186" spans="1:26" x14ac:dyDescent="0.35">
      <c r="A186" s="7" t="s">
        <v>27</v>
      </c>
      <c r="B186" s="7" t="s">
        <v>36</v>
      </c>
      <c r="C186" s="7" t="s">
        <v>48</v>
      </c>
      <c r="D186" s="7" t="s">
        <v>56</v>
      </c>
      <c r="E186" s="7" t="s">
        <v>29</v>
      </c>
      <c r="F186" s="7" t="s">
        <v>113</v>
      </c>
      <c r="G186" s="7">
        <v>2020</v>
      </c>
      <c r="H186" s="7" t="str">
        <f>CONCATENATE("04240578411")</f>
        <v>04240578411</v>
      </c>
      <c r="I186" s="7" t="s">
        <v>39</v>
      </c>
      <c r="J186" s="7" t="s">
        <v>31</v>
      </c>
      <c r="K186" s="7" t="str">
        <f>CONCATENATE("")</f>
        <v/>
      </c>
      <c r="L186" s="7" t="str">
        <f>CONCATENATE("11 11.2 4b")</f>
        <v>11 11.2 4b</v>
      </c>
      <c r="M186" s="7" t="str">
        <f>CONCATENATE("02395070424")</f>
        <v>02395070424</v>
      </c>
      <c r="N186" s="7" t="s">
        <v>287</v>
      </c>
      <c r="O186" s="7" t="s">
        <v>268</v>
      </c>
      <c r="P186" s="8">
        <v>44321</v>
      </c>
      <c r="Q186" s="7" t="s">
        <v>32</v>
      </c>
      <c r="R186" s="7" t="s">
        <v>33</v>
      </c>
      <c r="S186" s="7" t="s">
        <v>34</v>
      </c>
      <c r="T186" s="7"/>
      <c r="U186" s="7" t="s">
        <v>35</v>
      </c>
      <c r="V186" s="7">
        <v>126.13</v>
      </c>
      <c r="W186" s="7">
        <v>54.39</v>
      </c>
      <c r="X186" s="7">
        <v>50.22</v>
      </c>
      <c r="Y186" s="7">
        <v>0</v>
      </c>
      <c r="Z186" s="7">
        <v>21.52</v>
      </c>
    </row>
    <row r="187" spans="1:26" x14ac:dyDescent="0.35">
      <c r="A187" s="7" t="s">
        <v>27</v>
      </c>
      <c r="B187" s="7" t="s">
        <v>36</v>
      </c>
      <c r="C187" s="7" t="s">
        <v>48</v>
      </c>
      <c r="D187" s="7" t="s">
        <v>62</v>
      </c>
      <c r="E187" s="7" t="s">
        <v>29</v>
      </c>
      <c r="F187" s="7" t="s">
        <v>66</v>
      </c>
      <c r="G187" s="7">
        <v>2020</v>
      </c>
      <c r="H187" s="7" t="str">
        <f>CONCATENATE("04210410132")</f>
        <v>04210410132</v>
      </c>
      <c r="I187" s="7" t="s">
        <v>30</v>
      </c>
      <c r="J187" s="7" t="s">
        <v>31</v>
      </c>
      <c r="K187" s="7" t="str">
        <f>CONCATENATE("")</f>
        <v/>
      </c>
      <c r="L187" s="7" t="str">
        <f>CONCATENATE("13 13.1 4a")</f>
        <v>13 13.1 4a</v>
      </c>
      <c r="M187" s="7" t="str">
        <f>CONCATENATE("MCARLL58E54I661W")</f>
        <v>MCARLL58E54I661W</v>
      </c>
      <c r="N187" s="7" t="s">
        <v>288</v>
      </c>
      <c r="O187" s="7" t="s">
        <v>249</v>
      </c>
      <c r="P187" s="8">
        <v>44321</v>
      </c>
      <c r="Q187" s="7" t="s">
        <v>32</v>
      </c>
      <c r="R187" s="7" t="s">
        <v>33</v>
      </c>
      <c r="S187" s="7" t="s">
        <v>34</v>
      </c>
      <c r="T187" s="7"/>
      <c r="U187" s="7" t="s">
        <v>35</v>
      </c>
      <c r="V187" s="9">
        <v>8833.59</v>
      </c>
      <c r="W187" s="9">
        <v>3809.04</v>
      </c>
      <c r="X187" s="9">
        <v>3517.54</v>
      </c>
      <c r="Y187" s="7">
        <v>0</v>
      </c>
      <c r="Z187" s="9">
        <v>1507.01</v>
      </c>
    </row>
    <row r="188" spans="1:26" x14ac:dyDescent="0.35">
      <c r="A188" s="7" t="s">
        <v>27</v>
      </c>
      <c r="B188" s="7" t="s">
        <v>36</v>
      </c>
      <c r="C188" s="7" t="s">
        <v>48</v>
      </c>
      <c r="D188" s="7" t="s">
        <v>56</v>
      </c>
      <c r="E188" s="7" t="s">
        <v>29</v>
      </c>
      <c r="F188" s="7" t="s">
        <v>113</v>
      </c>
      <c r="G188" s="7">
        <v>2020</v>
      </c>
      <c r="H188" s="7" t="str">
        <f>CONCATENATE("04210023125")</f>
        <v>04210023125</v>
      </c>
      <c r="I188" s="7" t="s">
        <v>39</v>
      </c>
      <c r="J188" s="7" t="s">
        <v>31</v>
      </c>
      <c r="K188" s="7" t="str">
        <f>CONCATENATE("")</f>
        <v/>
      </c>
      <c r="L188" s="7" t="str">
        <f>CONCATENATE("13 13.1 4a")</f>
        <v>13 13.1 4a</v>
      </c>
      <c r="M188" s="7" t="str">
        <f>CONCATENATE("BRTLSS82D21D451P")</f>
        <v>BRTLSS82D21D451P</v>
      </c>
      <c r="N188" s="7" t="s">
        <v>275</v>
      </c>
      <c r="O188" s="7" t="s">
        <v>249</v>
      </c>
      <c r="P188" s="8">
        <v>44321</v>
      </c>
      <c r="Q188" s="7" t="s">
        <v>32</v>
      </c>
      <c r="R188" s="7" t="s">
        <v>33</v>
      </c>
      <c r="S188" s="7" t="s">
        <v>34</v>
      </c>
      <c r="T188" s="7"/>
      <c r="U188" s="7" t="s">
        <v>35</v>
      </c>
      <c r="V188" s="9">
        <v>3092.18</v>
      </c>
      <c r="W188" s="9">
        <v>1333.35</v>
      </c>
      <c r="X188" s="9">
        <v>1231.31</v>
      </c>
      <c r="Y188" s="7">
        <v>0</v>
      </c>
      <c r="Z188" s="7">
        <v>527.52</v>
      </c>
    </row>
    <row r="189" spans="1:26" x14ac:dyDescent="0.35">
      <c r="A189" s="7" t="s">
        <v>27</v>
      </c>
      <c r="B189" s="7" t="s">
        <v>36</v>
      </c>
      <c r="C189" s="7" t="s">
        <v>48</v>
      </c>
      <c r="D189" s="7" t="s">
        <v>56</v>
      </c>
      <c r="E189" s="7" t="s">
        <v>40</v>
      </c>
      <c r="F189" s="7" t="s">
        <v>278</v>
      </c>
      <c r="G189" s="7">
        <v>2020</v>
      </c>
      <c r="H189" s="7" t="str">
        <f>CONCATENATE("04210775567")</f>
        <v>04210775567</v>
      </c>
      <c r="I189" s="7" t="s">
        <v>39</v>
      </c>
      <c r="J189" s="7" t="s">
        <v>31</v>
      </c>
      <c r="K189" s="7" t="str">
        <f>CONCATENATE("")</f>
        <v/>
      </c>
      <c r="L189" s="7" t="str">
        <f>CONCATENATE("13 13.1 4a")</f>
        <v>13 13.1 4a</v>
      </c>
      <c r="M189" s="7" t="str">
        <f>CONCATENATE("ZMPTLI39P15D451P")</f>
        <v>ZMPTLI39P15D451P</v>
      </c>
      <c r="N189" s="7" t="s">
        <v>289</v>
      </c>
      <c r="O189" s="7" t="s">
        <v>249</v>
      </c>
      <c r="P189" s="8">
        <v>44321</v>
      </c>
      <c r="Q189" s="7" t="s">
        <v>32</v>
      </c>
      <c r="R189" s="7" t="s">
        <v>33</v>
      </c>
      <c r="S189" s="7" t="s">
        <v>34</v>
      </c>
      <c r="T189" s="7"/>
      <c r="U189" s="7" t="s">
        <v>35</v>
      </c>
      <c r="V189" s="7">
        <v>595.48</v>
      </c>
      <c r="W189" s="7">
        <v>256.77</v>
      </c>
      <c r="X189" s="7">
        <v>237.12</v>
      </c>
      <c r="Y189" s="7">
        <v>0</v>
      </c>
      <c r="Z189" s="7">
        <v>101.59</v>
      </c>
    </row>
    <row r="190" spans="1:26" x14ac:dyDescent="0.35">
      <c r="A190" s="7" t="s">
        <v>27</v>
      </c>
      <c r="B190" s="7" t="s">
        <v>36</v>
      </c>
      <c r="C190" s="7" t="s">
        <v>48</v>
      </c>
      <c r="D190" s="7" t="s">
        <v>56</v>
      </c>
      <c r="E190" s="7" t="s">
        <v>42</v>
      </c>
      <c r="F190" s="7" t="s">
        <v>290</v>
      </c>
      <c r="G190" s="7">
        <v>2020</v>
      </c>
      <c r="H190" s="7" t="str">
        <f>CONCATENATE("04210544518")</f>
        <v>04210544518</v>
      </c>
      <c r="I190" s="7" t="s">
        <v>39</v>
      </c>
      <c r="J190" s="7" t="s">
        <v>31</v>
      </c>
      <c r="K190" s="7" t="str">
        <f>CONCATENATE("")</f>
        <v/>
      </c>
      <c r="L190" s="7" t="str">
        <f>CONCATENATE("13 13.1 4a")</f>
        <v>13 13.1 4a</v>
      </c>
      <c r="M190" s="7" t="str">
        <f>CONCATENATE("DSNSNN62R70H501T")</f>
        <v>DSNSNN62R70H501T</v>
      </c>
      <c r="N190" s="7" t="s">
        <v>291</v>
      </c>
      <c r="O190" s="7" t="s">
        <v>249</v>
      </c>
      <c r="P190" s="8">
        <v>44321</v>
      </c>
      <c r="Q190" s="7" t="s">
        <v>32</v>
      </c>
      <c r="R190" s="7" t="s">
        <v>33</v>
      </c>
      <c r="S190" s="7" t="s">
        <v>34</v>
      </c>
      <c r="T190" s="7"/>
      <c r="U190" s="7" t="s">
        <v>35</v>
      </c>
      <c r="V190" s="7">
        <v>444.78</v>
      </c>
      <c r="W190" s="7">
        <v>191.79</v>
      </c>
      <c r="X190" s="7">
        <v>177.11</v>
      </c>
      <c r="Y190" s="7">
        <v>0</v>
      </c>
      <c r="Z190" s="7">
        <v>75.88</v>
      </c>
    </row>
    <row r="191" spans="1:26" x14ac:dyDescent="0.35">
      <c r="A191" s="7" t="s">
        <v>27</v>
      </c>
      <c r="B191" s="7" t="s">
        <v>36</v>
      </c>
      <c r="C191" s="7" t="s">
        <v>48</v>
      </c>
      <c r="D191" s="7" t="s">
        <v>49</v>
      </c>
      <c r="E191" s="7" t="s">
        <v>42</v>
      </c>
      <c r="F191" s="7" t="s">
        <v>50</v>
      </c>
      <c r="G191" s="7">
        <v>2020</v>
      </c>
      <c r="H191" s="7" t="str">
        <f>CONCATENATE("04210711224")</f>
        <v>04210711224</v>
      </c>
      <c r="I191" s="7" t="s">
        <v>30</v>
      </c>
      <c r="J191" s="7" t="s">
        <v>31</v>
      </c>
      <c r="K191" s="7" t="str">
        <f>CONCATENATE("")</f>
        <v/>
      </c>
      <c r="L191" s="7" t="str">
        <f>CONCATENATE("13 13.1 4a")</f>
        <v>13 13.1 4a</v>
      </c>
      <c r="M191" s="7" t="str">
        <f>CONCATENATE("SLNVTI60B26F509B")</f>
        <v>SLNVTI60B26F509B</v>
      </c>
      <c r="N191" s="7" t="s">
        <v>292</v>
      </c>
      <c r="O191" s="7" t="s">
        <v>249</v>
      </c>
      <c r="P191" s="8">
        <v>44321</v>
      </c>
      <c r="Q191" s="7" t="s">
        <v>32</v>
      </c>
      <c r="R191" s="7" t="s">
        <v>33</v>
      </c>
      <c r="S191" s="7" t="s">
        <v>34</v>
      </c>
      <c r="T191" s="7"/>
      <c r="U191" s="7" t="s">
        <v>35</v>
      </c>
      <c r="V191" s="7">
        <v>592.5</v>
      </c>
      <c r="W191" s="7">
        <v>255.49</v>
      </c>
      <c r="X191" s="7">
        <v>235.93</v>
      </c>
      <c r="Y191" s="7">
        <v>0</v>
      </c>
      <c r="Z191" s="7">
        <v>101.08</v>
      </c>
    </row>
    <row r="192" spans="1:26" x14ac:dyDescent="0.35">
      <c r="A192" s="7" t="s">
        <v>27</v>
      </c>
      <c r="B192" s="7" t="s">
        <v>36</v>
      </c>
      <c r="C192" s="7" t="s">
        <v>48</v>
      </c>
      <c r="D192" s="7" t="s">
        <v>56</v>
      </c>
      <c r="E192" s="7" t="s">
        <v>29</v>
      </c>
      <c r="F192" s="7" t="s">
        <v>124</v>
      </c>
      <c r="G192" s="7">
        <v>2020</v>
      </c>
      <c r="H192" s="7" t="str">
        <f>CONCATENATE("04210443729")</f>
        <v>04210443729</v>
      </c>
      <c r="I192" s="7" t="s">
        <v>30</v>
      </c>
      <c r="J192" s="7" t="s">
        <v>31</v>
      </c>
      <c r="K192" s="7" t="str">
        <f>CONCATENATE("")</f>
        <v/>
      </c>
      <c r="L192" s="7" t="str">
        <f>CONCATENATE("13 13.1 4a")</f>
        <v>13 13.1 4a</v>
      </c>
      <c r="M192" s="7" t="str">
        <f>CONCATENATE("GRFDVD44H02D965J")</f>
        <v>GRFDVD44H02D965J</v>
      </c>
      <c r="N192" s="7" t="s">
        <v>293</v>
      </c>
      <c r="O192" s="7" t="s">
        <v>249</v>
      </c>
      <c r="P192" s="8">
        <v>44321</v>
      </c>
      <c r="Q192" s="7" t="s">
        <v>32</v>
      </c>
      <c r="R192" s="7" t="s">
        <v>33</v>
      </c>
      <c r="S192" s="7" t="s">
        <v>34</v>
      </c>
      <c r="T192" s="7"/>
      <c r="U192" s="7" t="s">
        <v>35</v>
      </c>
      <c r="V192" s="7">
        <v>76.94</v>
      </c>
      <c r="W192" s="7">
        <v>33.18</v>
      </c>
      <c r="X192" s="7">
        <v>30.64</v>
      </c>
      <c r="Y192" s="7">
        <v>0</v>
      </c>
      <c r="Z192" s="7">
        <v>13.12</v>
      </c>
    </row>
    <row r="193" spans="1:26" x14ac:dyDescent="0.35">
      <c r="A193" s="7" t="s">
        <v>27</v>
      </c>
      <c r="B193" s="7" t="s">
        <v>36</v>
      </c>
      <c r="C193" s="7" t="s">
        <v>48</v>
      </c>
      <c r="D193" s="7" t="s">
        <v>49</v>
      </c>
      <c r="E193" s="7" t="s">
        <v>37</v>
      </c>
      <c r="F193" s="7" t="s">
        <v>53</v>
      </c>
      <c r="G193" s="7">
        <v>2020</v>
      </c>
      <c r="H193" s="7" t="str">
        <f>CONCATENATE("04210813806")</f>
        <v>04210813806</v>
      </c>
      <c r="I193" s="7" t="s">
        <v>39</v>
      </c>
      <c r="J193" s="7" t="s">
        <v>31</v>
      </c>
      <c r="K193" s="7" t="str">
        <f>CONCATENATE("")</f>
        <v/>
      </c>
      <c r="L193" s="7" t="str">
        <f>CONCATENATE("13 13.1 4a")</f>
        <v>13 13.1 4a</v>
      </c>
      <c r="M193" s="7" t="str">
        <f>CONCATENATE("CRCLRA77P50A462V")</f>
        <v>CRCLRA77P50A462V</v>
      </c>
      <c r="N193" s="7" t="s">
        <v>294</v>
      </c>
      <c r="O193" s="7" t="s">
        <v>249</v>
      </c>
      <c r="P193" s="8">
        <v>44321</v>
      </c>
      <c r="Q193" s="7" t="s">
        <v>32</v>
      </c>
      <c r="R193" s="7" t="s">
        <v>33</v>
      </c>
      <c r="S193" s="7" t="s">
        <v>34</v>
      </c>
      <c r="T193" s="7"/>
      <c r="U193" s="7" t="s">
        <v>35</v>
      </c>
      <c r="V193" s="7">
        <v>19.18</v>
      </c>
      <c r="W193" s="7">
        <v>8.27</v>
      </c>
      <c r="X193" s="7">
        <v>7.64</v>
      </c>
      <c r="Y193" s="7">
        <v>0</v>
      </c>
      <c r="Z193" s="7">
        <v>3.27</v>
      </c>
    </row>
    <row r="194" spans="1:26" x14ac:dyDescent="0.35">
      <c r="A194" s="7" t="s">
        <v>27</v>
      </c>
      <c r="B194" s="7" t="s">
        <v>36</v>
      </c>
      <c r="C194" s="7" t="s">
        <v>48</v>
      </c>
      <c r="D194" s="7" t="s">
        <v>56</v>
      </c>
      <c r="E194" s="7" t="s">
        <v>29</v>
      </c>
      <c r="F194" s="7" t="s">
        <v>124</v>
      </c>
      <c r="G194" s="7">
        <v>2020</v>
      </c>
      <c r="H194" s="7" t="str">
        <f>CONCATENATE("04210367126")</f>
        <v>04210367126</v>
      </c>
      <c r="I194" s="7" t="s">
        <v>30</v>
      </c>
      <c r="J194" s="7" t="s">
        <v>31</v>
      </c>
      <c r="K194" s="7" t="str">
        <f>CONCATENATE("")</f>
        <v/>
      </c>
      <c r="L194" s="7" t="str">
        <f>CONCATENATE("13 13.1 4a")</f>
        <v>13 13.1 4a</v>
      </c>
      <c r="M194" s="7" t="str">
        <f>CONCATENATE("BDCNDR73T03A366K")</f>
        <v>BDCNDR73T03A366K</v>
      </c>
      <c r="N194" s="7" t="s">
        <v>295</v>
      </c>
      <c r="O194" s="7" t="s">
        <v>249</v>
      </c>
      <c r="P194" s="8">
        <v>44321</v>
      </c>
      <c r="Q194" s="7" t="s">
        <v>32</v>
      </c>
      <c r="R194" s="7" t="s">
        <v>33</v>
      </c>
      <c r="S194" s="7" t="s">
        <v>34</v>
      </c>
      <c r="T194" s="7"/>
      <c r="U194" s="7" t="s">
        <v>35</v>
      </c>
      <c r="V194" s="9">
        <v>6278.61</v>
      </c>
      <c r="W194" s="9">
        <v>2707.34</v>
      </c>
      <c r="X194" s="9">
        <v>2500.14</v>
      </c>
      <c r="Y194" s="7">
        <v>0</v>
      </c>
      <c r="Z194" s="9">
        <v>1071.1300000000001</v>
      </c>
    </row>
    <row r="195" spans="1:26" x14ac:dyDescent="0.35">
      <c r="A195" s="7" t="s">
        <v>27</v>
      </c>
      <c r="B195" s="7" t="s">
        <v>36</v>
      </c>
      <c r="C195" s="7" t="s">
        <v>48</v>
      </c>
      <c r="D195" s="7" t="s">
        <v>56</v>
      </c>
      <c r="E195" s="7" t="s">
        <v>29</v>
      </c>
      <c r="F195" s="7" t="s">
        <v>124</v>
      </c>
      <c r="G195" s="7">
        <v>2020</v>
      </c>
      <c r="H195" s="7" t="str">
        <f>CONCATENATE("04210032407")</f>
        <v>04210032407</v>
      </c>
      <c r="I195" s="7" t="s">
        <v>30</v>
      </c>
      <c r="J195" s="7" t="s">
        <v>31</v>
      </c>
      <c r="K195" s="7" t="str">
        <f>CONCATENATE("")</f>
        <v/>
      </c>
      <c r="L195" s="7" t="str">
        <f>CONCATENATE("13 13.1 4a")</f>
        <v>13 13.1 4a</v>
      </c>
      <c r="M195" s="7" t="str">
        <f>CONCATENATE("BRZMRZ59C08I461Y")</f>
        <v>BRZMRZ59C08I461Y</v>
      </c>
      <c r="N195" s="7" t="s">
        <v>296</v>
      </c>
      <c r="O195" s="7" t="s">
        <v>249</v>
      </c>
      <c r="P195" s="8">
        <v>44321</v>
      </c>
      <c r="Q195" s="7" t="s">
        <v>32</v>
      </c>
      <c r="R195" s="7" t="s">
        <v>33</v>
      </c>
      <c r="S195" s="7" t="s">
        <v>34</v>
      </c>
      <c r="T195" s="7"/>
      <c r="U195" s="7" t="s">
        <v>35</v>
      </c>
      <c r="V195" s="7">
        <v>916.08</v>
      </c>
      <c r="W195" s="7">
        <v>395.01</v>
      </c>
      <c r="X195" s="7">
        <v>364.78</v>
      </c>
      <c r="Y195" s="7">
        <v>0</v>
      </c>
      <c r="Z195" s="7">
        <v>156.29</v>
      </c>
    </row>
    <row r="196" spans="1:26" x14ac:dyDescent="0.35">
      <c r="A196" s="7" t="s">
        <v>27</v>
      </c>
      <c r="B196" s="7" t="s">
        <v>36</v>
      </c>
      <c r="C196" s="7" t="s">
        <v>48</v>
      </c>
      <c r="D196" s="7" t="s">
        <v>56</v>
      </c>
      <c r="E196" s="7" t="s">
        <v>29</v>
      </c>
      <c r="F196" s="7" t="s">
        <v>113</v>
      </c>
      <c r="G196" s="7">
        <v>2020</v>
      </c>
      <c r="H196" s="7" t="str">
        <f>CONCATENATE("04210013829")</f>
        <v>04210013829</v>
      </c>
      <c r="I196" s="7" t="s">
        <v>30</v>
      </c>
      <c r="J196" s="7" t="s">
        <v>31</v>
      </c>
      <c r="K196" s="7" t="str">
        <f>CONCATENATE("")</f>
        <v/>
      </c>
      <c r="L196" s="7" t="str">
        <f>CONCATENATE("13 13.1 4a")</f>
        <v>13 13.1 4a</v>
      </c>
      <c r="M196" s="7" t="str">
        <f>CONCATENATE("RSSPTR38E30D451Z")</f>
        <v>RSSPTR38E30D451Z</v>
      </c>
      <c r="N196" s="7" t="s">
        <v>297</v>
      </c>
      <c r="O196" s="7" t="s">
        <v>249</v>
      </c>
      <c r="P196" s="8">
        <v>44321</v>
      </c>
      <c r="Q196" s="7" t="s">
        <v>32</v>
      </c>
      <c r="R196" s="7" t="s">
        <v>33</v>
      </c>
      <c r="S196" s="7" t="s">
        <v>34</v>
      </c>
      <c r="T196" s="7"/>
      <c r="U196" s="7" t="s">
        <v>35</v>
      </c>
      <c r="V196" s="9">
        <v>5818.22</v>
      </c>
      <c r="W196" s="9">
        <v>2508.8200000000002</v>
      </c>
      <c r="X196" s="9">
        <v>2316.8200000000002</v>
      </c>
      <c r="Y196" s="7">
        <v>0</v>
      </c>
      <c r="Z196" s="7">
        <v>992.58</v>
      </c>
    </row>
    <row r="197" spans="1:26" x14ac:dyDescent="0.35">
      <c r="A197" s="7" t="s">
        <v>27</v>
      </c>
      <c r="B197" s="7" t="s">
        <v>36</v>
      </c>
      <c r="C197" s="7" t="s">
        <v>48</v>
      </c>
      <c r="D197" s="7" t="s">
        <v>62</v>
      </c>
      <c r="E197" s="7" t="s">
        <v>29</v>
      </c>
      <c r="F197" s="7" t="s">
        <v>66</v>
      </c>
      <c r="G197" s="7">
        <v>2020</v>
      </c>
      <c r="H197" s="7" t="str">
        <f>CONCATENATE("04210039295")</f>
        <v>04210039295</v>
      </c>
      <c r="I197" s="7" t="s">
        <v>30</v>
      </c>
      <c r="J197" s="7" t="s">
        <v>31</v>
      </c>
      <c r="K197" s="7" t="str">
        <f>CONCATENATE("")</f>
        <v/>
      </c>
      <c r="L197" s="7" t="str">
        <f>CONCATENATE("13 13.1 4a")</f>
        <v>13 13.1 4a</v>
      </c>
      <c r="M197" s="7" t="str">
        <f>CONCATENATE("GHTLBR58C05D429I")</f>
        <v>GHTLBR58C05D429I</v>
      </c>
      <c r="N197" s="7" t="s">
        <v>298</v>
      </c>
      <c r="O197" s="7" t="s">
        <v>249</v>
      </c>
      <c r="P197" s="8">
        <v>44321</v>
      </c>
      <c r="Q197" s="7" t="s">
        <v>32</v>
      </c>
      <c r="R197" s="7" t="s">
        <v>33</v>
      </c>
      <c r="S197" s="7" t="s">
        <v>34</v>
      </c>
      <c r="T197" s="7"/>
      <c r="U197" s="7" t="s">
        <v>35</v>
      </c>
      <c r="V197" s="9">
        <v>1300.6199999999999</v>
      </c>
      <c r="W197" s="7">
        <v>560.83000000000004</v>
      </c>
      <c r="X197" s="7">
        <v>517.91</v>
      </c>
      <c r="Y197" s="7">
        <v>0</v>
      </c>
      <c r="Z197" s="7">
        <v>221.88</v>
      </c>
    </row>
    <row r="198" spans="1:26" x14ac:dyDescent="0.35">
      <c r="A198" s="7" t="s">
        <v>27</v>
      </c>
      <c r="B198" s="7" t="s">
        <v>36</v>
      </c>
      <c r="C198" s="7" t="s">
        <v>48</v>
      </c>
      <c r="D198" s="7" t="s">
        <v>62</v>
      </c>
      <c r="E198" s="7" t="s">
        <v>38</v>
      </c>
      <c r="F198" s="7" t="s">
        <v>251</v>
      </c>
      <c r="G198" s="7">
        <v>2020</v>
      </c>
      <c r="H198" s="7" t="str">
        <f>CONCATENATE("04210198778")</f>
        <v>04210198778</v>
      </c>
      <c r="I198" s="7" t="s">
        <v>30</v>
      </c>
      <c r="J198" s="7" t="s">
        <v>31</v>
      </c>
      <c r="K198" s="7" t="str">
        <f>CONCATENATE("")</f>
        <v/>
      </c>
      <c r="L198" s="7" t="str">
        <f>CONCATENATE("13 13.1 4a")</f>
        <v>13 13.1 4a</v>
      </c>
      <c r="M198" s="7" t="str">
        <f>CONCATENATE("JRGSRH79E64H501A")</f>
        <v>JRGSRH79E64H501A</v>
      </c>
      <c r="N198" s="7" t="s">
        <v>299</v>
      </c>
      <c r="O198" s="7" t="s">
        <v>249</v>
      </c>
      <c r="P198" s="8">
        <v>44321</v>
      </c>
      <c r="Q198" s="7" t="s">
        <v>32</v>
      </c>
      <c r="R198" s="7" t="s">
        <v>33</v>
      </c>
      <c r="S198" s="7" t="s">
        <v>34</v>
      </c>
      <c r="T198" s="7"/>
      <c r="U198" s="7" t="s">
        <v>35</v>
      </c>
      <c r="V198" s="7">
        <v>97.52</v>
      </c>
      <c r="W198" s="7">
        <v>42.05</v>
      </c>
      <c r="X198" s="7">
        <v>38.83</v>
      </c>
      <c r="Y198" s="7">
        <v>0</v>
      </c>
      <c r="Z198" s="7">
        <v>16.64</v>
      </c>
    </row>
    <row r="199" spans="1:26" ht="17.5" x14ac:dyDescent="0.35">
      <c r="A199" s="7" t="s">
        <v>27</v>
      </c>
      <c r="B199" s="7" t="s">
        <v>36</v>
      </c>
      <c r="C199" s="7" t="s">
        <v>48</v>
      </c>
      <c r="D199" s="7" t="s">
        <v>49</v>
      </c>
      <c r="E199" s="7" t="s">
        <v>42</v>
      </c>
      <c r="F199" s="7" t="s">
        <v>300</v>
      </c>
      <c r="G199" s="7">
        <v>2020</v>
      </c>
      <c r="H199" s="7" t="str">
        <f>CONCATENATE("04240282592")</f>
        <v>04240282592</v>
      </c>
      <c r="I199" s="7" t="s">
        <v>30</v>
      </c>
      <c r="J199" s="7" t="s">
        <v>31</v>
      </c>
      <c r="K199" s="7" t="str">
        <f>CONCATENATE("")</f>
        <v/>
      </c>
      <c r="L199" s="7" t="str">
        <f>CONCATENATE("10 10.1 4b")</f>
        <v>10 10.1 4b</v>
      </c>
      <c r="M199" s="7" t="str">
        <f>CONCATENATE("VGNMSM68E27G516C")</f>
        <v>VGNMSM68E27G516C</v>
      </c>
      <c r="N199" s="7" t="s">
        <v>301</v>
      </c>
      <c r="O199" s="7" t="s">
        <v>255</v>
      </c>
      <c r="P199" s="8">
        <v>44321</v>
      </c>
      <c r="Q199" s="7" t="s">
        <v>32</v>
      </c>
      <c r="R199" s="7" t="s">
        <v>33</v>
      </c>
      <c r="S199" s="7" t="s">
        <v>34</v>
      </c>
      <c r="T199" s="7"/>
      <c r="U199" s="7" t="s">
        <v>35</v>
      </c>
      <c r="V199" s="7">
        <v>522.20000000000005</v>
      </c>
      <c r="W199" s="7">
        <v>225.17</v>
      </c>
      <c r="X199" s="7">
        <v>207.94</v>
      </c>
      <c r="Y199" s="7">
        <v>0</v>
      </c>
      <c r="Z199" s="7">
        <v>89.09</v>
      </c>
    </row>
    <row r="200" spans="1:26" ht="17.5" x14ac:dyDescent="0.35">
      <c r="A200" s="7" t="s">
        <v>27</v>
      </c>
      <c r="B200" s="7" t="s">
        <v>36</v>
      </c>
      <c r="C200" s="7" t="s">
        <v>48</v>
      </c>
      <c r="D200" s="7" t="s">
        <v>56</v>
      </c>
      <c r="E200" s="7" t="s">
        <v>29</v>
      </c>
      <c r="F200" s="7" t="s">
        <v>106</v>
      </c>
      <c r="G200" s="7">
        <v>2020</v>
      </c>
      <c r="H200" s="7" t="str">
        <f>CONCATENATE("04240975823")</f>
        <v>04240975823</v>
      </c>
      <c r="I200" s="7" t="s">
        <v>39</v>
      </c>
      <c r="J200" s="7" t="s">
        <v>31</v>
      </c>
      <c r="K200" s="7" t="str">
        <f>CONCATENATE("")</f>
        <v/>
      </c>
      <c r="L200" s="7" t="str">
        <f>CONCATENATE("11 11.2 4b")</f>
        <v>11 11.2 4b</v>
      </c>
      <c r="M200" s="7" t="str">
        <f>CONCATENATE("02705020424")</f>
        <v>02705020424</v>
      </c>
      <c r="N200" s="7" t="s">
        <v>302</v>
      </c>
      <c r="O200" s="7" t="s">
        <v>268</v>
      </c>
      <c r="P200" s="8">
        <v>44321</v>
      </c>
      <c r="Q200" s="7" t="s">
        <v>32</v>
      </c>
      <c r="R200" s="7" t="s">
        <v>33</v>
      </c>
      <c r="S200" s="7" t="s">
        <v>34</v>
      </c>
      <c r="T200" s="7"/>
      <c r="U200" s="7" t="s">
        <v>35</v>
      </c>
      <c r="V200" s="7">
        <v>63.05</v>
      </c>
      <c r="W200" s="7">
        <v>27.19</v>
      </c>
      <c r="X200" s="7">
        <v>25.11</v>
      </c>
      <c r="Y200" s="7">
        <v>0</v>
      </c>
      <c r="Z200" s="7">
        <v>10.75</v>
      </c>
    </row>
    <row r="201" spans="1:26" ht="17.5" x14ac:dyDescent="0.35">
      <c r="A201" s="7" t="s">
        <v>27</v>
      </c>
      <c r="B201" s="7" t="s">
        <v>36</v>
      </c>
      <c r="C201" s="7" t="s">
        <v>48</v>
      </c>
      <c r="D201" s="7" t="s">
        <v>56</v>
      </c>
      <c r="E201" s="7" t="s">
        <v>29</v>
      </c>
      <c r="F201" s="7" t="s">
        <v>106</v>
      </c>
      <c r="G201" s="7">
        <v>2020</v>
      </c>
      <c r="H201" s="7" t="str">
        <f>CONCATENATE("04240976052")</f>
        <v>04240976052</v>
      </c>
      <c r="I201" s="7" t="s">
        <v>39</v>
      </c>
      <c r="J201" s="7" t="s">
        <v>31</v>
      </c>
      <c r="K201" s="7" t="str">
        <f>CONCATENATE("")</f>
        <v/>
      </c>
      <c r="L201" s="7" t="str">
        <f>CONCATENATE("11 11.1 4b")</f>
        <v>11 11.1 4b</v>
      </c>
      <c r="M201" s="7" t="str">
        <f>CONCATENATE("02705020424")</f>
        <v>02705020424</v>
      </c>
      <c r="N201" s="7" t="s">
        <v>302</v>
      </c>
      <c r="O201" s="7" t="s">
        <v>268</v>
      </c>
      <c r="P201" s="8">
        <v>44321</v>
      </c>
      <c r="Q201" s="7" t="s">
        <v>32</v>
      </c>
      <c r="R201" s="7" t="s">
        <v>33</v>
      </c>
      <c r="S201" s="7" t="s">
        <v>34</v>
      </c>
      <c r="T201" s="7"/>
      <c r="U201" s="7" t="s">
        <v>35</v>
      </c>
      <c r="V201" s="7">
        <v>269.72000000000003</v>
      </c>
      <c r="W201" s="7">
        <v>116.3</v>
      </c>
      <c r="X201" s="7">
        <v>107.4</v>
      </c>
      <c r="Y201" s="7">
        <v>0</v>
      </c>
      <c r="Z201" s="7">
        <v>46.02</v>
      </c>
    </row>
    <row r="202" spans="1:26" x14ac:dyDescent="0.35">
      <c r="A202" s="7" t="s">
        <v>27</v>
      </c>
      <c r="B202" s="7" t="s">
        <v>36</v>
      </c>
      <c r="C202" s="7" t="s">
        <v>48</v>
      </c>
      <c r="D202" s="7" t="s">
        <v>56</v>
      </c>
      <c r="E202" s="7" t="s">
        <v>40</v>
      </c>
      <c r="F202" s="7" t="s">
        <v>272</v>
      </c>
      <c r="G202" s="7">
        <v>2020</v>
      </c>
      <c r="H202" s="7" t="str">
        <f>CONCATENATE("04240785818")</f>
        <v>04240785818</v>
      </c>
      <c r="I202" s="7" t="s">
        <v>39</v>
      </c>
      <c r="J202" s="7" t="s">
        <v>31</v>
      </c>
      <c r="K202" s="7" t="str">
        <f>CONCATENATE("")</f>
        <v/>
      </c>
      <c r="L202" s="7" t="str">
        <f>CONCATENATE("11 11.1 4b")</f>
        <v>11 11.1 4b</v>
      </c>
      <c r="M202" s="7" t="str">
        <f>CONCATENATE("CRZDGI78L10G203Q")</f>
        <v>CRZDGI78L10G203Q</v>
      </c>
      <c r="N202" s="7" t="s">
        <v>303</v>
      </c>
      <c r="O202" s="7" t="s">
        <v>268</v>
      </c>
      <c r="P202" s="8">
        <v>44321</v>
      </c>
      <c r="Q202" s="7" t="s">
        <v>32</v>
      </c>
      <c r="R202" s="7" t="s">
        <v>33</v>
      </c>
      <c r="S202" s="7" t="s">
        <v>34</v>
      </c>
      <c r="T202" s="7"/>
      <c r="U202" s="7" t="s">
        <v>35</v>
      </c>
      <c r="V202" s="7">
        <v>329</v>
      </c>
      <c r="W202" s="7">
        <v>141.86000000000001</v>
      </c>
      <c r="X202" s="7">
        <v>131.01</v>
      </c>
      <c r="Y202" s="7">
        <v>0</v>
      </c>
      <c r="Z202" s="7">
        <v>56.13</v>
      </c>
    </row>
    <row r="203" spans="1:26" x14ac:dyDescent="0.35">
      <c r="A203" s="7" t="s">
        <v>27</v>
      </c>
      <c r="B203" s="7" t="s">
        <v>36</v>
      </c>
      <c r="C203" s="7" t="s">
        <v>48</v>
      </c>
      <c r="D203" s="7" t="s">
        <v>56</v>
      </c>
      <c r="E203" s="7" t="s">
        <v>40</v>
      </c>
      <c r="F203" s="7" t="s">
        <v>272</v>
      </c>
      <c r="G203" s="7">
        <v>2020</v>
      </c>
      <c r="H203" s="7" t="str">
        <f>CONCATENATE("04240785479")</f>
        <v>04240785479</v>
      </c>
      <c r="I203" s="7" t="s">
        <v>39</v>
      </c>
      <c r="J203" s="7" t="s">
        <v>31</v>
      </c>
      <c r="K203" s="7" t="str">
        <f>CONCATENATE("")</f>
        <v/>
      </c>
      <c r="L203" s="7" t="str">
        <f>CONCATENATE("11 11.2 4b")</f>
        <v>11 11.2 4b</v>
      </c>
      <c r="M203" s="7" t="str">
        <f>CONCATENATE("CRZDGI78L10G203Q")</f>
        <v>CRZDGI78L10G203Q</v>
      </c>
      <c r="N203" s="7" t="s">
        <v>303</v>
      </c>
      <c r="O203" s="7" t="s">
        <v>268</v>
      </c>
      <c r="P203" s="8">
        <v>44321</v>
      </c>
      <c r="Q203" s="7" t="s">
        <v>32</v>
      </c>
      <c r="R203" s="7" t="s">
        <v>33</v>
      </c>
      <c r="S203" s="7" t="s">
        <v>34</v>
      </c>
      <c r="T203" s="7"/>
      <c r="U203" s="7" t="s">
        <v>35</v>
      </c>
      <c r="V203" s="9">
        <v>1637.7</v>
      </c>
      <c r="W203" s="7">
        <v>706.18</v>
      </c>
      <c r="X203" s="7">
        <v>652.13</v>
      </c>
      <c r="Y203" s="7">
        <v>0</v>
      </c>
      <c r="Z203" s="7">
        <v>279.39</v>
      </c>
    </row>
    <row r="204" spans="1:26" x14ac:dyDescent="0.35">
      <c r="A204" s="7" t="s">
        <v>27</v>
      </c>
      <c r="B204" s="7" t="s">
        <v>36</v>
      </c>
      <c r="C204" s="7" t="s">
        <v>48</v>
      </c>
      <c r="D204" s="7" t="s">
        <v>56</v>
      </c>
      <c r="E204" s="7" t="s">
        <v>29</v>
      </c>
      <c r="F204" s="7" t="s">
        <v>113</v>
      </c>
      <c r="G204" s="7">
        <v>2020</v>
      </c>
      <c r="H204" s="7" t="str">
        <f>CONCATENATE("04240463929")</f>
        <v>04240463929</v>
      </c>
      <c r="I204" s="7" t="s">
        <v>39</v>
      </c>
      <c r="J204" s="7" t="s">
        <v>31</v>
      </c>
      <c r="K204" s="7" t="str">
        <f>CONCATENATE("")</f>
        <v/>
      </c>
      <c r="L204" s="7" t="str">
        <f>CONCATENATE("11 11.2 4b")</f>
        <v>11 11.2 4b</v>
      </c>
      <c r="M204" s="7" t="str">
        <f>CONCATENATE("PRRRLD60D19C524S")</f>
        <v>PRRRLD60D19C524S</v>
      </c>
      <c r="N204" s="7" t="s">
        <v>304</v>
      </c>
      <c r="O204" s="7" t="s">
        <v>268</v>
      </c>
      <c r="P204" s="8">
        <v>44321</v>
      </c>
      <c r="Q204" s="7" t="s">
        <v>32</v>
      </c>
      <c r="R204" s="7" t="s">
        <v>33</v>
      </c>
      <c r="S204" s="7" t="s">
        <v>34</v>
      </c>
      <c r="T204" s="7"/>
      <c r="U204" s="7" t="s">
        <v>35</v>
      </c>
      <c r="V204" s="7">
        <v>178.37</v>
      </c>
      <c r="W204" s="7">
        <v>76.91</v>
      </c>
      <c r="X204" s="7">
        <v>71.03</v>
      </c>
      <c r="Y204" s="7">
        <v>0</v>
      </c>
      <c r="Z204" s="7">
        <v>30.43</v>
      </c>
    </row>
    <row r="205" spans="1:26" x14ac:dyDescent="0.35">
      <c r="A205" s="7" t="s">
        <v>27</v>
      </c>
      <c r="B205" s="7" t="s">
        <v>36</v>
      </c>
      <c r="C205" s="7" t="s">
        <v>48</v>
      </c>
      <c r="D205" s="7" t="s">
        <v>56</v>
      </c>
      <c r="E205" s="7" t="s">
        <v>40</v>
      </c>
      <c r="F205" s="7" t="s">
        <v>272</v>
      </c>
      <c r="G205" s="7">
        <v>2020</v>
      </c>
      <c r="H205" s="7" t="str">
        <f>CONCATENATE("04240210338")</f>
        <v>04240210338</v>
      </c>
      <c r="I205" s="7" t="s">
        <v>30</v>
      </c>
      <c r="J205" s="7" t="s">
        <v>31</v>
      </c>
      <c r="K205" s="7" t="str">
        <f>CONCATENATE("")</f>
        <v/>
      </c>
      <c r="L205" s="7" t="str">
        <f>CONCATENATE("11 11.1 4b")</f>
        <v>11 11.1 4b</v>
      </c>
      <c r="M205" s="7" t="str">
        <f>CONCATENATE("02519260422")</f>
        <v>02519260422</v>
      </c>
      <c r="N205" s="7" t="s">
        <v>305</v>
      </c>
      <c r="O205" s="7" t="s">
        <v>268</v>
      </c>
      <c r="P205" s="8">
        <v>44321</v>
      </c>
      <c r="Q205" s="7" t="s">
        <v>32</v>
      </c>
      <c r="R205" s="7" t="s">
        <v>33</v>
      </c>
      <c r="S205" s="7" t="s">
        <v>34</v>
      </c>
      <c r="T205" s="7"/>
      <c r="U205" s="7" t="s">
        <v>35</v>
      </c>
      <c r="V205" s="9">
        <v>2191.5</v>
      </c>
      <c r="W205" s="7">
        <v>944.97</v>
      </c>
      <c r="X205" s="7">
        <v>872.66</v>
      </c>
      <c r="Y205" s="7">
        <v>0</v>
      </c>
      <c r="Z205" s="7">
        <v>373.87</v>
      </c>
    </row>
    <row r="206" spans="1:26" x14ac:dyDescent="0.35">
      <c r="A206" s="7" t="s">
        <v>27</v>
      </c>
      <c r="B206" s="7" t="s">
        <v>36</v>
      </c>
      <c r="C206" s="7" t="s">
        <v>48</v>
      </c>
      <c r="D206" s="7" t="s">
        <v>56</v>
      </c>
      <c r="E206" s="7" t="s">
        <v>40</v>
      </c>
      <c r="F206" s="7" t="s">
        <v>272</v>
      </c>
      <c r="G206" s="7">
        <v>2020</v>
      </c>
      <c r="H206" s="7" t="str">
        <f>CONCATENATE("04240874612")</f>
        <v>04240874612</v>
      </c>
      <c r="I206" s="7" t="s">
        <v>39</v>
      </c>
      <c r="J206" s="7" t="s">
        <v>31</v>
      </c>
      <c r="K206" s="7" t="str">
        <f>CONCATENATE("")</f>
        <v/>
      </c>
      <c r="L206" s="7" t="str">
        <f>CONCATENATE("11 11.2 4b")</f>
        <v>11 11.2 4b</v>
      </c>
      <c r="M206" s="7" t="str">
        <f>CONCATENATE("CRZGMR87H18E388F")</f>
        <v>CRZGMR87H18E388F</v>
      </c>
      <c r="N206" s="7" t="s">
        <v>306</v>
      </c>
      <c r="O206" s="7" t="s">
        <v>268</v>
      </c>
      <c r="P206" s="8">
        <v>44321</v>
      </c>
      <c r="Q206" s="7" t="s">
        <v>32</v>
      </c>
      <c r="R206" s="7" t="s">
        <v>33</v>
      </c>
      <c r="S206" s="7" t="s">
        <v>34</v>
      </c>
      <c r="T206" s="7"/>
      <c r="U206" s="7" t="s">
        <v>35</v>
      </c>
      <c r="V206" s="7">
        <v>312.75</v>
      </c>
      <c r="W206" s="7">
        <v>134.86000000000001</v>
      </c>
      <c r="X206" s="7">
        <v>124.54</v>
      </c>
      <c r="Y206" s="7">
        <v>0</v>
      </c>
      <c r="Z206" s="7">
        <v>53.35</v>
      </c>
    </row>
    <row r="207" spans="1:26" x14ac:dyDescent="0.35">
      <c r="A207" s="7" t="s">
        <v>27</v>
      </c>
      <c r="B207" s="7" t="s">
        <v>36</v>
      </c>
      <c r="C207" s="7" t="s">
        <v>48</v>
      </c>
      <c r="D207" s="7" t="s">
        <v>56</v>
      </c>
      <c r="E207" s="7" t="s">
        <v>29</v>
      </c>
      <c r="F207" s="7" t="s">
        <v>113</v>
      </c>
      <c r="G207" s="7">
        <v>2020</v>
      </c>
      <c r="H207" s="7" t="str">
        <f>CONCATENATE("04240540403")</f>
        <v>04240540403</v>
      </c>
      <c r="I207" s="7" t="s">
        <v>30</v>
      </c>
      <c r="J207" s="7" t="s">
        <v>31</v>
      </c>
      <c r="K207" s="7" t="str">
        <f>CONCATENATE("")</f>
        <v/>
      </c>
      <c r="L207" s="7" t="str">
        <f>CONCATENATE("11 11.2 4b")</f>
        <v>11 11.2 4b</v>
      </c>
      <c r="M207" s="7" t="str">
        <f>CONCATENATE("02293460420")</f>
        <v>02293460420</v>
      </c>
      <c r="N207" s="7" t="s">
        <v>307</v>
      </c>
      <c r="O207" s="7" t="s">
        <v>268</v>
      </c>
      <c r="P207" s="8">
        <v>44321</v>
      </c>
      <c r="Q207" s="7" t="s">
        <v>32</v>
      </c>
      <c r="R207" s="7" t="s">
        <v>33</v>
      </c>
      <c r="S207" s="7" t="s">
        <v>34</v>
      </c>
      <c r="T207" s="7"/>
      <c r="U207" s="7" t="s">
        <v>35</v>
      </c>
      <c r="V207" s="9">
        <v>4094.7</v>
      </c>
      <c r="W207" s="9">
        <v>1765.63</v>
      </c>
      <c r="X207" s="9">
        <v>1630.51</v>
      </c>
      <c r="Y207" s="7">
        <v>0</v>
      </c>
      <c r="Z207" s="7">
        <v>698.56</v>
      </c>
    </row>
    <row r="208" spans="1:26" x14ac:dyDescent="0.35">
      <c r="A208" s="7" t="s">
        <v>27</v>
      </c>
      <c r="B208" s="7" t="s">
        <v>36</v>
      </c>
      <c r="C208" s="7" t="s">
        <v>48</v>
      </c>
      <c r="D208" s="7" t="s">
        <v>56</v>
      </c>
      <c r="E208" s="7" t="s">
        <v>29</v>
      </c>
      <c r="F208" s="7" t="s">
        <v>113</v>
      </c>
      <c r="G208" s="7">
        <v>2020</v>
      </c>
      <c r="H208" s="7" t="str">
        <f>CONCATENATE("04240186355")</f>
        <v>04240186355</v>
      </c>
      <c r="I208" s="7" t="s">
        <v>30</v>
      </c>
      <c r="J208" s="7" t="s">
        <v>31</v>
      </c>
      <c r="K208" s="7" t="str">
        <f>CONCATENATE("")</f>
        <v/>
      </c>
      <c r="L208" s="7" t="str">
        <f>CONCATENATE("11 11.1 4b")</f>
        <v>11 11.1 4b</v>
      </c>
      <c r="M208" s="7" t="str">
        <f>CONCATENATE("BRTFLV45C31D451W")</f>
        <v>BRTFLV45C31D451W</v>
      </c>
      <c r="N208" s="7" t="s">
        <v>308</v>
      </c>
      <c r="O208" s="7" t="s">
        <v>268</v>
      </c>
      <c r="P208" s="8">
        <v>44321</v>
      </c>
      <c r="Q208" s="7" t="s">
        <v>32</v>
      </c>
      <c r="R208" s="7" t="s">
        <v>33</v>
      </c>
      <c r="S208" s="7" t="s">
        <v>34</v>
      </c>
      <c r="T208" s="7"/>
      <c r="U208" s="7" t="s">
        <v>35</v>
      </c>
      <c r="V208" s="9">
        <v>13130.61</v>
      </c>
      <c r="W208" s="9">
        <v>5661.92</v>
      </c>
      <c r="X208" s="9">
        <v>5228.6099999999997</v>
      </c>
      <c r="Y208" s="7">
        <v>0</v>
      </c>
      <c r="Z208" s="9">
        <v>2240.08</v>
      </c>
    </row>
    <row r="209" spans="1:26" x14ac:dyDescent="0.35">
      <c r="A209" s="7" t="s">
        <v>27</v>
      </c>
      <c r="B209" s="7" t="s">
        <v>36</v>
      </c>
      <c r="C209" s="7" t="s">
        <v>48</v>
      </c>
      <c r="D209" s="7" t="s">
        <v>59</v>
      </c>
      <c r="E209" s="7" t="s">
        <v>29</v>
      </c>
      <c r="F209" s="7" t="s">
        <v>68</v>
      </c>
      <c r="G209" s="7">
        <v>2020</v>
      </c>
      <c r="H209" s="7" t="str">
        <f>CONCATENATE("04240019424")</f>
        <v>04240019424</v>
      </c>
      <c r="I209" s="7" t="s">
        <v>30</v>
      </c>
      <c r="J209" s="7" t="s">
        <v>31</v>
      </c>
      <c r="K209" s="7" t="str">
        <f>CONCATENATE("")</f>
        <v/>
      </c>
      <c r="L209" s="7" t="str">
        <f>CONCATENATE("11 11.2 4b")</f>
        <v>11 11.2 4b</v>
      </c>
      <c r="M209" s="7" t="str">
        <f>CONCATENATE("MTTLVN48P48L500X")</f>
        <v>MTTLVN48P48L500X</v>
      </c>
      <c r="N209" s="7" t="s">
        <v>309</v>
      </c>
      <c r="O209" s="7" t="s">
        <v>268</v>
      </c>
      <c r="P209" s="8">
        <v>44321</v>
      </c>
      <c r="Q209" s="7" t="s">
        <v>32</v>
      </c>
      <c r="R209" s="7" t="s">
        <v>33</v>
      </c>
      <c r="S209" s="7" t="s">
        <v>34</v>
      </c>
      <c r="T209" s="7"/>
      <c r="U209" s="7" t="s">
        <v>35</v>
      </c>
      <c r="V209" s="9">
        <v>1283.3399999999999</v>
      </c>
      <c r="W209" s="7">
        <v>553.38</v>
      </c>
      <c r="X209" s="7">
        <v>511.03</v>
      </c>
      <c r="Y209" s="7">
        <v>0</v>
      </c>
      <c r="Z209" s="7">
        <v>218.93</v>
      </c>
    </row>
    <row r="210" spans="1:26" x14ac:dyDescent="0.35">
      <c r="A210" s="7" t="s">
        <v>27</v>
      </c>
      <c r="B210" s="7" t="s">
        <v>36</v>
      </c>
      <c r="C210" s="7" t="s">
        <v>48</v>
      </c>
      <c r="D210" s="7" t="s">
        <v>56</v>
      </c>
      <c r="E210" s="7" t="s">
        <v>29</v>
      </c>
      <c r="F210" s="7" t="s">
        <v>113</v>
      </c>
      <c r="G210" s="7">
        <v>2020</v>
      </c>
      <c r="H210" s="7" t="str">
        <f>CONCATENATE("04240953101")</f>
        <v>04240953101</v>
      </c>
      <c r="I210" s="7" t="s">
        <v>30</v>
      </c>
      <c r="J210" s="7" t="s">
        <v>31</v>
      </c>
      <c r="K210" s="7" t="str">
        <f>CONCATENATE("")</f>
        <v/>
      </c>
      <c r="L210" s="7" t="str">
        <f>CONCATENATE("11 11.2 4b")</f>
        <v>11 11.2 4b</v>
      </c>
      <c r="M210" s="7" t="str">
        <f>CONCATENATE("02398370425")</f>
        <v>02398370425</v>
      </c>
      <c r="N210" s="7" t="s">
        <v>310</v>
      </c>
      <c r="O210" s="7" t="s">
        <v>268</v>
      </c>
      <c r="P210" s="8">
        <v>44321</v>
      </c>
      <c r="Q210" s="7" t="s">
        <v>32</v>
      </c>
      <c r="R210" s="7" t="s">
        <v>33</v>
      </c>
      <c r="S210" s="7" t="s">
        <v>34</v>
      </c>
      <c r="T210" s="7"/>
      <c r="U210" s="7" t="s">
        <v>35</v>
      </c>
      <c r="V210" s="7">
        <v>284.69</v>
      </c>
      <c r="W210" s="7">
        <v>122.76</v>
      </c>
      <c r="X210" s="7">
        <v>113.36</v>
      </c>
      <c r="Y210" s="7">
        <v>0</v>
      </c>
      <c r="Z210" s="7">
        <v>48.57</v>
      </c>
    </row>
    <row r="211" spans="1:26" x14ac:dyDescent="0.35">
      <c r="A211" s="7" t="s">
        <v>27</v>
      </c>
      <c r="B211" s="7" t="s">
        <v>36</v>
      </c>
      <c r="C211" s="7" t="s">
        <v>48</v>
      </c>
      <c r="D211" s="7" t="s">
        <v>56</v>
      </c>
      <c r="E211" s="7" t="s">
        <v>38</v>
      </c>
      <c r="F211" s="7" t="s">
        <v>269</v>
      </c>
      <c r="G211" s="7">
        <v>2020</v>
      </c>
      <c r="H211" s="7" t="str">
        <f>CONCATENATE("04210691871")</f>
        <v>04210691871</v>
      </c>
      <c r="I211" s="7" t="s">
        <v>39</v>
      </c>
      <c r="J211" s="7" t="s">
        <v>31</v>
      </c>
      <c r="K211" s="7" t="str">
        <f>CONCATENATE("")</f>
        <v/>
      </c>
      <c r="L211" s="7" t="str">
        <f>CONCATENATE("13 13.1 4a")</f>
        <v>13 13.1 4a</v>
      </c>
      <c r="M211" s="7" t="str">
        <f>CONCATENATE("GBRLNZ93C07D451N")</f>
        <v>GBRLNZ93C07D451N</v>
      </c>
      <c r="N211" s="7" t="s">
        <v>311</v>
      </c>
      <c r="O211" s="7" t="s">
        <v>249</v>
      </c>
      <c r="P211" s="8">
        <v>44321</v>
      </c>
      <c r="Q211" s="7" t="s">
        <v>32</v>
      </c>
      <c r="R211" s="7" t="s">
        <v>33</v>
      </c>
      <c r="S211" s="7" t="s">
        <v>34</v>
      </c>
      <c r="T211" s="7"/>
      <c r="U211" s="7" t="s">
        <v>35</v>
      </c>
      <c r="V211" s="7">
        <v>537.65</v>
      </c>
      <c r="W211" s="7">
        <v>231.83</v>
      </c>
      <c r="X211" s="7">
        <v>214.09</v>
      </c>
      <c r="Y211" s="7">
        <v>0</v>
      </c>
      <c r="Z211" s="7">
        <v>91.73</v>
      </c>
    </row>
    <row r="212" spans="1:26" x14ac:dyDescent="0.35">
      <c r="A212" s="7" t="s">
        <v>27</v>
      </c>
      <c r="B212" s="7" t="s">
        <v>36</v>
      </c>
      <c r="C212" s="7" t="s">
        <v>48</v>
      </c>
      <c r="D212" s="7" t="s">
        <v>56</v>
      </c>
      <c r="E212" s="7" t="s">
        <v>29</v>
      </c>
      <c r="F212" s="7" t="s">
        <v>128</v>
      </c>
      <c r="G212" s="7">
        <v>2020</v>
      </c>
      <c r="H212" s="7" t="str">
        <f>CONCATENATE("04210769065")</f>
        <v>04210769065</v>
      </c>
      <c r="I212" s="7" t="s">
        <v>39</v>
      </c>
      <c r="J212" s="7" t="s">
        <v>31</v>
      </c>
      <c r="K212" s="7" t="str">
        <f>CONCATENATE("")</f>
        <v/>
      </c>
      <c r="L212" s="7" t="str">
        <f>CONCATENATE("13 13.1 4a")</f>
        <v>13 13.1 4a</v>
      </c>
      <c r="M212" s="7" t="str">
        <f>CONCATENATE("MLTFNC55P13D965M")</f>
        <v>MLTFNC55P13D965M</v>
      </c>
      <c r="N212" s="7" t="s">
        <v>312</v>
      </c>
      <c r="O212" s="7" t="s">
        <v>249</v>
      </c>
      <c r="P212" s="8">
        <v>44321</v>
      </c>
      <c r="Q212" s="7" t="s">
        <v>32</v>
      </c>
      <c r="R212" s="7" t="s">
        <v>33</v>
      </c>
      <c r="S212" s="7" t="s">
        <v>34</v>
      </c>
      <c r="T212" s="7"/>
      <c r="U212" s="7" t="s">
        <v>35</v>
      </c>
      <c r="V212" s="7">
        <v>205.53</v>
      </c>
      <c r="W212" s="7">
        <v>88.62</v>
      </c>
      <c r="X212" s="7">
        <v>81.84</v>
      </c>
      <c r="Y212" s="7">
        <v>0</v>
      </c>
      <c r="Z212" s="7">
        <v>35.07</v>
      </c>
    </row>
    <row r="213" spans="1:26" x14ac:dyDescent="0.35">
      <c r="A213" s="7" t="s">
        <v>27</v>
      </c>
      <c r="B213" s="7" t="s">
        <v>36</v>
      </c>
      <c r="C213" s="7" t="s">
        <v>48</v>
      </c>
      <c r="D213" s="7" t="s">
        <v>56</v>
      </c>
      <c r="E213" s="7" t="s">
        <v>29</v>
      </c>
      <c r="F213" s="7" t="s">
        <v>128</v>
      </c>
      <c r="G213" s="7">
        <v>2020</v>
      </c>
      <c r="H213" s="7" t="str">
        <f>CONCATENATE("04240023376")</f>
        <v>04240023376</v>
      </c>
      <c r="I213" s="7" t="s">
        <v>30</v>
      </c>
      <c r="J213" s="7" t="s">
        <v>31</v>
      </c>
      <c r="K213" s="7" t="str">
        <f>CONCATENATE("")</f>
        <v/>
      </c>
      <c r="L213" s="7" t="str">
        <f>CONCATENATE("11 11.1 4b")</f>
        <v>11 11.1 4b</v>
      </c>
      <c r="M213" s="7" t="str">
        <f>CONCATENATE("SPRMVN54E71D211I")</f>
        <v>SPRMVN54E71D211I</v>
      </c>
      <c r="N213" s="7" t="s">
        <v>313</v>
      </c>
      <c r="O213" s="7" t="s">
        <v>268</v>
      </c>
      <c r="P213" s="8">
        <v>44321</v>
      </c>
      <c r="Q213" s="7" t="s">
        <v>32</v>
      </c>
      <c r="R213" s="7" t="s">
        <v>33</v>
      </c>
      <c r="S213" s="7" t="s">
        <v>34</v>
      </c>
      <c r="T213" s="7"/>
      <c r="U213" s="7" t="s">
        <v>35</v>
      </c>
      <c r="V213" s="9">
        <v>4547.29</v>
      </c>
      <c r="W213" s="9">
        <v>1960.79</v>
      </c>
      <c r="X213" s="9">
        <v>1810.73</v>
      </c>
      <c r="Y213" s="7">
        <v>0</v>
      </c>
      <c r="Z213" s="7">
        <v>775.77</v>
      </c>
    </row>
    <row r="214" spans="1:26" x14ac:dyDescent="0.35">
      <c r="A214" s="7" t="s">
        <v>27</v>
      </c>
      <c r="B214" s="7" t="s">
        <v>36</v>
      </c>
      <c r="C214" s="7" t="s">
        <v>48</v>
      </c>
      <c r="D214" s="7" t="s">
        <v>56</v>
      </c>
      <c r="E214" s="7" t="s">
        <v>29</v>
      </c>
      <c r="F214" s="7" t="s">
        <v>106</v>
      </c>
      <c r="G214" s="7">
        <v>2020</v>
      </c>
      <c r="H214" s="7" t="str">
        <f>CONCATENATE("04240208670")</f>
        <v>04240208670</v>
      </c>
      <c r="I214" s="7" t="s">
        <v>30</v>
      </c>
      <c r="J214" s="7" t="s">
        <v>31</v>
      </c>
      <c r="K214" s="7" t="str">
        <f>CONCATENATE("")</f>
        <v/>
      </c>
      <c r="L214" s="7" t="str">
        <f>CONCATENATE("11 11.2 4b")</f>
        <v>11 11.2 4b</v>
      </c>
      <c r="M214" s="7" t="str">
        <f>CONCATENATE("00490560422")</f>
        <v>00490560422</v>
      </c>
      <c r="N214" s="7" t="s">
        <v>314</v>
      </c>
      <c r="O214" s="7" t="s">
        <v>268</v>
      </c>
      <c r="P214" s="8">
        <v>44321</v>
      </c>
      <c r="Q214" s="7" t="s">
        <v>32</v>
      </c>
      <c r="R214" s="7" t="s">
        <v>33</v>
      </c>
      <c r="S214" s="7" t="s">
        <v>34</v>
      </c>
      <c r="T214" s="7"/>
      <c r="U214" s="7" t="s">
        <v>35</v>
      </c>
      <c r="V214" s="9">
        <v>2251.6</v>
      </c>
      <c r="W214" s="7">
        <v>970.89</v>
      </c>
      <c r="X214" s="7">
        <v>896.59</v>
      </c>
      <c r="Y214" s="7">
        <v>0</v>
      </c>
      <c r="Z214" s="7">
        <v>384.12</v>
      </c>
    </row>
    <row r="215" spans="1:26" x14ac:dyDescent="0.35">
      <c r="A215" s="7" t="s">
        <v>27</v>
      </c>
      <c r="B215" s="7" t="s">
        <v>36</v>
      </c>
      <c r="C215" s="7" t="s">
        <v>48</v>
      </c>
      <c r="D215" s="7" t="s">
        <v>59</v>
      </c>
      <c r="E215" s="7" t="s">
        <v>44</v>
      </c>
      <c r="F215" s="7" t="s">
        <v>315</v>
      </c>
      <c r="G215" s="7">
        <v>2020</v>
      </c>
      <c r="H215" s="7" t="str">
        <f>CONCATENATE("04240880999")</f>
        <v>04240880999</v>
      </c>
      <c r="I215" s="7" t="s">
        <v>30</v>
      </c>
      <c r="J215" s="7" t="s">
        <v>31</v>
      </c>
      <c r="K215" s="7" t="str">
        <f>CONCATENATE("")</f>
        <v/>
      </c>
      <c r="L215" s="7" t="str">
        <f>CONCATENATE("11 11.2 4b")</f>
        <v>11 11.2 4b</v>
      </c>
      <c r="M215" s="7" t="str">
        <f>CONCATENATE("02686020419")</f>
        <v>02686020419</v>
      </c>
      <c r="N215" s="7" t="s">
        <v>316</v>
      </c>
      <c r="O215" s="7" t="s">
        <v>268</v>
      </c>
      <c r="P215" s="8">
        <v>44321</v>
      </c>
      <c r="Q215" s="7" t="s">
        <v>32</v>
      </c>
      <c r="R215" s="7" t="s">
        <v>33</v>
      </c>
      <c r="S215" s="7" t="s">
        <v>34</v>
      </c>
      <c r="T215" s="7"/>
      <c r="U215" s="7" t="s">
        <v>35</v>
      </c>
      <c r="V215" s="7">
        <v>299.26</v>
      </c>
      <c r="W215" s="7">
        <v>129.04</v>
      </c>
      <c r="X215" s="7">
        <v>119.17</v>
      </c>
      <c r="Y215" s="7">
        <v>0</v>
      </c>
      <c r="Z215" s="7">
        <v>51.05</v>
      </c>
    </row>
    <row r="216" spans="1:26" x14ac:dyDescent="0.35">
      <c r="A216" s="7" t="s">
        <v>27</v>
      </c>
      <c r="B216" s="7" t="s">
        <v>36</v>
      </c>
      <c r="C216" s="7" t="s">
        <v>48</v>
      </c>
      <c r="D216" s="7" t="s">
        <v>59</v>
      </c>
      <c r="E216" s="7" t="s">
        <v>29</v>
      </c>
      <c r="F216" s="7" t="s">
        <v>317</v>
      </c>
      <c r="G216" s="7">
        <v>2020</v>
      </c>
      <c r="H216" s="7" t="str">
        <f>CONCATENATE("04240926941")</f>
        <v>04240926941</v>
      </c>
      <c r="I216" s="7" t="s">
        <v>30</v>
      </c>
      <c r="J216" s="7" t="s">
        <v>31</v>
      </c>
      <c r="K216" s="7" t="str">
        <f>CONCATENATE("")</f>
        <v/>
      </c>
      <c r="L216" s="7" t="str">
        <f>CONCATENATE("11 11.2 4b")</f>
        <v>11 11.2 4b</v>
      </c>
      <c r="M216" s="7" t="str">
        <f>CONCATENATE("STRDVD92A26L500R")</f>
        <v>STRDVD92A26L500R</v>
      </c>
      <c r="N216" s="7" t="s">
        <v>318</v>
      </c>
      <c r="O216" s="7" t="s">
        <v>268</v>
      </c>
      <c r="P216" s="8">
        <v>44321</v>
      </c>
      <c r="Q216" s="7" t="s">
        <v>32</v>
      </c>
      <c r="R216" s="7" t="s">
        <v>33</v>
      </c>
      <c r="S216" s="7" t="s">
        <v>34</v>
      </c>
      <c r="T216" s="7"/>
      <c r="U216" s="7" t="s">
        <v>35</v>
      </c>
      <c r="V216" s="7">
        <v>129.59</v>
      </c>
      <c r="W216" s="7">
        <v>55.88</v>
      </c>
      <c r="X216" s="7">
        <v>51.6</v>
      </c>
      <c r="Y216" s="7">
        <v>0</v>
      </c>
      <c r="Z216" s="7">
        <v>22.11</v>
      </c>
    </row>
    <row r="217" spans="1:26" x14ac:dyDescent="0.35">
      <c r="A217" s="7" t="s">
        <v>27</v>
      </c>
      <c r="B217" s="7" t="s">
        <v>36</v>
      </c>
      <c r="C217" s="7" t="s">
        <v>48</v>
      </c>
      <c r="D217" s="7" t="s">
        <v>59</v>
      </c>
      <c r="E217" s="7" t="s">
        <v>29</v>
      </c>
      <c r="F217" s="7" t="s">
        <v>173</v>
      </c>
      <c r="G217" s="7">
        <v>2020</v>
      </c>
      <c r="H217" s="7" t="str">
        <f>CONCATENATE("04240075186")</f>
        <v>04240075186</v>
      </c>
      <c r="I217" s="7" t="s">
        <v>30</v>
      </c>
      <c r="J217" s="7" t="s">
        <v>31</v>
      </c>
      <c r="K217" s="7" t="str">
        <f>CONCATENATE("")</f>
        <v/>
      </c>
      <c r="L217" s="7" t="str">
        <f>CONCATENATE("11 11.1 4b")</f>
        <v>11 11.1 4b</v>
      </c>
      <c r="M217" s="7" t="str">
        <f>CONCATENATE("CCHSFN63R25D488S")</f>
        <v>CCHSFN63R25D488S</v>
      </c>
      <c r="N217" s="7" t="s">
        <v>319</v>
      </c>
      <c r="O217" s="7" t="s">
        <v>268</v>
      </c>
      <c r="P217" s="8">
        <v>44321</v>
      </c>
      <c r="Q217" s="7" t="s">
        <v>32</v>
      </c>
      <c r="R217" s="7" t="s">
        <v>33</v>
      </c>
      <c r="S217" s="7" t="s">
        <v>34</v>
      </c>
      <c r="T217" s="7"/>
      <c r="U217" s="7" t="s">
        <v>35</v>
      </c>
      <c r="V217" s="7">
        <v>651.76</v>
      </c>
      <c r="W217" s="7">
        <v>281.04000000000002</v>
      </c>
      <c r="X217" s="7">
        <v>259.52999999999997</v>
      </c>
      <c r="Y217" s="7">
        <v>0</v>
      </c>
      <c r="Z217" s="7">
        <v>111.19</v>
      </c>
    </row>
    <row r="218" spans="1:26" x14ac:dyDescent="0.35">
      <c r="A218" s="7" t="s">
        <v>27</v>
      </c>
      <c r="B218" s="7" t="s">
        <v>36</v>
      </c>
      <c r="C218" s="7" t="s">
        <v>48</v>
      </c>
      <c r="D218" s="7" t="s">
        <v>59</v>
      </c>
      <c r="E218" s="7" t="s">
        <v>29</v>
      </c>
      <c r="F218" s="7" t="s">
        <v>68</v>
      </c>
      <c r="G218" s="7">
        <v>2020</v>
      </c>
      <c r="H218" s="7" t="str">
        <f>CONCATENATE("04240484032")</f>
        <v>04240484032</v>
      </c>
      <c r="I218" s="7" t="s">
        <v>30</v>
      </c>
      <c r="J218" s="7" t="s">
        <v>31</v>
      </c>
      <c r="K218" s="7" t="str">
        <f>CONCATENATE("")</f>
        <v/>
      </c>
      <c r="L218" s="7" t="str">
        <f>CONCATENATE("11 11.1 4b")</f>
        <v>11 11.1 4b</v>
      </c>
      <c r="M218" s="7" t="str">
        <f>CONCATENATE("PLZFRZ56M19D541Y")</f>
        <v>PLZFRZ56M19D541Y</v>
      </c>
      <c r="N218" s="7" t="s">
        <v>320</v>
      </c>
      <c r="O218" s="7" t="s">
        <v>268</v>
      </c>
      <c r="P218" s="8">
        <v>44321</v>
      </c>
      <c r="Q218" s="7" t="s">
        <v>32</v>
      </c>
      <c r="R218" s="7" t="s">
        <v>33</v>
      </c>
      <c r="S218" s="7" t="s">
        <v>34</v>
      </c>
      <c r="T218" s="7"/>
      <c r="U218" s="7" t="s">
        <v>35</v>
      </c>
      <c r="V218" s="7">
        <v>300.5</v>
      </c>
      <c r="W218" s="7">
        <v>129.58000000000001</v>
      </c>
      <c r="X218" s="7">
        <v>119.66</v>
      </c>
      <c r="Y218" s="7">
        <v>0</v>
      </c>
      <c r="Z218" s="7">
        <v>51.26</v>
      </c>
    </row>
    <row r="219" spans="1:26" x14ac:dyDescent="0.35">
      <c r="A219" s="7" t="s">
        <v>27</v>
      </c>
      <c r="B219" s="7" t="s">
        <v>36</v>
      </c>
      <c r="C219" s="7" t="s">
        <v>48</v>
      </c>
      <c r="D219" s="7" t="s">
        <v>59</v>
      </c>
      <c r="E219" s="7" t="s">
        <v>29</v>
      </c>
      <c r="F219" s="7" t="s">
        <v>195</v>
      </c>
      <c r="G219" s="7">
        <v>2020</v>
      </c>
      <c r="H219" s="7" t="str">
        <f>CONCATENATE("04240545428")</f>
        <v>04240545428</v>
      </c>
      <c r="I219" s="7" t="s">
        <v>30</v>
      </c>
      <c r="J219" s="7" t="s">
        <v>31</v>
      </c>
      <c r="K219" s="7" t="str">
        <f>CONCATENATE("")</f>
        <v/>
      </c>
      <c r="L219" s="7" t="str">
        <f>CONCATENATE("11 11.1 4b")</f>
        <v>11 11.1 4b</v>
      </c>
      <c r="M219" s="7" t="str">
        <f>CONCATENATE("GLNCLD61E10F135Z")</f>
        <v>GLNCLD61E10F135Z</v>
      </c>
      <c r="N219" s="7" t="s">
        <v>321</v>
      </c>
      <c r="O219" s="7" t="s">
        <v>268</v>
      </c>
      <c r="P219" s="8">
        <v>44321</v>
      </c>
      <c r="Q219" s="7" t="s">
        <v>32</v>
      </c>
      <c r="R219" s="7" t="s">
        <v>33</v>
      </c>
      <c r="S219" s="7" t="s">
        <v>34</v>
      </c>
      <c r="T219" s="7"/>
      <c r="U219" s="7" t="s">
        <v>35</v>
      </c>
      <c r="V219" s="9">
        <v>3942.43</v>
      </c>
      <c r="W219" s="9">
        <v>1699.98</v>
      </c>
      <c r="X219" s="9">
        <v>1569.88</v>
      </c>
      <c r="Y219" s="7">
        <v>0</v>
      </c>
      <c r="Z219" s="7">
        <v>672.57</v>
      </c>
    </row>
    <row r="220" spans="1:26" x14ac:dyDescent="0.35">
      <c r="A220" s="7" t="s">
        <v>27</v>
      </c>
      <c r="B220" s="7" t="s">
        <v>36</v>
      </c>
      <c r="C220" s="7" t="s">
        <v>48</v>
      </c>
      <c r="D220" s="7" t="s">
        <v>59</v>
      </c>
      <c r="E220" s="7" t="s">
        <v>29</v>
      </c>
      <c r="F220" s="7" t="s">
        <v>121</v>
      </c>
      <c r="G220" s="7">
        <v>2020</v>
      </c>
      <c r="H220" s="7" t="str">
        <f>CONCATENATE("04240786386")</f>
        <v>04240786386</v>
      </c>
      <c r="I220" s="7" t="s">
        <v>30</v>
      </c>
      <c r="J220" s="7" t="s">
        <v>31</v>
      </c>
      <c r="K220" s="7" t="str">
        <f>CONCATENATE("")</f>
        <v/>
      </c>
      <c r="L220" s="7" t="str">
        <f>CONCATENATE("11 11.2 4b")</f>
        <v>11 11.2 4b</v>
      </c>
      <c r="M220" s="7" t="str">
        <f>CONCATENATE("02392800419")</f>
        <v>02392800419</v>
      </c>
      <c r="N220" s="7" t="s">
        <v>322</v>
      </c>
      <c r="O220" s="7" t="s">
        <v>268</v>
      </c>
      <c r="P220" s="8">
        <v>44321</v>
      </c>
      <c r="Q220" s="7" t="s">
        <v>32</v>
      </c>
      <c r="R220" s="7" t="s">
        <v>33</v>
      </c>
      <c r="S220" s="7" t="s">
        <v>34</v>
      </c>
      <c r="T220" s="7"/>
      <c r="U220" s="7" t="s">
        <v>35</v>
      </c>
      <c r="V220" s="9">
        <v>1718.02</v>
      </c>
      <c r="W220" s="7">
        <v>740.81</v>
      </c>
      <c r="X220" s="7">
        <v>684.12</v>
      </c>
      <c r="Y220" s="7">
        <v>0</v>
      </c>
      <c r="Z220" s="7">
        <v>293.08999999999997</v>
      </c>
    </row>
    <row r="221" spans="1:26" x14ac:dyDescent="0.35">
      <c r="A221" s="7" t="s">
        <v>27</v>
      </c>
      <c r="B221" s="7" t="s">
        <v>36</v>
      </c>
      <c r="C221" s="7" t="s">
        <v>48</v>
      </c>
      <c r="D221" s="7" t="s">
        <v>56</v>
      </c>
      <c r="E221" s="7" t="s">
        <v>29</v>
      </c>
      <c r="F221" s="7" t="s">
        <v>106</v>
      </c>
      <c r="G221" s="7">
        <v>2020</v>
      </c>
      <c r="H221" s="7" t="str">
        <f>CONCATENATE("04241317686")</f>
        <v>04241317686</v>
      </c>
      <c r="I221" s="7" t="s">
        <v>30</v>
      </c>
      <c r="J221" s="7" t="s">
        <v>31</v>
      </c>
      <c r="K221" s="7" t="str">
        <f>CONCATENATE("")</f>
        <v/>
      </c>
      <c r="L221" s="7" t="str">
        <f>CONCATENATE("11 11.2 4b")</f>
        <v>11 11.2 4b</v>
      </c>
      <c r="M221" s="7" t="str">
        <f>CONCATENATE("SBBLCU79L21E388P")</f>
        <v>SBBLCU79L21E388P</v>
      </c>
      <c r="N221" s="7" t="s">
        <v>323</v>
      </c>
      <c r="O221" s="7" t="s">
        <v>268</v>
      </c>
      <c r="P221" s="8">
        <v>44321</v>
      </c>
      <c r="Q221" s="7" t="s">
        <v>32</v>
      </c>
      <c r="R221" s="7" t="s">
        <v>33</v>
      </c>
      <c r="S221" s="7" t="s">
        <v>34</v>
      </c>
      <c r="T221" s="7"/>
      <c r="U221" s="7" t="s">
        <v>35</v>
      </c>
      <c r="V221" s="9">
        <v>6315.44</v>
      </c>
      <c r="W221" s="9">
        <v>2723.22</v>
      </c>
      <c r="X221" s="9">
        <v>2514.81</v>
      </c>
      <c r="Y221" s="7">
        <v>0</v>
      </c>
      <c r="Z221" s="9">
        <v>1077.4100000000001</v>
      </c>
    </row>
    <row r="222" spans="1:26" x14ac:dyDescent="0.35">
      <c r="A222" s="7" t="s">
        <v>27</v>
      </c>
      <c r="B222" s="7" t="s">
        <v>36</v>
      </c>
      <c r="C222" s="7" t="s">
        <v>48</v>
      </c>
      <c r="D222" s="7" t="s">
        <v>56</v>
      </c>
      <c r="E222" s="7" t="s">
        <v>38</v>
      </c>
      <c r="F222" s="7" t="s">
        <v>269</v>
      </c>
      <c r="G222" s="7">
        <v>2020</v>
      </c>
      <c r="H222" s="7" t="str">
        <f>CONCATENATE("04240079790")</f>
        <v>04240079790</v>
      </c>
      <c r="I222" s="7" t="s">
        <v>30</v>
      </c>
      <c r="J222" s="7" t="s">
        <v>31</v>
      </c>
      <c r="K222" s="7" t="str">
        <f>CONCATENATE("")</f>
        <v/>
      </c>
      <c r="L222" s="7" t="str">
        <f>CONCATENATE("11 11.1 4b")</f>
        <v>11 11.1 4b</v>
      </c>
      <c r="M222" s="7" t="str">
        <f>CONCATENATE("02277590424")</f>
        <v>02277590424</v>
      </c>
      <c r="N222" s="7" t="s">
        <v>324</v>
      </c>
      <c r="O222" s="7" t="s">
        <v>268</v>
      </c>
      <c r="P222" s="8">
        <v>44321</v>
      </c>
      <c r="Q222" s="7" t="s">
        <v>32</v>
      </c>
      <c r="R222" s="7" t="s">
        <v>33</v>
      </c>
      <c r="S222" s="7" t="s">
        <v>34</v>
      </c>
      <c r="T222" s="7"/>
      <c r="U222" s="7" t="s">
        <v>35</v>
      </c>
      <c r="V222" s="7">
        <v>406.35</v>
      </c>
      <c r="W222" s="7">
        <v>175.22</v>
      </c>
      <c r="X222" s="7">
        <v>161.81</v>
      </c>
      <c r="Y222" s="7">
        <v>0</v>
      </c>
      <c r="Z222" s="7">
        <v>69.319999999999993</v>
      </c>
    </row>
    <row r="223" spans="1:26" ht="17.5" x14ac:dyDescent="0.35">
      <c r="A223" s="7" t="s">
        <v>27</v>
      </c>
      <c r="B223" s="7" t="s">
        <v>36</v>
      </c>
      <c r="C223" s="7" t="s">
        <v>48</v>
      </c>
      <c r="D223" s="7" t="s">
        <v>56</v>
      </c>
      <c r="E223" s="7" t="s">
        <v>38</v>
      </c>
      <c r="F223" s="7" t="s">
        <v>269</v>
      </c>
      <c r="G223" s="7">
        <v>2020</v>
      </c>
      <c r="H223" s="7" t="str">
        <f>CONCATENATE("04240205064")</f>
        <v>04240205064</v>
      </c>
      <c r="I223" s="7" t="s">
        <v>30</v>
      </c>
      <c r="J223" s="7" t="s">
        <v>31</v>
      </c>
      <c r="K223" s="7" t="str">
        <f>CONCATENATE("")</f>
        <v/>
      </c>
      <c r="L223" s="7" t="str">
        <f>CONCATENATE("11 11.1 4b")</f>
        <v>11 11.1 4b</v>
      </c>
      <c r="M223" s="7" t="str">
        <f>CONCATENATE("01381030426")</f>
        <v>01381030426</v>
      </c>
      <c r="N223" s="7" t="s">
        <v>325</v>
      </c>
      <c r="O223" s="7" t="s">
        <v>268</v>
      </c>
      <c r="P223" s="8">
        <v>44321</v>
      </c>
      <c r="Q223" s="7" t="s">
        <v>32</v>
      </c>
      <c r="R223" s="7" t="s">
        <v>33</v>
      </c>
      <c r="S223" s="7" t="s">
        <v>34</v>
      </c>
      <c r="T223" s="7"/>
      <c r="U223" s="7" t="s">
        <v>35</v>
      </c>
      <c r="V223" s="9">
        <v>25058.81</v>
      </c>
      <c r="W223" s="9">
        <v>10805.36</v>
      </c>
      <c r="X223" s="9">
        <v>9978.42</v>
      </c>
      <c r="Y223" s="7">
        <v>0</v>
      </c>
      <c r="Z223" s="9">
        <v>4275.03</v>
      </c>
    </row>
    <row r="224" spans="1:26" x14ac:dyDescent="0.35">
      <c r="A224" s="7" t="s">
        <v>27</v>
      </c>
      <c r="B224" s="7" t="s">
        <v>36</v>
      </c>
      <c r="C224" s="7" t="s">
        <v>48</v>
      </c>
      <c r="D224" s="7" t="s">
        <v>62</v>
      </c>
      <c r="E224" s="7" t="s">
        <v>29</v>
      </c>
      <c r="F224" s="7" t="s">
        <v>66</v>
      </c>
      <c r="G224" s="7">
        <v>2020</v>
      </c>
      <c r="H224" s="7" t="str">
        <f>CONCATENATE("04210352136")</f>
        <v>04210352136</v>
      </c>
      <c r="I224" s="7" t="s">
        <v>30</v>
      </c>
      <c r="J224" s="7" t="s">
        <v>31</v>
      </c>
      <c r="K224" s="7" t="str">
        <f>CONCATENATE("")</f>
        <v/>
      </c>
      <c r="L224" s="7" t="str">
        <f>CONCATENATE("13 13.1 4a")</f>
        <v>13 13.1 4a</v>
      </c>
      <c r="M224" s="7" t="str">
        <f>CONCATENATE("01046830434")</f>
        <v>01046830434</v>
      </c>
      <c r="N224" s="7" t="s">
        <v>326</v>
      </c>
      <c r="O224" s="7" t="s">
        <v>249</v>
      </c>
      <c r="P224" s="8">
        <v>44321</v>
      </c>
      <c r="Q224" s="7" t="s">
        <v>32</v>
      </c>
      <c r="R224" s="7" t="s">
        <v>33</v>
      </c>
      <c r="S224" s="7" t="s">
        <v>34</v>
      </c>
      <c r="T224" s="7"/>
      <c r="U224" s="7" t="s">
        <v>35</v>
      </c>
      <c r="V224" s="7">
        <v>463.16</v>
      </c>
      <c r="W224" s="7">
        <v>199.71</v>
      </c>
      <c r="X224" s="7">
        <v>184.43</v>
      </c>
      <c r="Y224" s="7">
        <v>0</v>
      </c>
      <c r="Z224" s="7">
        <v>79.02</v>
      </c>
    </row>
    <row r="225" spans="1:26" x14ac:dyDescent="0.35">
      <c r="A225" s="7" t="s">
        <v>27</v>
      </c>
      <c r="B225" s="7" t="s">
        <v>36</v>
      </c>
      <c r="C225" s="7" t="s">
        <v>48</v>
      </c>
      <c r="D225" s="7" t="s">
        <v>49</v>
      </c>
      <c r="E225" s="7" t="s">
        <v>38</v>
      </c>
      <c r="F225" s="7" t="s">
        <v>132</v>
      </c>
      <c r="G225" s="7">
        <v>2020</v>
      </c>
      <c r="H225" s="7" t="str">
        <f>CONCATENATE("04210514032")</f>
        <v>04210514032</v>
      </c>
      <c r="I225" s="7" t="s">
        <v>30</v>
      </c>
      <c r="J225" s="7" t="s">
        <v>31</v>
      </c>
      <c r="K225" s="7" t="str">
        <f>CONCATENATE("")</f>
        <v/>
      </c>
      <c r="L225" s="7" t="str">
        <f>CONCATENATE("13 13.1 4a")</f>
        <v>13 13.1 4a</v>
      </c>
      <c r="M225" s="7" t="str">
        <f>CONCATENATE("01824030439")</f>
        <v>01824030439</v>
      </c>
      <c r="N225" s="7" t="s">
        <v>327</v>
      </c>
      <c r="O225" s="7" t="s">
        <v>249</v>
      </c>
      <c r="P225" s="8">
        <v>44321</v>
      </c>
      <c r="Q225" s="7" t="s">
        <v>32</v>
      </c>
      <c r="R225" s="7" t="s">
        <v>33</v>
      </c>
      <c r="S225" s="7" t="s">
        <v>34</v>
      </c>
      <c r="T225" s="7"/>
      <c r="U225" s="7" t="s">
        <v>35</v>
      </c>
      <c r="V225" s="9">
        <v>9000</v>
      </c>
      <c r="W225" s="9">
        <v>3880.8</v>
      </c>
      <c r="X225" s="9">
        <v>3583.8</v>
      </c>
      <c r="Y225" s="7">
        <v>0</v>
      </c>
      <c r="Z225" s="9">
        <v>1535.4</v>
      </c>
    </row>
    <row r="226" spans="1:26" x14ac:dyDescent="0.35">
      <c r="A226" s="7" t="s">
        <v>27</v>
      </c>
      <c r="B226" s="7" t="s">
        <v>36</v>
      </c>
      <c r="C226" s="7" t="s">
        <v>48</v>
      </c>
      <c r="D226" s="7" t="s">
        <v>56</v>
      </c>
      <c r="E226" s="7" t="s">
        <v>29</v>
      </c>
      <c r="F226" s="7" t="s">
        <v>113</v>
      </c>
      <c r="G226" s="7">
        <v>2020</v>
      </c>
      <c r="H226" s="7" t="str">
        <f>CONCATENATE("04210023307")</f>
        <v>04210023307</v>
      </c>
      <c r="I226" s="7" t="s">
        <v>39</v>
      </c>
      <c r="J226" s="7" t="s">
        <v>31</v>
      </c>
      <c r="K226" s="7" t="str">
        <f>CONCATENATE("")</f>
        <v/>
      </c>
      <c r="L226" s="7" t="str">
        <f>CONCATENATE("13 13.1 4a")</f>
        <v>13 13.1 4a</v>
      </c>
      <c r="M226" s="7" t="str">
        <f>CONCATENATE("CSLFNC61H05I608M")</f>
        <v>CSLFNC61H05I608M</v>
      </c>
      <c r="N226" s="7" t="s">
        <v>328</v>
      </c>
      <c r="O226" s="7" t="s">
        <v>249</v>
      </c>
      <c r="P226" s="8">
        <v>44321</v>
      </c>
      <c r="Q226" s="7" t="s">
        <v>32</v>
      </c>
      <c r="R226" s="7" t="s">
        <v>33</v>
      </c>
      <c r="S226" s="7" t="s">
        <v>34</v>
      </c>
      <c r="T226" s="7"/>
      <c r="U226" s="7" t="s">
        <v>35</v>
      </c>
      <c r="V226" s="7">
        <v>638.5</v>
      </c>
      <c r="W226" s="7">
        <v>275.32</v>
      </c>
      <c r="X226" s="7">
        <v>254.25</v>
      </c>
      <c r="Y226" s="7">
        <v>0</v>
      </c>
      <c r="Z226" s="7">
        <v>108.93</v>
      </c>
    </row>
    <row r="227" spans="1:26" x14ac:dyDescent="0.35">
      <c r="A227" s="7" t="s">
        <v>27</v>
      </c>
      <c r="B227" s="7" t="s">
        <v>36</v>
      </c>
      <c r="C227" s="7" t="s">
        <v>48</v>
      </c>
      <c r="D227" s="7" t="s">
        <v>56</v>
      </c>
      <c r="E227" s="7" t="s">
        <v>29</v>
      </c>
      <c r="F227" s="7" t="s">
        <v>124</v>
      </c>
      <c r="G227" s="7">
        <v>2020</v>
      </c>
      <c r="H227" s="7" t="str">
        <f>CONCATENATE("04210438455")</f>
        <v>04210438455</v>
      </c>
      <c r="I227" s="7" t="s">
        <v>39</v>
      </c>
      <c r="J227" s="7" t="s">
        <v>31</v>
      </c>
      <c r="K227" s="7" t="str">
        <f>CONCATENATE("")</f>
        <v/>
      </c>
      <c r="L227" s="7" t="str">
        <f>CONCATENATE("13 13.1 4a")</f>
        <v>13 13.1 4a</v>
      </c>
      <c r="M227" s="7" t="str">
        <f>CONCATENATE("CSLCLD57P09D965T")</f>
        <v>CSLCLD57P09D965T</v>
      </c>
      <c r="N227" s="7" t="s">
        <v>329</v>
      </c>
      <c r="O227" s="7" t="s">
        <v>249</v>
      </c>
      <c r="P227" s="8">
        <v>44321</v>
      </c>
      <c r="Q227" s="7" t="s">
        <v>32</v>
      </c>
      <c r="R227" s="7" t="s">
        <v>33</v>
      </c>
      <c r="S227" s="7" t="s">
        <v>34</v>
      </c>
      <c r="T227" s="7"/>
      <c r="U227" s="7" t="s">
        <v>35</v>
      </c>
      <c r="V227" s="9">
        <v>1111.02</v>
      </c>
      <c r="W227" s="7">
        <v>479.07</v>
      </c>
      <c r="X227" s="7">
        <v>442.41</v>
      </c>
      <c r="Y227" s="7">
        <v>0</v>
      </c>
      <c r="Z227" s="7">
        <v>189.54</v>
      </c>
    </row>
    <row r="228" spans="1:26" x14ac:dyDescent="0.35">
      <c r="A228" s="7" t="s">
        <v>27</v>
      </c>
      <c r="B228" s="7" t="s">
        <v>36</v>
      </c>
      <c r="C228" s="7" t="s">
        <v>48</v>
      </c>
      <c r="D228" s="7" t="s">
        <v>62</v>
      </c>
      <c r="E228" s="7" t="s">
        <v>44</v>
      </c>
      <c r="F228" s="7" t="s">
        <v>330</v>
      </c>
      <c r="G228" s="7">
        <v>2020</v>
      </c>
      <c r="H228" s="7" t="str">
        <f>CONCATENATE("04210219483")</f>
        <v>04210219483</v>
      </c>
      <c r="I228" s="7" t="s">
        <v>39</v>
      </c>
      <c r="J228" s="7" t="s">
        <v>31</v>
      </c>
      <c r="K228" s="7" t="str">
        <f>CONCATENATE("")</f>
        <v/>
      </c>
      <c r="L228" s="7" t="str">
        <f>CONCATENATE("13 13.1 4a")</f>
        <v>13 13.1 4a</v>
      </c>
      <c r="M228" s="7" t="str">
        <f>CONCATENATE("SBFFNC69A15D403H")</f>
        <v>SBFFNC69A15D403H</v>
      </c>
      <c r="N228" s="7" t="s">
        <v>331</v>
      </c>
      <c r="O228" s="7" t="s">
        <v>249</v>
      </c>
      <c r="P228" s="8">
        <v>44321</v>
      </c>
      <c r="Q228" s="7" t="s">
        <v>32</v>
      </c>
      <c r="R228" s="7" t="s">
        <v>33</v>
      </c>
      <c r="S228" s="7" t="s">
        <v>34</v>
      </c>
      <c r="T228" s="7"/>
      <c r="U228" s="7" t="s">
        <v>35</v>
      </c>
      <c r="V228" s="7">
        <v>271.95999999999998</v>
      </c>
      <c r="W228" s="7">
        <v>117.27</v>
      </c>
      <c r="X228" s="7">
        <v>108.29</v>
      </c>
      <c r="Y228" s="7">
        <v>0</v>
      </c>
      <c r="Z228" s="7">
        <v>46.4</v>
      </c>
    </row>
    <row r="229" spans="1:26" x14ac:dyDescent="0.35">
      <c r="A229" s="7" t="s">
        <v>27</v>
      </c>
      <c r="B229" s="7" t="s">
        <v>36</v>
      </c>
      <c r="C229" s="7" t="s">
        <v>48</v>
      </c>
      <c r="D229" s="7" t="s">
        <v>62</v>
      </c>
      <c r="E229" s="7" t="s">
        <v>29</v>
      </c>
      <c r="F229" s="7" t="s">
        <v>176</v>
      </c>
      <c r="G229" s="7">
        <v>2020</v>
      </c>
      <c r="H229" s="7" t="str">
        <f>CONCATENATE("04210026110")</f>
        <v>04210026110</v>
      </c>
      <c r="I229" s="7" t="s">
        <v>30</v>
      </c>
      <c r="J229" s="7" t="s">
        <v>31</v>
      </c>
      <c r="K229" s="7" t="str">
        <f>CONCATENATE("")</f>
        <v/>
      </c>
      <c r="L229" s="7" t="str">
        <f>CONCATENATE("13 13.1 4a")</f>
        <v>13 13.1 4a</v>
      </c>
      <c r="M229" s="7" t="str">
        <f>CONCATENATE("CNCPTR50B08I436G")</f>
        <v>CNCPTR50B08I436G</v>
      </c>
      <c r="N229" s="7" t="s">
        <v>332</v>
      </c>
      <c r="O229" s="7" t="s">
        <v>249</v>
      </c>
      <c r="P229" s="8">
        <v>44321</v>
      </c>
      <c r="Q229" s="7" t="s">
        <v>32</v>
      </c>
      <c r="R229" s="7" t="s">
        <v>33</v>
      </c>
      <c r="S229" s="7" t="s">
        <v>34</v>
      </c>
      <c r="T229" s="7"/>
      <c r="U229" s="7" t="s">
        <v>35</v>
      </c>
      <c r="V229" s="9">
        <v>1856.18</v>
      </c>
      <c r="W229" s="7">
        <v>800.38</v>
      </c>
      <c r="X229" s="7">
        <v>739.13</v>
      </c>
      <c r="Y229" s="7">
        <v>0</v>
      </c>
      <c r="Z229" s="7">
        <v>316.67</v>
      </c>
    </row>
    <row r="230" spans="1:26" x14ac:dyDescent="0.35">
      <c r="A230" s="7" t="s">
        <v>27</v>
      </c>
      <c r="B230" s="7" t="s">
        <v>36</v>
      </c>
      <c r="C230" s="7" t="s">
        <v>48</v>
      </c>
      <c r="D230" s="7" t="s">
        <v>49</v>
      </c>
      <c r="E230" s="7" t="s">
        <v>29</v>
      </c>
      <c r="F230" s="7" t="s">
        <v>138</v>
      </c>
      <c r="G230" s="7">
        <v>2020</v>
      </c>
      <c r="H230" s="7" t="str">
        <f>CONCATENATE("04210872604")</f>
        <v>04210872604</v>
      </c>
      <c r="I230" s="7" t="s">
        <v>30</v>
      </c>
      <c r="J230" s="7" t="s">
        <v>31</v>
      </c>
      <c r="K230" s="7" t="str">
        <f>CONCATENATE("")</f>
        <v/>
      </c>
      <c r="L230" s="7" t="str">
        <f>CONCATENATE("13 13.1 4a")</f>
        <v>13 13.1 4a</v>
      </c>
      <c r="M230" s="7" t="str">
        <f>CONCATENATE("01411730441")</f>
        <v>01411730441</v>
      </c>
      <c r="N230" s="7" t="s">
        <v>333</v>
      </c>
      <c r="O230" s="7" t="s">
        <v>249</v>
      </c>
      <c r="P230" s="8">
        <v>44321</v>
      </c>
      <c r="Q230" s="7" t="s">
        <v>32</v>
      </c>
      <c r="R230" s="7" t="s">
        <v>33</v>
      </c>
      <c r="S230" s="7" t="s">
        <v>34</v>
      </c>
      <c r="T230" s="7"/>
      <c r="U230" s="7" t="s">
        <v>35</v>
      </c>
      <c r="V230" s="9">
        <v>5488.24</v>
      </c>
      <c r="W230" s="9">
        <v>2366.5300000000002</v>
      </c>
      <c r="X230" s="9">
        <v>2185.42</v>
      </c>
      <c r="Y230" s="7">
        <v>0</v>
      </c>
      <c r="Z230" s="7">
        <v>936.29</v>
      </c>
    </row>
    <row r="231" spans="1:26" ht="17.5" x14ac:dyDescent="0.35">
      <c r="A231" s="7" t="s">
        <v>27</v>
      </c>
      <c r="B231" s="7" t="s">
        <v>36</v>
      </c>
      <c r="C231" s="7" t="s">
        <v>48</v>
      </c>
      <c r="D231" s="7" t="s">
        <v>56</v>
      </c>
      <c r="E231" s="7" t="s">
        <v>29</v>
      </c>
      <c r="F231" s="7" t="s">
        <v>128</v>
      </c>
      <c r="G231" s="7">
        <v>2020</v>
      </c>
      <c r="H231" s="7" t="str">
        <f>CONCATENATE("04210028884")</f>
        <v>04210028884</v>
      </c>
      <c r="I231" s="7" t="s">
        <v>39</v>
      </c>
      <c r="J231" s="7" t="s">
        <v>31</v>
      </c>
      <c r="K231" s="7" t="str">
        <f>CONCATENATE("")</f>
        <v/>
      </c>
      <c r="L231" s="7" t="str">
        <f>CONCATENATE("13 13.1 4a")</f>
        <v>13 13.1 4a</v>
      </c>
      <c r="M231" s="7" t="str">
        <f>CONCATENATE("MCHMRA79L19D451W")</f>
        <v>MCHMRA79L19D451W</v>
      </c>
      <c r="N231" s="7" t="s">
        <v>334</v>
      </c>
      <c r="O231" s="7" t="s">
        <v>249</v>
      </c>
      <c r="P231" s="8">
        <v>44321</v>
      </c>
      <c r="Q231" s="7" t="s">
        <v>32</v>
      </c>
      <c r="R231" s="7" t="s">
        <v>33</v>
      </c>
      <c r="S231" s="7" t="s">
        <v>34</v>
      </c>
      <c r="T231" s="7"/>
      <c r="U231" s="7" t="s">
        <v>35</v>
      </c>
      <c r="V231" s="7">
        <v>728.13</v>
      </c>
      <c r="W231" s="7">
        <v>313.97000000000003</v>
      </c>
      <c r="X231" s="7">
        <v>289.94</v>
      </c>
      <c r="Y231" s="7">
        <v>0</v>
      </c>
      <c r="Z231" s="7">
        <v>124.22</v>
      </c>
    </row>
    <row r="232" spans="1:26" x14ac:dyDescent="0.35">
      <c r="A232" s="7" t="s">
        <v>27</v>
      </c>
      <c r="B232" s="7" t="s">
        <v>36</v>
      </c>
      <c r="C232" s="7" t="s">
        <v>48</v>
      </c>
      <c r="D232" s="7" t="s">
        <v>56</v>
      </c>
      <c r="E232" s="7" t="s">
        <v>42</v>
      </c>
      <c r="F232" s="7" t="s">
        <v>290</v>
      </c>
      <c r="G232" s="7">
        <v>2020</v>
      </c>
      <c r="H232" s="7" t="str">
        <f>CONCATENATE("04210400158")</f>
        <v>04210400158</v>
      </c>
      <c r="I232" s="7" t="s">
        <v>39</v>
      </c>
      <c r="J232" s="7" t="s">
        <v>31</v>
      </c>
      <c r="K232" s="7" t="str">
        <f>CONCATENATE("")</f>
        <v/>
      </c>
      <c r="L232" s="7" t="str">
        <f>CONCATENATE("13 13.1 4a")</f>
        <v>13 13.1 4a</v>
      </c>
      <c r="M232" s="7" t="str">
        <f>CONCATENATE("PLLMRA65E31D451J")</f>
        <v>PLLMRA65E31D451J</v>
      </c>
      <c r="N232" s="7" t="s">
        <v>335</v>
      </c>
      <c r="O232" s="7" t="s">
        <v>249</v>
      </c>
      <c r="P232" s="8">
        <v>44321</v>
      </c>
      <c r="Q232" s="7" t="s">
        <v>32</v>
      </c>
      <c r="R232" s="7" t="s">
        <v>33</v>
      </c>
      <c r="S232" s="7" t="s">
        <v>34</v>
      </c>
      <c r="T232" s="7"/>
      <c r="U232" s="7" t="s">
        <v>35</v>
      </c>
      <c r="V232" s="7">
        <v>229.9</v>
      </c>
      <c r="W232" s="7">
        <v>99.13</v>
      </c>
      <c r="X232" s="7">
        <v>91.55</v>
      </c>
      <c r="Y232" s="7">
        <v>0</v>
      </c>
      <c r="Z232" s="7">
        <v>39.22</v>
      </c>
    </row>
    <row r="233" spans="1:26" x14ac:dyDescent="0.35">
      <c r="A233" s="7" t="s">
        <v>27</v>
      </c>
      <c r="B233" s="7" t="s">
        <v>36</v>
      </c>
      <c r="C233" s="7" t="s">
        <v>48</v>
      </c>
      <c r="D233" s="7" t="s">
        <v>62</v>
      </c>
      <c r="E233" s="7" t="s">
        <v>29</v>
      </c>
      <c r="F233" s="7" t="s">
        <v>66</v>
      </c>
      <c r="G233" s="7">
        <v>2020</v>
      </c>
      <c r="H233" s="7" t="str">
        <f>CONCATENATE("04210410280")</f>
        <v>04210410280</v>
      </c>
      <c r="I233" s="7" t="s">
        <v>39</v>
      </c>
      <c r="J233" s="7" t="s">
        <v>31</v>
      </c>
      <c r="K233" s="7" t="str">
        <f>CONCATENATE("")</f>
        <v/>
      </c>
      <c r="L233" s="7" t="str">
        <f>CONCATENATE("13 13.1 4a")</f>
        <v>13 13.1 4a</v>
      </c>
      <c r="M233" s="7" t="str">
        <f>CONCATENATE("BRNMNL96P15B474U")</f>
        <v>BRNMNL96P15B474U</v>
      </c>
      <c r="N233" s="7" t="s">
        <v>336</v>
      </c>
      <c r="O233" s="7" t="s">
        <v>249</v>
      </c>
      <c r="P233" s="8">
        <v>44321</v>
      </c>
      <c r="Q233" s="7" t="s">
        <v>32</v>
      </c>
      <c r="R233" s="7" t="s">
        <v>33</v>
      </c>
      <c r="S233" s="7" t="s">
        <v>34</v>
      </c>
      <c r="T233" s="7"/>
      <c r="U233" s="7" t="s">
        <v>35</v>
      </c>
      <c r="V233" s="7">
        <v>122.99</v>
      </c>
      <c r="W233" s="7">
        <v>53.03</v>
      </c>
      <c r="X233" s="7">
        <v>48.97</v>
      </c>
      <c r="Y233" s="7">
        <v>0</v>
      </c>
      <c r="Z233" s="7">
        <v>20.99</v>
      </c>
    </row>
    <row r="234" spans="1:26" x14ac:dyDescent="0.35">
      <c r="A234" s="7" t="s">
        <v>27</v>
      </c>
      <c r="B234" s="7" t="s">
        <v>36</v>
      </c>
      <c r="C234" s="7" t="s">
        <v>48</v>
      </c>
      <c r="D234" s="7" t="s">
        <v>56</v>
      </c>
      <c r="E234" s="7" t="s">
        <v>29</v>
      </c>
      <c r="F234" s="7" t="s">
        <v>66</v>
      </c>
      <c r="G234" s="7">
        <v>2020</v>
      </c>
      <c r="H234" s="7" t="str">
        <f>CONCATENATE("04210294429")</f>
        <v>04210294429</v>
      </c>
      <c r="I234" s="7" t="s">
        <v>39</v>
      </c>
      <c r="J234" s="7" t="s">
        <v>31</v>
      </c>
      <c r="K234" s="7" t="str">
        <f>CONCATENATE("")</f>
        <v/>
      </c>
      <c r="L234" s="7" t="str">
        <f>CONCATENATE("13 13.1 4a")</f>
        <v>13 13.1 4a</v>
      </c>
      <c r="M234" s="7" t="str">
        <f>CONCATENATE("CPPFRZ75P08D451S")</f>
        <v>CPPFRZ75P08D451S</v>
      </c>
      <c r="N234" s="7" t="s">
        <v>337</v>
      </c>
      <c r="O234" s="7" t="s">
        <v>249</v>
      </c>
      <c r="P234" s="8">
        <v>44321</v>
      </c>
      <c r="Q234" s="7" t="s">
        <v>32</v>
      </c>
      <c r="R234" s="7" t="s">
        <v>33</v>
      </c>
      <c r="S234" s="7" t="s">
        <v>34</v>
      </c>
      <c r="T234" s="7"/>
      <c r="U234" s="7" t="s">
        <v>35</v>
      </c>
      <c r="V234" s="7">
        <v>151.03</v>
      </c>
      <c r="W234" s="7">
        <v>65.12</v>
      </c>
      <c r="X234" s="7">
        <v>60.14</v>
      </c>
      <c r="Y234" s="7">
        <v>0</v>
      </c>
      <c r="Z234" s="7">
        <v>25.77</v>
      </c>
    </row>
    <row r="235" spans="1:26" x14ac:dyDescent="0.35">
      <c r="A235" s="7" t="s">
        <v>27</v>
      </c>
      <c r="B235" s="7" t="s">
        <v>36</v>
      </c>
      <c r="C235" s="7" t="s">
        <v>48</v>
      </c>
      <c r="D235" s="7" t="s">
        <v>56</v>
      </c>
      <c r="E235" s="7" t="s">
        <v>29</v>
      </c>
      <c r="F235" s="7" t="s">
        <v>66</v>
      </c>
      <c r="G235" s="7">
        <v>2020</v>
      </c>
      <c r="H235" s="7" t="str">
        <f>CONCATENATE("04210411171")</f>
        <v>04210411171</v>
      </c>
      <c r="I235" s="7" t="s">
        <v>39</v>
      </c>
      <c r="J235" s="7" t="s">
        <v>31</v>
      </c>
      <c r="K235" s="7" t="str">
        <f>CONCATENATE("")</f>
        <v/>
      </c>
      <c r="L235" s="7" t="str">
        <f>CONCATENATE("13 13.1 4a")</f>
        <v>13 13.1 4a</v>
      </c>
      <c r="M235" s="7" t="str">
        <f>CONCATENATE("CPPNVE52B29B474K")</f>
        <v>CPPNVE52B29B474K</v>
      </c>
      <c r="N235" s="7" t="s">
        <v>338</v>
      </c>
      <c r="O235" s="7" t="s">
        <v>249</v>
      </c>
      <c r="P235" s="8">
        <v>44321</v>
      </c>
      <c r="Q235" s="7" t="s">
        <v>32</v>
      </c>
      <c r="R235" s="7" t="s">
        <v>33</v>
      </c>
      <c r="S235" s="7" t="s">
        <v>34</v>
      </c>
      <c r="T235" s="7"/>
      <c r="U235" s="7" t="s">
        <v>35</v>
      </c>
      <c r="V235" s="7">
        <v>474.57</v>
      </c>
      <c r="W235" s="7">
        <v>204.63</v>
      </c>
      <c r="X235" s="7">
        <v>188.97</v>
      </c>
      <c r="Y235" s="7">
        <v>0</v>
      </c>
      <c r="Z235" s="7">
        <v>80.97</v>
      </c>
    </row>
    <row r="236" spans="1:26" x14ac:dyDescent="0.35">
      <c r="A236" s="7" t="s">
        <v>27</v>
      </c>
      <c r="B236" s="7" t="s">
        <v>36</v>
      </c>
      <c r="C236" s="7" t="s">
        <v>48</v>
      </c>
      <c r="D236" s="7" t="s">
        <v>56</v>
      </c>
      <c r="E236" s="7" t="s">
        <v>29</v>
      </c>
      <c r="F236" s="7" t="s">
        <v>124</v>
      </c>
      <c r="G236" s="7">
        <v>2020</v>
      </c>
      <c r="H236" s="7" t="str">
        <f>CONCATENATE("04210039915")</f>
        <v>04210039915</v>
      </c>
      <c r="I236" s="7" t="s">
        <v>39</v>
      </c>
      <c r="J236" s="7" t="s">
        <v>31</v>
      </c>
      <c r="K236" s="7" t="str">
        <f>CONCATENATE("")</f>
        <v/>
      </c>
      <c r="L236" s="7" t="str">
        <f>CONCATENATE("13 13.1 4a")</f>
        <v>13 13.1 4a</v>
      </c>
      <c r="M236" s="7" t="str">
        <f>CONCATENATE("CRSSST49A01D965P")</f>
        <v>CRSSST49A01D965P</v>
      </c>
      <c r="N236" s="7" t="s">
        <v>339</v>
      </c>
      <c r="O236" s="7" t="s">
        <v>249</v>
      </c>
      <c r="P236" s="8">
        <v>44321</v>
      </c>
      <c r="Q236" s="7" t="s">
        <v>32</v>
      </c>
      <c r="R236" s="7" t="s">
        <v>33</v>
      </c>
      <c r="S236" s="7" t="s">
        <v>34</v>
      </c>
      <c r="T236" s="7"/>
      <c r="U236" s="7" t="s">
        <v>35</v>
      </c>
      <c r="V236" s="9">
        <v>1168.18</v>
      </c>
      <c r="W236" s="7">
        <v>503.72</v>
      </c>
      <c r="X236" s="7">
        <v>465.17</v>
      </c>
      <c r="Y236" s="7">
        <v>0</v>
      </c>
      <c r="Z236" s="7">
        <v>199.29</v>
      </c>
    </row>
    <row r="237" spans="1:26" x14ac:dyDescent="0.35">
      <c r="A237" s="7" t="s">
        <v>27</v>
      </c>
      <c r="B237" s="7" t="s">
        <v>36</v>
      </c>
      <c r="C237" s="7" t="s">
        <v>48</v>
      </c>
      <c r="D237" s="7" t="s">
        <v>56</v>
      </c>
      <c r="E237" s="7" t="s">
        <v>44</v>
      </c>
      <c r="F237" s="7" t="s">
        <v>234</v>
      </c>
      <c r="G237" s="7">
        <v>2020</v>
      </c>
      <c r="H237" s="7" t="str">
        <f>CONCATENATE("04210340768")</f>
        <v>04210340768</v>
      </c>
      <c r="I237" s="7" t="s">
        <v>39</v>
      </c>
      <c r="J237" s="7" t="s">
        <v>31</v>
      </c>
      <c r="K237" s="7" t="str">
        <f>CONCATENATE("")</f>
        <v/>
      </c>
      <c r="L237" s="7" t="str">
        <f>CONCATENATE("13 13.1 4a")</f>
        <v>13 13.1 4a</v>
      </c>
      <c r="M237" s="7" t="str">
        <f>CONCATENATE("DLLLRT47A19D451M")</f>
        <v>DLLLRT47A19D451M</v>
      </c>
      <c r="N237" s="7" t="s">
        <v>340</v>
      </c>
      <c r="O237" s="7" t="s">
        <v>249</v>
      </c>
      <c r="P237" s="8">
        <v>44321</v>
      </c>
      <c r="Q237" s="7" t="s">
        <v>32</v>
      </c>
      <c r="R237" s="7" t="s">
        <v>33</v>
      </c>
      <c r="S237" s="7" t="s">
        <v>34</v>
      </c>
      <c r="T237" s="7"/>
      <c r="U237" s="7" t="s">
        <v>35</v>
      </c>
      <c r="V237" s="9">
        <v>1334.96</v>
      </c>
      <c r="W237" s="7">
        <v>575.63</v>
      </c>
      <c r="X237" s="7">
        <v>531.58000000000004</v>
      </c>
      <c r="Y237" s="7">
        <v>0</v>
      </c>
      <c r="Z237" s="7">
        <v>227.75</v>
      </c>
    </row>
    <row r="238" spans="1:26" x14ac:dyDescent="0.35">
      <c r="A238" s="7" t="s">
        <v>27</v>
      </c>
      <c r="B238" s="7" t="s">
        <v>36</v>
      </c>
      <c r="C238" s="7" t="s">
        <v>48</v>
      </c>
      <c r="D238" s="7" t="s">
        <v>56</v>
      </c>
      <c r="E238" s="7" t="s">
        <v>29</v>
      </c>
      <c r="F238" s="7" t="s">
        <v>128</v>
      </c>
      <c r="G238" s="7">
        <v>2020</v>
      </c>
      <c r="H238" s="7" t="str">
        <f>CONCATENATE("04210886083")</f>
        <v>04210886083</v>
      </c>
      <c r="I238" s="7" t="s">
        <v>39</v>
      </c>
      <c r="J238" s="7" t="s">
        <v>31</v>
      </c>
      <c r="K238" s="7" t="str">
        <f>CONCATENATE("")</f>
        <v/>
      </c>
      <c r="L238" s="7" t="str">
        <f>CONCATENATE("13 13.1 4a")</f>
        <v>13 13.1 4a</v>
      </c>
      <c r="M238" s="7" t="str">
        <f>CONCATENATE("DPTNLN69H46D799U")</f>
        <v>DPTNLN69H46D799U</v>
      </c>
      <c r="N238" s="7" t="s">
        <v>341</v>
      </c>
      <c r="O238" s="7" t="s">
        <v>249</v>
      </c>
      <c r="P238" s="8">
        <v>44321</v>
      </c>
      <c r="Q238" s="7" t="s">
        <v>32</v>
      </c>
      <c r="R238" s="7" t="s">
        <v>33</v>
      </c>
      <c r="S238" s="7" t="s">
        <v>34</v>
      </c>
      <c r="T238" s="7"/>
      <c r="U238" s="7" t="s">
        <v>35</v>
      </c>
      <c r="V238" s="7">
        <v>507.14</v>
      </c>
      <c r="W238" s="7">
        <v>218.68</v>
      </c>
      <c r="X238" s="7">
        <v>201.94</v>
      </c>
      <c r="Y238" s="7">
        <v>0</v>
      </c>
      <c r="Z238" s="7">
        <v>86.52</v>
      </c>
    </row>
    <row r="239" spans="1:26" x14ac:dyDescent="0.35">
      <c r="A239" s="7" t="s">
        <v>27</v>
      </c>
      <c r="B239" s="7" t="s">
        <v>36</v>
      </c>
      <c r="C239" s="7" t="s">
        <v>48</v>
      </c>
      <c r="D239" s="7" t="s">
        <v>56</v>
      </c>
      <c r="E239" s="7" t="s">
        <v>29</v>
      </c>
      <c r="F239" s="7" t="s">
        <v>124</v>
      </c>
      <c r="G239" s="7">
        <v>2020</v>
      </c>
      <c r="H239" s="7" t="str">
        <f>CONCATENATE("04210077253")</f>
        <v>04210077253</v>
      </c>
      <c r="I239" s="7" t="s">
        <v>39</v>
      </c>
      <c r="J239" s="7" t="s">
        <v>31</v>
      </c>
      <c r="K239" s="7" t="str">
        <f>CONCATENATE("")</f>
        <v/>
      </c>
      <c r="L239" s="7" t="str">
        <f>CONCATENATE("13 13.1 4a")</f>
        <v>13 13.1 4a</v>
      </c>
      <c r="M239" s="7" t="str">
        <f>CONCATENATE("DLCGRL49D43F560F")</f>
        <v>DLCGRL49D43F560F</v>
      </c>
      <c r="N239" s="7" t="s">
        <v>342</v>
      </c>
      <c r="O239" s="7" t="s">
        <v>249</v>
      </c>
      <c r="P239" s="8">
        <v>44321</v>
      </c>
      <c r="Q239" s="7" t="s">
        <v>32</v>
      </c>
      <c r="R239" s="7" t="s">
        <v>33</v>
      </c>
      <c r="S239" s="7" t="s">
        <v>34</v>
      </c>
      <c r="T239" s="7"/>
      <c r="U239" s="7" t="s">
        <v>35</v>
      </c>
      <c r="V239" s="7">
        <v>234.97</v>
      </c>
      <c r="W239" s="7">
        <v>101.32</v>
      </c>
      <c r="X239" s="7">
        <v>93.57</v>
      </c>
      <c r="Y239" s="7">
        <v>0</v>
      </c>
      <c r="Z239" s="7">
        <v>40.08</v>
      </c>
    </row>
    <row r="240" spans="1:26" x14ac:dyDescent="0.35">
      <c r="A240" s="7" t="s">
        <v>27</v>
      </c>
      <c r="B240" s="7" t="s">
        <v>36</v>
      </c>
      <c r="C240" s="7" t="s">
        <v>48</v>
      </c>
      <c r="D240" s="7" t="s">
        <v>49</v>
      </c>
      <c r="E240" s="7" t="s">
        <v>29</v>
      </c>
      <c r="F240" s="7" t="s">
        <v>104</v>
      </c>
      <c r="G240" s="7">
        <v>2020</v>
      </c>
      <c r="H240" s="7" t="str">
        <f>CONCATENATE("04210759017")</f>
        <v>04210759017</v>
      </c>
      <c r="I240" s="7" t="s">
        <v>39</v>
      </c>
      <c r="J240" s="7" t="s">
        <v>31</v>
      </c>
      <c r="K240" s="7" t="str">
        <f>CONCATENATE("")</f>
        <v/>
      </c>
      <c r="L240" s="7" t="str">
        <f>CONCATENATE("13 13.1 4a")</f>
        <v>13 13.1 4a</v>
      </c>
      <c r="M240" s="7" t="str">
        <f>CONCATENATE("LBNCRL65C05A462A")</f>
        <v>LBNCRL65C05A462A</v>
      </c>
      <c r="N240" s="7" t="s">
        <v>343</v>
      </c>
      <c r="O240" s="7" t="s">
        <v>249</v>
      </c>
      <c r="P240" s="8">
        <v>44321</v>
      </c>
      <c r="Q240" s="7" t="s">
        <v>32</v>
      </c>
      <c r="R240" s="7" t="s">
        <v>33</v>
      </c>
      <c r="S240" s="7" t="s">
        <v>34</v>
      </c>
      <c r="T240" s="7"/>
      <c r="U240" s="7" t="s">
        <v>35</v>
      </c>
      <c r="V240" s="9">
        <v>1763.1</v>
      </c>
      <c r="W240" s="7">
        <v>760.25</v>
      </c>
      <c r="X240" s="7">
        <v>702.07</v>
      </c>
      <c r="Y240" s="7">
        <v>0</v>
      </c>
      <c r="Z240" s="7">
        <v>300.77999999999997</v>
      </c>
    </row>
    <row r="241" spans="1:26" x14ac:dyDescent="0.35">
      <c r="A241" s="7" t="s">
        <v>27</v>
      </c>
      <c r="B241" s="7" t="s">
        <v>36</v>
      </c>
      <c r="C241" s="7" t="s">
        <v>48</v>
      </c>
      <c r="D241" s="7" t="s">
        <v>49</v>
      </c>
      <c r="E241" s="7" t="s">
        <v>29</v>
      </c>
      <c r="F241" s="7" t="s">
        <v>138</v>
      </c>
      <c r="G241" s="7">
        <v>2020</v>
      </c>
      <c r="H241" s="7" t="str">
        <f>CONCATENATE("04210538601")</f>
        <v>04210538601</v>
      </c>
      <c r="I241" s="7" t="s">
        <v>39</v>
      </c>
      <c r="J241" s="7" t="s">
        <v>31</v>
      </c>
      <c r="K241" s="7" t="str">
        <f>CONCATENATE("")</f>
        <v/>
      </c>
      <c r="L241" s="7" t="str">
        <f>CONCATENATE("13 13.1 4a")</f>
        <v>13 13.1 4a</v>
      </c>
      <c r="M241" s="7" t="str">
        <f>CONCATENATE("02234650444")</f>
        <v>02234650444</v>
      </c>
      <c r="N241" s="7" t="s">
        <v>344</v>
      </c>
      <c r="O241" s="7" t="s">
        <v>249</v>
      </c>
      <c r="P241" s="8">
        <v>44321</v>
      </c>
      <c r="Q241" s="7" t="s">
        <v>32</v>
      </c>
      <c r="R241" s="7" t="s">
        <v>33</v>
      </c>
      <c r="S241" s="7" t="s">
        <v>34</v>
      </c>
      <c r="T241" s="7"/>
      <c r="U241" s="7" t="s">
        <v>35</v>
      </c>
      <c r="V241" s="7">
        <v>505.05</v>
      </c>
      <c r="W241" s="7">
        <v>217.78</v>
      </c>
      <c r="X241" s="7">
        <v>201.11</v>
      </c>
      <c r="Y241" s="7">
        <v>0</v>
      </c>
      <c r="Z241" s="7">
        <v>86.16</v>
      </c>
    </row>
    <row r="242" spans="1:26" ht="17.5" x14ac:dyDescent="0.35">
      <c r="A242" s="7" t="s">
        <v>27</v>
      </c>
      <c r="B242" s="7" t="s">
        <v>36</v>
      </c>
      <c r="C242" s="7" t="s">
        <v>48</v>
      </c>
      <c r="D242" s="7" t="s">
        <v>62</v>
      </c>
      <c r="E242" s="7" t="s">
        <v>40</v>
      </c>
      <c r="F242" s="7" t="s">
        <v>63</v>
      </c>
      <c r="G242" s="7">
        <v>2020</v>
      </c>
      <c r="H242" s="7" t="str">
        <f>CONCATENATE("04210358190")</f>
        <v>04210358190</v>
      </c>
      <c r="I242" s="7" t="s">
        <v>39</v>
      </c>
      <c r="J242" s="7" t="s">
        <v>31</v>
      </c>
      <c r="K242" s="7" t="str">
        <f>CONCATENATE("")</f>
        <v/>
      </c>
      <c r="L242" s="7" t="str">
        <f>CONCATENATE("13 13.1 4a")</f>
        <v>13 13.1 4a</v>
      </c>
      <c r="M242" s="7" t="str">
        <f>CONCATENATE("02795480421")</f>
        <v>02795480421</v>
      </c>
      <c r="N242" s="7" t="s">
        <v>345</v>
      </c>
      <c r="O242" s="7" t="s">
        <v>249</v>
      </c>
      <c r="P242" s="8">
        <v>44321</v>
      </c>
      <c r="Q242" s="7" t="s">
        <v>32</v>
      </c>
      <c r="R242" s="7" t="s">
        <v>33</v>
      </c>
      <c r="S242" s="7" t="s">
        <v>34</v>
      </c>
      <c r="T242" s="7"/>
      <c r="U242" s="7" t="s">
        <v>35</v>
      </c>
      <c r="V242" s="7">
        <v>228.51</v>
      </c>
      <c r="W242" s="7">
        <v>98.53</v>
      </c>
      <c r="X242" s="7">
        <v>90.99</v>
      </c>
      <c r="Y242" s="7">
        <v>0</v>
      </c>
      <c r="Z242" s="7">
        <v>38.99</v>
      </c>
    </row>
    <row r="243" spans="1:26" x14ac:dyDescent="0.35">
      <c r="A243" s="7" t="s">
        <v>27</v>
      </c>
      <c r="B243" s="7" t="s">
        <v>36</v>
      </c>
      <c r="C243" s="7" t="s">
        <v>48</v>
      </c>
      <c r="D243" s="7" t="s">
        <v>56</v>
      </c>
      <c r="E243" s="7" t="s">
        <v>38</v>
      </c>
      <c r="F243" s="7" t="s">
        <v>269</v>
      </c>
      <c r="G243" s="7">
        <v>2020</v>
      </c>
      <c r="H243" s="7" t="str">
        <f>CONCATENATE("04210187102")</f>
        <v>04210187102</v>
      </c>
      <c r="I243" s="7" t="s">
        <v>39</v>
      </c>
      <c r="J243" s="7" t="s">
        <v>31</v>
      </c>
      <c r="K243" s="7" t="str">
        <f>CONCATENATE("")</f>
        <v/>
      </c>
      <c r="L243" s="7" t="str">
        <f>CONCATENATE("13 13.1 4a")</f>
        <v>13 13.1 4a</v>
      </c>
      <c r="M243" s="7" t="str">
        <f>CONCATENATE("FMSCHR66H62F205P")</f>
        <v>FMSCHR66H62F205P</v>
      </c>
      <c r="N243" s="7" t="s">
        <v>346</v>
      </c>
      <c r="O243" s="7" t="s">
        <v>249</v>
      </c>
      <c r="P243" s="8">
        <v>44321</v>
      </c>
      <c r="Q243" s="7" t="s">
        <v>32</v>
      </c>
      <c r="R243" s="7" t="s">
        <v>33</v>
      </c>
      <c r="S243" s="7" t="s">
        <v>34</v>
      </c>
      <c r="T243" s="7"/>
      <c r="U243" s="7" t="s">
        <v>35</v>
      </c>
      <c r="V243" s="7">
        <v>572.04999999999995</v>
      </c>
      <c r="W243" s="7">
        <v>246.67</v>
      </c>
      <c r="X243" s="7">
        <v>227.79</v>
      </c>
      <c r="Y243" s="7">
        <v>0</v>
      </c>
      <c r="Z243" s="7">
        <v>97.59</v>
      </c>
    </row>
    <row r="244" spans="1:26" x14ac:dyDescent="0.35">
      <c r="A244" s="7" t="s">
        <v>27</v>
      </c>
      <c r="B244" s="7" t="s">
        <v>36</v>
      </c>
      <c r="C244" s="7" t="s">
        <v>48</v>
      </c>
      <c r="D244" s="7" t="s">
        <v>62</v>
      </c>
      <c r="E244" s="7" t="s">
        <v>29</v>
      </c>
      <c r="F244" s="7" t="s">
        <v>176</v>
      </c>
      <c r="G244" s="7">
        <v>2020</v>
      </c>
      <c r="H244" s="7" t="str">
        <f>CONCATENATE("04210674109")</f>
        <v>04210674109</v>
      </c>
      <c r="I244" s="7" t="s">
        <v>30</v>
      </c>
      <c r="J244" s="7" t="s">
        <v>31</v>
      </c>
      <c r="K244" s="7" t="str">
        <f>CONCATENATE("")</f>
        <v/>
      </c>
      <c r="L244" s="7" t="str">
        <f>CONCATENATE("13 13.1 4a")</f>
        <v>13 13.1 4a</v>
      </c>
      <c r="M244" s="7" t="str">
        <f>CONCATENATE("PRTSNT65T59H501P")</f>
        <v>PRTSNT65T59H501P</v>
      </c>
      <c r="N244" s="7" t="s">
        <v>347</v>
      </c>
      <c r="O244" s="7" t="s">
        <v>249</v>
      </c>
      <c r="P244" s="8">
        <v>44321</v>
      </c>
      <c r="Q244" s="7" t="s">
        <v>32</v>
      </c>
      <c r="R244" s="7" t="s">
        <v>33</v>
      </c>
      <c r="S244" s="7" t="s">
        <v>34</v>
      </c>
      <c r="T244" s="7"/>
      <c r="U244" s="7" t="s">
        <v>35</v>
      </c>
      <c r="V244" s="9">
        <v>1208.94</v>
      </c>
      <c r="W244" s="7">
        <v>521.29</v>
      </c>
      <c r="X244" s="7">
        <v>481.4</v>
      </c>
      <c r="Y244" s="7">
        <v>0</v>
      </c>
      <c r="Z244" s="7">
        <v>206.25</v>
      </c>
    </row>
    <row r="245" spans="1:26" ht="17.5" x14ac:dyDescent="0.35">
      <c r="A245" s="7" t="s">
        <v>27</v>
      </c>
      <c r="B245" s="7" t="s">
        <v>36</v>
      </c>
      <c r="C245" s="7" t="s">
        <v>48</v>
      </c>
      <c r="D245" s="7" t="s">
        <v>56</v>
      </c>
      <c r="E245" s="7" t="s">
        <v>29</v>
      </c>
      <c r="F245" s="7" t="s">
        <v>124</v>
      </c>
      <c r="G245" s="7">
        <v>2020</v>
      </c>
      <c r="H245" s="7" t="str">
        <f>CONCATENATE("04210443844")</f>
        <v>04210443844</v>
      </c>
      <c r="I245" s="7" t="s">
        <v>39</v>
      </c>
      <c r="J245" s="7" t="s">
        <v>31</v>
      </c>
      <c r="K245" s="7" t="str">
        <f>CONCATENATE("")</f>
        <v/>
      </c>
      <c r="L245" s="7" t="str">
        <f>CONCATENATE("13 13.1 4a")</f>
        <v>13 13.1 4a</v>
      </c>
      <c r="M245" s="7" t="str">
        <f>CONCATENATE("GRFMSM65P16D965H")</f>
        <v>GRFMSM65P16D965H</v>
      </c>
      <c r="N245" s="7" t="s">
        <v>348</v>
      </c>
      <c r="O245" s="7" t="s">
        <v>249</v>
      </c>
      <c r="P245" s="8">
        <v>44321</v>
      </c>
      <c r="Q245" s="7" t="s">
        <v>32</v>
      </c>
      <c r="R245" s="7" t="s">
        <v>33</v>
      </c>
      <c r="S245" s="7" t="s">
        <v>34</v>
      </c>
      <c r="T245" s="7"/>
      <c r="U245" s="7" t="s">
        <v>35</v>
      </c>
      <c r="V245" s="7">
        <v>339.41</v>
      </c>
      <c r="W245" s="7">
        <v>146.35</v>
      </c>
      <c r="X245" s="7">
        <v>135.15</v>
      </c>
      <c r="Y245" s="7">
        <v>0</v>
      </c>
      <c r="Z245" s="7">
        <v>57.91</v>
      </c>
    </row>
    <row r="246" spans="1:26" x14ac:dyDescent="0.35">
      <c r="A246" s="7" t="s">
        <v>27</v>
      </c>
      <c r="B246" s="7" t="s">
        <v>36</v>
      </c>
      <c r="C246" s="7" t="s">
        <v>48</v>
      </c>
      <c r="D246" s="7" t="s">
        <v>56</v>
      </c>
      <c r="E246" s="7" t="s">
        <v>42</v>
      </c>
      <c r="F246" s="7" t="s">
        <v>290</v>
      </c>
      <c r="G246" s="7">
        <v>2020</v>
      </c>
      <c r="H246" s="7" t="str">
        <f>CONCATENATE("04210059988")</f>
        <v>04210059988</v>
      </c>
      <c r="I246" s="7" t="s">
        <v>39</v>
      </c>
      <c r="J246" s="7" t="s">
        <v>31</v>
      </c>
      <c r="K246" s="7" t="str">
        <f>CONCATENATE("")</f>
        <v/>
      </c>
      <c r="L246" s="7" t="str">
        <f>CONCATENATE("13 13.1 4a")</f>
        <v>13 13.1 4a</v>
      </c>
      <c r="M246" s="7" t="str">
        <f>CONCATENATE("GNTLGU59E06D451V")</f>
        <v>GNTLGU59E06D451V</v>
      </c>
      <c r="N246" s="7" t="s">
        <v>349</v>
      </c>
      <c r="O246" s="7" t="s">
        <v>249</v>
      </c>
      <c r="P246" s="8">
        <v>44321</v>
      </c>
      <c r="Q246" s="7" t="s">
        <v>32</v>
      </c>
      <c r="R246" s="7" t="s">
        <v>33</v>
      </c>
      <c r="S246" s="7" t="s">
        <v>34</v>
      </c>
      <c r="T246" s="7"/>
      <c r="U246" s="7" t="s">
        <v>35</v>
      </c>
      <c r="V246" s="7">
        <v>222.21</v>
      </c>
      <c r="W246" s="7">
        <v>95.82</v>
      </c>
      <c r="X246" s="7">
        <v>88.48</v>
      </c>
      <c r="Y246" s="7">
        <v>0</v>
      </c>
      <c r="Z246" s="7">
        <v>37.909999999999997</v>
      </c>
    </row>
    <row r="247" spans="1:26" x14ac:dyDescent="0.35">
      <c r="A247" s="7" t="s">
        <v>27</v>
      </c>
      <c r="B247" s="7" t="s">
        <v>36</v>
      </c>
      <c r="C247" s="7" t="s">
        <v>48</v>
      </c>
      <c r="D247" s="7" t="s">
        <v>49</v>
      </c>
      <c r="E247" s="7" t="s">
        <v>42</v>
      </c>
      <c r="F247" s="7" t="s">
        <v>50</v>
      </c>
      <c r="G247" s="7">
        <v>2020</v>
      </c>
      <c r="H247" s="7" t="str">
        <f>CONCATENATE("04210454874")</f>
        <v>04210454874</v>
      </c>
      <c r="I247" s="7" t="s">
        <v>30</v>
      </c>
      <c r="J247" s="7" t="s">
        <v>31</v>
      </c>
      <c r="K247" s="7" t="str">
        <f>CONCATENATE("")</f>
        <v/>
      </c>
      <c r="L247" s="7" t="str">
        <f>CONCATENATE("13 13.1 4a")</f>
        <v>13 13.1 4a</v>
      </c>
      <c r="M247" s="7" t="str">
        <f>CONCATENATE("SCMFNC78C27F509R")</f>
        <v>SCMFNC78C27F509R</v>
      </c>
      <c r="N247" s="7" t="s">
        <v>350</v>
      </c>
      <c r="O247" s="7" t="s">
        <v>249</v>
      </c>
      <c r="P247" s="8">
        <v>44321</v>
      </c>
      <c r="Q247" s="7" t="s">
        <v>32</v>
      </c>
      <c r="R247" s="7" t="s">
        <v>33</v>
      </c>
      <c r="S247" s="7" t="s">
        <v>34</v>
      </c>
      <c r="T247" s="7"/>
      <c r="U247" s="7" t="s">
        <v>35</v>
      </c>
      <c r="V247" s="9">
        <v>4446.88</v>
      </c>
      <c r="W247" s="9">
        <v>1917.49</v>
      </c>
      <c r="X247" s="9">
        <v>1770.75</v>
      </c>
      <c r="Y247" s="7">
        <v>0</v>
      </c>
      <c r="Z247" s="7">
        <v>758.64</v>
      </c>
    </row>
    <row r="248" spans="1:26" x14ac:dyDescent="0.35">
      <c r="A248" s="7" t="s">
        <v>27</v>
      </c>
      <c r="B248" s="7" t="s">
        <v>36</v>
      </c>
      <c r="C248" s="7" t="s">
        <v>48</v>
      </c>
      <c r="D248" s="7" t="s">
        <v>56</v>
      </c>
      <c r="E248" s="7" t="s">
        <v>29</v>
      </c>
      <c r="F248" s="7" t="s">
        <v>113</v>
      </c>
      <c r="G248" s="7">
        <v>2020</v>
      </c>
      <c r="H248" s="7" t="str">
        <f>CONCATENATE("04210030815")</f>
        <v>04210030815</v>
      </c>
      <c r="I248" s="7" t="s">
        <v>39</v>
      </c>
      <c r="J248" s="7" t="s">
        <v>31</v>
      </c>
      <c r="K248" s="7" t="str">
        <f>CONCATENATE("")</f>
        <v/>
      </c>
      <c r="L248" s="7" t="str">
        <f>CONCATENATE("13 13.1 4a")</f>
        <v>13 13.1 4a</v>
      </c>
      <c r="M248" s="7" t="str">
        <f>CONCATENATE("CRSTMS89C13D786R")</f>
        <v>CRSTMS89C13D786R</v>
      </c>
      <c r="N248" s="7" t="s">
        <v>351</v>
      </c>
      <c r="O248" s="7" t="s">
        <v>249</v>
      </c>
      <c r="P248" s="8">
        <v>44321</v>
      </c>
      <c r="Q248" s="7" t="s">
        <v>32</v>
      </c>
      <c r="R248" s="7" t="s">
        <v>33</v>
      </c>
      <c r="S248" s="7" t="s">
        <v>34</v>
      </c>
      <c r="T248" s="7"/>
      <c r="U248" s="7" t="s">
        <v>35</v>
      </c>
      <c r="V248" s="7">
        <v>455.51</v>
      </c>
      <c r="W248" s="7">
        <v>196.42</v>
      </c>
      <c r="X248" s="7">
        <v>181.38</v>
      </c>
      <c r="Y248" s="7">
        <v>0</v>
      </c>
      <c r="Z248" s="7">
        <v>77.709999999999994</v>
      </c>
    </row>
    <row r="249" spans="1:26" x14ac:dyDescent="0.35">
      <c r="A249" s="7" t="s">
        <v>27</v>
      </c>
      <c r="B249" s="7" t="s">
        <v>36</v>
      </c>
      <c r="C249" s="7" t="s">
        <v>48</v>
      </c>
      <c r="D249" s="7" t="s">
        <v>56</v>
      </c>
      <c r="E249" s="7" t="s">
        <v>29</v>
      </c>
      <c r="F249" s="7" t="s">
        <v>66</v>
      </c>
      <c r="G249" s="7">
        <v>2020</v>
      </c>
      <c r="H249" s="7" t="str">
        <f>CONCATENATE("04210265007")</f>
        <v>04210265007</v>
      </c>
      <c r="I249" s="7" t="s">
        <v>39</v>
      </c>
      <c r="J249" s="7" t="s">
        <v>31</v>
      </c>
      <c r="K249" s="7" t="str">
        <f>CONCATENATE("")</f>
        <v/>
      </c>
      <c r="L249" s="7" t="str">
        <f>CONCATENATE("13 13.1 4a")</f>
        <v>13 13.1 4a</v>
      </c>
      <c r="M249" s="7" t="str">
        <f>CONCATENATE("MLNMGD87L62I156S")</f>
        <v>MLNMGD87L62I156S</v>
      </c>
      <c r="N249" s="7" t="s">
        <v>352</v>
      </c>
      <c r="O249" s="7" t="s">
        <v>249</v>
      </c>
      <c r="P249" s="8">
        <v>44321</v>
      </c>
      <c r="Q249" s="7" t="s">
        <v>32</v>
      </c>
      <c r="R249" s="7" t="s">
        <v>33</v>
      </c>
      <c r="S249" s="7" t="s">
        <v>34</v>
      </c>
      <c r="T249" s="7"/>
      <c r="U249" s="7" t="s">
        <v>35</v>
      </c>
      <c r="V249" s="7">
        <v>63.17</v>
      </c>
      <c r="W249" s="7">
        <v>27.24</v>
      </c>
      <c r="X249" s="7">
        <v>25.15</v>
      </c>
      <c r="Y249" s="7">
        <v>0</v>
      </c>
      <c r="Z249" s="7">
        <v>10.78</v>
      </c>
    </row>
    <row r="250" spans="1:26" x14ac:dyDescent="0.35">
      <c r="A250" s="7" t="s">
        <v>27</v>
      </c>
      <c r="B250" s="7" t="s">
        <v>36</v>
      </c>
      <c r="C250" s="7" t="s">
        <v>48</v>
      </c>
      <c r="D250" s="7" t="s">
        <v>56</v>
      </c>
      <c r="E250" s="7" t="s">
        <v>29</v>
      </c>
      <c r="F250" s="7" t="s">
        <v>128</v>
      </c>
      <c r="G250" s="7">
        <v>2020</v>
      </c>
      <c r="H250" s="7" t="str">
        <f>CONCATENATE("04210573624")</f>
        <v>04210573624</v>
      </c>
      <c r="I250" s="7" t="s">
        <v>39</v>
      </c>
      <c r="J250" s="7" t="s">
        <v>31</v>
      </c>
      <c r="K250" s="7" t="str">
        <f>CONCATENATE("")</f>
        <v/>
      </c>
      <c r="L250" s="7" t="str">
        <f>CONCATENATE("13 13.1 4a")</f>
        <v>13 13.1 4a</v>
      </c>
      <c r="M250" s="7" t="str">
        <f>CONCATENATE("MLTMSS77E51I461Q")</f>
        <v>MLTMSS77E51I461Q</v>
      </c>
      <c r="N250" s="7" t="s">
        <v>353</v>
      </c>
      <c r="O250" s="7" t="s">
        <v>249</v>
      </c>
      <c r="P250" s="8">
        <v>44321</v>
      </c>
      <c r="Q250" s="7" t="s">
        <v>32</v>
      </c>
      <c r="R250" s="7" t="s">
        <v>33</v>
      </c>
      <c r="S250" s="7" t="s">
        <v>34</v>
      </c>
      <c r="T250" s="7"/>
      <c r="U250" s="7" t="s">
        <v>35</v>
      </c>
      <c r="V250" s="7">
        <v>127.18</v>
      </c>
      <c r="W250" s="7">
        <v>54.84</v>
      </c>
      <c r="X250" s="7">
        <v>50.64</v>
      </c>
      <c r="Y250" s="7">
        <v>0</v>
      </c>
      <c r="Z250" s="7">
        <v>21.7</v>
      </c>
    </row>
    <row r="251" spans="1:26" x14ac:dyDescent="0.35">
      <c r="A251" s="7" t="s">
        <v>27</v>
      </c>
      <c r="B251" s="7" t="s">
        <v>36</v>
      </c>
      <c r="C251" s="7" t="s">
        <v>48</v>
      </c>
      <c r="D251" s="7" t="s">
        <v>56</v>
      </c>
      <c r="E251" s="7" t="s">
        <v>29</v>
      </c>
      <c r="F251" s="7" t="s">
        <v>128</v>
      </c>
      <c r="G251" s="7">
        <v>2020</v>
      </c>
      <c r="H251" s="7" t="str">
        <f>CONCATENATE("04210585735")</f>
        <v>04210585735</v>
      </c>
      <c r="I251" s="7" t="s">
        <v>39</v>
      </c>
      <c r="J251" s="7" t="s">
        <v>31</v>
      </c>
      <c r="K251" s="7" t="str">
        <f>CONCATENATE("")</f>
        <v/>
      </c>
      <c r="L251" s="7" t="str">
        <f>CONCATENATE("13 13.1 4a")</f>
        <v>13 13.1 4a</v>
      </c>
      <c r="M251" s="7" t="str">
        <f>CONCATENATE("RGGMKI94T15D451R")</f>
        <v>RGGMKI94T15D451R</v>
      </c>
      <c r="N251" s="7" t="s">
        <v>354</v>
      </c>
      <c r="O251" s="7" t="s">
        <v>249</v>
      </c>
      <c r="P251" s="8">
        <v>44321</v>
      </c>
      <c r="Q251" s="7" t="s">
        <v>32</v>
      </c>
      <c r="R251" s="7" t="s">
        <v>33</v>
      </c>
      <c r="S251" s="7" t="s">
        <v>34</v>
      </c>
      <c r="T251" s="7"/>
      <c r="U251" s="7" t="s">
        <v>35</v>
      </c>
      <c r="V251" s="7">
        <v>705.33</v>
      </c>
      <c r="W251" s="7">
        <v>304.14</v>
      </c>
      <c r="X251" s="7">
        <v>280.86</v>
      </c>
      <c r="Y251" s="7">
        <v>0</v>
      </c>
      <c r="Z251" s="7">
        <v>120.33</v>
      </c>
    </row>
    <row r="252" spans="1:26" x14ac:dyDescent="0.35">
      <c r="A252" s="7" t="s">
        <v>27</v>
      </c>
      <c r="B252" s="7" t="s">
        <v>36</v>
      </c>
      <c r="C252" s="7" t="s">
        <v>48</v>
      </c>
      <c r="D252" s="7" t="s">
        <v>49</v>
      </c>
      <c r="E252" s="7" t="s">
        <v>38</v>
      </c>
      <c r="F252" s="7" t="s">
        <v>132</v>
      </c>
      <c r="G252" s="7">
        <v>2020</v>
      </c>
      <c r="H252" s="7" t="str">
        <f>CONCATENATE("04210733111")</f>
        <v>04210733111</v>
      </c>
      <c r="I252" s="7" t="s">
        <v>39</v>
      </c>
      <c r="J252" s="7" t="s">
        <v>31</v>
      </c>
      <c r="K252" s="7" t="str">
        <f>CONCATENATE("")</f>
        <v/>
      </c>
      <c r="L252" s="7" t="str">
        <f>CONCATENATE("13 13.1 4a")</f>
        <v>13 13.1 4a</v>
      </c>
      <c r="M252" s="7" t="str">
        <f>CONCATENATE("02200350441")</f>
        <v>02200350441</v>
      </c>
      <c r="N252" s="7" t="s">
        <v>355</v>
      </c>
      <c r="O252" s="7" t="s">
        <v>249</v>
      </c>
      <c r="P252" s="8">
        <v>44321</v>
      </c>
      <c r="Q252" s="7" t="s">
        <v>32</v>
      </c>
      <c r="R252" s="7" t="s">
        <v>33</v>
      </c>
      <c r="S252" s="7" t="s">
        <v>34</v>
      </c>
      <c r="T252" s="7"/>
      <c r="U252" s="7" t="s">
        <v>35</v>
      </c>
      <c r="V252" s="9">
        <v>4751.7</v>
      </c>
      <c r="W252" s="9">
        <v>2048.9299999999998</v>
      </c>
      <c r="X252" s="9">
        <v>1892.13</v>
      </c>
      <c r="Y252" s="7">
        <v>0</v>
      </c>
      <c r="Z252" s="7">
        <v>810.64</v>
      </c>
    </row>
    <row r="253" spans="1:26" x14ac:dyDescent="0.35">
      <c r="A253" s="7" t="s">
        <v>27</v>
      </c>
      <c r="B253" s="7" t="s">
        <v>36</v>
      </c>
      <c r="C253" s="7" t="s">
        <v>48</v>
      </c>
      <c r="D253" s="7" t="s">
        <v>56</v>
      </c>
      <c r="E253" s="7" t="s">
        <v>42</v>
      </c>
      <c r="F253" s="7" t="s">
        <v>290</v>
      </c>
      <c r="G253" s="7">
        <v>2020</v>
      </c>
      <c r="H253" s="7" t="str">
        <f>CONCATENATE("04210427151")</f>
        <v>04210427151</v>
      </c>
      <c r="I253" s="7" t="s">
        <v>30</v>
      </c>
      <c r="J253" s="7" t="s">
        <v>31</v>
      </c>
      <c r="K253" s="7" t="str">
        <f>CONCATENATE("")</f>
        <v/>
      </c>
      <c r="L253" s="7" t="str">
        <f>CONCATENATE("13 13.1 4a")</f>
        <v>13 13.1 4a</v>
      </c>
      <c r="M253" s="7" t="str">
        <f>CONCATENATE("ZMPPRM74B23D451Q")</f>
        <v>ZMPPRM74B23D451Q</v>
      </c>
      <c r="N253" s="7" t="s">
        <v>356</v>
      </c>
      <c r="O253" s="7" t="s">
        <v>249</v>
      </c>
      <c r="P253" s="8">
        <v>44321</v>
      </c>
      <c r="Q253" s="7" t="s">
        <v>32</v>
      </c>
      <c r="R253" s="7" t="s">
        <v>33</v>
      </c>
      <c r="S253" s="7" t="s">
        <v>34</v>
      </c>
      <c r="T253" s="7"/>
      <c r="U253" s="7" t="s">
        <v>35</v>
      </c>
      <c r="V253" s="7">
        <v>135.47</v>
      </c>
      <c r="W253" s="7">
        <v>58.41</v>
      </c>
      <c r="X253" s="7">
        <v>53.94</v>
      </c>
      <c r="Y253" s="7">
        <v>0</v>
      </c>
      <c r="Z253" s="7">
        <v>23.12</v>
      </c>
    </row>
    <row r="254" spans="1:26" x14ac:dyDescent="0.35">
      <c r="A254" s="7" t="s">
        <v>27</v>
      </c>
      <c r="B254" s="7" t="s">
        <v>36</v>
      </c>
      <c r="C254" s="7" t="s">
        <v>48</v>
      </c>
      <c r="D254" s="7" t="s">
        <v>56</v>
      </c>
      <c r="E254" s="7" t="s">
        <v>29</v>
      </c>
      <c r="F254" s="7" t="s">
        <v>113</v>
      </c>
      <c r="G254" s="7">
        <v>2020</v>
      </c>
      <c r="H254" s="7" t="str">
        <f>CONCATENATE("04210019396")</f>
        <v>04210019396</v>
      </c>
      <c r="I254" s="7" t="s">
        <v>30</v>
      </c>
      <c r="J254" s="7" t="s">
        <v>31</v>
      </c>
      <c r="K254" s="7" t="str">
        <f>CONCATENATE("")</f>
        <v/>
      </c>
      <c r="L254" s="7" t="str">
        <f>CONCATENATE("13 13.1 4a")</f>
        <v>13 13.1 4a</v>
      </c>
      <c r="M254" s="7" t="str">
        <f>CONCATENATE("LBRRNT35B19D451Q")</f>
        <v>LBRRNT35B19D451Q</v>
      </c>
      <c r="N254" s="7" t="s">
        <v>357</v>
      </c>
      <c r="O254" s="7" t="s">
        <v>249</v>
      </c>
      <c r="P254" s="8">
        <v>44321</v>
      </c>
      <c r="Q254" s="7" t="s">
        <v>32</v>
      </c>
      <c r="R254" s="7" t="s">
        <v>33</v>
      </c>
      <c r="S254" s="7" t="s">
        <v>34</v>
      </c>
      <c r="T254" s="7"/>
      <c r="U254" s="7" t="s">
        <v>35</v>
      </c>
      <c r="V254" s="7">
        <v>455.12</v>
      </c>
      <c r="W254" s="7">
        <v>196.25</v>
      </c>
      <c r="X254" s="7">
        <v>181.23</v>
      </c>
      <c r="Y254" s="7">
        <v>0</v>
      </c>
      <c r="Z254" s="7">
        <v>77.64</v>
      </c>
    </row>
    <row r="255" spans="1:26" x14ac:dyDescent="0.35">
      <c r="A255" s="7" t="s">
        <v>27</v>
      </c>
      <c r="B255" s="7" t="s">
        <v>36</v>
      </c>
      <c r="C255" s="7" t="s">
        <v>48</v>
      </c>
      <c r="D255" s="7" t="s">
        <v>56</v>
      </c>
      <c r="E255" s="7" t="s">
        <v>29</v>
      </c>
      <c r="F255" s="7" t="s">
        <v>113</v>
      </c>
      <c r="G255" s="7">
        <v>2020</v>
      </c>
      <c r="H255" s="7" t="str">
        <f>CONCATENATE("04210356251")</f>
        <v>04210356251</v>
      </c>
      <c r="I255" s="7" t="s">
        <v>30</v>
      </c>
      <c r="J255" s="7" t="s">
        <v>31</v>
      </c>
      <c r="K255" s="7" t="str">
        <f>CONCATENATE("")</f>
        <v/>
      </c>
      <c r="L255" s="7" t="str">
        <f>CONCATENATE("13 13.1 4a")</f>
        <v>13 13.1 4a</v>
      </c>
      <c r="M255" s="7" t="str">
        <f>CONCATENATE("SBFSDR65H20D451V")</f>
        <v>SBFSDR65H20D451V</v>
      </c>
      <c r="N255" s="7" t="s">
        <v>358</v>
      </c>
      <c r="O255" s="7" t="s">
        <v>249</v>
      </c>
      <c r="P255" s="8">
        <v>44321</v>
      </c>
      <c r="Q255" s="7" t="s">
        <v>32</v>
      </c>
      <c r="R255" s="7" t="s">
        <v>33</v>
      </c>
      <c r="S255" s="7" t="s">
        <v>34</v>
      </c>
      <c r="T255" s="7"/>
      <c r="U255" s="7" t="s">
        <v>35</v>
      </c>
      <c r="V255" s="9">
        <v>1666.14</v>
      </c>
      <c r="W255" s="7">
        <v>718.44</v>
      </c>
      <c r="X255" s="7">
        <v>663.46</v>
      </c>
      <c r="Y255" s="7">
        <v>0</v>
      </c>
      <c r="Z255" s="7">
        <v>284.24</v>
      </c>
    </row>
    <row r="256" spans="1:26" x14ac:dyDescent="0.35">
      <c r="A256" s="7" t="s">
        <v>27</v>
      </c>
      <c r="B256" s="7" t="s">
        <v>36</v>
      </c>
      <c r="C256" s="7" t="s">
        <v>48</v>
      </c>
      <c r="D256" s="7" t="s">
        <v>59</v>
      </c>
      <c r="E256" s="7" t="s">
        <v>40</v>
      </c>
      <c r="F256" s="7" t="s">
        <v>165</v>
      </c>
      <c r="G256" s="7">
        <v>2020</v>
      </c>
      <c r="H256" s="7" t="str">
        <f>CONCATENATE("04210149870")</f>
        <v>04210149870</v>
      </c>
      <c r="I256" s="7" t="s">
        <v>30</v>
      </c>
      <c r="J256" s="7" t="s">
        <v>31</v>
      </c>
      <c r="K256" s="7" t="str">
        <f>CONCATENATE("")</f>
        <v/>
      </c>
      <c r="L256" s="7" t="str">
        <f>CONCATENATE("13 13.1 4a")</f>
        <v>13 13.1 4a</v>
      </c>
      <c r="M256" s="7" t="str">
        <f>CONCATENATE("VNNDNC58R05I654R")</f>
        <v>VNNDNC58R05I654R</v>
      </c>
      <c r="N256" s="7" t="s">
        <v>359</v>
      </c>
      <c r="O256" s="7" t="s">
        <v>360</v>
      </c>
      <c r="P256" s="8">
        <v>44321</v>
      </c>
      <c r="Q256" s="7" t="s">
        <v>32</v>
      </c>
      <c r="R256" s="7" t="s">
        <v>33</v>
      </c>
      <c r="S256" s="7" t="s">
        <v>34</v>
      </c>
      <c r="T256" s="7"/>
      <c r="U256" s="7" t="s">
        <v>35</v>
      </c>
      <c r="V256" s="7">
        <v>57.5</v>
      </c>
      <c r="W256" s="7">
        <v>24.79</v>
      </c>
      <c r="X256" s="7">
        <v>22.9</v>
      </c>
      <c r="Y256" s="7">
        <v>0</v>
      </c>
      <c r="Z256" s="7">
        <v>9.81</v>
      </c>
    </row>
    <row r="257" spans="1:26" x14ac:dyDescent="0.35">
      <c r="A257" s="7" t="s">
        <v>27</v>
      </c>
      <c r="B257" s="7" t="s">
        <v>36</v>
      </c>
      <c r="C257" s="7" t="s">
        <v>48</v>
      </c>
      <c r="D257" s="7" t="s">
        <v>59</v>
      </c>
      <c r="E257" s="7" t="s">
        <v>42</v>
      </c>
      <c r="F257" s="7" t="s">
        <v>361</v>
      </c>
      <c r="G257" s="7">
        <v>2020</v>
      </c>
      <c r="H257" s="7" t="str">
        <f>CONCATENATE("04210530087")</f>
        <v>04210530087</v>
      </c>
      <c r="I257" s="7" t="s">
        <v>30</v>
      </c>
      <c r="J257" s="7" t="s">
        <v>31</v>
      </c>
      <c r="K257" s="7" t="str">
        <f>CONCATENATE("")</f>
        <v/>
      </c>
      <c r="L257" s="7" t="str">
        <f>CONCATENATE("13 13.1 4a")</f>
        <v>13 13.1 4a</v>
      </c>
      <c r="M257" s="7" t="str">
        <f>CONCATENATE("SPDGRL65B22D749B")</f>
        <v>SPDGRL65B22D749B</v>
      </c>
      <c r="N257" s="7" t="s">
        <v>362</v>
      </c>
      <c r="O257" s="7" t="s">
        <v>360</v>
      </c>
      <c r="P257" s="8">
        <v>44321</v>
      </c>
      <c r="Q257" s="7" t="s">
        <v>32</v>
      </c>
      <c r="R257" s="7" t="s">
        <v>33</v>
      </c>
      <c r="S257" s="7" t="s">
        <v>34</v>
      </c>
      <c r="T257" s="7"/>
      <c r="U257" s="7" t="s">
        <v>35</v>
      </c>
      <c r="V257" s="9">
        <v>6946.64</v>
      </c>
      <c r="W257" s="9">
        <v>2995.39</v>
      </c>
      <c r="X257" s="9">
        <v>2766.15</v>
      </c>
      <c r="Y257" s="7">
        <v>0</v>
      </c>
      <c r="Z257" s="9">
        <v>1185.0999999999999</v>
      </c>
    </row>
    <row r="258" spans="1:26" x14ac:dyDescent="0.35">
      <c r="A258" s="7" t="s">
        <v>27</v>
      </c>
      <c r="B258" s="7" t="s">
        <v>36</v>
      </c>
      <c r="C258" s="7" t="s">
        <v>48</v>
      </c>
      <c r="D258" s="7" t="s">
        <v>59</v>
      </c>
      <c r="E258" s="7" t="s">
        <v>40</v>
      </c>
      <c r="F258" s="7" t="s">
        <v>363</v>
      </c>
      <c r="G258" s="7">
        <v>2020</v>
      </c>
      <c r="H258" s="7" t="str">
        <f>CONCATENATE("04210894160")</f>
        <v>04210894160</v>
      </c>
      <c r="I258" s="7" t="s">
        <v>30</v>
      </c>
      <c r="J258" s="7" t="s">
        <v>31</v>
      </c>
      <c r="K258" s="7" t="str">
        <f>CONCATENATE("")</f>
        <v/>
      </c>
      <c r="L258" s="7" t="str">
        <f>CONCATENATE("13 13.1 4a")</f>
        <v>13 13.1 4a</v>
      </c>
      <c r="M258" s="7" t="str">
        <f>CONCATENATE("SNCLSE48C58L078L")</f>
        <v>SNCLSE48C58L078L</v>
      </c>
      <c r="N258" s="7" t="s">
        <v>364</v>
      </c>
      <c r="O258" s="7" t="s">
        <v>360</v>
      </c>
      <c r="P258" s="8">
        <v>44321</v>
      </c>
      <c r="Q258" s="7" t="s">
        <v>32</v>
      </c>
      <c r="R258" s="7" t="s">
        <v>33</v>
      </c>
      <c r="S258" s="7" t="s">
        <v>34</v>
      </c>
      <c r="T258" s="7"/>
      <c r="U258" s="7" t="s">
        <v>35</v>
      </c>
      <c r="V258" s="9">
        <v>1327.16</v>
      </c>
      <c r="W258" s="7">
        <v>572.27</v>
      </c>
      <c r="X258" s="7">
        <v>528.48</v>
      </c>
      <c r="Y258" s="7">
        <v>0</v>
      </c>
      <c r="Z258" s="7">
        <v>226.41</v>
      </c>
    </row>
    <row r="259" spans="1:26" x14ac:dyDescent="0.35">
      <c r="A259" s="7" t="s">
        <v>27</v>
      </c>
      <c r="B259" s="7" t="s">
        <v>36</v>
      </c>
      <c r="C259" s="7" t="s">
        <v>48</v>
      </c>
      <c r="D259" s="7" t="s">
        <v>59</v>
      </c>
      <c r="E259" s="7" t="s">
        <v>29</v>
      </c>
      <c r="F259" s="7" t="s">
        <v>195</v>
      </c>
      <c r="G259" s="7">
        <v>2020</v>
      </c>
      <c r="H259" s="7" t="str">
        <f>CONCATENATE("04210497022")</f>
        <v>04210497022</v>
      </c>
      <c r="I259" s="7" t="s">
        <v>30</v>
      </c>
      <c r="J259" s="7" t="s">
        <v>31</v>
      </c>
      <c r="K259" s="7" t="str">
        <f>CONCATENATE("")</f>
        <v/>
      </c>
      <c r="L259" s="7" t="str">
        <f>CONCATENATE("13 13.1 4a")</f>
        <v>13 13.1 4a</v>
      </c>
      <c r="M259" s="7" t="str">
        <f>CONCATENATE("SCRMRK96M12L500Y")</f>
        <v>SCRMRK96M12L500Y</v>
      </c>
      <c r="N259" s="7" t="s">
        <v>365</v>
      </c>
      <c r="O259" s="7" t="s">
        <v>360</v>
      </c>
      <c r="P259" s="8">
        <v>44321</v>
      </c>
      <c r="Q259" s="7" t="s">
        <v>32</v>
      </c>
      <c r="R259" s="7" t="s">
        <v>33</v>
      </c>
      <c r="S259" s="7" t="s">
        <v>34</v>
      </c>
      <c r="T259" s="7"/>
      <c r="U259" s="7" t="s">
        <v>35</v>
      </c>
      <c r="V259" s="9">
        <v>1289.18</v>
      </c>
      <c r="W259" s="7">
        <v>555.89</v>
      </c>
      <c r="X259" s="7">
        <v>513.35</v>
      </c>
      <c r="Y259" s="7">
        <v>0</v>
      </c>
      <c r="Z259" s="7">
        <v>219.94</v>
      </c>
    </row>
    <row r="260" spans="1:26" x14ac:dyDescent="0.35">
      <c r="A260" s="7" t="s">
        <v>27</v>
      </c>
      <c r="B260" s="7" t="s">
        <v>36</v>
      </c>
      <c r="C260" s="7" t="s">
        <v>48</v>
      </c>
      <c r="D260" s="7" t="s">
        <v>59</v>
      </c>
      <c r="E260" s="7" t="s">
        <v>29</v>
      </c>
      <c r="F260" s="7" t="s">
        <v>195</v>
      </c>
      <c r="G260" s="7">
        <v>2020</v>
      </c>
      <c r="H260" s="7" t="str">
        <f>CONCATENATE("04210194785")</f>
        <v>04210194785</v>
      </c>
      <c r="I260" s="7" t="s">
        <v>30</v>
      </c>
      <c r="J260" s="7" t="s">
        <v>31</v>
      </c>
      <c r="K260" s="7" t="str">
        <f>CONCATENATE("")</f>
        <v/>
      </c>
      <c r="L260" s="7" t="str">
        <f>CONCATENATE("13 13.1 4a")</f>
        <v>13 13.1 4a</v>
      </c>
      <c r="M260" s="7" t="str">
        <f>CONCATENATE("BRNGNI62M22F135E")</f>
        <v>BRNGNI62M22F135E</v>
      </c>
      <c r="N260" s="7" t="s">
        <v>366</v>
      </c>
      <c r="O260" s="7" t="s">
        <v>360</v>
      </c>
      <c r="P260" s="8">
        <v>44321</v>
      </c>
      <c r="Q260" s="7" t="s">
        <v>32</v>
      </c>
      <c r="R260" s="7" t="s">
        <v>33</v>
      </c>
      <c r="S260" s="7" t="s">
        <v>34</v>
      </c>
      <c r="T260" s="7"/>
      <c r="U260" s="7" t="s">
        <v>35</v>
      </c>
      <c r="V260" s="7">
        <v>798.54</v>
      </c>
      <c r="W260" s="7">
        <v>344.33</v>
      </c>
      <c r="X260" s="7">
        <v>317.98</v>
      </c>
      <c r="Y260" s="7">
        <v>0</v>
      </c>
      <c r="Z260" s="7">
        <v>136.22999999999999</v>
      </c>
    </row>
    <row r="261" spans="1:26" x14ac:dyDescent="0.35">
      <c r="A261" s="7" t="s">
        <v>27</v>
      </c>
      <c r="B261" s="7" t="s">
        <v>36</v>
      </c>
      <c r="C261" s="7" t="s">
        <v>48</v>
      </c>
      <c r="D261" s="7" t="s">
        <v>59</v>
      </c>
      <c r="E261" s="7" t="s">
        <v>29</v>
      </c>
      <c r="F261" s="7" t="s">
        <v>195</v>
      </c>
      <c r="G261" s="7">
        <v>2020</v>
      </c>
      <c r="H261" s="7" t="str">
        <f>CONCATENATE("04210149961")</f>
        <v>04210149961</v>
      </c>
      <c r="I261" s="7" t="s">
        <v>30</v>
      </c>
      <c r="J261" s="7" t="s">
        <v>31</v>
      </c>
      <c r="K261" s="7" t="str">
        <f>CONCATENATE("")</f>
        <v/>
      </c>
      <c r="L261" s="7" t="str">
        <f>CONCATENATE("13 13.1 4a")</f>
        <v>13 13.1 4a</v>
      </c>
      <c r="M261" s="7" t="str">
        <f>CONCATENATE("01066760412")</f>
        <v>01066760412</v>
      </c>
      <c r="N261" s="7" t="s">
        <v>367</v>
      </c>
      <c r="O261" s="7" t="s">
        <v>360</v>
      </c>
      <c r="P261" s="8">
        <v>44321</v>
      </c>
      <c r="Q261" s="7" t="s">
        <v>32</v>
      </c>
      <c r="R261" s="7" t="s">
        <v>33</v>
      </c>
      <c r="S261" s="7" t="s">
        <v>34</v>
      </c>
      <c r="T261" s="7"/>
      <c r="U261" s="7" t="s">
        <v>35</v>
      </c>
      <c r="V261" s="9">
        <v>3208.56</v>
      </c>
      <c r="W261" s="9">
        <v>1383.53</v>
      </c>
      <c r="X261" s="9">
        <v>1277.6500000000001</v>
      </c>
      <c r="Y261" s="7">
        <v>0</v>
      </c>
      <c r="Z261" s="7">
        <v>547.38</v>
      </c>
    </row>
    <row r="262" spans="1:26" x14ac:dyDescent="0.35">
      <c r="A262" s="7" t="s">
        <v>27</v>
      </c>
      <c r="B262" s="7" t="s">
        <v>36</v>
      </c>
      <c r="C262" s="7" t="s">
        <v>48</v>
      </c>
      <c r="D262" s="7" t="s">
        <v>59</v>
      </c>
      <c r="E262" s="7" t="s">
        <v>29</v>
      </c>
      <c r="F262" s="7" t="s">
        <v>195</v>
      </c>
      <c r="G262" s="7">
        <v>2020</v>
      </c>
      <c r="H262" s="7" t="str">
        <f>CONCATENATE("04210094159")</f>
        <v>04210094159</v>
      </c>
      <c r="I262" s="7" t="s">
        <v>30</v>
      </c>
      <c r="J262" s="7" t="s">
        <v>31</v>
      </c>
      <c r="K262" s="7" t="str">
        <f>CONCATENATE("")</f>
        <v/>
      </c>
      <c r="L262" s="7" t="str">
        <f>CONCATENATE("13 13.1 4a")</f>
        <v>13 13.1 4a</v>
      </c>
      <c r="M262" s="7" t="str">
        <f>CONCATENATE("TBRFNC67L14Z133R")</f>
        <v>TBRFNC67L14Z133R</v>
      </c>
      <c r="N262" s="7" t="s">
        <v>368</v>
      </c>
      <c r="O262" s="7" t="s">
        <v>360</v>
      </c>
      <c r="P262" s="8">
        <v>44321</v>
      </c>
      <c r="Q262" s="7" t="s">
        <v>32</v>
      </c>
      <c r="R262" s="7" t="s">
        <v>33</v>
      </c>
      <c r="S262" s="7" t="s">
        <v>34</v>
      </c>
      <c r="T262" s="7"/>
      <c r="U262" s="7" t="s">
        <v>35</v>
      </c>
      <c r="V262" s="9">
        <v>4249.25</v>
      </c>
      <c r="W262" s="9">
        <v>1832.28</v>
      </c>
      <c r="X262" s="9">
        <v>1692.05</v>
      </c>
      <c r="Y262" s="7">
        <v>0</v>
      </c>
      <c r="Z262" s="7">
        <v>724.92</v>
      </c>
    </row>
    <row r="263" spans="1:26" ht="17.5" x14ac:dyDescent="0.35">
      <c r="A263" s="7" t="s">
        <v>27</v>
      </c>
      <c r="B263" s="7" t="s">
        <v>36</v>
      </c>
      <c r="C263" s="7" t="s">
        <v>48</v>
      </c>
      <c r="D263" s="7" t="s">
        <v>59</v>
      </c>
      <c r="E263" s="7" t="s">
        <v>42</v>
      </c>
      <c r="F263" s="7" t="s">
        <v>361</v>
      </c>
      <c r="G263" s="7">
        <v>2020</v>
      </c>
      <c r="H263" s="7" t="str">
        <f>CONCATENATE("04210465037")</f>
        <v>04210465037</v>
      </c>
      <c r="I263" s="7" t="s">
        <v>30</v>
      </c>
      <c r="J263" s="7" t="s">
        <v>31</v>
      </c>
      <c r="K263" s="7" t="str">
        <f>CONCATENATE("")</f>
        <v/>
      </c>
      <c r="L263" s="7" t="str">
        <f>CONCATENATE("13 13.1 4a")</f>
        <v>13 13.1 4a</v>
      </c>
      <c r="M263" s="7" t="str">
        <f>CONCATENATE("MRTMSM69D20E785F")</f>
        <v>MRTMSM69D20E785F</v>
      </c>
      <c r="N263" s="7" t="s">
        <v>369</v>
      </c>
      <c r="O263" s="7" t="s">
        <v>360</v>
      </c>
      <c r="P263" s="8">
        <v>44321</v>
      </c>
      <c r="Q263" s="7" t="s">
        <v>32</v>
      </c>
      <c r="R263" s="7" t="s">
        <v>33</v>
      </c>
      <c r="S263" s="7" t="s">
        <v>34</v>
      </c>
      <c r="T263" s="7"/>
      <c r="U263" s="7" t="s">
        <v>35</v>
      </c>
      <c r="V263" s="7">
        <v>570.79999999999995</v>
      </c>
      <c r="W263" s="7">
        <v>246.13</v>
      </c>
      <c r="X263" s="7">
        <v>227.29</v>
      </c>
      <c r="Y263" s="7">
        <v>0</v>
      </c>
      <c r="Z263" s="7">
        <v>97.38</v>
      </c>
    </row>
    <row r="264" spans="1:26" x14ac:dyDescent="0.35">
      <c r="A264" s="7" t="s">
        <v>27</v>
      </c>
      <c r="B264" s="7" t="s">
        <v>36</v>
      </c>
      <c r="C264" s="7" t="s">
        <v>48</v>
      </c>
      <c r="D264" s="7" t="s">
        <v>59</v>
      </c>
      <c r="E264" s="7" t="s">
        <v>44</v>
      </c>
      <c r="F264" s="7" t="s">
        <v>315</v>
      </c>
      <c r="G264" s="7">
        <v>2020</v>
      </c>
      <c r="H264" s="7" t="str">
        <f>CONCATENATE("04210071298")</f>
        <v>04210071298</v>
      </c>
      <c r="I264" s="7" t="s">
        <v>30</v>
      </c>
      <c r="J264" s="7" t="s">
        <v>31</v>
      </c>
      <c r="K264" s="7" t="str">
        <f>CONCATENATE("")</f>
        <v/>
      </c>
      <c r="L264" s="7" t="str">
        <f>CONCATENATE("13 13.1 4a")</f>
        <v>13 13.1 4a</v>
      </c>
      <c r="M264" s="7" t="str">
        <f>CONCATENATE("02470020419")</f>
        <v>02470020419</v>
      </c>
      <c r="N264" s="7" t="s">
        <v>370</v>
      </c>
      <c r="O264" s="7" t="s">
        <v>360</v>
      </c>
      <c r="P264" s="8">
        <v>44321</v>
      </c>
      <c r="Q264" s="7" t="s">
        <v>32</v>
      </c>
      <c r="R264" s="7" t="s">
        <v>33</v>
      </c>
      <c r="S264" s="7" t="s">
        <v>34</v>
      </c>
      <c r="T264" s="7"/>
      <c r="U264" s="7" t="s">
        <v>35</v>
      </c>
      <c r="V264" s="9">
        <v>6809.98</v>
      </c>
      <c r="W264" s="9">
        <v>2936.46</v>
      </c>
      <c r="X264" s="9">
        <v>2711.73</v>
      </c>
      <c r="Y264" s="7">
        <v>0</v>
      </c>
      <c r="Z264" s="9">
        <v>1161.79</v>
      </c>
    </row>
    <row r="265" spans="1:26" x14ac:dyDescent="0.35">
      <c r="A265" s="7" t="s">
        <v>27</v>
      </c>
      <c r="B265" s="7" t="s">
        <v>36</v>
      </c>
      <c r="C265" s="7" t="s">
        <v>48</v>
      </c>
      <c r="D265" s="7" t="s">
        <v>59</v>
      </c>
      <c r="E265" s="7" t="s">
        <v>29</v>
      </c>
      <c r="F265" s="7" t="s">
        <v>371</v>
      </c>
      <c r="G265" s="7">
        <v>2020</v>
      </c>
      <c r="H265" s="7" t="str">
        <f>CONCATENATE("04210038925")</f>
        <v>04210038925</v>
      </c>
      <c r="I265" s="7" t="s">
        <v>30</v>
      </c>
      <c r="J265" s="7" t="s">
        <v>31</v>
      </c>
      <c r="K265" s="7" t="str">
        <f>CONCATENATE("")</f>
        <v/>
      </c>
      <c r="L265" s="7" t="str">
        <f>CONCATENATE("13 13.1 4a")</f>
        <v>13 13.1 4a</v>
      </c>
      <c r="M265" s="7" t="str">
        <f>CONCATENATE("MGNLCN54S09I459K")</f>
        <v>MGNLCN54S09I459K</v>
      </c>
      <c r="N265" s="7" t="s">
        <v>372</v>
      </c>
      <c r="O265" s="7" t="s">
        <v>360</v>
      </c>
      <c r="P265" s="8">
        <v>44321</v>
      </c>
      <c r="Q265" s="7" t="s">
        <v>32</v>
      </c>
      <c r="R265" s="7" t="s">
        <v>33</v>
      </c>
      <c r="S265" s="7" t="s">
        <v>34</v>
      </c>
      <c r="T265" s="7"/>
      <c r="U265" s="7" t="s">
        <v>35</v>
      </c>
      <c r="V265" s="9">
        <v>5437.68</v>
      </c>
      <c r="W265" s="9">
        <v>2344.73</v>
      </c>
      <c r="X265" s="9">
        <v>2165.2800000000002</v>
      </c>
      <c r="Y265" s="7">
        <v>0</v>
      </c>
      <c r="Z265" s="7">
        <v>927.67</v>
      </c>
    </row>
    <row r="266" spans="1:26" x14ac:dyDescent="0.35">
      <c r="A266" s="7" t="s">
        <v>27</v>
      </c>
      <c r="B266" s="7" t="s">
        <v>36</v>
      </c>
      <c r="C266" s="7" t="s">
        <v>48</v>
      </c>
      <c r="D266" s="7" t="s">
        <v>59</v>
      </c>
      <c r="E266" s="7" t="s">
        <v>40</v>
      </c>
      <c r="F266" s="7" t="s">
        <v>183</v>
      </c>
      <c r="G266" s="7">
        <v>2020</v>
      </c>
      <c r="H266" s="7" t="str">
        <f>CONCATENATE("04210352128")</f>
        <v>04210352128</v>
      </c>
      <c r="I266" s="7" t="s">
        <v>30</v>
      </c>
      <c r="J266" s="7" t="s">
        <v>31</v>
      </c>
      <c r="K266" s="7" t="str">
        <f>CONCATENATE("")</f>
        <v/>
      </c>
      <c r="L266" s="7" t="str">
        <f>CONCATENATE("13 13.1 4a")</f>
        <v>13 13.1 4a</v>
      </c>
      <c r="M266" s="7" t="str">
        <f>CONCATENATE("CCCCST94S21D749Z")</f>
        <v>CCCCST94S21D749Z</v>
      </c>
      <c r="N266" s="7" t="s">
        <v>373</v>
      </c>
      <c r="O266" s="7" t="s">
        <v>360</v>
      </c>
      <c r="P266" s="8">
        <v>44321</v>
      </c>
      <c r="Q266" s="7" t="s">
        <v>32</v>
      </c>
      <c r="R266" s="7" t="s">
        <v>33</v>
      </c>
      <c r="S266" s="7" t="s">
        <v>34</v>
      </c>
      <c r="T266" s="7"/>
      <c r="U266" s="7" t="s">
        <v>35</v>
      </c>
      <c r="V266" s="7">
        <v>493.56</v>
      </c>
      <c r="W266" s="7">
        <v>212.82</v>
      </c>
      <c r="X266" s="7">
        <v>196.54</v>
      </c>
      <c r="Y266" s="7">
        <v>0</v>
      </c>
      <c r="Z266" s="7">
        <v>84.2</v>
      </c>
    </row>
    <row r="267" spans="1:26" x14ac:dyDescent="0.35">
      <c r="A267" s="7" t="s">
        <v>27</v>
      </c>
      <c r="B267" s="7" t="s">
        <v>36</v>
      </c>
      <c r="C267" s="7" t="s">
        <v>48</v>
      </c>
      <c r="D267" s="7" t="s">
        <v>59</v>
      </c>
      <c r="E267" s="7" t="s">
        <v>29</v>
      </c>
      <c r="F267" s="7" t="s">
        <v>371</v>
      </c>
      <c r="G267" s="7">
        <v>2020</v>
      </c>
      <c r="H267" s="7" t="str">
        <f>CONCATENATE("04210039329")</f>
        <v>04210039329</v>
      </c>
      <c r="I267" s="7" t="s">
        <v>30</v>
      </c>
      <c r="J267" s="7" t="s">
        <v>31</v>
      </c>
      <c r="K267" s="7" t="str">
        <f>CONCATENATE("")</f>
        <v/>
      </c>
      <c r="L267" s="7" t="str">
        <f>CONCATENATE("13 13.1 4a")</f>
        <v>13 13.1 4a</v>
      </c>
      <c r="M267" s="7" t="str">
        <f>CONCATENATE("PLZVTR60R28I459U")</f>
        <v>PLZVTR60R28I459U</v>
      </c>
      <c r="N267" s="7" t="s">
        <v>374</v>
      </c>
      <c r="O267" s="7" t="s">
        <v>360</v>
      </c>
      <c r="P267" s="8">
        <v>44321</v>
      </c>
      <c r="Q267" s="7" t="s">
        <v>32</v>
      </c>
      <c r="R267" s="7" t="s">
        <v>33</v>
      </c>
      <c r="S267" s="7" t="s">
        <v>34</v>
      </c>
      <c r="T267" s="7"/>
      <c r="U267" s="7" t="s">
        <v>35</v>
      </c>
      <c r="V267" s="9">
        <v>1541.8</v>
      </c>
      <c r="W267" s="7">
        <v>664.82</v>
      </c>
      <c r="X267" s="7">
        <v>613.94000000000005</v>
      </c>
      <c r="Y267" s="7">
        <v>0</v>
      </c>
      <c r="Z267" s="7">
        <v>263.04000000000002</v>
      </c>
    </row>
    <row r="268" spans="1:26" x14ac:dyDescent="0.35">
      <c r="A268" s="7" t="s">
        <v>27</v>
      </c>
      <c r="B268" s="7" t="s">
        <v>36</v>
      </c>
      <c r="C268" s="7" t="s">
        <v>48</v>
      </c>
      <c r="D268" s="7" t="s">
        <v>59</v>
      </c>
      <c r="E268" s="7" t="s">
        <v>29</v>
      </c>
      <c r="F268" s="7" t="s">
        <v>371</v>
      </c>
      <c r="G268" s="7">
        <v>2020</v>
      </c>
      <c r="H268" s="7" t="str">
        <f>CONCATENATE("04210036630")</f>
        <v>04210036630</v>
      </c>
      <c r="I268" s="7" t="s">
        <v>30</v>
      </c>
      <c r="J268" s="7" t="s">
        <v>31</v>
      </c>
      <c r="K268" s="7" t="str">
        <f>CONCATENATE("")</f>
        <v/>
      </c>
      <c r="L268" s="7" t="str">
        <f>CONCATENATE("13 13.1 4a")</f>
        <v>13 13.1 4a</v>
      </c>
      <c r="M268" s="7" t="str">
        <f>CONCATENATE("GLNPLA68T14E785Y")</f>
        <v>GLNPLA68T14E785Y</v>
      </c>
      <c r="N268" s="7" t="s">
        <v>375</v>
      </c>
      <c r="O268" s="7" t="s">
        <v>360</v>
      </c>
      <c r="P268" s="8">
        <v>44321</v>
      </c>
      <c r="Q268" s="7" t="s">
        <v>32</v>
      </c>
      <c r="R268" s="7" t="s">
        <v>33</v>
      </c>
      <c r="S268" s="7" t="s">
        <v>34</v>
      </c>
      <c r="T268" s="7"/>
      <c r="U268" s="7" t="s">
        <v>35</v>
      </c>
      <c r="V268" s="9">
        <v>6116.59</v>
      </c>
      <c r="W268" s="9">
        <v>2637.47</v>
      </c>
      <c r="X268" s="9">
        <v>2435.63</v>
      </c>
      <c r="Y268" s="7">
        <v>0</v>
      </c>
      <c r="Z268" s="9">
        <v>1043.49</v>
      </c>
    </row>
    <row r="269" spans="1:26" x14ac:dyDescent="0.35">
      <c r="A269" s="7" t="s">
        <v>27</v>
      </c>
      <c r="B269" s="7" t="s">
        <v>36</v>
      </c>
      <c r="C269" s="7" t="s">
        <v>48</v>
      </c>
      <c r="D269" s="7" t="s">
        <v>59</v>
      </c>
      <c r="E269" s="7" t="s">
        <v>40</v>
      </c>
      <c r="F269" s="7" t="s">
        <v>183</v>
      </c>
      <c r="G269" s="7">
        <v>2020</v>
      </c>
      <c r="H269" s="7" t="str">
        <f>CONCATENATE("04210615227")</f>
        <v>04210615227</v>
      </c>
      <c r="I269" s="7" t="s">
        <v>30</v>
      </c>
      <c r="J269" s="7" t="s">
        <v>31</v>
      </c>
      <c r="K269" s="7" t="str">
        <f>CONCATENATE("")</f>
        <v/>
      </c>
      <c r="L269" s="7" t="str">
        <f>CONCATENATE("13 13.1 4a")</f>
        <v>13 13.1 4a</v>
      </c>
      <c r="M269" s="7" t="str">
        <f>CONCATENATE("GRMGCR47B12D749P")</f>
        <v>GRMGCR47B12D749P</v>
      </c>
      <c r="N269" s="7" t="s">
        <v>376</v>
      </c>
      <c r="O269" s="7" t="s">
        <v>360</v>
      </c>
      <c r="P269" s="8">
        <v>44321</v>
      </c>
      <c r="Q269" s="7" t="s">
        <v>32</v>
      </c>
      <c r="R269" s="7" t="s">
        <v>33</v>
      </c>
      <c r="S269" s="7" t="s">
        <v>34</v>
      </c>
      <c r="T269" s="7"/>
      <c r="U269" s="7" t="s">
        <v>35</v>
      </c>
      <c r="V269" s="9">
        <v>5203.7</v>
      </c>
      <c r="W269" s="9">
        <v>2243.84</v>
      </c>
      <c r="X269" s="9">
        <v>2072.11</v>
      </c>
      <c r="Y269" s="7">
        <v>0</v>
      </c>
      <c r="Z269" s="7">
        <v>887.75</v>
      </c>
    </row>
    <row r="270" spans="1:26" x14ac:dyDescent="0.35">
      <c r="A270" s="7" t="s">
        <v>27</v>
      </c>
      <c r="B270" s="7" t="s">
        <v>36</v>
      </c>
      <c r="C270" s="7" t="s">
        <v>48</v>
      </c>
      <c r="D270" s="7" t="s">
        <v>59</v>
      </c>
      <c r="E270" s="7" t="s">
        <v>29</v>
      </c>
      <c r="F270" s="7" t="s">
        <v>371</v>
      </c>
      <c r="G270" s="7">
        <v>2020</v>
      </c>
      <c r="H270" s="7" t="str">
        <f>CONCATENATE("04210019560")</f>
        <v>04210019560</v>
      </c>
      <c r="I270" s="7" t="s">
        <v>30</v>
      </c>
      <c r="J270" s="7" t="s">
        <v>31</v>
      </c>
      <c r="K270" s="7" t="str">
        <f>CONCATENATE("")</f>
        <v/>
      </c>
      <c r="L270" s="7" t="str">
        <f>CONCATENATE("13 13.1 4a")</f>
        <v>13 13.1 4a</v>
      </c>
      <c r="M270" s="7" t="str">
        <f>CONCATENATE("SNTGZN61D14F467V")</f>
        <v>SNTGZN61D14F467V</v>
      </c>
      <c r="N270" s="7" t="s">
        <v>377</v>
      </c>
      <c r="O270" s="7" t="s">
        <v>360</v>
      </c>
      <c r="P270" s="8">
        <v>44321</v>
      </c>
      <c r="Q270" s="7" t="s">
        <v>32</v>
      </c>
      <c r="R270" s="7" t="s">
        <v>33</v>
      </c>
      <c r="S270" s="7" t="s">
        <v>34</v>
      </c>
      <c r="T270" s="7"/>
      <c r="U270" s="7" t="s">
        <v>35</v>
      </c>
      <c r="V270" s="7">
        <v>640.17999999999995</v>
      </c>
      <c r="W270" s="7">
        <v>276.05</v>
      </c>
      <c r="X270" s="7">
        <v>254.92</v>
      </c>
      <c r="Y270" s="7">
        <v>0</v>
      </c>
      <c r="Z270" s="7">
        <v>109.21</v>
      </c>
    </row>
    <row r="271" spans="1:26" ht="17.5" x14ac:dyDescent="0.35">
      <c r="A271" s="7" t="s">
        <v>27</v>
      </c>
      <c r="B271" s="7" t="s">
        <v>36</v>
      </c>
      <c r="C271" s="7" t="s">
        <v>48</v>
      </c>
      <c r="D271" s="7" t="s">
        <v>59</v>
      </c>
      <c r="E271" s="7" t="s">
        <v>29</v>
      </c>
      <c r="F271" s="7" t="s">
        <v>121</v>
      </c>
      <c r="G271" s="7">
        <v>2020</v>
      </c>
      <c r="H271" s="7" t="str">
        <f>CONCATENATE("04210351443")</f>
        <v>04210351443</v>
      </c>
      <c r="I271" s="7" t="s">
        <v>30</v>
      </c>
      <c r="J271" s="7" t="s">
        <v>31</v>
      </c>
      <c r="K271" s="7" t="str">
        <f>CONCATENATE("")</f>
        <v/>
      </c>
      <c r="L271" s="7" t="str">
        <f>CONCATENATE("13 13.1 4a")</f>
        <v>13 13.1 4a</v>
      </c>
      <c r="M271" s="7" t="str">
        <f>CONCATENATE("02408390413")</f>
        <v>02408390413</v>
      </c>
      <c r="N271" s="7" t="s">
        <v>378</v>
      </c>
      <c r="O271" s="7" t="s">
        <v>360</v>
      </c>
      <c r="P271" s="8">
        <v>44321</v>
      </c>
      <c r="Q271" s="7" t="s">
        <v>32</v>
      </c>
      <c r="R271" s="7" t="s">
        <v>33</v>
      </c>
      <c r="S271" s="7" t="s">
        <v>34</v>
      </c>
      <c r="T271" s="7"/>
      <c r="U271" s="7" t="s">
        <v>35</v>
      </c>
      <c r="V271" s="9">
        <v>1905.48</v>
      </c>
      <c r="W271" s="7">
        <v>821.64</v>
      </c>
      <c r="X271" s="7">
        <v>758.76</v>
      </c>
      <c r="Y271" s="7">
        <v>0</v>
      </c>
      <c r="Z271" s="7">
        <v>325.08</v>
      </c>
    </row>
    <row r="272" spans="1:26" x14ac:dyDescent="0.35">
      <c r="A272" s="7" t="s">
        <v>27</v>
      </c>
      <c r="B272" s="7" t="s">
        <v>36</v>
      </c>
      <c r="C272" s="7" t="s">
        <v>48</v>
      </c>
      <c r="D272" s="7" t="s">
        <v>59</v>
      </c>
      <c r="E272" s="7" t="s">
        <v>29</v>
      </c>
      <c r="F272" s="7" t="s">
        <v>379</v>
      </c>
      <c r="G272" s="7">
        <v>2020</v>
      </c>
      <c r="H272" s="7" t="str">
        <f>CONCATENATE("04210755478")</f>
        <v>04210755478</v>
      </c>
      <c r="I272" s="7" t="s">
        <v>30</v>
      </c>
      <c r="J272" s="7" t="s">
        <v>31</v>
      </c>
      <c r="K272" s="7" t="str">
        <f>CONCATENATE("")</f>
        <v/>
      </c>
      <c r="L272" s="7" t="str">
        <f>CONCATENATE("13 13.1 4a")</f>
        <v>13 13.1 4a</v>
      </c>
      <c r="M272" s="7" t="str">
        <f>CONCATENATE("GNNDNS94T08H294V")</f>
        <v>GNNDNS94T08H294V</v>
      </c>
      <c r="N272" s="7" t="s">
        <v>380</v>
      </c>
      <c r="O272" s="7" t="s">
        <v>360</v>
      </c>
      <c r="P272" s="8">
        <v>44321</v>
      </c>
      <c r="Q272" s="7" t="s">
        <v>32</v>
      </c>
      <c r="R272" s="7" t="s">
        <v>33</v>
      </c>
      <c r="S272" s="7" t="s">
        <v>34</v>
      </c>
      <c r="T272" s="7"/>
      <c r="U272" s="7" t="s">
        <v>35</v>
      </c>
      <c r="V272" s="9">
        <v>1133</v>
      </c>
      <c r="W272" s="7">
        <v>488.55</v>
      </c>
      <c r="X272" s="7">
        <v>451.16</v>
      </c>
      <c r="Y272" s="7">
        <v>0</v>
      </c>
      <c r="Z272" s="7">
        <v>193.29</v>
      </c>
    </row>
    <row r="273" spans="1:26" x14ac:dyDescent="0.35">
      <c r="A273" s="7" t="s">
        <v>27</v>
      </c>
      <c r="B273" s="7" t="s">
        <v>36</v>
      </c>
      <c r="C273" s="7" t="s">
        <v>48</v>
      </c>
      <c r="D273" s="7" t="s">
        <v>59</v>
      </c>
      <c r="E273" s="7" t="s">
        <v>40</v>
      </c>
      <c r="F273" s="7" t="s">
        <v>154</v>
      </c>
      <c r="G273" s="7">
        <v>2020</v>
      </c>
      <c r="H273" s="7" t="str">
        <f>CONCATENATE("04210296218")</f>
        <v>04210296218</v>
      </c>
      <c r="I273" s="7" t="s">
        <v>30</v>
      </c>
      <c r="J273" s="7" t="s">
        <v>31</v>
      </c>
      <c r="K273" s="7" t="str">
        <f>CONCATENATE("")</f>
        <v/>
      </c>
      <c r="L273" s="7" t="str">
        <f>CONCATENATE("13 13.1 4a")</f>
        <v>13 13.1 4a</v>
      </c>
      <c r="M273" s="7" t="str">
        <f>CONCATENATE("CNCSMN68D07G453Q")</f>
        <v>CNCSMN68D07G453Q</v>
      </c>
      <c r="N273" s="7" t="s">
        <v>381</v>
      </c>
      <c r="O273" s="7" t="s">
        <v>360</v>
      </c>
      <c r="P273" s="8">
        <v>44321</v>
      </c>
      <c r="Q273" s="7" t="s">
        <v>32</v>
      </c>
      <c r="R273" s="7" t="s">
        <v>33</v>
      </c>
      <c r="S273" s="7" t="s">
        <v>34</v>
      </c>
      <c r="T273" s="7"/>
      <c r="U273" s="7" t="s">
        <v>35</v>
      </c>
      <c r="V273" s="7">
        <v>484.75</v>
      </c>
      <c r="W273" s="7">
        <v>209.02</v>
      </c>
      <c r="X273" s="7">
        <v>193.03</v>
      </c>
      <c r="Y273" s="7">
        <v>0</v>
      </c>
      <c r="Z273" s="7">
        <v>82.7</v>
      </c>
    </row>
    <row r="274" spans="1:26" x14ac:dyDescent="0.35">
      <c r="A274" s="7" t="s">
        <v>27</v>
      </c>
      <c r="B274" s="7" t="s">
        <v>36</v>
      </c>
      <c r="C274" s="7" t="s">
        <v>48</v>
      </c>
      <c r="D274" s="7" t="s">
        <v>59</v>
      </c>
      <c r="E274" s="7" t="s">
        <v>42</v>
      </c>
      <c r="F274" s="7" t="s">
        <v>361</v>
      </c>
      <c r="G274" s="7">
        <v>2020</v>
      </c>
      <c r="H274" s="7" t="str">
        <f>CONCATENATE("04210537256")</f>
        <v>04210537256</v>
      </c>
      <c r="I274" s="7" t="s">
        <v>30</v>
      </c>
      <c r="J274" s="7" t="s">
        <v>31</v>
      </c>
      <c r="K274" s="7" t="str">
        <f>CONCATENATE("")</f>
        <v/>
      </c>
      <c r="L274" s="7" t="str">
        <f>CONCATENATE("13 13.1 4a")</f>
        <v>13 13.1 4a</v>
      </c>
      <c r="M274" s="7" t="str">
        <f>CONCATENATE("CPZSLV66H46G479E")</f>
        <v>CPZSLV66H46G479E</v>
      </c>
      <c r="N274" s="7" t="s">
        <v>382</v>
      </c>
      <c r="O274" s="7" t="s">
        <v>360</v>
      </c>
      <c r="P274" s="8">
        <v>44321</v>
      </c>
      <c r="Q274" s="7" t="s">
        <v>32</v>
      </c>
      <c r="R274" s="7" t="s">
        <v>33</v>
      </c>
      <c r="S274" s="7" t="s">
        <v>34</v>
      </c>
      <c r="T274" s="7"/>
      <c r="U274" s="7" t="s">
        <v>35</v>
      </c>
      <c r="V274" s="7">
        <v>575.92999999999995</v>
      </c>
      <c r="W274" s="7">
        <v>248.34</v>
      </c>
      <c r="X274" s="7">
        <v>229.34</v>
      </c>
      <c r="Y274" s="7">
        <v>0</v>
      </c>
      <c r="Z274" s="7">
        <v>98.25</v>
      </c>
    </row>
    <row r="275" spans="1:26" x14ac:dyDescent="0.35">
      <c r="A275" s="7" t="s">
        <v>27</v>
      </c>
      <c r="B275" s="7" t="s">
        <v>36</v>
      </c>
      <c r="C275" s="7" t="s">
        <v>48</v>
      </c>
      <c r="D275" s="7" t="s">
        <v>59</v>
      </c>
      <c r="E275" s="7" t="s">
        <v>40</v>
      </c>
      <c r="F275" s="7" t="s">
        <v>163</v>
      </c>
      <c r="G275" s="7">
        <v>2020</v>
      </c>
      <c r="H275" s="7" t="str">
        <f>CONCATENATE("04210088888")</f>
        <v>04210088888</v>
      </c>
      <c r="I275" s="7" t="s">
        <v>30</v>
      </c>
      <c r="J275" s="7" t="s">
        <v>31</v>
      </c>
      <c r="K275" s="7" t="str">
        <f>CONCATENATE("")</f>
        <v/>
      </c>
      <c r="L275" s="7" t="str">
        <f>CONCATENATE("13 13.1 4a")</f>
        <v>13 13.1 4a</v>
      </c>
      <c r="M275" s="7" t="str">
        <f>CONCATENATE("GRSPTR32S29G551C")</f>
        <v>GRSPTR32S29G551C</v>
      </c>
      <c r="N275" s="7" t="s">
        <v>383</v>
      </c>
      <c r="O275" s="7" t="s">
        <v>360</v>
      </c>
      <c r="P275" s="8">
        <v>44321</v>
      </c>
      <c r="Q275" s="7" t="s">
        <v>32</v>
      </c>
      <c r="R275" s="7" t="s">
        <v>33</v>
      </c>
      <c r="S275" s="7" t="s">
        <v>34</v>
      </c>
      <c r="T275" s="7"/>
      <c r="U275" s="7" t="s">
        <v>35</v>
      </c>
      <c r="V275" s="7">
        <v>947.26</v>
      </c>
      <c r="W275" s="7">
        <v>408.46</v>
      </c>
      <c r="X275" s="7">
        <v>377.2</v>
      </c>
      <c r="Y275" s="7">
        <v>0</v>
      </c>
      <c r="Z275" s="7">
        <v>161.6</v>
      </c>
    </row>
    <row r="276" spans="1:26" x14ac:dyDescent="0.35">
      <c r="A276" s="7" t="s">
        <v>27</v>
      </c>
      <c r="B276" s="7" t="s">
        <v>36</v>
      </c>
      <c r="C276" s="7" t="s">
        <v>48</v>
      </c>
      <c r="D276" s="7" t="s">
        <v>59</v>
      </c>
      <c r="E276" s="7" t="s">
        <v>29</v>
      </c>
      <c r="F276" s="7" t="s">
        <v>384</v>
      </c>
      <c r="G276" s="7">
        <v>2020</v>
      </c>
      <c r="H276" s="7" t="str">
        <f>CONCATENATE("04210227049")</f>
        <v>04210227049</v>
      </c>
      <c r="I276" s="7" t="s">
        <v>30</v>
      </c>
      <c r="J276" s="7" t="s">
        <v>31</v>
      </c>
      <c r="K276" s="7" t="str">
        <f>CONCATENATE("")</f>
        <v/>
      </c>
      <c r="L276" s="7" t="str">
        <f>CONCATENATE("13 13.1 4a")</f>
        <v>13 13.1 4a</v>
      </c>
      <c r="M276" s="7" t="str">
        <f>CONCATENATE("PRLFRZ61S25A327B")</f>
        <v>PRLFRZ61S25A327B</v>
      </c>
      <c r="N276" s="7" t="s">
        <v>385</v>
      </c>
      <c r="O276" s="7" t="s">
        <v>360</v>
      </c>
      <c r="P276" s="8">
        <v>44321</v>
      </c>
      <c r="Q276" s="7" t="s">
        <v>32</v>
      </c>
      <c r="R276" s="7" t="s">
        <v>33</v>
      </c>
      <c r="S276" s="7" t="s">
        <v>34</v>
      </c>
      <c r="T276" s="7"/>
      <c r="U276" s="7" t="s">
        <v>35</v>
      </c>
      <c r="V276" s="7">
        <v>566.98</v>
      </c>
      <c r="W276" s="7">
        <v>244.48</v>
      </c>
      <c r="X276" s="7">
        <v>225.77</v>
      </c>
      <c r="Y276" s="7">
        <v>0</v>
      </c>
      <c r="Z276" s="7">
        <v>96.73</v>
      </c>
    </row>
    <row r="277" spans="1:26" x14ac:dyDescent="0.35">
      <c r="A277" s="7" t="s">
        <v>27</v>
      </c>
      <c r="B277" s="7" t="s">
        <v>36</v>
      </c>
      <c r="C277" s="7" t="s">
        <v>48</v>
      </c>
      <c r="D277" s="7" t="s">
        <v>59</v>
      </c>
      <c r="E277" s="7" t="s">
        <v>29</v>
      </c>
      <c r="F277" s="7" t="s">
        <v>371</v>
      </c>
      <c r="G277" s="7">
        <v>2020</v>
      </c>
      <c r="H277" s="7" t="str">
        <f>CONCATENATE("04210578862")</f>
        <v>04210578862</v>
      </c>
      <c r="I277" s="7" t="s">
        <v>30</v>
      </c>
      <c r="J277" s="7" t="s">
        <v>31</v>
      </c>
      <c r="K277" s="7" t="str">
        <f>CONCATENATE("")</f>
        <v/>
      </c>
      <c r="L277" s="7" t="str">
        <f>CONCATENATE("13 13.1 4a")</f>
        <v>13 13.1 4a</v>
      </c>
      <c r="M277" s="7" t="str">
        <f>CONCATENATE("SLVZEI67D15E743U")</f>
        <v>SLVZEI67D15E743U</v>
      </c>
      <c r="N277" s="7" t="s">
        <v>386</v>
      </c>
      <c r="O277" s="7" t="s">
        <v>360</v>
      </c>
      <c r="P277" s="8">
        <v>44321</v>
      </c>
      <c r="Q277" s="7" t="s">
        <v>32</v>
      </c>
      <c r="R277" s="7" t="s">
        <v>33</v>
      </c>
      <c r="S277" s="7" t="s">
        <v>34</v>
      </c>
      <c r="T277" s="7"/>
      <c r="U277" s="7" t="s">
        <v>35</v>
      </c>
      <c r="V277" s="9">
        <v>9000</v>
      </c>
      <c r="W277" s="9">
        <v>3880.8</v>
      </c>
      <c r="X277" s="9">
        <v>3583.8</v>
      </c>
      <c r="Y277" s="7">
        <v>0</v>
      </c>
      <c r="Z277" s="9">
        <v>1535.4</v>
      </c>
    </row>
    <row r="278" spans="1:26" x14ac:dyDescent="0.35">
      <c r="A278" s="7" t="s">
        <v>27</v>
      </c>
      <c r="B278" s="7" t="s">
        <v>36</v>
      </c>
      <c r="C278" s="7" t="s">
        <v>48</v>
      </c>
      <c r="D278" s="7" t="s">
        <v>59</v>
      </c>
      <c r="E278" s="7" t="s">
        <v>40</v>
      </c>
      <c r="F278" s="7" t="s">
        <v>165</v>
      </c>
      <c r="G278" s="7">
        <v>2020</v>
      </c>
      <c r="H278" s="7" t="str">
        <f>CONCATENATE("04210451888")</f>
        <v>04210451888</v>
      </c>
      <c r="I278" s="7" t="s">
        <v>30</v>
      </c>
      <c r="J278" s="7" t="s">
        <v>31</v>
      </c>
      <c r="K278" s="7" t="str">
        <f>CONCATENATE("")</f>
        <v/>
      </c>
      <c r="L278" s="7" t="str">
        <f>CONCATENATE("13 13.1 4a")</f>
        <v>13 13.1 4a</v>
      </c>
      <c r="M278" s="7" t="str">
        <f>CONCATENATE("02365170410")</f>
        <v>02365170410</v>
      </c>
      <c r="N278" s="7" t="s">
        <v>387</v>
      </c>
      <c r="O278" s="7" t="s">
        <v>360</v>
      </c>
      <c r="P278" s="8">
        <v>44321</v>
      </c>
      <c r="Q278" s="7" t="s">
        <v>32</v>
      </c>
      <c r="R278" s="7" t="s">
        <v>33</v>
      </c>
      <c r="S278" s="7" t="s">
        <v>34</v>
      </c>
      <c r="T278" s="7"/>
      <c r="U278" s="7" t="s">
        <v>35</v>
      </c>
      <c r="V278" s="7">
        <v>82.98</v>
      </c>
      <c r="W278" s="7">
        <v>35.78</v>
      </c>
      <c r="X278" s="7">
        <v>33.04</v>
      </c>
      <c r="Y278" s="7">
        <v>0</v>
      </c>
      <c r="Z278" s="7">
        <v>14.16</v>
      </c>
    </row>
    <row r="279" spans="1:26" x14ac:dyDescent="0.35">
      <c r="A279" s="7" t="s">
        <v>27</v>
      </c>
      <c r="B279" s="7" t="s">
        <v>36</v>
      </c>
      <c r="C279" s="7" t="s">
        <v>48</v>
      </c>
      <c r="D279" s="7" t="s">
        <v>59</v>
      </c>
      <c r="E279" s="7" t="s">
        <v>29</v>
      </c>
      <c r="F279" s="7" t="s">
        <v>68</v>
      </c>
      <c r="G279" s="7">
        <v>2020</v>
      </c>
      <c r="H279" s="7" t="str">
        <f>CONCATENATE("04210038982")</f>
        <v>04210038982</v>
      </c>
      <c r="I279" s="7" t="s">
        <v>30</v>
      </c>
      <c r="J279" s="7" t="s">
        <v>31</v>
      </c>
      <c r="K279" s="7" t="str">
        <f>CONCATENATE("")</f>
        <v/>
      </c>
      <c r="L279" s="7" t="str">
        <f>CONCATENATE("13 13.1 4a")</f>
        <v>13 13.1 4a</v>
      </c>
      <c r="M279" s="7" t="str">
        <f>CONCATENATE("BRTMRC85D11L500G")</f>
        <v>BRTMRC85D11L500G</v>
      </c>
      <c r="N279" s="7" t="s">
        <v>388</v>
      </c>
      <c r="O279" s="7" t="s">
        <v>360</v>
      </c>
      <c r="P279" s="8">
        <v>44321</v>
      </c>
      <c r="Q279" s="7" t="s">
        <v>32</v>
      </c>
      <c r="R279" s="7" t="s">
        <v>33</v>
      </c>
      <c r="S279" s="7" t="s">
        <v>34</v>
      </c>
      <c r="T279" s="7"/>
      <c r="U279" s="7" t="s">
        <v>35</v>
      </c>
      <c r="V279" s="9">
        <v>2652.18</v>
      </c>
      <c r="W279" s="9">
        <v>1143.6199999999999</v>
      </c>
      <c r="X279" s="9">
        <v>1056.0999999999999</v>
      </c>
      <c r="Y279" s="7">
        <v>0</v>
      </c>
      <c r="Z279" s="7">
        <v>452.46</v>
      </c>
    </row>
    <row r="280" spans="1:26" x14ac:dyDescent="0.35">
      <c r="A280" s="7" t="s">
        <v>27</v>
      </c>
      <c r="B280" s="7" t="s">
        <v>36</v>
      </c>
      <c r="C280" s="7" t="s">
        <v>48</v>
      </c>
      <c r="D280" s="7" t="s">
        <v>59</v>
      </c>
      <c r="E280" s="7" t="s">
        <v>29</v>
      </c>
      <c r="F280" s="7" t="s">
        <v>225</v>
      </c>
      <c r="G280" s="7">
        <v>2020</v>
      </c>
      <c r="H280" s="7" t="str">
        <f>CONCATENATE("04210620599")</f>
        <v>04210620599</v>
      </c>
      <c r="I280" s="7" t="s">
        <v>30</v>
      </c>
      <c r="J280" s="7" t="s">
        <v>31</v>
      </c>
      <c r="K280" s="7" t="str">
        <f>CONCATENATE("")</f>
        <v/>
      </c>
      <c r="L280" s="7" t="str">
        <f>CONCATENATE("13 13.1 4a")</f>
        <v>13 13.1 4a</v>
      </c>
      <c r="M280" s="7" t="str">
        <f>CONCATENATE("GMBGNN56B25D488J")</f>
        <v>GMBGNN56B25D488J</v>
      </c>
      <c r="N280" s="7" t="s">
        <v>389</v>
      </c>
      <c r="O280" s="7" t="s">
        <v>360</v>
      </c>
      <c r="P280" s="8">
        <v>44321</v>
      </c>
      <c r="Q280" s="7" t="s">
        <v>32</v>
      </c>
      <c r="R280" s="7" t="s">
        <v>33</v>
      </c>
      <c r="S280" s="7" t="s">
        <v>34</v>
      </c>
      <c r="T280" s="7"/>
      <c r="U280" s="7" t="s">
        <v>35</v>
      </c>
      <c r="V280" s="9">
        <v>1525.96</v>
      </c>
      <c r="W280" s="7">
        <v>657.99</v>
      </c>
      <c r="X280" s="7">
        <v>607.64</v>
      </c>
      <c r="Y280" s="7">
        <v>0</v>
      </c>
      <c r="Z280" s="7">
        <v>260.33</v>
      </c>
    </row>
    <row r="281" spans="1:26" x14ac:dyDescent="0.35">
      <c r="A281" s="7" t="s">
        <v>27</v>
      </c>
      <c r="B281" s="7" t="s">
        <v>36</v>
      </c>
      <c r="C281" s="7" t="s">
        <v>48</v>
      </c>
      <c r="D281" s="7" t="s">
        <v>59</v>
      </c>
      <c r="E281" s="7" t="s">
        <v>29</v>
      </c>
      <c r="F281" s="7" t="s">
        <v>195</v>
      </c>
      <c r="G281" s="7">
        <v>2020</v>
      </c>
      <c r="H281" s="7" t="str">
        <f>CONCATENATE("04210029734")</f>
        <v>04210029734</v>
      </c>
      <c r="I281" s="7" t="s">
        <v>30</v>
      </c>
      <c r="J281" s="7" t="s">
        <v>31</v>
      </c>
      <c r="K281" s="7" t="str">
        <f>CONCATENATE("")</f>
        <v/>
      </c>
      <c r="L281" s="7" t="str">
        <f>CONCATENATE("13 13.1 4a")</f>
        <v>13 13.1 4a</v>
      </c>
      <c r="M281" s="7" t="str">
        <f>CONCATENATE("NBRBNR64H18G337A")</f>
        <v>NBRBNR64H18G337A</v>
      </c>
      <c r="N281" s="7" t="s">
        <v>390</v>
      </c>
      <c r="O281" s="7" t="s">
        <v>360</v>
      </c>
      <c r="P281" s="8">
        <v>44321</v>
      </c>
      <c r="Q281" s="7" t="s">
        <v>32</v>
      </c>
      <c r="R281" s="7" t="s">
        <v>33</v>
      </c>
      <c r="S281" s="7" t="s">
        <v>34</v>
      </c>
      <c r="T281" s="7"/>
      <c r="U281" s="7" t="s">
        <v>35</v>
      </c>
      <c r="V281" s="7">
        <v>270</v>
      </c>
      <c r="W281" s="7">
        <v>116.42</v>
      </c>
      <c r="X281" s="7">
        <v>107.51</v>
      </c>
      <c r="Y281" s="7">
        <v>0</v>
      </c>
      <c r="Z281" s="7">
        <v>46.07</v>
      </c>
    </row>
    <row r="282" spans="1:26" x14ac:dyDescent="0.35">
      <c r="A282" s="7" t="s">
        <v>27</v>
      </c>
      <c r="B282" s="7" t="s">
        <v>36</v>
      </c>
      <c r="C282" s="7" t="s">
        <v>48</v>
      </c>
      <c r="D282" s="7" t="s">
        <v>59</v>
      </c>
      <c r="E282" s="7" t="s">
        <v>29</v>
      </c>
      <c r="F282" s="7" t="s">
        <v>173</v>
      </c>
      <c r="G282" s="7">
        <v>2020</v>
      </c>
      <c r="H282" s="7" t="str">
        <f>CONCATENATE("04210565299")</f>
        <v>04210565299</v>
      </c>
      <c r="I282" s="7" t="s">
        <v>30</v>
      </c>
      <c r="J282" s="7" t="s">
        <v>31</v>
      </c>
      <c r="K282" s="7" t="str">
        <f>CONCATENATE("")</f>
        <v/>
      </c>
      <c r="L282" s="7" t="str">
        <f>CONCATENATE("13 13.1 4a")</f>
        <v>13 13.1 4a</v>
      </c>
      <c r="M282" s="7" t="str">
        <f>CONCATENATE("PGLGRL58A26D488M")</f>
        <v>PGLGRL58A26D488M</v>
      </c>
      <c r="N282" s="7" t="s">
        <v>391</v>
      </c>
      <c r="O282" s="7" t="s">
        <v>360</v>
      </c>
      <c r="P282" s="8">
        <v>44321</v>
      </c>
      <c r="Q282" s="7" t="s">
        <v>32</v>
      </c>
      <c r="R282" s="7" t="s">
        <v>33</v>
      </c>
      <c r="S282" s="7" t="s">
        <v>34</v>
      </c>
      <c r="T282" s="7"/>
      <c r="U282" s="7" t="s">
        <v>35</v>
      </c>
      <c r="V282" s="7">
        <v>713.07</v>
      </c>
      <c r="W282" s="7">
        <v>307.48</v>
      </c>
      <c r="X282" s="7">
        <v>283.94</v>
      </c>
      <c r="Y282" s="7">
        <v>0</v>
      </c>
      <c r="Z282" s="7">
        <v>121.65</v>
      </c>
    </row>
    <row r="283" spans="1:26" x14ac:dyDescent="0.35">
      <c r="A283" s="7" t="s">
        <v>27</v>
      </c>
      <c r="B283" s="7" t="s">
        <v>36</v>
      </c>
      <c r="C283" s="7" t="s">
        <v>48</v>
      </c>
      <c r="D283" s="7" t="s">
        <v>59</v>
      </c>
      <c r="E283" s="7" t="s">
        <v>29</v>
      </c>
      <c r="F283" s="7" t="s">
        <v>173</v>
      </c>
      <c r="G283" s="7">
        <v>2020</v>
      </c>
      <c r="H283" s="7" t="str">
        <f>CONCATENATE("04210476729")</f>
        <v>04210476729</v>
      </c>
      <c r="I283" s="7" t="s">
        <v>30</v>
      </c>
      <c r="J283" s="7" t="s">
        <v>31</v>
      </c>
      <c r="K283" s="7" t="str">
        <f>CONCATENATE("")</f>
        <v/>
      </c>
      <c r="L283" s="7" t="str">
        <f>CONCATENATE("13 13.1 4a")</f>
        <v>13 13.1 4a</v>
      </c>
      <c r="M283" s="7" t="str">
        <f>CONCATENATE("02701240414")</f>
        <v>02701240414</v>
      </c>
      <c r="N283" s="7" t="s">
        <v>392</v>
      </c>
      <c r="O283" s="7" t="s">
        <v>360</v>
      </c>
      <c r="P283" s="8">
        <v>44321</v>
      </c>
      <c r="Q283" s="7" t="s">
        <v>32</v>
      </c>
      <c r="R283" s="7" t="s">
        <v>33</v>
      </c>
      <c r="S283" s="7" t="s">
        <v>34</v>
      </c>
      <c r="T283" s="7"/>
      <c r="U283" s="7" t="s">
        <v>35</v>
      </c>
      <c r="V283" s="9">
        <v>2414.2199999999998</v>
      </c>
      <c r="W283" s="9">
        <v>1041.01</v>
      </c>
      <c r="X283" s="7">
        <v>961.34</v>
      </c>
      <c r="Y283" s="7">
        <v>0</v>
      </c>
      <c r="Z283" s="7">
        <v>411.87</v>
      </c>
    </row>
    <row r="284" spans="1:26" x14ac:dyDescent="0.35">
      <c r="A284" s="7" t="s">
        <v>27</v>
      </c>
      <c r="B284" s="7" t="s">
        <v>36</v>
      </c>
      <c r="C284" s="7" t="s">
        <v>48</v>
      </c>
      <c r="D284" s="7" t="s">
        <v>59</v>
      </c>
      <c r="E284" s="7" t="s">
        <v>29</v>
      </c>
      <c r="F284" s="7" t="s">
        <v>195</v>
      </c>
      <c r="G284" s="7">
        <v>2020</v>
      </c>
      <c r="H284" s="7" t="str">
        <f>CONCATENATE("04210284149")</f>
        <v>04210284149</v>
      </c>
      <c r="I284" s="7" t="s">
        <v>30</v>
      </c>
      <c r="J284" s="7" t="s">
        <v>31</v>
      </c>
      <c r="K284" s="7" t="str">
        <f>CONCATENATE("")</f>
        <v/>
      </c>
      <c r="L284" s="7" t="str">
        <f>CONCATENATE("13 13.1 4a")</f>
        <v>13 13.1 4a</v>
      </c>
      <c r="M284" s="7" t="str">
        <f>CONCATENATE("01180010413")</f>
        <v>01180010413</v>
      </c>
      <c r="N284" s="7" t="s">
        <v>393</v>
      </c>
      <c r="O284" s="7" t="s">
        <v>360</v>
      </c>
      <c r="P284" s="8">
        <v>44321</v>
      </c>
      <c r="Q284" s="7" t="s">
        <v>32</v>
      </c>
      <c r="R284" s="7" t="s">
        <v>33</v>
      </c>
      <c r="S284" s="7" t="s">
        <v>34</v>
      </c>
      <c r="T284" s="7"/>
      <c r="U284" s="7" t="s">
        <v>35</v>
      </c>
      <c r="V284" s="9">
        <v>1806.51</v>
      </c>
      <c r="W284" s="7">
        <v>778.97</v>
      </c>
      <c r="X284" s="7">
        <v>719.35</v>
      </c>
      <c r="Y284" s="7">
        <v>0</v>
      </c>
      <c r="Z284" s="7">
        <v>308.19</v>
      </c>
    </row>
    <row r="285" spans="1:26" x14ac:dyDescent="0.35">
      <c r="A285" s="7" t="s">
        <v>27</v>
      </c>
      <c r="B285" s="7" t="s">
        <v>36</v>
      </c>
      <c r="C285" s="7" t="s">
        <v>48</v>
      </c>
      <c r="D285" s="7" t="s">
        <v>56</v>
      </c>
      <c r="E285" s="7" t="s">
        <v>44</v>
      </c>
      <c r="F285" s="7" t="s">
        <v>234</v>
      </c>
      <c r="G285" s="7">
        <v>2020</v>
      </c>
      <c r="H285" s="7" t="str">
        <f>CONCATENATE("04240301095")</f>
        <v>04240301095</v>
      </c>
      <c r="I285" s="7" t="s">
        <v>39</v>
      </c>
      <c r="J285" s="7" t="s">
        <v>31</v>
      </c>
      <c r="K285" s="7" t="str">
        <f>CONCATENATE("")</f>
        <v/>
      </c>
      <c r="L285" s="7" t="str">
        <f>CONCATENATE("10 10.1 4a")</f>
        <v>10 10.1 4a</v>
      </c>
      <c r="M285" s="7" t="str">
        <f>CONCATENATE("DLLLRT47A19D451M")</f>
        <v>DLLLRT47A19D451M</v>
      </c>
      <c r="N285" s="7" t="s">
        <v>340</v>
      </c>
      <c r="O285" s="7" t="s">
        <v>394</v>
      </c>
      <c r="P285" s="8">
        <v>44321</v>
      </c>
      <c r="Q285" s="7" t="s">
        <v>32</v>
      </c>
      <c r="R285" s="7" t="s">
        <v>33</v>
      </c>
      <c r="S285" s="7" t="s">
        <v>34</v>
      </c>
      <c r="T285" s="7"/>
      <c r="U285" s="7" t="s">
        <v>35</v>
      </c>
      <c r="V285" s="9">
        <v>8460</v>
      </c>
      <c r="W285" s="9">
        <v>3647.95</v>
      </c>
      <c r="X285" s="9">
        <v>3368.77</v>
      </c>
      <c r="Y285" s="7">
        <v>0</v>
      </c>
      <c r="Z285" s="9">
        <v>1443.28</v>
      </c>
    </row>
    <row r="286" spans="1:26" x14ac:dyDescent="0.35">
      <c r="A286" s="7" t="s">
        <v>27</v>
      </c>
      <c r="B286" s="7" t="s">
        <v>36</v>
      </c>
      <c r="C286" s="7" t="s">
        <v>48</v>
      </c>
      <c r="D286" s="7" t="s">
        <v>56</v>
      </c>
      <c r="E286" s="7" t="s">
        <v>40</v>
      </c>
      <c r="F286" s="7" t="s">
        <v>272</v>
      </c>
      <c r="G286" s="7">
        <v>2020</v>
      </c>
      <c r="H286" s="7" t="str">
        <f>CONCATENATE("04240787335")</f>
        <v>04240787335</v>
      </c>
      <c r="I286" s="7" t="s">
        <v>30</v>
      </c>
      <c r="J286" s="7" t="s">
        <v>31</v>
      </c>
      <c r="K286" s="7" t="str">
        <f>CONCATENATE("")</f>
        <v/>
      </c>
      <c r="L286" s="7" t="str">
        <f>CONCATENATE("10 10.1 4a")</f>
        <v>10 10.1 4a</v>
      </c>
      <c r="M286" s="7" t="str">
        <f>CONCATENATE("PTRSNT71L21F453H")</f>
        <v>PTRSNT71L21F453H</v>
      </c>
      <c r="N286" s="7" t="s">
        <v>395</v>
      </c>
      <c r="O286" s="7" t="s">
        <v>394</v>
      </c>
      <c r="P286" s="8">
        <v>44321</v>
      </c>
      <c r="Q286" s="7" t="s">
        <v>32</v>
      </c>
      <c r="R286" s="7" t="s">
        <v>33</v>
      </c>
      <c r="S286" s="7" t="s">
        <v>34</v>
      </c>
      <c r="T286" s="7"/>
      <c r="U286" s="7" t="s">
        <v>35</v>
      </c>
      <c r="V286" s="7">
        <v>121.68</v>
      </c>
      <c r="W286" s="7">
        <v>52.47</v>
      </c>
      <c r="X286" s="7">
        <v>48.45</v>
      </c>
      <c r="Y286" s="7">
        <v>0</v>
      </c>
      <c r="Z286" s="7">
        <v>20.76</v>
      </c>
    </row>
    <row r="287" spans="1:26" x14ac:dyDescent="0.35">
      <c r="A287" s="7" t="s">
        <v>27</v>
      </c>
      <c r="B287" s="7" t="s">
        <v>36</v>
      </c>
      <c r="C287" s="7" t="s">
        <v>48</v>
      </c>
      <c r="D287" s="7" t="s">
        <v>56</v>
      </c>
      <c r="E287" s="7" t="s">
        <v>40</v>
      </c>
      <c r="F287" s="7" t="s">
        <v>272</v>
      </c>
      <c r="G287" s="7">
        <v>2020</v>
      </c>
      <c r="H287" s="7" t="str">
        <f>CONCATENATE("04240846412")</f>
        <v>04240846412</v>
      </c>
      <c r="I287" s="7" t="s">
        <v>30</v>
      </c>
      <c r="J287" s="7" t="s">
        <v>31</v>
      </c>
      <c r="K287" s="7" t="str">
        <f>CONCATENATE("")</f>
        <v/>
      </c>
      <c r="L287" s="7" t="str">
        <f>CONCATENATE("10 10.1 4a")</f>
        <v>10 10.1 4a</v>
      </c>
      <c r="M287" s="7" t="str">
        <f>CONCATENATE("02745870424")</f>
        <v>02745870424</v>
      </c>
      <c r="N287" s="7" t="s">
        <v>396</v>
      </c>
      <c r="O287" s="7" t="s">
        <v>394</v>
      </c>
      <c r="P287" s="8">
        <v>44321</v>
      </c>
      <c r="Q287" s="7" t="s">
        <v>32</v>
      </c>
      <c r="R287" s="7" t="s">
        <v>33</v>
      </c>
      <c r="S287" s="7" t="s">
        <v>34</v>
      </c>
      <c r="T287" s="7"/>
      <c r="U287" s="7" t="s">
        <v>35</v>
      </c>
      <c r="V287" s="7">
        <v>474.09</v>
      </c>
      <c r="W287" s="7">
        <v>204.43</v>
      </c>
      <c r="X287" s="7">
        <v>188.78</v>
      </c>
      <c r="Y287" s="7">
        <v>0</v>
      </c>
      <c r="Z287" s="7">
        <v>80.88</v>
      </c>
    </row>
    <row r="288" spans="1:26" x14ac:dyDescent="0.35">
      <c r="A288" s="7" t="s">
        <v>27</v>
      </c>
      <c r="B288" s="7" t="s">
        <v>36</v>
      </c>
      <c r="C288" s="7" t="s">
        <v>48</v>
      </c>
      <c r="D288" s="7" t="s">
        <v>56</v>
      </c>
      <c r="E288" s="7" t="s">
        <v>29</v>
      </c>
      <c r="F288" s="7" t="s">
        <v>82</v>
      </c>
      <c r="G288" s="7">
        <v>2020</v>
      </c>
      <c r="H288" s="7" t="str">
        <f>CONCATENATE("04241136524")</f>
        <v>04241136524</v>
      </c>
      <c r="I288" s="7" t="s">
        <v>30</v>
      </c>
      <c r="J288" s="7" t="s">
        <v>31</v>
      </c>
      <c r="K288" s="7" t="str">
        <f>CONCATENATE("")</f>
        <v/>
      </c>
      <c r="L288" s="7" t="str">
        <f>CONCATENATE("10 10.1 4a")</f>
        <v>10 10.1 4a</v>
      </c>
      <c r="M288" s="7" t="str">
        <f>CONCATENATE("02418590424")</f>
        <v>02418590424</v>
      </c>
      <c r="N288" s="7" t="s">
        <v>397</v>
      </c>
      <c r="O288" s="7" t="s">
        <v>394</v>
      </c>
      <c r="P288" s="8">
        <v>44321</v>
      </c>
      <c r="Q288" s="7" t="s">
        <v>32</v>
      </c>
      <c r="R288" s="7" t="s">
        <v>33</v>
      </c>
      <c r="S288" s="7" t="s">
        <v>34</v>
      </c>
      <c r="T288" s="7"/>
      <c r="U288" s="7" t="s">
        <v>35</v>
      </c>
      <c r="V288" s="7">
        <v>699.52</v>
      </c>
      <c r="W288" s="7">
        <v>301.63</v>
      </c>
      <c r="X288" s="7">
        <v>278.55</v>
      </c>
      <c r="Y288" s="7">
        <v>0</v>
      </c>
      <c r="Z288" s="7">
        <v>119.34</v>
      </c>
    </row>
    <row r="289" spans="1:26" x14ac:dyDescent="0.35">
      <c r="A289" s="7" t="s">
        <v>27</v>
      </c>
      <c r="B289" s="7" t="s">
        <v>36</v>
      </c>
      <c r="C289" s="7" t="s">
        <v>48</v>
      </c>
      <c r="D289" s="7" t="s">
        <v>56</v>
      </c>
      <c r="E289" s="7" t="s">
        <v>42</v>
      </c>
      <c r="F289" s="7" t="s">
        <v>398</v>
      </c>
      <c r="G289" s="7">
        <v>2020</v>
      </c>
      <c r="H289" s="7" t="str">
        <f>CONCATENATE("04240729949")</f>
        <v>04240729949</v>
      </c>
      <c r="I289" s="7" t="s">
        <v>30</v>
      </c>
      <c r="J289" s="7" t="s">
        <v>31</v>
      </c>
      <c r="K289" s="7" t="str">
        <f>CONCATENATE("")</f>
        <v/>
      </c>
      <c r="L289" s="7" t="str">
        <f>CONCATENATE("10 10.1 4a")</f>
        <v>10 10.1 4a</v>
      </c>
      <c r="M289" s="7" t="str">
        <f>CONCATENATE("BNGFNC75M01A271D")</f>
        <v>BNGFNC75M01A271D</v>
      </c>
      <c r="N289" s="7" t="s">
        <v>399</v>
      </c>
      <c r="O289" s="7" t="s">
        <v>394</v>
      </c>
      <c r="P289" s="8">
        <v>44321</v>
      </c>
      <c r="Q289" s="7" t="s">
        <v>32</v>
      </c>
      <c r="R289" s="7" t="s">
        <v>33</v>
      </c>
      <c r="S289" s="7" t="s">
        <v>34</v>
      </c>
      <c r="T289" s="7"/>
      <c r="U289" s="7" t="s">
        <v>35</v>
      </c>
      <c r="V289" s="9">
        <v>2395.9699999999998</v>
      </c>
      <c r="W289" s="9">
        <v>1033.1400000000001</v>
      </c>
      <c r="X289" s="7">
        <v>954.08</v>
      </c>
      <c r="Y289" s="7">
        <v>0</v>
      </c>
      <c r="Z289" s="7">
        <v>408.75</v>
      </c>
    </row>
    <row r="290" spans="1:26" x14ac:dyDescent="0.35">
      <c r="A290" s="7" t="s">
        <v>27</v>
      </c>
      <c r="B290" s="7" t="s">
        <v>36</v>
      </c>
      <c r="C290" s="7" t="s">
        <v>48</v>
      </c>
      <c r="D290" s="7" t="s">
        <v>56</v>
      </c>
      <c r="E290" s="7" t="s">
        <v>40</v>
      </c>
      <c r="F290" s="7" t="s">
        <v>272</v>
      </c>
      <c r="G290" s="7">
        <v>2020</v>
      </c>
      <c r="H290" s="7" t="str">
        <f>CONCATENATE("04240081622")</f>
        <v>04240081622</v>
      </c>
      <c r="I290" s="7" t="s">
        <v>30</v>
      </c>
      <c r="J290" s="7" t="s">
        <v>31</v>
      </c>
      <c r="K290" s="7" t="str">
        <f>CONCATENATE("")</f>
        <v/>
      </c>
      <c r="L290" s="7" t="str">
        <f>CONCATENATE("10 10.1 4a")</f>
        <v>10 10.1 4a</v>
      </c>
      <c r="M290" s="7" t="str">
        <f>CONCATENATE("BTTNNA45L57D965T")</f>
        <v>BTTNNA45L57D965T</v>
      </c>
      <c r="N290" s="7" t="s">
        <v>400</v>
      </c>
      <c r="O290" s="7" t="s">
        <v>394</v>
      </c>
      <c r="P290" s="8">
        <v>44321</v>
      </c>
      <c r="Q290" s="7" t="s">
        <v>32</v>
      </c>
      <c r="R290" s="7" t="s">
        <v>33</v>
      </c>
      <c r="S290" s="7" t="s">
        <v>34</v>
      </c>
      <c r="T290" s="7"/>
      <c r="U290" s="7" t="s">
        <v>35</v>
      </c>
      <c r="V290" s="7">
        <v>65.64</v>
      </c>
      <c r="W290" s="7">
        <v>28.3</v>
      </c>
      <c r="X290" s="7">
        <v>26.14</v>
      </c>
      <c r="Y290" s="7">
        <v>0</v>
      </c>
      <c r="Z290" s="7">
        <v>11.2</v>
      </c>
    </row>
    <row r="291" spans="1:26" x14ac:dyDescent="0.35">
      <c r="A291" s="7" t="s">
        <v>27</v>
      </c>
      <c r="B291" s="7" t="s">
        <v>36</v>
      </c>
      <c r="C291" s="7" t="s">
        <v>48</v>
      </c>
      <c r="D291" s="7" t="s">
        <v>56</v>
      </c>
      <c r="E291" s="7" t="s">
        <v>42</v>
      </c>
      <c r="F291" s="7" t="s">
        <v>401</v>
      </c>
      <c r="G291" s="7">
        <v>2020</v>
      </c>
      <c r="H291" s="7" t="str">
        <f>CONCATENATE("04240725608")</f>
        <v>04240725608</v>
      </c>
      <c r="I291" s="7" t="s">
        <v>30</v>
      </c>
      <c r="J291" s="7" t="s">
        <v>31</v>
      </c>
      <c r="K291" s="7" t="str">
        <f>CONCATENATE("")</f>
        <v/>
      </c>
      <c r="L291" s="7" t="str">
        <f>CONCATENATE("10 10.1 4a")</f>
        <v>10 10.1 4a</v>
      </c>
      <c r="M291" s="7" t="str">
        <f>CONCATENATE("BROFNC84B10C615H")</f>
        <v>BROFNC84B10C615H</v>
      </c>
      <c r="N291" s="7" t="s">
        <v>402</v>
      </c>
      <c r="O291" s="7" t="s">
        <v>394</v>
      </c>
      <c r="P291" s="8">
        <v>44321</v>
      </c>
      <c r="Q291" s="7" t="s">
        <v>32</v>
      </c>
      <c r="R291" s="7" t="s">
        <v>33</v>
      </c>
      <c r="S291" s="7" t="s">
        <v>34</v>
      </c>
      <c r="T291" s="7"/>
      <c r="U291" s="7" t="s">
        <v>35</v>
      </c>
      <c r="V291" s="9">
        <v>1465.89</v>
      </c>
      <c r="W291" s="7">
        <v>632.09</v>
      </c>
      <c r="X291" s="7">
        <v>583.72</v>
      </c>
      <c r="Y291" s="7">
        <v>0</v>
      </c>
      <c r="Z291" s="7">
        <v>250.08</v>
      </c>
    </row>
    <row r="292" spans="1:26" x14ac:dyDescent="0.35">
      <c r="A292" s="7" t="s">
        <v>27</v>
      </c>
      <c r="B292" s="7" t="s">
        <v>36</v>
      </c>
      <c r="C292" s="7" t="s">
        <v>48</v>
      </c>
      <c r="D292" s="7" t="s">
        <v>56</v>
      </c>
      <c r="E292" s="7" t="s">
        <v>29</v>
      </c>
      <c r="F292" s="7" t="s">
        <v>106</v>
      </c>
      <c r="G292" s="7">
        <v>2020</v>
      </c>
      <c r="H292" s="7" t="str">
        <f>CONCATENATE("04240394090")</f>
        <v>04240394090</v>
      </c>
      <c r="I292" s="7" t="s">
        <v>30</v>
      </c>
      <c r="J292" s="7" t="s">
        <v>31</v>
      </c>
      <c r="K292" s="7" t="str">
        <f>CONCATENATE("")</f>
        <v/>
      </c>
      <c r="L292" s="7" t="str">
        <f>CONCATENATE("10 10.1 4a")</f>
        <v>10 10.1 4a</v>
      </c>
      <c r="M292" s="7" t="str">
        <f>CONCATENATE("BRTGCM73S14E388E")</f>
        <v>BRTGCM73S14E388E</v>
      </c>
      <c r="N292" s="7" t="s">
        <v>403</v>
      </c>
      <c r="O292" s="7" t="s">
        <v>394</v>
      </c>
      <c r="P292" s="8">
        <v>44321</v>
      </c>
      <c r="Q292" s="7" t="s">
        <v>32</v>
      </c>
      <c r="R292" s="7" t="s">
        <v>33</v>
      </c>
      <c r="S292" s="7" t="s">
        <v>34</v>
      </c>
      <c r="T292" s="7"/>
      <c r="U292" s="7" t="s">
        <v>35</v>
      </c>
      <c r="V292" s="7">
        <v>351.53</v>
      </c>
      <c r="W292" s="7">
        <v>151.58000000000001</v>
      </c>
      <c r="X292" s="7">
        <v>139.97999999999999</v>
      </c>
      <c r="Y292" s="7">
        <v>0</v>
      </c>
      <c r="Z292" s="7">
        <v>59.97</v>
      </c>
    </row>
    <row r="293" spans="1:26" ht="17.5" x14ac:dyDescent="0.35">
      <c r="A293" s="7" t="s">
        <v>27</v>
      </c>
      <c r="B293" s="7" t="s">
        <v>36</v>
      </c>
      <c r="C293" s="7" t="s">
        <v>48</v>
      </c>
      <c r="D293" s="7" t="s">
        <v>56</v>
      </c>
      <c r="E293" s="7" t="s">
        <v>40</v>
      </c>
      <c r="F293" s="7" t="s">
        <v>272</v>
      </c>
      <c r="G293" s="7">
        <v>2020</v>
      </c>
      <c r="H293" s="7" t="str">
        <f>CONCATENATE("04240412389")</f>
        <v>04240412389</v>
      </c>
      <c r="I293" s="7" t="s">
        <v>30</v>
      </c>
      <c r="J293" s="7" t="s">
        <v>31</v>
      </c>
      <c r="K293" s="7" t="str">
        <f>CONCATENATE("")</f>
        <v/>
      </c>
      <c r="L293" s="7" t="str">
        <f>CONCATENATE("10 10.1 4a")</f>
        <v>10 10.1 4a</v>
      </c>
      <c r="M293" s="7" t="str">
        <f>CONCATENATE("02427770421")</f>
        <v>02427770421</v>
      </c>
      <c r="N293" s="7" t="s">
        <v>404</v>
      </c>
      <c r="O293" s="7" t="s">
        <v>394</v>
      </c>
      <c r="P293" s="8">
        <v>44321</v>
      </c>
      <c r="Q293" s="7" t="s">
        <v>32</v>
      </c>
      <c r="R293" s="7" t="s">
        <v>33</v>
      </c>
      <c r="S293" s="7" t="s">
        <v>34</v>
      </c>
      <c r="T293" s="7"/>
      <c r="U293" s="7" t="s">
        <v>35</v>
      </c>
      <c r="V293" s="7">
        <v>935.25</v>
      </c>
      <c r="W293" s="7">
        <v>403.28</v>
      </c>
      <c r="X293" s="7">
        <v>372.42</v>
      </c>
      <c r="Y293" s="7">
        <v>0</v>
      </c>
      <c r="Z293" s="7">
        <v>159.55000000000001</v>
      </c>
    </row>
    <row r="294" spans="1:26" x14ac:dyDescent="0.35">
      <c r="A294" s="7" t="s">
        <v>27</v>
      </c>
      <c r="B294" s="7" t="s">
        <v>36</v>
      </c>
      <c r="C294" s="7" t="s">
        <v>48</v>
      </c>
      <c r="D294" s="7" t="s">
        <v>56</v>
      </c>
      <c r="E294" s="7" t="s">
        <v>38</v>
      </c>
      <c r="F294" s="7" t="s">
        <v>269</v>
      </c>
      <c r="G294" s="7">
        <v>2020</v>
      </c>
      <c r="H294" s="7" t="str">
        <f>CONCATENATE("04240592875")</f>
        <v>04240592875</v>
      </c>
      <c r="I294" s="7" t="s">
        <v>30</v>
      </c>
      <c r="J294" s="7" t="s">
        <v>31</v>
      </c>
      <c r="K294" s="7" t="str">
        <f>CONCATENATE("")</f>
        <v/>
      </c>
      <c r="L294" s="7" t="str">
        <f>CONCATENATE("10 10.1 4a")</f>
        <v>10 10.1 4a</v>
      </c>
      <c r="M294" s="7" t="str">
        <f>CONCATENATE("BTTGNN64H16F205R")</f>
        <v>BTTGNN64H16F205R</v>
      </c>
      <c r="N294" s="7" t="s">
        <v>405</v>
      </c>
      <c r="O294" s="7" t="s">
        <v>394</v>
      </c>
      <c r="P294" s="8">
        <v>44321</v>
      </c>
      <c r="Q294" s="7" t="s">
        <v>32</v>
      </c>
      <c r="R294" s="7" t="s">
        <v>33</v>
      </c>
      <c r="S294" s="7" t="s">
        <v>34</v>
      </c>
      <c r="T294" s="7"/>
      <c r="U294" s="7" t="s">
        <v>35</v>
      </c>
      <c r="V294" s="9">
        <v>2617.6799999999998</v>
      </c>
      <c r="W294" s="9">
        <v>1128.74</v>
      </c>
      <c r="X294" s="9">
        <v>1042.3599999999999</v>
      </c>
      <c r="Y294" s="7">
        <v>0</v>
      </c>
      <c r="Z294" s="7">
        <v>446.58</v>
      </c>
    </row>
    <row r="295" spans="1:26" x14ac:dyDescent="0.35">
      <c r="A295" s="7" t="s">
        <v>27</v>
      </c>
      <c r="B295" s="7" t="s">
        <v>36</v>
      </c>
      <c r="C295" s="7" t="s">
        <v>48</v>
      </c>
      <c r="D295" s="7" t="s">
        <v>56</v>
      </c>
      <c r="E295" s="7" t="s">
        <v>40</v>
      </c>
      <c r="F295" s="7" t="s">
        <v>272</v>
      </c>
      <c r="G295" s="7">
        <v>2020</v>
      </c>
      <c r="H295" s="7" t="str">
        <f>CONCATENATE("04240009219")</f>
        <v>04240009219</v>
      </c>
      <c r="I295" s="7" t="s">
        <v>30</v>
      </c>
      <c r="J295" s="7" t="s">
        <v>31</v>
      </c>
      <c r="K295" s="7" t="str">
        <f>CONCATENATE("")</f>
        <v/>
      </c>
      <c r="L295" s="7" t="str">
        <f>CONCATENATE("10 10.1 4a")</f>
        <v>10 10.1 4a</v>
      </c>
      <c r="M295" s="7" t="str">
        <f>CONCATENATE("BRVPLA73A71E388I")</f>
        <v>BRVPLA73A71E388I</v>
      </c>
      <c r="N295" s="7" t="s">
        <v>406</v>
      </c>
      <c r="O295" s="7" t="s">
        <v>394</v>
      </c>
      <c r="P295" s="8">
        <v>44321</v>
      </c>
      <c r="Q295" s="7" t="s">
        <v>32</v>
      </c>
      <c r="R295" s="7" t="s">
        <v>33</v>
      </c>
      <c r="S295" s="7" t="s">
        <v>34</v>
      </c>
      <c r="T295" s="7"/>
      <c r="U295" s="7" t="s">
        <v>35</v>
      </c>
      <c r="V295" s="7">
        <v>85.36</v>
      </c>
      <c r="W295" s="7">
        <v>36.81</v>
      </c>
      <c r="X295" s="7">
        <v>33.99</v>
      </c>
      <c r="Y295" s="7">
        <v>0</v>
      </c>
      <c r="Z295" s="7">
        <v>14.56</v>
      </c>
    </row>
    <row r="296" spans="1:26" x14ac:dyDescent="0.35">
      <c r="A296" s="7" t="s">
        <v>27</v>
      </c>
      <c r="B296" s="7" t="s">
        <v>36</v>
      </c>
      <c r="C296" s="7" t="s">
        <v>48</v>
      </c>
      <c r="D296" s="7" t="s">
        <v>56</v>
      </c>
      <c r="E296" s="7" t="s">
        <v>29</v>
      </c>
      <c r="F296" s="7" t="s">
        <v>106</v>
      </c>
      <c r="G296" s="7">
        <v>2020</v>
      </c>
      <c r="H296" s="7" t="str">
        <f>CONCATENATE("04240080772")</f>
        <v>04240080772</v>
      </c>
      <c r="I296" s="7" t="s">
        <v>30</v>
      </c>
      <c r="J296" s="7" t="s">
        <v>31</v>
      </c>
      <c r="K296" s="7" t="str">
        <f>CONCATENATE("")</f>
        <v/>
      </c>
      <c r="L296" s="7" t="str">
        <f>CONCATENATE("10 10.1 4a")</f>
        <v>10 10.1 4a</v>
      </c>
      <c r="M296" s="7" t="str">
        <f>CONCATENATE("BFNMNL80S13E388P")</f>
        <v>BFNMNL80S13E388P</v>
      </c>
      <c r="N296" s="7" t="s">
        <v>407</v>
      </c>
      <c r="O296" s="7" t="s">
        <v>394</v>
      </c>
      <c r="P296" s="8">
        <v>44321</v>
      </c>
      <c r="Q296" s="7" t="s">
        <v>32</v>
      </c>
      <c r="R296" s="7" t="s">
        <v>33</v>
      </c>
      <c r="S296" s="7" t="s">
        <v>34</v>
      </c>
      <c r="T296" s="7"/>
      <c r="U296" s="7" t="s">
        <v>35</v>
      </c>
      <c r="V296" s="7">
        <v>440</v>
      </c>
      <c r="W296" s="7">
        <v>189.73</v>
      </c>
      <c r="X296" s="7">
        <v>175.21</v>
      </c>
      <c r="Y296" s="7">
        <v>0</v>
      </c>
      <c r="Z296" s="7">
        <v>75.06</v>
      </c>
    </row>
    <row r="297" spans="1:26" x14ac:dyDescent="0.35">
      <c r="A297" s="7" t="s">
        <v>27</v>
      </c>
      <c r="B297" s="7" t="s">
        <v>36</v>
      </c>
      <c r="C297" s="7" t="s">
        <v>48</v>
      </c>
      <c r="D297" s="7" t="s">
        <v>56</v>
      </c>
      <c r="E297" s="7" t="s">
        <v>29</v>
      </c>
      <c r="F297" s="7" t="s">
        <v>124</v>
      </c>
      <c r="G297" s="7">
        <v>2020</v>
      </c>
      <c r="H297" s="7" t="str">
        <f>CONCATENATE("04240428088")</f>
        <v>04240428088</v>
      </c>
      <c r="I297" s="7" t="s">
        <v>30</v>
      </c>
      <c r="J297" s="7" t="s">
        <v>31</v>
      </c>
      <c r="K297" s="7" t="str">
        <f>CONCATENATE("")</f>
        <v/>
      </c>
      <c r="L297" s="7" t="str">
        <f>CONCATENATE("10 10.1 4a")</f>
        <v>10 10.1 4a</v>
      </c>
      <c r="M297" s="7" t="str">
        <f>CONCATENATE("CRBDNN53D02A366K")</f>
        <v>CRBDNN53D02A366K</v>
      </c>
      <c r="N297" s="7" t="s">
        <v>408</v>
      </c>
      <c r="O297" s="7" t="s">
        <v>394</v>
      </c>
      <c r="P297" s="8">
        <v>44321</v>
      </c>
      <c r="Q297" s="7" t="s">
        <v>32</v>
      </c>
      <c r="R297" s="7" t="s">
        <v>33</v>
      </c>
      <c r="S297" s="7" t="s">
        <v>34</v>
      </c>
      <c r="T297" s="7"/>
      <c r="U297" s="7" t="s">
        <v>35</v>
      </c>
      <c r="V297" s="7">
        <v>331.32</v>
      </c>
      <c r="W297" s="7">
        <v>142.87</v>
      </c>
      <c r="X297" s="7">
        <v>131.93</v>
      </c>
      <c r="Y297" s="7">
        <v>0</v>
      </c>
      <c r="Z297" s="7">
        <v>56.52</v>
      </c>
    </row>
    <row r="298" spans="1:26" x14ac:dyDescent="0.35">
      <c r="A298" s="7" t="s">
        <v>27</v>
      </c>
      <c r="B298" s="7" t="s">
        <v>36</v>
      </c>
      <c r="C298" s="7" t="s">
        <v>48</v>
      </c>
      <c r="D298" s="7" t="s">
        <v>56</v>
      </c>
      <c r="E298" s="7" t="s">
        <v>40</v>
      </c>
      <c r="F298" s="7" t="s">
        <v>278</v>
      </c>
      <c r="G298" s="7">
        <v>2020</v>
      </c>
      <c r="H298" s="7" t="str">
        <f>CONCATENATE("04240612418")</f>
        <v>04240612418</v>
      </c>
      <c r="I298" s="7" t="s">
        <v>30</v>
      </c>
      <c r="J298" s="7" t="s">
        <v>31</v>
      </c>
      <c r="K298" s="7" t="str">
        <f>CONCATENATE("")</f>
        <v/>
      </c>
      <c r="L298" s="7" t="str">
        <f>CONCATENATE("10 10.1 4a")</f>
        <v>10 10.1 4a</v>
      </c>
      <c r="M298" s="7" t="str">
        <f>CONCATENATE("00487350423")</f>
        <v>00487350423</v>
      </c>
      <c r="N298" s="7" t="s">
        <v>409</v>
      </c>
      <c r="O298" s="7" t="s">
        <v>394</v>
      </c>
      <c r="P298" s="8">
        <v>44321</v>
      </c>
      <c r="Q298" s="7" t="s">
        <v>32</v>
      </c>
      <c r="R298" s="7" t="s">
        <v>33</v>
      </c>
      <c r="S298" s="7" t="s">
        <v>34</v>
      </c>
      <c r="T298" s="7"/>
      <c r="U298" s="7" t="s">
        <v>35</v>
      </c>
      <c r="V298" s="7">
        <v>341.2</v>
      </c>
      <c r="W298" s="7">
        <v>147.13</v>
      </c>
      <c r="X298" s="7">
        <v>135.87</v>
      </c>
      <c r="Y298" s="7">
        <v>0</v>
      </c>
      <c r="Z298" s="7">
        <v>58.2</v>
      </c>
    </row>
    <row r="299" spans="1:26" x14ac:dyDescent="0.35">
      <c r="A299" s="7" t="s">
        <v>27</v>
      </c>
      <c r="B299" s="7" t="s">
        <v>36</v>
      </c>
      <c r="C299" s="7" t="s">
        <v>48</v>
      </c>
      <c r="D299" s="7" t="s">
        <v>56</v>
      </c>
      <c r="E299" s="7" t="s">
        <v>29</v>
      </c>
      <c r="F299" s="7" t="s">
        <v>128</v>
      </c>
      <c r="G299" s="7">
        <v>2020</v>
      </c>
      <c r="H299" s="7" t="str">
        <f>CONCATENATE("04240865651")</f>
        <v>04240865651</v>
      </c>
      <c r="I299" s="7" t="s">
        <v>30</v>
      </c>
      <c r="J299" s="7" t="s">
        <v>31</v>
      </c>
      <c r="K299" s="7" t="str">
        <f>CONCATENATE("")</f>
        <v/>
      </c>
      <c r="L299" s="7" t="str">
        <f>CONCATENATE("10 10.1 4a")</f>
        <v>10 10.1 4a</v>
      </c>
      <c r="M299" s="7" t="str">
        <f>CONCATENATE("CRNCST80P65E388Y")</f>
        <v>CRNCST80P65E388Y</v>
      </c>
      <c r="N299" s="7" t="s">
        <v>129</v>
      </c>
      <c r="O299" s="7" t="s">
        <v>394</v>
      </c>
      <c r="P299" s="8">
        <v>44321</v>
      </c>
      <c r="Q299" s="7" t="s">
        <v>32</v>
      </c>
      <c r="R299" s="7" t="s">
        <v>33</v>
      </c>
      <c r="S299" s="7" t="s">
        <v>34</v>
      </c>
      <c r="T299" s="7"/>
      <c r="U299" s="7" t="s">
        <v>35</v>
      </c>
      <c r="V299" s="7">
        <v>468.01</v>
      </c>
      <c r="W299" s="7">
        <v>201.81</v>
      </c>
      <c r="X299" s="7">
        <v>186.36</v>
      </c>
      <c r="Y299" s="7">
        <v>0</v>
      </c>
      <c r="Z299" s="7">
        <v>79.84</v>
      </c>
    </row>
    <row r="300" spans="1:26" x14ac:dyDescent="0.35">
      <c r="A300" s="7" t="s">
        <v>27</v>
      </c>
      <c r="B300" s="7" t="s">
        <v>36</v>
      </c>
      <c r="C300" s="7" t="s">
        <v>48</v>
      </c>
      <c r="D300" s="7" t="s">
        <v>56</v>
      </c>
      <c r="E300" s="7" t="s">
        <v>29</v>
      </c>
      <c r="F300" s="7" t="s">
        <v>113</v>
      </c>
      <c r="G300" s="7">
        <v>2020</v>
      </c>
      <c r="H300" s="7" t="str">
        <f>CONCATENATE("04241309279")</f>
        <v>04241309279</v>
      </c>
      <c r="I300" s="7" t="s">
        <v>30</v>
      </c>
      <c r="J300" s="7" t="s">
        <v>31</v>
      </c>
      <c r="K300" s="7" t="str">
        <f>CONCATENATE("")</f>
        <v/>
      </c>
      <c r="L300" s="7" t="str">
        <f>CONCATENATE("10 10.1 4a")</f>
        <v>10 10.1 4a</v>
      </c>
      <c r="M300" s="7" t="str">
        <f>CONCATENATE("CFNRLD64H19D451Z")</f>
        <v>CFNRLD64H19D451Z</v>
      </c>
      <c r="N300" s="7" t="s">
        <v>259</v>
      </c>
      <c r="O300" s="7" t="s">
        <v>394</v>
      </c>
      <c r="P300" s="8">
        <v>44321</v>
      </c>
      <c r="Q300" s="7" t="s">
        <v>32</v>
      </c>
      <c r="R300" s="7" t="s">
        <v>33</v>
      </c>
      <c r="S300" s="7" t="s">
        <v>34</v>
      </c>
      <c r="T300" s="7"/>
      <c r="U300" s="7" t="s">
        <v>35</v>
      </c>
      <c r="V300" s="7">
        <v>252</v>
      </c>
      <c r="W300" s="7">
        <v>108.66</v>
      </c>
      <c r="X300" s="7">
        <v>100.35</v>
      </c>
      <c r="Y300" s="7">
        <v>0</v>
      </c>
      <c r="Z300" s="7">
        <v>42.99</v>
      </c>
    </row>
    <row r="301" spans="1:26" x14ac:dyDescent="0.35">
      <c r="A301" s="7" t="s">
        <v>27</v>
      </c>
      <c r="B301" s="7" t="s">
        <v>36</v>
      </c>
      <c r="C301" s="7" t="s">
        <v>48</v>
      </c>
      <c r="D301" s="7" t="s">
        <v>56</v>
      </c>
      <c r="E301" s="7" t="s">
        <v>29</v>
      </c>
      <c r="F301" s="7" t="s">
        <v>113</v>
      </c>
      <c r="G301" s="7">
        <v>2020</v>
      </c>
      <c r="H301" s="7" t="str">
        <f>CONCATENATE("04241309238")</f>
        <v>04241309238</v>
      </c>
      <c r="I301" s="7" t="s">
        <v>30</v>
      </c>
      <c r="J301" s="7" t="s">
        <v>31</v>
      </c>
      <c r="K301" s="7" t="str">
        <f>CONCATENATE("")</f>
        <v/>
      </c>
      <c r="L301" s="7" t="str">
        <f>CONCATENATE("10 10.1 4a")</f>
        <v>10 10.1 4a</v>
      </c>
      <c r="M301" s="7" t="str">
        <f>CONCATENATE("CFNRLD64H19D451Z")</f>
        <v>CFNRLD64H19D451Z</v>
      </c>
      <c r="N301" s="7" t="s">
        <v>259</v>
      </c>
      <c r="O301" s="7" t="s">
        <v>394</v>
      </c>
      <c r="P301" s="8">
        <v>44321</v>
      </c>
      <c r="Q301" s="7" t="s">
        <v>32</v>
      </c>
      <c r="R301" s="7" t="s">
        <v>33</v>
      </c>
      <c r="S301" s="7" t="s">
        <v>34</v>
      </c>
      <c r="T301" s="7"/>
      <c r="U301" s="7" t="s">
        <v>35</v>
      </c>
      <c r="V301" s="9">
        <v>1892</v>
      </c>
      <c r="W301" s="7">
        <v>815.83</v>
      </c>
      <c r="X301" s="7">
        <v>753.39</v>
      </c>
      <c r="Y301" s="7">
        <v>0</v>
      </c>
      <c r="Z301" s="7">
        <v>322.77999999999997</v>
      </c>
    </row>
    <row r="302" spans="1:26" x14ac:dyDescent="0.35">
      <c r="A302" s="7" t="s">
        <v>27</v>
      </c>
      <c r="B302" s="7" t="s">
        <v>36</v>
      </c>
      <c r="C302" s="7" t="s">
        <v>48</v>
      </c>
      <c r="D302" s="7" t="s">
        <v>56</v>
      </c>
      <c r="E302" s="7" t="s">
        <v>40</v>
      </c>
      <c r="F302" s="7" t="s">
        <v>272</v>
      </c>
      <c r="G302" s="7">
        <v>2020</v>
      </c>
      <c r="H302" s="7" t="str">
        <f>CONCATENATE("04240665747")</f>
        <v>04240665747</v>
      </c>
      <c r="I302" s="7" t="s">
        <v>30</v>
      </c>
      <c r="J302" s="7" t="s">
        <v>31</v>
      </c>
      <c r="K302" s="7" t="str">
        <f>CONCATENATE("")</f>
        <v/>
      </c>
      <c r="L302" s="7" t="str">
        <f>CONCATENATE("10 10.1 4a")</f>
        <v>10 10.1 4a</v>
      </c>
      <c r="M302" s="7" t="str">
        <f>CONCATENATE("01336110422")</f>
        <v>01336110422</v>
      </c>
      <c r="N302" s="7" t="s">
        <v>410</v>
      </c>
      <c r="O302" s="7" t="s">
        <v>394</v>
      </c>
      <c r="P302" s="8">
        <v>44321</v>
      </c>
      <c r="Q302" s="7" t="s">
        <v>32</v>
      </c>
      <c r="R302" s="7" t="s">
        <v>33</v>
      </c>
      <c r="S302" s="7" t="s">
        <v>34</v>
      </c>
      <c r="T302" s="7"/>
      <c r="U302" s="7" t="s">
        <v>35</v>
      </c>
      <c r="V302" s="7">
        <v>712.52</v>
      </c>
      <c r="W302" s="7">
        <v>307.24</v>
      </c>
      <c r="X302" s="7">
        <v>283.73</v>
      </c>
      <c r="Y302" s="7">
        <v>0</v>
      </c>
      <c r="Z302" s="7">
        <v>121.55</v>
      </c>
    </row>
    <row r="303" spans="1:26" x14ac:dyDescent="0.35">
      <c r="A303" s="7" t="s">
        <v>27</v>
      </c>
      <c r="B303" s="7" t="s">
        <v>36</v>
      </c>
      <c r="C303" s="7" t="s">
        <v>48</v>
      </c>
      <c r="D303" s="7" t="s">
        <v>56</v>
      </c>
      <c r="E303" s="7" t="s">
        <v>29</v>
      </c>
      <c r="F303" s="7" t="s">
        <v>124</v>
      </c>
      <c r="G303" s="7">
        <v>2020</v>
      </c>
      <c r="H303" s="7" t="str">
        <f>CONCATENATE("04240425688")</f>
        <v>04240425688</v>
      </c>
      <c r="I303" s="7" t="s">
        <v>30</v>
      </c>
      <c r="J303" s="7" t="s">
        <v>31</v>
      </c>
      <c r="K303" s="7" t="str">
        <f>CONCATENATE("")</f>
        <v/>
      </c>
      <c r="L303" s="7" t="str">
        <f>CONCATENATE("10 10.1 4a")</f>
        <v>10 10.1 4a</v>
      </c>
      <c r="M303" s="7" t="str">
        <f>CONCATENATE("FRNGFR45L16A366S")</f>
        <v>FRNGFR45L16A366S</v>
      </c>
      <c r="N303" s="7" t="s">
        <v>411</v>
      </c>
      <c r="O303" s="7" t="s">
        <v>394</v>
      </c>
      <c r="P303" s="8">
        <v>44321</v>
      </c>
      <c r="Q303" s="7" t="s">
        <v>32</v>
      </c>
      <c r="R303" s="7" t="s">
        <v>33</v>
      </c>
      <c r="S303" s="7" t="s">
        <v>34</v>
      </c>
      <c r="T303" s="7"/>
      <c r="U303" s="7" t="s">
        <v>35</v>
      </c>
      <c r="V303" s="7">
        <v>484.5</v>
      </c>
      <c r="W303" s="7">
        <v>208.92</v>
      </c>
      <c r="X303" s="7">
        <v>192.93</v>
      </c>
      <c r="Y303" s="7">
        <v>0</v>
      </c>
      <c r="Z303" s="7">
        <v>82.65</v>
      </c>
    </row>
    <row r="304" spans="1:26" x14ac:dyDescent="0.35">
      <c r="A304" s="7" t="s">
        <v>27</v>
      </c>
      <c r="B304" s="7" t="s">
        <v>36</v>
      </c>
      <c r="C304" s="7" t="s">
        <v>48</v>
      </c>
      <c r="D304" s="7" t="s">
        <v>56</v>
      </c>
      <c r="E304" s="7" t="s">
        <v>42</v>
      </c>
      <c r="F304" s="7" t="s">
        <v>290</v>
      </c>
      <c r="G304" s="7">
        <v>2020</v>
      </c>
      <c r="H304" s="7" t="str">
        <f>CONCATENATE("04241171398")</f>
        <v>04241171398</v>
      </c>
      <c r="I304" s="7" t="s">
        <v>30</v>
      </c>
      <c r="J304" s="7" t="s">
        <v>31</v>
      </c>
      <c r="K304" s="7" t="str">
        <f>CONCATENATE("")</f>
        <v/>
      </c>
      <c r="L304" s="7" t="str">
        <f>CONCATENATE("10 10.1 4a")</f>
        <v>10 10.1 4a</v>
      </c>
      <c r="M304" s="7" t="str">
        <f>CONCATENATE("00501990428")</f>
        <v>00501990428</v>
      </c>
      <c r="N304" s="7" t="s">
        <v>412</v>
      </c>
      <c r="O304" s="7" t="s">
        <v>394</v>
      </c>
      <c r="P304" s="8">
        <v>44321</v>
      </c>
      <c r="Q304" s="7" t="s">
        <v>32</v>
      </c>
      <c r="R304" s="7" t="s">
        <v>33</v>
      </c>
      <c r="S304" s="7" t="s">
        <v>34</v>
      </c>
      <c r="T304" s="7"/>
      <c r="U304" s="7" t="s">
        <v>35</v>
      </c>
      <c r="V304" s="9">
        <v>9753.56</v>
      </c>
      <c r="W304" s="9">
        <v>4205.74</v>
      </c>
      <c r="X304" s="9">
        <v>3883.87</v>
      </c>
      <c r="Y304" s="7">
        <v>0</v>
      </c>
      <c r="Z304" s="9">
        <v>1663.95</v>
      </c>
    </row>
    <row r="305" spans="1:26" x14ac:dyDescent="0.35">
      <c r="A305" s="7" t="s">
        <v>27</v>
      </c>
      <c r="B305" s="7" t="s">
        <v>36</v>
      </c>
      <c r="C305" s="7" t="s">
        <v>48</v>
      </c>
      <c r="D305" s="7" t="s">
        <v>56</v>
      </c>
      <c r="E305" s="7" t="s">
        <v>29</v>
      </c>
      <c r="F305" s="7" t="s">
        <v>128</v>
      </c>
      <c r="G305" s="7">
        <v>2020</v>
      </c>
      <c r="H305" s="7" t="str">
        <f>CONCATENATE("04240867582")</f>
        <v>04240867582</v>
      </c>
      <c r="I305" s="7" t="s">
        <v>30</v>
      </c>
      <c r="J305" s="7" t="s">
        <v>31</v>
      </c>
      <c r="K305" s="7" t="str">
        <f>CONCATENATE("")</f>
        <v/>
      </c>
      <c r="L305" s="7" t="str">
        <f>CONCATENATE("10 10.1 4a")</f>
        <v>10 10.1 4a</v>
      </c>
      <c r="M305" s="7" t="str">
        <f>CONCATENATE("GRSFNZ84S03E388S")</f>
        <v>GRSFNZ84S03E388S</v>
      </c>
      <c r="N305" s="7" t="s">
        <v>413</v>
      </c>
      <c r="O305" s="7" t="s">
        <v>394</v>
      </c>
      <c r="P305" s="8">
        <v>44321</v>
      </c>
      <c r="Q305" s="7" t="s">
        <v>32</v>
      </c>
      <c r="R305" s="7" t="s">
        <v>33</v>
      </c>
      <c r="S305" s="7" t="s">
        <v>34</v>
      </c>
      <c r="T305" s="7"/>
      <c r="U305" s="7" t="s">
        <v>35</v>
      </c>
      <c r="V305" s="7">
        <v>343.22</v>
      </c>
      <c r="W305" s="7">
        <v>148</v>
      </c>
      <c r="X305" s="7">
        <v>136.66999999999999</v>
      </c>
      <c r="Y305" s="7">
        <v>0</v>
      </c>
      <c r="Z305" s="7">
        <v>58.55</v>
      </c>
    </row>
    <row r="306" spans="1:26" x14ac:dyDescent="0.35">
      <c r="A306" s="7" t="s">
        <v>27</v>
      </c>
      <c r="B306" s="7" t="s">
        <v>36</v>
      </c>
      <c r="C306" s="7" t="s">
        <v>48</v>
      </c>
      <c r="D306" s="7" t="s">
        <v>56</v>
      </c>
      <c r="E306" s="7" t="s">
        <v>29</v>
      </c>
      <c r="F306" s="7" t="s">
        <v>113</v>
      </c>
      <c r="G306" s="7">
        <v>2020</v>
      </c>
      <c r="H306" s="7" t="str">
        <f>CONCATENATE("04241038555")</f>
        <v>04241038555</v>
      </c>
      <c r="I306" s="7" t="s">
        <v>30</v>
      </c>
      <c r="J306" s="7" t="s">
        <v>31</v>
      </c>
      <c r="K306" s="7" t="str">
        <f>CONCATENATE("")</f>
        <v/>
      </c>
      <c r="L306" s="7" t="str">
        <f>CONCATENATE("10 10.1 4a")</f>
        <v>10 10.1 4a</v>
      </c>
      <c r="M306" s="7" t="str">
        <f>CONCATENATE("81002710424")</f>
        <v>81002710424</v>
      </c>
      <c r="N306" s="7" t="s">
        <v>414</v>
      </c>
      <c r="O306" s="7" t="s">
        <v>394</v>
      </c>
      <c r="P306" s="8">
        <v>44321</v>
      </c>
      <c r="Q306" s="7" t="s">
        <v>32</v>
      </c>
      <c r="R306" s="7" t="s">
        <v>33</v>
      </c>
      <c r="S306" s="7" t="s">
        <v>34</v>
      </c>
      <c r="T306" s="7"/>
      <c r="U306" s="7" t="s">
        <v>35</v>
      </c>
      <c r="V306" s="7">
        <v>180</v>
      </c>
      <c r="W306" s="7">
        <v>77.62</v>
      </c>
      <c r="X306" s="7">
        <v>71.680000000000007</v>
      </c>
      <c r="Y306" s="7">
        <v>0</v>
      </c>
      <c r="Z306" s="7">
        <v>30.7</v>
      </c>
    </row>
    <row r="307" spans="1:26" x14ac:dyDescent="0.35">
      <c r="A307" s="7" t="s">
        <v>27</v>
      </c>
      <c r="B307" s="7" t="s">
        <v>36</v>
      </c>
      <c r="C307" s="7" t="s">
        <v>48</v>
      </c>
      <c r="D307" s="7" t="s">
        <v>56</v>
      </c>
      <c r="E307" s="7" t="s">
        <v>37</v>
      </c>
      <c r="F307" s="7" t="s">
        <v>415</v>
      </c>
      <c r="G307" s="7">
        <v>2020</v>
      </c>
      <c r="H307" s="7" t="str">
        <f>CONCATENATE("04241157090")</f>
        <v>04241157090</v>
      </c>
      <c r="I307" s="7" t="s">
        <v>30</v>
      </c>
      <c r="J307" s="7" t="s">
        <v>31</v>
      </c>
      <c r="K307" s="7" t="str">
        <f>CONCATENATE("")</f>
        <v/>
      </c>
      <c r="L307" s="7" t="str">
        <f>CONCATENATE("10 10.1 4a")</f>
        <v>10 10.1 4a</v>
      </c>
      <c r="M307" s="7" t="str">
        <f>CONCATENATE("NGLNDR81S30D451Q")</f>
        <v>NGLNDR81S30D451Q</v>
      </c>
      <c r="N307" s="7" t="s">
        <v>416</v>
      </c>
      <c r="O307" s="7" t="s">
        <v>394</v>
      </c>
      <c r="P307" s="8">
        <v>44321</v>
      </c>
      <c r="Q307" s="7" t="s">
        <v>32</v>
      </c>
      <c r="R307" s="7" t="s">
        <v>33</v>
      </c>
      <c r="S307" s="7" t="s">
        <v>34</v>
      </c>
      <c r="T307" s="7"/>
      <c r="U307" s="7" t="s">
        <v>35</v>
      </c>
      <c r="V307" s="9">
        <v>1110</v>
      </c>
      <c r="W307" s="7">
        <v>478.63</v>
      </c>
      <c r="X307" s="7">
        <v>442</v>
      </c>
      <c r="Y307" s="7">
        <v>0</v>
      </c>
      <c r="Z307" s="7">
        <v>189.37</v>
      </c>
    </row>
    <row r="308" spans="1:26" x14ac:dyDescent="0.35">
      <c r="A308" s="7" t="s">
        <v>27</v>
      </c>
      <c r="B308" s="7" t="s">
        <v>36</v>
      </c>
      <c r="C308" s="7" t="s">
        <v>48</v>
      </c>
      <c r="D308" s="7" t="s">
        <v>56</v>
      </c>
      <c r="E308" s="7" t="s">
        <v>40</v>
      </c>
      <c r="F308" s="7" t="s">
        <v>272</v>
      </c>
      <c r="G308" s="7">
        <v>2020</v>
      </c>
      <c r="H308" s="7" t="str">
        <f>CONCATENATE("04240481517")</f>
        <v>04240481517</v>
      </c>
      <c r="I308" s="7" t="s">
        <v>30</v>
      </c>
      <c r="J308" s="7" t="s">
        <v>31</v>
      </c>
      <c r="K308" s="7" t="str">
        <f>CONCATENATE("")</f>
        <v/>
      </c>
      <c r="L308" s="7" t="str">
        <f>CONCATENATE("10 10.1 4a")</f>
        <v>10 10.1 4a</v>
      </c>
      <c r="M308" s="7" t="str">
        <f>CONCATENATE("LCCRNT71B06I653F")</f>
        <v>LCCRNT71B06I653F</v>
      </c>
      <c r="N308" s="7" t="s">
        <v>417</v>
      </c>
      <c r="O308" s="7" t="s">
        <v>394</v>
      </c>
      <c r="P308" s="8">
        <v>44321</v>
      </c>
      <c r="Q308" s="7" t="s">
        <v>32</v>
      </c>
      <c r="R308" s="7" t="s">
        <v>33</v>
      </c>
      <c r="S308" s="7" t="s">
        <v>34</v>
      </c>
      <c r="T308" s="7"/>
      <c r="U308" s="7" t="s">
        <v>35</v>
      </c>
      <c r="V308" s="9">
        <v>1558.08</v>
      </c>
      <c r="W308" s="7">
        <v>671.84</v>
      </c>
      <c r="X308" s="7">
        <v>620.42999999999995</v>
      </c>
      <c r="Y308" s="7">
        <v>0</v>
      </c>
      <c r="Z308" s="7">
        <v>265.81</v>
      </c>
    </row>
    <row r="309" spans="1:26" x14ac:dyDescent="0.35">
      <c r="A309" s="7" t="s">
        <v>27</v>
      </c>
      <c r="B309" s="7" t="s">
        <v>36</v>
      </c>
      <c r="C309" s="7" t="s">
        <v>48</v>
      </c>
      <c r="D309" s="7" t="s">
        <v>56</v>
      </c>
      <c r="E309" s="7" t="s">
        <v>40</v>
      </c>
      <c r="F309" s="7" t="s">
        <v>278</v>
      </c>
      <c r="G309" s="7">
        <v>2020</v>
      </c>
      <c r="H309" s="7" t="str">
        <f>CONCATENATE("04240579989")</f>
        <v>04240579989</v>
      </c>
      <c r="I309" s="7" t="s">
        <v>30</v>
      </c>
      <c r="J309" s="7" t="s">
        <v>31</v>
      </c>
      <c r="K309" s="7" t="str">
        <f>CONCATENATE("")</f>
        <v/>
      </c>
      <c r="L309" s="7" t="str">
        <f>CONCATENATE("10 10.1 4a")</f>
        <v>10 10.1 4a</v>
      </c>
      <c r="M309" s="7" t="str">
        <f>CONCATENATE("MNRDVD95H22I608R")</f>
        <v>MNRDVD95H22I608R</v>
      </c>
      <c r="N309" s="7" t="s">
        <v>418</v>
      </c>
      <c r="O309" s="7" t="s">
        <v>394</v>
      </c>
      <c r="P309" s="8">
        <v>44321</v>
      </c>
      <c r="Q309" s="7" t="s">
        <v>32</v>
      </c>
      <c r="R309" s="7" t="s">
        <v>33</v>
      </c>
      <c r="S309" s="7" t="s">
        <v>34</v>
      </c>
      <c r="T309" s="7"/>
      <c r="U309" s="7" t="s">
        <v>35</v>
      </c>
      <c r="V309" s="9">
        <v>1902.64</v>
      </c>
      <c r="W309" s="7">
        <v>820.42</v>
      </c>
      <c r="X309" s="7">
        <v>757.63</v>
      </c>
      <c r="Y309" s="7">
        <v>0</v>
      </c>
      <c r="Z309" s="7">
        <v>324.58999999999997</v>
      </c>
    </row>
    <row r="310" spans="1:26" x14ac:dyDescent="0.35">
      <c r="A310" s="7" t="s">
        <v>27</v>
      </c>
      <c r="B310" s="7" t="s">
        <v>36</v>
      </c>
      <c r="C310" s="7" t="s">
        <v>48</v>
      </c>
      <c r="D310" s="7" t="s">
        <v>56</v>
      </c>
      <c r="E310" s="7" t="s">
        <v>40</v>
      </c>
      <c r="F310" s="7" t="s">
        <v>278</v>
      </c>
      <c r="G310" s="7">
        <v>2020</v>
      </c>
      <c r="H310" s="7" t="str">
        <f>CONCATENATE("04240578148")</f>
        <v>04240578148</v>
      </c>
      <c r="I310" s="7" t="s">
        <v>30</v>
      </c>
      <c r="J310" s="7" t="s">
        <v>31</v>
      </c>
      <c r="K310" s="7" t="str">
        <f>CONCATENATE("")</f>
        <v/>
      </c>
      <c r="L310" s="7" t="str">
        <f>CONCATENATE("10 10.1 4a")</f>
        <v>10 10.1 4a</v>
      </c>
      <c r="M310" s="7" t="str">
        <f>CONCATENATE("MNRDVD95H22I608R")</f>
        <v>MNRDVD95H22I608R</v>
      </c>
      <c r="N310" s="7" t="s">
        <v>418</v>
      </c>
      <c r="O310" s="7" t="s">
        <v>394</v>
      </c>
      <c r="P310" s="8">
        <v>44321</v>
      </c>
      <c r="Q310" s="7" t="s">
        <v>32</v>
      </c>
      <c r="R310" s="7" t="s">
        <v>33</v>
      </c>
      <c r="S310" s="7" t="s">
        <v>34</v>
      </c>
      <c r="T310" s="7"/>
      <c r="U310" s="7" t="s">
        <v>35</v>
      </c>
      <c r="V310" s="9">
        <v>1447.24</v>
      </c>
      <c r="W310" s="7">
        <v>624.04999999999995</v>
      </c>
      <c r="X310" s="7">
        <v>576.29</v>
      </c>
      <c r="Y310" s="7">
        <v>0</v>
      </c>
      <c r="Z310" s="7">
        <v>246.9</v>
      </c>
    </row>
    <row r="311" spans="1:26" ht="17.5" x14ac:dyDescent="0.35">
      <c r="A311" s="7" t="s">
        <v>27</v>
      </c>
      <c r="B311" s="7" t="s">
        <v>36</v>
      </c>
      <c r="C311" s="7" t="s">
        <v>48</v>
      </c>
      <c r="D311" s="7" t="s">
        <v>56</v>
      </c>
      <c r="E311" s="7" t="s">
        <v>40</v>
      </c>
      <c r="F311" s="7" t="s">
        <v>272</v>
      </c>
      <c r="G311" s="7">
        <v>2020</v>
      </c>
      <c r="H311" s="7" t="str">
        <f>CONCATENATE("04240247504")</f>
        <v>04240247504</v>
      </c>
      <c r="I311" s="7" t="s">
        <v>30</v>
      </c>
      <c r="J311" s="7" t="s">
        <v>31</v>
      </c>
      <c r="K311" s="7" t="str">
        <f>CONCATENATE("")</f>
        <v/>
      </c>
      <c r="L311" s="7" t="str">
        <f>CONCATENATE("10 10.1 4a")</f>
        <v>10 10.1 4a</v>
      </c>
      <c r="M311" s="7" t="str">
        <f>CONCATENATE("MNSNMR71R05E388M")</f>
        <v>MNSNMR71R05E388M</v>
      </c>
      <c r="N311" s="7" t="s">
        <v>419</v>
      </c>
      <c r="O311" s="7" t="s">
        <v>394</v>
      </c>
      <c r="P311" s="8">
        <v>44321</v>
      </c>
      <c r="Q311" s="7" t="s">
        <v>32</v>
      </c>
      <c r="R311" s="7" t="s">
        <v>33</v>
      </c>
      <c r="S311" s="7" t="s">
        <v>34</v>
      </c>
      <c r="T311" s="7"/>
      <c r="U311" s="7" t="s">
        <v>35</v>
      </c>
      <c r="V311" s="7">
        <v>582</v>
      </c>
      <c r="W311" s="7">
        <v>250.96</v>
      </c>
      <c r="X311" s="7">
        <v>231.75</v>
      </c>
      <c r="Y311" s="7">
        <v>0</v>
      </c>
      <c r="Z311" s="7">
        <v>99.29</v>
      </c>
    </row>
    <row r="312" spans="1:26" ht="17.5" x14ac:dyDescent="0.35">
      <c r="A312" s="7" t="s">
        <v>27</v>
      </c>
      <c r="B312" s="7" t="s">
        <v>36</v>
      </c>
      <c r="C312" s="7" t="s">
        <v>48</v>
      </c>
      <c r="D312" s="7" t="s">
        <v>56</v>
      </c>
      <c r="E312" s="7" t="s">
        <v>40</v>
      </c>
      <c r="F312" s="7" t="s">
        <v>278</v>
      </c>
      <c r="G312" s="7">
        <v>2020</v>
      </c>
      <c r="H312" s="7" t="str">
        <f>CONCATENATE("04240564882")</f>
        <v>04240564882</v>
      </c>
      <c r="I312" s="7" t="s">
        <v>30</v>
      </c>
      <c r="J312" s="7" t="s">
        <v>31</v>
      </c>
      <c r="K312" s="7" t="str">
        <f>CONCATENATE("")</f>
        <v/>
      </c>
      <c r="L312" s="7" t="str">
        <f>CONCATENATE("10 10.1 4a")</f>
        <v>10 10.1 4a</v>
      </c>
      <c r="M312" s="7" t="str">
        <f>CONCATENATE("MRCMNO73A42D451D")</f>
        <v>MRCMNO73A42D451D</v>
      </c>
      <c r="N312" s="7" t="s">
        <v>420</v>
      </c>
      <c r="O312" s="7" t="s">
        <v>394</v>
      </c>
      <c r="P312" s="8">
        <v>44321</v>
      </c>
      <c r="Q312" s="7" t="s">
        <v>32</v>
      </c>
      <c r="R312" s="7" t="s">
        <v>33</v>
      </c>
      <c r="S312" s="7" t="s">
        <v>34</v>
      </c>
      <c r="T312" s="7"/>
      <c r="U312" s="7" t="s">
        <v>35</v>
      </c>
      <c r="V312" s="7">
        <v>137.27000000000001</v>
      </c>
      <c r="W312" s="7">
        <v>59.19</v>
      </c>
      <c r="X312" s="7">
        <v>54.66</v>
      </c>
      <c r="Y312" s="7">
        <v>0</v>
      </c>
      <c r="Z312" s="7">
        <v>23.42</v>
      </c>
    </row>
    <row r="313" spans="1:26" ht="17.5" x14ac:dyDescent="0.35">
      <c r="A313" s="7" t="s">
        <v>27</v>
      </c>
      <c r="B313" s="7" t="s">
        <v>36</v>
      </c>
      <c r="C313" s="7" t="s">
        <v>48</v>
      </c>
      <c r="D313" s="7" t="s">
        <v>56</v>
      </c>
      <c r="E313" s="7" t="s">
        <v>40</v>
      </c>
      <c r="F313" s="7" t="s">
        <v>278</v>
      </c>
      <c r="G313" s="7">
        <v>2020</v>
      </c>
      <c r="H313" s="7" t="str">
        <f>CONCATENATE("04240569022")</f>
        <v>04240569022</v>
      </c>
      <c r="I313" s="7" t="s">
        <v>30</v>
      </c>
      <c r="J313" s="7" t="s">
        <v>31</v>
      </c>
      <c r="K313" s="7" t="str">
        <f>CONCATENATE("")</f>
        <v/>
      </c>
      <c r="L313" s="7" t="str">
        <f>CONCATENATE("10 10.1 4a")</f>
        <v>10 10.1 4a</v>
      </c>
      <c r="M313" s="7" t="str">
        <f>CONCATENATE("MNTMRN60P23A366D")</f>
        <v>MNTMRN60P23A366D</v>
      </c>
      <c r="N313" s="7" t="s">
        <v>421</v>
      </c>
      <c r="O313" s="7" t="s">
        <v>394</v>
      </c>
      <c r="P313" s="8">
        <v>44321</v>
      </c>
      <c r="Q313" s="7" t="s">
        <v>32</v>
      </c>
      <c r="R313" s="7" t="s">
        <v>33</v>
      </c>
      <c r="S313" s="7" t="s">
        <v>34</v>
      </c>
      <c r="T313" s="7"/>
      <c r="U313" s="7" t="s">
        <v>35</v>
      </c>
      <c r="V313" s="9">
        <v>3375.8</v>
      </c>
      <c r="W313" s="9">
        <v>1455.64</v>
      </c>
      <c r="X313" s="9">
        <v>1344.24</v>
      </c>
      <c r="Y313" s="7">
        <v>0</v>
      </c>
      <c r="Z313" s="7">
        <v>575.91999999999996</v>
      </c>
    </row>
    <row r="314" spans="1:26" ht="17.5" x14ac:dyDescent="0.35">
      <c r="A314" s="7" t="s">
        <v>27</v>
      </c>
      <c r="B314" s="7" t="s">
        <v>36</v>
      </c>
      <c r="C314" s="7" t="s">
        <v>48</v>
      </c>
      <c r="D314" s="7" t="s">
        <v>56</v>
      </c>
      <c r="E314" s="7" t="s">
        <v>40</v>
      </c>
      <c r="F314" s="7" t="s">
        <v>278</v>
      </c>
      <c r="G314" s="7">
        <v>2020</v>
      </c>
      <c r="H314" s="7" t="str">
        <f>CONCATENATE("04240569030")</f>
        <v>04240569030</v>
      </c>
      <c r="I314" s="7" t="s">
        <v>30</v>
      </c>
      <c r="J314" s="7" t="s">
        <v>31</v>
      </c>
      <c r="K314" s="7" t="str">
        <f>CONCATENATE("")</f>
        <v/>
      </c>
      <c r="L314" s="7" t="str">
        <f>CONCATENATE("10 10.1 4a")</f>
        <v>10 10.1 4a</v>
      </c>
      <c r="M314" s="7" t="str">
        <f>CONCATENATE("MNTMRN60P23A366D")</f>
        <v>MNTMRN60P23A366D</v>
      </c>
      <c r="N314" s="7" t="s">
        <v>421</v>
      </c>
      <c r="O314" s="7" t="s">
        <v>394</v>
      </c>
      <c r="P314" s="8">
        <v>44321</v>
      </c>
      <c r="Q314" s="7" t="s">
        <v>32</v>
      </c>
      <c r="R314" s="7" t="s">
        <v>33</v>
      </c>
      <c r="S314" s="7" t="s">
        <v>34</v>
      </c>
      <c r="T314" s="7"/>
      <c r="U314" s="7" t="s">
        <v>35</v>
      </c>
      <c r="V314" s="9">
        <v>6096.45</v>
      </c>
      <c r="W314" s="9">
        <v>2628.79</v>
      </c>
      <c r="X314" s="9">
        <v>2427.61</v>
      </c>
      <c r="Y314" s="7">
        <v>0</v>
      </c>
      <c r="Z314" s="9">
        <v>1040.05</v>
      </c>
    </row>
    <row r="315" spans="1:26" x14ac:dyDescent="0.35">
      <c r="A315" s="7" t="s">
        <v>27</v>
      </c>
      <c r="B315" s="7" t="s">
        <v>36</v>
      </c>
      <c r="C315" s="7" t="s">
        <v>48</v>
      </c>
      <c r="D315" s="7" t="s">
        <v>56</v>
      </c>
      <c r="E315" s="7" t="s">
        <v>40</v>
      </c>
      <c r="F315" s="7" t="s">
        <v>272</v>
      </c>
      <c r="G315" s="7">
        <v>2020</v>
      </c>
      <c r="H315" s="7" t="str">
        <f>CONCATENATE("04240382103")</f>
        <v>04240382103</v>
      </c>
      <c r="I315" s="7" t="s">
        <v>30</v>
      </c>
      <c r="J315" s="7" t="s">
        <v>31</v>
      </c>
      <c r="K315" s="7" t="str">
        <f>CONCATENATE("")</f>
        <v/>
      </c>
      <c r="L315" s="7" t="str">
        <f>CONCATENATE("10 10.1 4a")</f>
        <v>10 10.1 4a</v>
      </c>
      <c r="M315" s="7" t="str">
        <f>CONCATENATE("MRTSNT80P45E388B")</f>
        <v>MRTSNT80P45E388B</v>
      </c>
      <c r="N315" s="7" t="s">
        <v>422</v>
      </c>
      <c r="O315" s="7" t="s">
        <v>394</v>
      </c>
      <c r="P315" s="8">
        <v>44321</v>
      </c>
      <c r="Q315" s="7" t="s">
        <v>32</v>
      </c>
      <c r="R315" s="7" t="s">
        <v>33</v>
      </c>
      <c r="S315" s="7" t="s">
        <v>34</v>
      </c>
      <c r="T315" s="7"/>
      <c r="U315" s="7" t="s">
        <v>35</v>
      </c>
      <c r="V315" s="7">
        <v>167.04</v>
      </c>
      <c r="W315" s="7">
        <v>72.03</v>
      </c>
      <c r="X315" s="7">
        <v>66.52</v>
      </c>
      <c r="Y315" s="7">
        <v>0</v>
      </c>
      <c r="Z315" s="7">
        <v>28.49</v>
      </c>
    </row>
    <row r="316" spans="1:26" x14ac:dyDescent="0.35">
      <c r="A316" s="7" t="s">
        <v>27</v>
      </c>
      <c r="B316" s="7" t="s">
        <v>36</v>
      </c>
      <c r="C316" s="7" t="s">
        <v>48</v>
      </c>
      <c r="D316" s="7" t="s">
        <v>56</v>
      </c>
      <c r="E316" s="7" t="s">
        <v>29</v>
      </c>
      <c r="F316" s="7" t="s">
        <v>113</v>
      </c>
      <c r="G316" s="7">
        <v>2020</v>
      </c>
      <c r="H316" s="7" t="str">
        <f>CONCATENATE("04241309386")</f>
        <v>04241309386</v>
      </c>
      <c r="I316" s="7" t="s">
        <v>30</v>
      </c>
      <c r="J316" s="7" t="s">
        <v>31</v>
      </c>
      <c r="K316" s="7" t="str">
        <f>CONCATENATE("")</f>
        <v/>
      </c>
      <c r="L316" s="7" t="str">
        <f>CONCATENATE("10 10.1 4a")</f>
        <v>10 10.1 4a</v>
      </c>
      <c r="M316" s="7" t="str">
        <f>CONCATENATE("PDCMTR50A63D451U")</f>
        <v>PDCMTR50A63D451U</v>
      </c>
      <c r="N316" s="7" t="s">
        <v>258</v>
      </c>
      <c r="O316" s="7" t="s">
        <v>394</v>
      </c>
      <c r="P316" s="8">
        <v>44321</v>
      </c>
      <c r="Q316" s="7" t="s">
        <v>32</v>
      </c>
      <c r="R316" s="7" t="s">
        <v>33</v>
      </c>
      <c r="S316" s="7" t="s">
        <v>34</v>
      </c>
      <c r="T316" s="7"/>
      <c r="U316" s="7" t="s">
        <v>35</v>
      </c>
      <c r="V316" s="7">
        <v>810</v>
      </c>
      <c r="W316" s="7">
        <v>349.27</v>
      </c>
      <c r="X316" s="7">
        <v>322.54000000000002</v>
      </c>
      <c r="Y316" s="7">
        <v>0</v>
      </c>
      <c r="Z316" s="7">
        <v>138.19</v>
      </c>
    </row>
    <row r="317" spans="1:26" x14ac:dyDescent="0.35">
      <c r="A317" s="7" t="s">
        <v>27</v>
      </c>
      <c r="B317" s="7" t="s">
        <v>36</v>
      </c>
      <c r="C317" s="7" t="s">
        <v>48</v>
      </c>
      <c r="D317" s="7" t="s">
        <v>56</v>
      </c>
      <c r="E317" s="7" t="s">
        <v>40</v>
      </c>
      <c r="F317" s="7" t="s">
        <v>272</v>
      </c>
      <c r="G317" s="7">
        <v>2020</v>
      </c>
      <c r="H317" s="7" t="str">
        <f>CONCATENATE("04240787228")</f>
        <v>04240787228</v>
      </c>
      <c r="I317" s="7" t="s">
        <v>30</v>
      </c>
      <c r="J317" s="7" t="s">
        <v>31</v>
      </c>
      <c r="K317" s="7" t="str">
        <f>CONCATENATE("")</f>
        <v/>
      </c>
      <c r="L317" s="7" t="str">
        <f>CONCATENATE("10 10.1 4a")</f>
        <v>10 10.1 4a</v>
      </c>
      <c r="M317" s="7" t="str">
        <f>CONCATENATE("PTRSNT71L21F453H")</f>
        <v>PTRSNT71L21F453H</v>
      </c>
      <c r="N317" s="7" t="s">
        <v>395</v>
      </c>
      <c r="O317" s="7" t="s">
        <v>394</v>
      </c>
      <c r="P317" s="8">
        <v>44321</v>
      </c>
      <c r="Q317" s="7" t="s">
        <v>32</v>
      </c>
      <c r="R317" s="7" t="s">
        <v>33</v>
      </c>
      <c r="S317" s="7" t="s">
        <v>34</v>
      </c>
      <c r="T317" s="7"/>
      <c r="U317" s="7" t="s">
        <v>35</v>
      </c>
      <c r="V317" s="7">
        <v>62.47</v>
      </c>
      <c r="W317" s="7">
        <v>26.94</v>
      </c>
      <c r="X317" s="7">
        <v>24.88</v>
      </c>
      <c r="Y317" s="7">
        <v>0</v>
      </c>
      <c r="Z317" s="7">
        <v>10.65</v>
      </c>
    </row>
    <row r="318" spans="1:26" x14ac:dyDescent="0.35">
      <c r="A318" s="7" t="s">
        <v>27</v>
      </c>
      <c r="B318" s="7" t="s">
        <v>36</v>
      </c>
      <c r="C318" s="7" t="s">
        <v>48</v>
      </c>
      <c r="D318" s="7" t="s">
        <v>56</v>
      </c>
      <c r="E318" s="7" t="s">
        <v>40</v>
      </c>
      <c r="F318" s="7" t="s">
        <v>272</v>
      </c>
      <c r="G318" s="7">
        <v>2020</v>
      </c>
      <c r="H318" s="7" t="str">
        <f>CONCATENATE("04240023483")</f>
        <v>04240023483</v>
      </c>
      <c r="I318" s="7" t="s">
        <v>30</v>
      </c>
      <c r="J318" s="7" t="s">
        <v>31</v>
      </c>
      <c r="K318" s="7" t="str">
        <f>CONCATENATE("")</f>
        <v/>
      </c>
      <c r="L318" s="7" t="str">
        <f>CONCATENATE("10 10.1 4a")</f>
        <v>10 10.1 4a</v>
      </c>
      <c r="M318" s="7" t="str">
        <f>CONCATENATE("SCCNDR88D23E388H")</f>
        <v>SCCNDR88D23E388H</v>
      </c>
      <c r="N318" s="7" t="s">
        <v>423</v>
      </c>
      <c r="O318" s="7" t="s">
        <v>394</v>
      </c>
      <c r="P318" s="8">
        <v>44321</v>
      </c>
      <c r="Q318" s="7" t="s">
        <v>32</v>
      </c>
      <c r="R318" s="7" t="s">
        <v>33</v>
      </c>
      <c r="S318" s="7" t="s">
        <v>34</v>
      </c>
      <c r="T318" s="7"/>
      <c r="U318" s="7" t="s">
        <v>35</v>
      </c>
      <c r="V318" s="7">
        <v>400.12</v>
      </c>
      <c r="W318" s="7">
        <v>172.53</v>
      </c>
      <c r="X318" s="7">
        <v>159.33000000000001</v>
      </c>
      <c r="Y318" s="7">
        <v>0</v>
      </c>
      <c r="Z318" s="7">
        <v>68.260000000000005</v>
      </c>
    </row>
    <row r="319" spans="1:26" ht="17.5" x14ac:dyDescent="0.35">
      <c r="A319" s="7" t="s">
        <v>27</v>
      </c>
      <c r="B319" s="7" t="s">
        <v>36</v>
      </c>
      <c r="C319" s="7" t="s">
        <v>48</v>
      </c>
      <c r="D319" s="7" t="s">
        <v>56</v>
      </c>
      <c r="E319" s="7" t="s">
        <v>29</v>
      </c>
      <c r="F319" s="7" t="s">
        <v>106</v>
      </c>
      <c r="G319" s="7">
        <v>2020</v>
      </c>
      <c r="H319" s="7" t="str">
        <f>CONCATENATE("04240976755")</f>
        <v>04240976755</v>
      </c>
      <c r="I319" s="7" t="s">
        <v>39</v>
      </c>
      <c r="J319" s="7" t="s">
        <v>31</v>
      </c>
      <c r="K319" s="7" t="str">
        <f>CONCATENATE("")</f>
        <v/>
      </c>
      <c r="L319" s="7" t="str">
        <f>CONCATENATE("10 10.1 4a")</f>
        <v>10 10.1 4a</v>
      </c>
      <c r="M319" s="7" t="str">
        <f>CONCATENATE("02705020424")</f>
        <v>02705020424</v>
      </c>
      <c r="N319" s="7" t="s">
        <v>302</v>
      </c>
      <c r="O319" s="7" t="s">
        <v>394</v>
      </c>
      <c r="P319" s="8">
        <v>44321</v>
      </c>
      <c r="Q319" s="7" t="s">
        <v>32</v>
      </c>
      <c r="R319" s="7" t="s">
        <v>33</v>
      </c>
      <c r="S319" s="7" t="s">
        <v>34</v>
      </c>
      <c r="T319" s="7"/>
      <c r="U319" s="7" t="s">
        <v>35</v>
      </c>
      <c r="V319" s="7">
        <v>295.76</v>
      </c>
      <c r="W319" s="7">
        <v>127.53</v>
      </c>
      <c r="X319" s="7">
        <v>117.77</v>
      </c>
      <c r="Y319" s="7">
        <v>0</v>
      </c>
      <c r="Z319" s="7">
        <v>50.46</v>
      </c>
    </row>
    <row r="320" spans="1:26" x14ac:dyDescent="0.35">
      <c r="A320" s="7" t="s">
        <v>27</v>
      </c>
      <c r="B320" s="7" t="s">
        <v>36</v>
      </c>
      <c r="C320" s="7" t="s">
        <v>48</v>
      </c>
      <c r="D320" s="7" t="s">
        <v>56</v>
      </c>
      <c r="E320" s="7" t="s">
        <v>42</v>
      </c>
      <c r="F320" s="7" t="s">
        <v>290</v>
      </c>
      <c r="G320" s="7">
        <v>2020</v>
      </c>
      <c r="H320" s="7" t="str">
        <f>CONCATENATE("04240898801")</f>
        <v>04240898801</v>
      </c>
      <c r="I320" s="7" t="s">
        <v>30</v>
      </c>
      <c r="J320" s="7" t="s">
        <v>31</v>
      </c>
      <c r="K320" s="7" t="str">
        <f>CONCATENATE("")</f>
        <v/>
      </c>
      <c r="L320" s="7" t="str">
        <f>CONCATENATE("10 10.1 4a")</f>
        <v>10 10.1 4a</v>
      </c>
      <c r="M320" s="7" t="str">
        <f>CONCATENATE("02487080422")</f>
        <v>02487080422</v>
      </c>
      <c r="N320" s="7" t="s">
        <v>424</v>
      </c>
      <c r="O320" s="7" t="s">
        <v>394</v>
      </c>
      <c r="P320" s="8">
        <v>44321</v>
      </c>
      <c r="Q320" s="7" t="s">
        <v>32</v>
      </c>
      <c r="R320" s="7" t="s">
        <v>33</v>
      </c>
      <c r="S320" s="7" t="s">
        <v>34</v>
      </c>
      <c r="T320" s="7"/>
      <c r="U320" s="7" t="s">
        <v>35</v>
      </c>
      <c r="V320" s="9">
        <v>1730.84</v>
      </c>
      <c r="W320" s="7">
        <v>746.34</v>
      </c>
      <c r="X320" s="7">
        <v>689.22</v>
      </c>
      <c r="Y320" s="7">
        <v>0</v>
      </c>
      <c r="Z320" s="7">
        <v>295.27999999999997</v>
      </c>
    </row>
    <row r="321" spans="1:26" x14ac:dyDescent="0.35">
      <c r="A321" s="7" t="s">
        <v>27</v>
      </c>
      <c r="B321" s="7" t="s">
        <v>36</v>
      </c>
      <c r="C321" s="7" t="s">
        <v>48</v>
      </c>
      <c r="D321" s="7" t="s">
        <v>56</v>
      </c>
      <c r="E321" s="7" t="s">
        <v>40</v>
      </c>
      <c r="F321" s="7" t="s">
        <v>272</v>
      </c>
      <c r="G321" s="7">
        <v>2020</v>
      </c>
      <c r="H321" s="7" t="str">
        <f>CONCATENATE("04240725970")</f>
        <v>04240725970</v>
      </c>
      <c r="I321" s="7" t="s">
        <v>30</v>
      </c>
      <c r="J321" s="7" t="s">
        <v>31</v>
      </c>
      <c r="K321" s="7" t="str">
        <f>CONCATENATE("")</f>
        <v/>
      </c>
      <c r="L321" s="7" t="str">
        <f>CONCATENATE("10 10.1 4a")</f>
        <v>10 10.1 4a</v>
      </c>
      <c r="M321" s="7" t="str">
        <f>CONCATENATE("TDDFST53M05I251V")</f>
        <v>TDDFST53M05I251V</v>
      </c>
      <c r="N321" s="7" t="s">
        <v>425</v>
      </c>
      <c r="O321" s="7" t="s">
        <v>394</v>
      </c>
      <c r="P321" s="8">
        <v>44321</v>
      </c>
      <c r="Q321" s="7" t="s">
        <v>32</v>
      </c>
      <c r="R321" s="7" t="s">
        <v>33</v>
      </c>
      <c r="S321" s="7" t="s">
        <v>34</v>
      </c>
      <c r="T321" s="7"/>
      <c r="U321" s="7" t="s">
        <v>35</v>
      </c>
      <c r="V321" s="7">
        <v>71.44</v>
      </c>
      <c r="W321" s="7">
        <v>30.8</v>
      </c>
      <c r="X321" s="7">
        <v>28.45</v>
      </c>
      <c r="Y321" s="7">
        <v>0</v>
      </c>
      <c r="Z321" s="7">
        <v>12.19</v>
      </c>
    </row>
    <row r="322" spans="1:26" x14ac:dyDescent="0.35">
      <c r="A322" s="7" t="s">
        <v>27</v>
      </c>
      <c r="B322" s="7" t="s">
        <v>36</v>
      </c>
      <c r="C322" s="7" t="s">
        <v>48</v>
      </c>
      <c r="D322" s="7" t="s">
        <v>56</v>
      </c>
      <c r="E322" s="7" t="s">
        <v>29</v>
      </c>
      <c r="F322" s="7" t="s">
        <v>82</v>
      </c>
      <c r="G322" s="7">
        <v>2020</v>
      </c>
      <c r="H322" s="7" t="str">
        <f>CONCATENATE("04240831380")</f>
        <v>04240831380</v>
      </c>
      <c r="I322" s="7" t="s">
        <v>30</v>
      </c>
      <c r="J322" s="7" t="s">
        <v>31</v>
      </c>
      <c r="K322" s="7" t="str">
        <f>CONCATENATE("")</f>
        <v/>
      </c>
      <c r="L322" s="7" t="str">
        <f>CONCATENATE("10 10.1 4a")</f>
        <v>10 10.1 4a</v>
      </c>
      <c r="M322" s="7" t="str">
        <f>CONCATENATE("TRTLCN56S22A334B")</f>
        <v>TRTLCN56S22A334B</v>
      </c>
      <c r="N322" s="7" t="s">
        <v>426</v>
      </c>
      <c r="O322" s="7" t="s">
        <v>394</v>
      </c>
      <c r="P322" s="8">
        <v>44321</v>
      </c>
      <c r="Q322" s="7" t="s">
        <v>32</v>
      </c>
      <c r="R322" s="7" t="s">
        <v>33</v>
      </c>
      <c r="S322" s="7" t="s">
        <v>34</v>
      </c>
      <c r="T322" s="7"/>
      <c r="U322" s="7" t="s">
        <v>35</v>
      </c>
      <c r="V322" s="7">
        <v>338.2</v>
      </c>
      <c r="W322" s="7">
        <v>145.83000000000001</v>
      </c>
      <c r="X322" s="7">
        <v>134.66999999999999</v>
      </c>
      <c r="Y322" s="7">
        <v>0</v>
      </c>
      <c r="Z322" s="7">
        <v>57.7</v>
      </c>
    </row>
    <row r="323" spans="1:26" x14ac:dyDescent="0.35">
      <c r="A323" s="7" t="s">
        <v>27</v>
      </c>
      <c r="B323" s="7" t="s">
        <v>36</v>
      </c>
      <c r="C323" s="7" t="s">
        <v>48</v>
      </c>
      <c r="D323" s="7" t="s">
        <v>56</v>
      </c>
      <c r="E323" s="7" t="s">
        <v>29</v>
      </c>
      <c r="F323" s="7" t="s">
        <v>106</v>
      </c>
      <c r="G323" s="7">
        <v>2020</v>
      </c>
      <c r="H323" s="7" t="str">
        <f>CONCATENATE("04240072902")</f>
        <v>04240072902</v>
      </c>
      <c r="I323" s="7" t="s">
        <v>30</v>
      </c>
      <c r="J323" s="7" t="s">
        <v>31</v>
      </c>
      <c r="K323" s="7" t="str">
        <f>CONCATENATE("")</f>
        <v/>
      </c>
      <c r="L323" s="7" t="str">
        <f>CONCATENATE("10 10.1 4a")</f>
        <v>10 10.1 4a</v>
      </c>
      <c r="M323" s="7" t="str">
        <f>CONCATENATE("TNTGRG75S17E388V")</f>
        <v>TNTGRG75S17E388V</v>
      </c>
      <c r="N323" s="7" t="s">
        <v>427</v>
      </c>
      <c r="O323" s="7" t="s">
        <v>394</v>
      </c>
      <c r="P323" s="8">
        <v>44321</v>
      </c>
      <c r="Q323" s="7" t="s">
        <v>32</v>
      </c>
      <c r="R323" s="7" t="s">
        <v>33</v>
      </c>
      <c r="S323" s="7" t="s">
        <v>34</v>
      </c>
      <c r="T323" s="7"/>
      <c r="U323" s="7" t="s">
        <v>35</v>
      </c>
      <c r="V323" s="9">
        <v>1157.2</v>
      </c>
      <c r="W323" s="7">
        <v>498.98</v>
      </c>
      <c r="X323" s="7">
        <v>460.8</v>
      </c>
      <c r="Y323" s="7">
        <v>0</v>
      </c>
      <c r="Z323" s="7">
        <v>197.42</v>
      </c>
    </row>
    <row r="324" spans="1:26" x14ac:dyDescent="0.35">
      <c r="A324" s="7" t="s">
        <v>27</v>
      </c>
      <c r="B324" s="7" t="s">
        <v>36</v>
      </c>
      <c r="C324" s="7" t="s">
        <v>48</v>
      </c>
      <c r="D324" s="7" t="s">
        <v>62</v>
      </c>
      <c r="E324" s="7" t="s">
        <v>38</v>
      </c>
      <c r="F324" s="7" t="s">
        <v>251</v>
      </c>
      <c r="G324" s="7">
        <v>2020</v>
      </c>
      <c r="H324" s="7" t="str">
        <f>CONCATENATE("04240547630")</f>
        <v>04240547630</v>
      </c>
      <c r="I324" s="7" t="s">
        <v>30</v>
      </c>
      <c r="J324" s="7" t="s">
        <v>31</v>
      </c>
      <c r="K324" s="7" t="str">
        <f>CONCATENATE("")</f>
        <v/>
      </c>
      <c r="L324" s="7" t="str">
        <f>CONCATENATE("10 10.1 4a")</f>
        <v>10 10.1 4a</v>
      </c>
      <c r="M324" s="7" t="str">
        <f>CONCATENATE("JRGSRH79E64H501A")</f>
        <v>JRGSRH79E64H501A</v>
      </c>
      <c r="N324" s="7" t="s">
        <v>299</v>
      </c>
      <c r="O324" s="7" t="s">
        <v>394</v>
      </c>
      <c r="P324" s="8">
        <v>44321</v>
      </c>
      <c r="Q324" s="7" t="s">
        <v>32</v>
      </c>
      <c r="R324" s="7" t="s">
        <v>33</v>
      </c>
      <c r="S324" s="7" t="s">
        <v>34</v>
      </c>
      <c r="T324" s="7"/>
      <c r="U324" s="7" t="s">
        <v>35</v>
      </c>
      <c r="V324" s="7">
        <v>570</v>
      </c>
      <c r="W324" s="7">
        <v>245.78</v>
      </c>
      <c r="X324" s="7">
        <v>226.97</v>
      </c>
      <c r="Y324" s="7">
        <v>0</v>
      </c>
      <c r="Z324" s="7">
        <v>97.25</v>
      </c>
    </row>
    <row r="325" spans="1:26" x14ac:dyDescent="0.35">
      <c r="A325" s="7" t="s">
        <v>27</v>
      </c>
      <c r="B325" s="7" t="s">
        <v>36</v>
      </c>
      <c r="C325" s="7" t="s">
        <v>48</v>
      </c>
      <c r="D325" s="7" t="s">
        <v>62</v>
      </c>
      <c r="E325" s="7" t="s">
        <v>29</v>
      </c>
      <c r="F325" s="7" t="s">
        <v>428</v>
      </c>
      <c r="G325" s="7">
        <v>2020</v>
      </c>
      <c r="H325" s="7" t="str">
        <f>CONCATENATE("04240147464")</f>
        <v>04240147464</v>
      </c>
      <c r="I325" s="7" t="s">
        <v>39</v>
      </c>
      <c r="J325" s="7" t="s">
        <v>31</v>
      </c>
      <c r="K325" s="7" t="str">
        <f>CONCATENATE("")</f>
        <v/>
      </c>
      <c r="L325" s="7" t="str">
        <f>CONCATENATE("10 10.1 4a")</f>
        <v>10 10.1 4a</v>
      </c>
      <c r="M325" s="7" t="str">
        <f>CONCATENATE("NBLCNZ73S59I156C")</f>
        <v>NBLCNZ73S59I156C</v>
      </c>
      <c r="N325" s="7" t="s">
        <v>429</v>
      </c>
      <c r="O325" s="7" t="s">
        <v>394</v>
      </c>
      <c r="P325" s="8">
        <v>44321</v>
      </c>
      <c r="Q325" s="7" t="s">
        <v>32</v>
      </c>
      <c r="R325" s="7" t="s">
        <v>33</v>
      </c>
      <c r="S325" s="7" t="s">
        <v>34</v>
      </c>
      <c r="T325" s="7"/>
      <c r="U325" s="7" t="s">
        <v>35</v>
      </c>
      <c r="V325" s="7">
        <v>804.6</v>
      </c>
      <c r="W325" s="7">
        <v>346.94</v>
      </c>
      <c r="X325" s="7">
        <v>320.39</v>
      </c>
      <c r="Y325" s="7">
        <v>0</v>
      </c>
      <c r="Z325" s="7">
        <v>137.27000000000001</v>
      </c>
    </row>
    <row r="326" spans="1:26" x14ac:dyDescent="0.35">
      <c r="A326" s="7" t="s">
        <v>27</v>
      </c>
      <c r="B326" s="7" t="s">
        <v>36</v>
      </c>
      <c r="C326" s="7" t="s">
        <v>48</v>
      </c>
      <c r="D326" s="7" t="s">
        <v>62</v>
      </c>
      <c r="E326" s="7" t="s">
        <v>38</v>
      </c>
      <c r="F326" s="7" t="s">
        <v>251</v>
      </c>
      <c r="G326" s="7">
        <v>2020</v>
      </c>
      <c r="H326" s="7" t="str">
        <f>CONCATENATE("04240964454")</f>
        <v>04240964454</v>
      </c>
      <c r="I326" s="7" t="s">
        <v>30</v>
      </c>
      <c r="J326" s="7" t="s">
        <v>31</v>
      </c>
      <c r="K326" s="7" t="str">
        <f>CONCATENATE("")</f>
        <v/>
      </c>
      <c r="L326" s="7" t="str">
        <f>CONCATENATE("10 10.1 4a")</f>
        <v>10 10.1 4a</v>
      </c>
      <c r="M326" s="7" t="str">
        <f>CONCATENATE("CPNVCN50M05L776R")</f>
        <v>CPNVCN50M05L776R</v>
      </c>
      <c r="N326" s="7" t="s">
        <v>430</v>
      </c>
      <c r="O326" s="7" t="s">
        <v>394</v>
      </c>
      <c r="P326" s="8">
        <v>44321</v>
      </c>
      <c r="Q326" s="7" t="s">
        <v>32</v>
      </c>
      <c r="R326" s="7" t="s">
        <v>33</v>
      </c>
      <c r="S326" s="7" t="s">
        <v>34</v>
      </c>
      <c r="T326" s="7"/>
      <c r="U326" s="7" t="s">
        <v>35</v>
      </c>
      <c r="V326" s="7">
        <v>267.36</v>
      </c>
      <c r="W326" s="7">
        <v>115.29</v>
      </c>
      <c r="X326" s="7">
        <v>106.46</v>
      </c>
      <c r="Y326" s="7">
        <v>0</v>
      </c>
      <c r="Z326" s="7">
        <v>45.61</v>
      </c>
    </row>
    <row r="327" spans="1:26" x14ac:dyDescent="0.35">
      <c r="A327" s="7" t="s">
        <v>27</v>
      </c>
      <c r="B327" s="7" t="s">
        <v>36</v>
      </c>
      <c r="C327" s="7" t="s">
        <v>48</v>
      </c>
      <c r="D327" s="7" t="s">
        <v>62</v>
      </c>
      <c r="E327" s="7" t="s">
        <v>29</v>
      </c>
      <c r="F327" s="7" t="s">
        <v>66</v>
      </c>
      <c r="G327" s="7">
        <v>2020</v>
      </c>
      <c r="H327" s="7" t="str">
        <f>CONCATENATE("04210021939")</f>
        <v>04210021939</v>
      </c>
      <c r="I327" s="7" t="s">
        <v>30</v>
      </c>
      <c r="J327" s="7" t="s">
        <v>31</v>
      </c>
      <c r="K327" s="7" t="str">
        <f>CONCATENATE("")</f>
        <v/>
      </c>
      <c r="L327" s="7" t="str">
        <f>CONCATENATE("13 13.1 4a")</f>
        <v>13 13.1 4a</v>
      </c>
      <c r="M327" s="7" t="str">
        <f>CONCATENATE("MCABDT40E29F935B")</f>
        <v>MCABDT40E29F935B</v>
      </c>
      <c r="N327" s="7" t="s">
        <v>431</v>
      </c>
      <c r="O327" s="7" t="s">
        <v>249</v>
      </c>
      <c r="P327" s="8">
        <v>44321</v>
      </c>
      <c r="Q327" s="7" t="s">
        <v>32</v>
      </c>
      <c r="R327" s="7" t="s">
        <v>33</v>
      </c>
      <c r="S327" s="7" t="s">
        <v>34</v>
      </c>
      <c r="T327" s="7"/>
      <c r="U327" s="7" t="s">
        <v>35</v>
      </c>
      <c r="V327" s="7">
        <v>666.78</v>
      </c>
      <c r="W327" s="7">
        <v>287.52</v>
      </c>
      <c r="X327" s="7">
        <v>265.51</v>
      </c>
      <c r="Y327" s="7">
        <v>0</v>
      </c>
      <c r="Z327" s="7">
        <v>113.75</v>
      </c>
    </row>
    <row r="328" spans="1:26" x14ac:dyDescent="0.35">
      <c r="A328" s="7" t="s">
        <v>27</v>
      </c>
      <c r="B328" s="7" t="s">
        <v>36</v>
      </c>
      <c r="C328" s="7" t="s">
        <v>48</v>
      </c>
      <c r="D328" s="7" t="s">
        <v>56</v>
      </c>
      <c r="E328" s="7" t="s">
        <v>42</v>
      </c>
      <c r="F328" s="7" t="s">
        <v>290</v>
      </c>
      <c r="G328" s="7">
        <v>2020</v>
      </c>
      <c r="H328" s="7" t="str">
        <f>CONCATENATE("04210182178")</f>
        <v>04210182178</v>
      </c>
      <c r="I328" s="7" t="s">
        <v>30</v>
      </c>
      <c r="J328" s="7" t="s">
        <v>31</v>
      </c>
      <c r="K328" s="7" t="str">
        <f>CONCATENATE("")</f>
        <v/>
      </c>
      <c r="L328" s="7" t="str">
        <f>CONCATENATE("13 13.1 4a")</f>
        <v>13 13.1 4a</v>
      </c>
      <c r="M328" s="7" t="str">
        <f>CONCATENATE("RSSPRM59R06I932Z")</f>
        <v>RSSPRM59R06I932Z</v>
      </c>
      <c r="N328" s="7" t="s">
        <v>432</v>
      </c>
      <c r="O328" s="7" t="s">
        <v>249</v>
      </c>
      <c r="P328" s="8">
        <v>44321</v>
      </c>
      <c r="Q328" s="7" t="s">
        <v>32</v>
      </c>
      <c r="R328" s="7" t="s">
        <v>33</v>
      </c>
      <c r="S328" s="7" t="s">
        <v>34</v>
      </c>
      <c r="T328" s="7"/>
      <c r="U328" s="7" t="s">
        <v>35</v>
      </c>
      <c r="V328" s="9">
        <v>3362.72</v>
      </c>
      <c r="W328" s="9">
        <v>1450</v>
      </c>
      <c r="X328" s="9">
        <v>1339.04</v>
      </c>
      <c r="Y328" s="7">
        <v>0</v>
      </c>
      <c r="Z328" s="7">
        <v>573.67999999999995</v>
      </c>
    </row>
    <row r="329" spans="1:26" x14ac:dyDescent="0.35">
      <c r="A329" s="7" t="s">
        <v>27</v>
      </c>
      <c r="B329" s="7" t="s">
        <v>36</v>
      </c>
      <c r="C329" s="7" t="s">
        <v>48</v>
      </c>
      <c r="D329" s="7" t="s">
        <v>56</v>
      </c>
      <c r="E329" s="7" t="s">
        <v>29</v>
      </c>
      <c r="F329" s="7" t="s">
        <v>128</v>
      </c>
      <c r="G329" s="7">
        <v>2020</v>
      </c>
      <c r="H329" s="7" t="str">
        <f>CONCATENATE("04210437440")</f>
        <v>04210437440</v>
      </c>
      <c r="I329" s="7" t="s">
        <v>30</v>
      </c>
      <c r="J329" s="7" t="s">
        <v>31</v>
      </c>
      <c r="K329" s="7" t="str">
        <f>CONCATENATE("")</f>
        <v/>
      </c>
      <c r="L329" s="7" t="str">
        <f>CONCATENATE("13 13.1 4a")</f>
        <v>13 13.1 4a</v>
      </c>
      <c r="M329" s="7" t="str">
        <f>CONCATENATE("SCCGLN62L64I653J")</f>
        <v>SCCGLN62L64I653J</v>
      </c>
      <c r="N329" s="7" t="s">
        <v>433</v>
      </c>
      <c r="O329" s="7" t="s">
        <v>249</v>
      </c>
      <c r="P329" s="8">
        <v>44321</v>
      </c>
      <c r="Q329" s="7" t="s">
        <v>32</v>
      </c>
      <c r="R329" s="7" t="s">
        <v>33</v>
      </c>
      <c r="S329" s="7" t="s">
        <v>34</v>
      </c>
      <c r="T329" s="7"/>
      <c r="U329" s="7" t="s">
        <v>35</v>
      </c>
      <c r="V329" s="7">
        <v>490.66</v>
      </c>
      <c r="W329" s="7">
        <v>211.57</v>
      </c>
      <c r="X329" s="7">
        <v>195.38</v>
      </c>
      <c r="Y329" s="7">
        <v>0</v>
      </c>
      <c r="Z329" s="7">
        <v>83.71</v>
      </c>
    </row>
    <row r="330" spans="1:26" x14ac:dyDescent="0.35">
      <c r="A330" s="7" t="s">
        <v>27</v>
      </c>
      <c r="B330" s="7" t="s">
        <v>36</v>
      </c>
      <c r="C330" s="7" t="s">
        <v>48</v>
      </c>
      <c r="D330" s="7" t="s">
        <v>62</v>
      </c>
      <c r="E330" s="7" t="s">
        <v>29</v>
      </c>
      <c r="F330" s="7" t="s">
        <v>66</v>
      </c>
      <c r="G330" s="7">
        <v>2020</v>
      </c>
      <c r="H330" s="7" t="str">
        <f>CONCATENATE("04210538544")</f>
        <v>04210538544</v>
      </c>
      <c r="I330" s="7" t="s">
        <v>30</v>
      </c>
      <c r="J330" s="7" t="s">
        <v>31</v>
      </c>
      <c r="K330" s="7" t="str">
        <f>CONCATENATE("")</f>
        <v/>
      </c>
      <c r="L330" s="7" t="str">
        <f>CONCATENATE("13 13.1 4a")</f>
        <v>13 13.1 4a</v>
      </c>
      <c r="M330" s="7" t="str">
        <f>CONCATENATE("01761610433")</f>
        <v>01761610433</v>
      </c>
      <c r="N330" s="7" t="s">
        <v>434</v>
      </c>
      <c r="O330" s="7" t="s">
        <v>249</v>
      </c>
      <c r="P330" s="8">
        <v>44321</v>
      </c>
      <c r="Q330" s="7" t="s">
        <v>32</v>
      </c>
      <c r="R330" s="7" t="s">
        <v>33</v>
      </c>
      <c r="S330" s="7" t="s">
        <v>34</v>
      </c>
      <c r="T330" s="7"/>
      <c r="U330" s="7" t="s">
        <v>35</v>
      </c>
      <c r="V330" s="9">
        <v>1705.17</v>
      </c>
      <c r="W330" s="7">
        <v>735.27</v>
      </c>
      <c r="X330" s="7">
        <v>679</v>
      </c>
      <c r="Y330" s="7">
        <v>0</v>
      </c>
      <c r="Z330" s="7">
        <v>290.89999999999998</v>
      </c>
    </row>
    <row r="331" spans="1:26" x14ac:dyDescent="0.35">
      <c r="A331" s="7" t="s">
        <v>27</v>
      </c>
      <c r="B331" s="7" t="s">
        <v>36</v>
      </c>
      <c r="C331" s="7" t="s">
        <v>48</v>
      </c>
      <c r="D331" s="7" t="s">
        <v>62</v>
      </c>
      <c r="E331" s="7" t="s">
        <v>29</v>
      </c>
      <c r="F331" s="7" t="s">
        <v>66</v>
      </c>
      <c r="G331" s="7">
        <v>2020</v>
      </c>
      <c r="H331" s="7" t="str">
        <f>CONCATENATE("04210411965")</f>
        <v>04210411965</v>
      </c>
      <c r="I331" s="7" t="s">
        <v>30</v>
      </c>
      <c r="J331" s="7" t="s">
        <v>31</v>
      </c>
      <c r="K331" s="7" t="str">
        <f>CONCATENATE("")</f>
        <v/>
      </c>
      <c r="L331" s="7" t="str">
        <f>CONCATENATE("13 13.1 4a")</f>
        <v>13 13.1 4a</v>
      </c>
      <c r="M331" s="7" t="str">
        <f>CONCATENATE("GRDMRA52H63D429J")</f>
        <v>GRDMRA52H63D429J</v>
      </c>
      <c r="N331" s="7" t="s">
        <v>435</v>
      </c>
      <c r="O331" s="7" t="s">
        <v>249</v>
      </c>
      <c r="P331" s="8">
        <v>44321</v>
      </c>
      <c r="Q331" s="7" t="s">
        <v>32</v>
      </c>
      <c r="R331" s="7" t="s">
        <v>33</v>
      </c>
      <c r="S331" s="7" t="s">
        <v>34</v>
      </c>
      <c r="T331" s="7"/>
      <c r="U331" s="7" t="s">
        <v>35</v>
      </c>
      <c r="V331" s="7">
        <v>527.76</v>
      </c>
      <c r="W331" s="7">
        <v>227.57</v>
      </c>
      <c r="X331" s="7">
        <v>210.15</v>
      </c>
      <c r="Y331" s="7">
        <v>0</v>
      </c>
      <c r="Z331" s="7">
        <v>90.04</v>
      </c>
    </row>
    <row r="332" spans="1:26" x14ac:dyDescent="0.35">
      <c r="A332" s="7" t="s">
        <v>27</v>
      </c>
      <c r="B332" s="7" t="s">
        <v>36</v>
      </c>
      <c r="C332" s="7" t="s">
        <v>48</v>
      </c>
      <c r="D332" s="7" t="s">
        <v>56</v>
      </c>
      <c r="E332" s="7" t="s">
        <v>29</v>
      </c>
      <c r="F332" s="7" t="s">
        <v>113</v>
      </c>
      <c r="G332" s="7">
        <v>2020</v>
      </c>
      <c r="H332" s="7" t="str">
        <f>CONCATENATE("04210019461")</f>
        <v>04210019461</v>
      </c>
      <c r="I332" s="7" t="s">
        <v>39</v>
      </c>
      <c r="J332" s="7" t="s">
        <v>31</v>
      </c>
      <c r="K332" s="7" t="str">
        <f>CONCATENATE("")</f>
        <v/>
      </c>
      <c r="L332" s="7" t="str">
        <f>CONCATENATE("13 13.1 4a")</f>
        <v>13 13.1 4a</v>
      </c>
      <c r="M332" s="7" t="str">
        <f>CONCATENATE("NGLGPP63L03D451W")</f>
        <v>NGLGPP63L03D451W</v>
      </c>
      <c r="N332" s="7" t="s">
        <v>436</v>
      </c>
      <c r="O332" s="7" t="s">
        <v>249</v>
      </c>
      <c r="P332" s="8">
        <v>44321</v>
      </c>
      <c r="Q332" s="7" t="s">
        <v>32</v>
      </c>
      <c r="R332" s="7" t="s">
        <v>33</v>
      </c>
      <c r="S332" s="7" t="s">
        <v>34</v>
      </c>
      <c r="T332" s="7"/>
      <c r="U332" s="7" t="s">
        <v>35</v>
      </c>
      <c r="V332" s="7">
        <v>121.71</v>
      </c>
      <c r="W332" s="7">
        <v>52.48</v>
      </c>
      <c r="X332" s="7">
        <v>48.46</v>
      </c>
      <c r="Y332" s="7">
        <v>0</v>
      </c>
      <c r="Z332" s="7">
        <v>20.77</v>
      </c>
    </row>
    <row r="333" spans="1:26" x14ac:dyDescent="0.35">
      <c r="A333" s="7" t="s">
        <v>27</v>
      </c>
      <c r="B333" s="7" t="s">
        <v>36</v>
      </c>
      <c r="C333" s="7" t="s">
        <v>48</v>
      </c>
      <c r="D333" s="7" t="s">
        <v>56</v>
      </c>
      <c r="E333" s="7" t="s">
        <v>40</v>
      </c>
      <c r="F333" s="7" t="s">
        <v>278</v>
      </c>
      <c r="G333" s="7">
        <v>2020</v>
      </c>
      <c r="H333" s="7" t="str">
        <f>CONCATENATE("04210443158")</f>
        <v>04210443158</v>
      </c>
      <c r="I333" s="7" t="s">
        <v>30</v>
      </c>
      <c r="J333" s="7" t="s">
        <v>31</v>
      </c>
      <c r="K333" s="7" t="str">
        <f>CONCATENATE("")</f>
        <v/>
      </c>
      <c r="L333" s="7" t="str">
        <f>CONCATENATE("13 13.1 4a")</f>
        <v>13 13.1 4a</v>
      </c>
      <c r="M333" s="7" t="str">
        <f>CONCATENATE("BSSBRN51P08G453L")</f>
        <v>BSSBRN51P08G453L</v>
      </c>
      <c r="N333" s="7" t="s">
        <v>437</v>
      </c>
      <c r="O333" s="7" t="s">
        <v>249</v>
      </c>
      <c r="P333" s="8">
        <v>44321</v>
      </c>
      <c r="Q333" s="7" t="s">
        <v>32</v>
      </c>
      <c r="R333" s="7" t="s">
        <v>33</v>
      </c>
      <c r="S333" s="7" t="s">
        <v>34</v>
      </c>
      <c r="T333" s="7"/>
      <c r="U333" s="7" t="s">
        <v>35</v>
      </c>
      <c r="V333" s="9">
        <v>6523.54</v>
      </c>
      <c r="W333" s="9">
        <v>2812.95</v>
      </c>
      <c r="X333" s="9">
        <v>2597.67</v>
      </c>
      <c r="Y333" s="7">
        <v>0</v>
      </c>
      <c r="Z333" s="9">
        <v>1112.92</v>
      </c>
    </row>
    <row r="334" spans="1:26" x14ac:dyDescent="0.35">
      <c r="A334" s="7" t="s">
        <v>27</v>
      </c>
      <c r="B334" s="7" t="s">
        <v>36</v>
      </c>
      <c r="C334" s="7" t="s">
        <v>48</v>
      </c>
      <c r="D334" s="7" t="s">
        <v>56</v>
      </c>
      <c r="E334" s="7" t="s">
        <v>40</v>
      </c>
      <c r="F334" s="7" t="s">
        <v>278</v>
      </c>
      <c r="G334" s="7">
        <v>2020</v>
      </c>
      <c r="H334" s="7" t="str">
        <f>CONCATENATE("04210617835")</f>
        <v>04210617835</v>
      </c>
      <c r="I334" s="7" t="s">
        <v>30</v>
      </c>
      <c r="J334" s="7" t="s">
        <v>31</v>
      </c>
      <c r="K334" s="7" t="str">
        <f>CONCATENATE("")</f>
        <v/>
      </c>
      <c r="L334" s="7" t="str">
        <f>CONCATENATE("13 13.1 4a")</f>
        <v>13 13.1 4a</v>
      </c>
      <c r="M334" s="7" t="str">
        <f>CONCATENATE("GDULRD66L09G453Z")</f>
        <v>GDULRD66L09G453Z</v>
      </c>
      <c r="N334" s="7" t="s">
        <v>438</v>
      </c>
      <c r="O334" s="7" t="s">
        <v>249</v>
      </c>
      <c r="P334" s="8">
        <v>44321</v>
      </c>
      <c r="Q334" s="7" t="s">
        <v>32</v>
      </c>
      <c r="R334" s="7" t="s">
        <v>33</v>
      </c>
      <c r="S334" s="7" t="s">
        <v>34</v>
      </c>
      <c r="T334" s="7"/>
      <c r="U334" s="7" t="s">
        <v>35</v>
      </c>
      <c r="V334" s="9">
        <v>2612.58</v>
      </c>
      <c r="W334" s="9">
        <v>1126.54</v>
      </c>
      <c r="X334" s="9">
        <v>1040.33</v>
      </c>
      <c r="Y334" s="7">
        <v>0</v>
      </c>
      <c r="Z334" s="7">
        <v>445.71</v>
      </c>
    </row>
    <row r="335" spans="1:26" x14ac:dyDescent="0.35">
      <c r="A335" s="7" t="s">
        <v>27</v>
      </c>
      <c r="B335" s="7" t="s">
        <v>36</v>
      </c>
      <c r="C335" s="7" t="s">
        <v>48</v>
      </c>
      <c r="D335" s="7" t="s">
        <v>56</v>
      </c>
      <c r="E335" s="7" t="s">
        <v>29</v>
      </c>
      <c r="F335" s="7" t="s">
        <v>124</v>
      </c>
      <c r="G335" s="7">
        <v>2020</v>
      </c>
      <c r="H335" s="7" t="str">
        <f>CONCATENATE("04210428944")</f>
        <v>04210428944</v>
      </c>
      <c r="I335" s="7" t="s">
        <v>30</v>
      </c>
      <c r="J335" s="7" t="s">
        <v>31</v>
      </c>
      <c r="K335" s="7" t="str">
        <f>CONCATENATE("")</f>
        <v/>
      </c>
      <c r="L335" s="7" t="str">
        <f>CONCATENATE("13 13.1 4a")</f>
        <v>13 13.1 4a</v>
      </c>
      <c r="M335" s="7" t="str">
        <f>CONCATENATE("BTTDLM32D09A366N")</f>
        <v>BTTDLM32D09A366N</v>
      </c>
      <c r="N335" s="7" t="s">
        <v>439</v>
      </c>
      <c r="O335" s="7" t="s">
        <v>249</v>
      </c>
      <c r="P335" s="8">
        <v>44321</v>
      </c>
      <c r="Q335" s="7" t="s">
        <v>32</v>
      </c>
      <c r="R335" s="7" t="s">
        <v>33</v>
      </c>
      <c r="S335" s="7" t="s">
        <v>34</v>
      </c>
      <c r="T335" s="7"/>
      <c r="U335" s="7" t="s">
        <v>35</v>
      </c>
      <c r="V335" s="9">
        <v>1506.66</v>
      </c>
      <c r="W335" s="7">
        <v>649.66999999999996</v>
      </c>
      <c r="X335" s="7">
        <v>599.95000000000005</v>
      </c>
      <c r="Y335" s="7">
        <v>0</v>
      </c>
      <c r="Z335" s="7">
        <v>257.04000000000002</v>
      </c>
    </row>
    <row r="336" spans="1:26" x14ac:dyDescent="0.35">
      <c r="A336" s="7" t="s">
        <v>27</v>
      </c>
      <c r="B336" s="7" t="s">
        <v>36</v>
      </c>
      <c r="C336" s="7" t="s">
        <v>48</v>
      </c>
      <c r="D336" s="7" t="s">
        <v>62</v>
      </c>
      <c r="E336" s="7" t="s">
        <v>29</v>
      </c>
      <c r="F336" s="7" t="s">
        <v>66</v>
      </c>
      <c r="G336" s="7">
        <v>2020</v>
      </c>
      <c r="H336" s="7" t="str">
        <f>CONCATENATE("04210435329")</f>
        <v>04210435329</v>
      </c>
      <c r="I336" s="7" t="s">
        <v>30</v>
      </c>
      <c r="J336" s="7" t="s">
        <v>31</v>
      </c>
      <c r="K336" s="7" t="str">
        <f>CONCATENATE("")</f>
        <v/>
      </c>
      <c r="L336" s="7" t="str">
        <f>CONCATENATE("13 13.1 4a")</f>
        <v>13 13.1 4a</v>
      </c>
      <c r="M336" s="7" t="str">
        <f>CONCATENATE("PGNDNC64S30M078Y")</f>
        <v>PGNDNC64S30M078Y</v>
      </c>
      <c r="N336" s="7" t="s">
        <v>440</v>
      </c>
      <c r="O336" s="7" t="s">
        <v>249</v>
      </c>
      <c r="P336" s="8">
        <v>44321</v>
      </c>
      <c r="Q336" s="7" t="s">
        <v>32</v>
      </c>
      <c r="R336" s="7" t="s">
        <v>33</v>
      </c>
      <c r="S336" s="7" t="s">
        <v>34</v>
      </c>
      <c r="T336" s="7"/>
      <c r="U336" s="7" t="s">
        <v>35</v>
      </c>
      <c r="V336" s="7">
        <v>167.55</v>
      </c>
      <c r="W336" s="7">
        <v>72.25</v>
      </c>
      <c r="X336" s="7">
        <v>66.72</v>
      </c>
      <c r="Y336" s="7">
        <v>0</v>
      </c>
      <c r="Z336" s="7">
        <v>28.58</v>
      </c>
    </row>
    <row r="337" spans="1:26" x14ac:dyDescent="0.35">
      <c r="A337" s="7" t="s">
        <v>27</v>
      </c>
      <c r="B337" s="7" t="s">
        <v>36</v>
      </c>
      <c r="C337" s="7" t="s">
        <v>48</v>
      </c>
      <c r="D337" s="7" t="s">
        <v>56</v>
      </c>
      <c r="E337" s="7" t="s">
        <v>29</v>
      </c>
      <c r="F337" s="7" t="s">
        <v>113</v>
      </c>
      <c r="G337" s="7">
        <v>2020</v>
      </c>
      <c r="H337" s="7" t="str">
        <f>CONCATENATE("04210479335")</f>
        <v>04210479335</v>
      </c>
      <c r="I337" s="7" t="s">
        <v>30</v>
      </c>
      <c r="J337" s="7" t="s">
        <v>31</v>
      </c>
      <c r="K337" s="7" t="str">
        <f>CONCATENATE("")</f>
        <v/>
      </c>
      <c r="L337" s="7" t="str">
        <f>CONCATENATE("13 13.1 4a")</f>
        <v>13 13.1 4a</v>
      </c>
      <c r="M337" s="7" t="str">
        <f>CONCATENATE("02293460420")</f>
        <v>02293460420</v>
      </c>
      <c r="N337" s="7" t="s">
        <v>307</v>
      </c>
      <c r="O337" s="7" t="s">
        <v>249</v>
      </c>
      <c r="P337" s="8">
        <v>44321</v>
      </c>
      <c r="Q337" s="7" t="s">
        <v>32</v>
      </c>
      <c r="R337" s="7" t="s">
        <v>33</v>
      </c>
      <c r="S337" s="7" t="s">
        <v>34</v>
      </c>
      <c r="T337" s="7"/>
      <c r="U337" s="7" t="s">
        <v>35</v>
      </c>
      <c r="V337" s="9">
        <v>1350</v>
      </c>
      <c r="W337" s="7">
        <v>582.12</v>
      </c>
      <c r="X337" s="7">
        <v>537.57000000000005</v>
      </c>
      <c r="Y337" s="7">
        <v>0</v>
      </c>
      <c r="Z337" s="7">
        <v>230.31</v>
      </c>
    </row>
    <row r="338" spans="1:26" x14ac:dyDescent="0.35">
      <c r="A338" s="7" t="s">
        <v>27</v>
      </c>
      <c r="B338" s="7" t="s">
        <v>36</v>
      </c>
      <c r="C338" s="7" t="s">
        <v>48</v>
      </c>
      <c r="D338" s="7" t="s">
        <v>49</v>
      </c>
      <c r="E338" s="7" t="s">
        <v>42</v>
      </c>
      <c r="F338" s="7" t="s">
        <v>50</v>
      </c>
      <c r="G338" s="7">
        <v>2020</v>
      </c>
      <c r="H338" s="7" t="str">
        <f>CONCATENATE("04210656601")</f>
        <v>04210656601</v>
      </c>
      <c r="I338" s="7" t="s">
        <v>30</v>
      </c>
      <c r="J338" s="7" t="s">
        <v>31</v>
      </c>
      <c r="K338" s="7" t="str">
        <f>CONCATENATE("")</f>
        <v/>
      </c>
      <c r="L338" s="7" t="str">
        <f>CONCATENATE("13 13.1 4a")</f>
        <v>13 13.1 4a</v>
      </c>
      <c r="M338" s="7" t="str">
        <f>CONCATENATE("CRTDNI72R24L597Z")</f>
        <v>CRTDNI72R24L597Z</v>
      </c>
      <c r="N338" s="7" t="s">
        <v>441</v>
      </c>
      <c r="O338" s="7" t="s">
        <v>249</v>
      </c>
      <c r="P338" s="8">
        <v>44321</v>
      </c>
      <c r="Q338" s="7" t="s">
        <v>32</v>
      </c>
      <c r="R338" s="7" t="s">
        <v>33</v>
      </c>
      <c r="S338" s="7" t="s">
        <v>34</v>
      </c>
      <c r="T338" s="7"/>
      <c r="U338" s="7" t="s">
        <v>35</v>
      </c>
      <c r="V338" s="9">
        <v>8939.85</v>
      </c>
      <c r="W338" s="9">
        <v>3854.86</v>
      </c>
      <c r="X338" s="9">
        <v>3559.85</v>
      </c>
      <c r="Y338" s="7">
        <v>0</v>
      </c>
      <c r="Z338" s="9">
        <v>1525.14</v>
      </c>
    </row>
    <row r="339" spans="1:26" x14ac:dyDescent="0.35">
      <c r="A339" s="7" t="s">
        <v>27</v>
      </c>
      <c r="B339" s="7" t="s">
        <v>36</v>
      </c>
      <c r="C339" s="7" t="s">
        <v>48</v>
      </c>
      <c r="D339" s="7" t="s">
        <v>56</v>
      </c>
      <c r="E339" s="7" t="s">
        <v>29</v>
      </c>
      <c r="F339" s="7" t="s">
        <v>113</v>
      </c>
      <c r="G339" s="7">
        <v>2020</v>
      </c>
      <c r="H339" s="7" t="str">
        <f>CONCATENATE("04210541811")</f>
        <v>04210541811</v>
      </c>
      <c r="I339" s="7" t="s">
        <v>39</v>
      </c>
      <c r="J339" s="7" t="s">
        <v>31</v>
      </c>
      <c r="K339" s="7" t="str">
        <f>CONCATENATE("")</f>
        <v/>
      </c>
      <c r="L339" s="7" t="str">
        <f>CONCATENATE("13 13.1 4a")</f>
        <v>13 13.1 4a</v>
      </c>
      <c r="M339" s="7" t="str">
        <f>CONCATENATE("NGLMNL88E02D451B")</f>
        <v>NGLMNL88E02D451B</v>
      </c>
      <c r="N339" s="7" t="s">
        <v>442</v>
      </c>
      <c r="O339" s="7" t="s">
        <v>249</v>
      </c>
      <c r="P339" s="8">
        <v>44321</v>
      </c>
      <c r="Q339" s="7" t="s">
        <v>32</v>
      </c>
      <c r="R339" s="7" t="s">
        <v>33</v>
      </c>
      <c r="S339" s="7" t="s">
        <v>34</v>
      </c>
      <c r="T339" s="7"/>
      <c r="U339" s="7" t="s">
        <v>35</v>
      </c>
      <c r="V339" s="7">
        <v>35.4</v>
      </c>
      <c r="W339" s="7">
        <v>15.26</v>
      </c>
      <c r="X339" s="7">
        <v>14.1</v>
      </c>
      <c r="Y339" s="7">
        <v>0</v>
      </c>
      <c r="Z339" s="7">
        <v>6.04</v>
      </c>
    </row>
    <row r="340" spans="1:26" x14ac:dyDescent="0.35">
      <c r="A340" s="7" t="s">
        <v>27</v>
      </c>
      <c r="B340" s="7" t="s">
        <v>36</v>
      </c>
      <c r="C340" s="7" t="s">
        <v>48</v>
      </c>
      <c r="D340" s="7" t="s">
        <v>56</v>
      </c>
      <c r="E340" s="7" t="s">
        <v>29</v>
      </c>
      <c r="F340" s="7" t="s">
        <v>113</v>
      </c>
      <c r="G340" s="7">
        <v>2020</v>
      </c>
      <c r="H340" s="7" t="str">
        <f>CONCATENATE("04210335040")</f>
        <v>04210335040</v>
      </c>
      <c r="I340" s="7" t="s">
        <v>39</v>
      </c>
      <c r="J340" s="7" t="s">
        <v>31</v>
      </c>
      <c r="K340" s="7" t="str">
        <f>CONCATENATE("")</f>
        <v/>
      </c>
      <c r="L340" s="7" t="str">
        <f>CONCATENATE("13 13.1 4a")</f>
        <v>13 13.1 4a</v>
      </c>
      <c r="M340" s="7" t="str">
        <f>CONCATENATE("BNDMRT66L71D451E")</f>
        <v>BNDMRT66L71D451E</v>
      </c>
      <c r="N340" s="7" t="s">
        <v>443</v>
      </c>
      <c r="O340" s="7" t="s">
        <v>249</v>
      </c>
      <c r="P340" s="8">
        <v>44321</v>
      </c>
      <c r="Q340" s="7" t="s">
        <v>32</v>
      </c>
      <c r="R340" s="7" t="s">
        <v>33</v>
      </c>
      <c r="S340" s="7" t="s">
        <v>34</v>
      </c>
      <c r="T340" s="7"/>
      <c r="U340" s="7" t="s">
        <v>35</v>
      </c>
      <c r="V340" s="9">
        <v>2673.11</v>
      </c>
      <c r="W340" s="9">
        <v>1152.6500000000001</v>
      </c>
      <c r="X340" s="9">
        <v>1064.43</v>
      </c>
      <c r="Y340" s="7">
        <v>0</v>
      </c>
      <c r="Z340" s="7">
        <v>456.03</v>
      </c>
    </row>
    <row r="341" spans="1:26" x14ac:dyDescent="0.35">
      <c r="A341" s="7" t="s">
        <v>27</v>
      </c>
      <c r="B341" s="7" t="s">
        <v>36</v>
      </c>
      <c r="C341" s="7" t="s">
        <v>48</v>
      </c>
      <c r="D341" s="7" t="s">
        <v>49</v>
      </c>
      <c r="E341" s="7" t="s">
        <v>42</v>
      </c>
      <c r="F341" s="7" t="s">
        <v>50</v>
      </c>
      <c r="G341" s="7">
        <v>2020</v>
      </c>
      <c r="H341" s="7" t="str">
        <f>CONCATENATE("04210524320")</f>
        <v>04210524320</v>
      </c>
      <c r="I341" s="7" t="s">
        <v>30</v>
      </c>
      <c r="J341" s="7" t="s">
        <v>31</v>
      </c>
      <c r="K341" s="7" t="str">
        <f>CONCATENATE("")</f>
        <v/>
      </c>
      <c r="L341" s="7" t="str">
        <f>CONCATENATE("13 13.1 4a")</f>
        <v>13 13.1 4a</v>
      </c>
      <c r="M341" s="7" t="str">
        <f>CONCATENATE("GNNLRD70R07A252X")</f>
        <v>GNNLRD70R07A252X</v>
      </c>
      <c r="N341" s="7" t="s">
        <v>444</v>
      </c>
      <c r="O341" s="7" t="s">
        <v>249</v>
      </c>
      <c r="P341" s="8">
        <v>44321</v>
      </c>
      <c r="Q341" s="7" t="s">
        <v>32</v>
      </c>
      <c r="R341" s="7" t="s">
        <v>33</v>
      </c>
      <c r="S341" s="7" t="s">
        <v>34</v>
      </c>
      <c r="T341" s="7"/>
      <c r="U341" s="7" t="s">
        <v>35</v>
      </c>
      <c r="V341" s="9">
        <v>6437.06</v>
      </c>
      <c r="W341" s="9">
        <v>2775.66</v>
      </c>
      <c r="X341" s="9">
        <v>2563.2399999999998</v>
      </c>
      <c r="Y341" s="7">
        <v>0</v>
      </c>
      <c r="Z341" s="9">
        <v>1098.1600000000001</v>
      </c>
    </row>
    <row r="342" spans="1:26" x14ac:dyDescent="0.35">
      <c r="A342" s="7" t="s">
        <v>27</v>
      </c>
      <c r="B342" s="7" t="s">
        <v>36</v>
      </c>
      <c r="C342" s="7" t="s">
        <v>48</v>
      </c>
      <c r="D342" s="7" t="s">
        <v>62</v>
      </c>
      <c r="E342" s="7" t="s">
        <v>29</v>
      </c>
      <c r="F342" s="7" t="s">
        <v>176</v>
      </c>
      <c r="G342" s="7">
        <v>2020</v>
      </c>
      <c r="H342" s="7" t="str">
        <f>CONCATENATE("04210683530")</f>
        <v>04210683530</v>
      </c>
      <c r="I342" s="7" t="s">
        <v>30</v>
      </c>
      <c r="J342" s="7" t="s">
        <v>31</v>
      </c>
      <c r="K342" s="7" t="str">
        <f>CONCATENATE("")</f>
        <v/>
      </c>
      <c r="L342" s="7" t="str">
        <f>CONCATENATE("13 13.1 4a")</f>
        <v>13 13.1 4a</v>
      </c>
      <c r="M342" s="7" t="str">
        <f>CONCATENATE("01727390435")</f>
        <v>01727390435</v>
      </c>
      <c r="N342" s="7" t="s">
        <v>445</v>
      </c>
      <c r="O342" s="7" t="s">
        <v>249</v>
      </c>
      <c r="P342" s="8">
        <v>44321</v>
      </c>
      <c r="Q342" s="7" t="s">
        <v>32</v>
      </c>
      <c r="R342" s="7" t="s">
        <v>33</v>
      </c>
      <c r="S342" s="7" t="s">
        <v>34</v>
      </c>
      <c r="T342" s="7"/>
      <c r="U342" s="7" t="s">
        <v>35</v>
      </c>
      <c r="V342" s="7">
        <v>661.21</v>
      </c>
      <c r="W342" s="7">
        <v>285.11</v>
      </c>
      <c r="X342" s="7">
        <v>263.29000000000002</v>
      </c>
      <c r="Y342" s="7">
        <v>0</v>
      </c>
      <c r="Z342" s="7">
        <v>112.81</v>
      </c>
    </row>
    <row r="343" spans="1:26" x14ac:dyDescent="0.35">
      <c r="A343" s="7" t="s">
        <v>27</v>
      </c>
      <c r="B343" s="7" t="s">
        <v>36</v>
      </c>
      <c r="C343" s="7" t="s">
        <v>48</v>
      </c>
      <c r="D343" s="7" t="s">
        <v>56</v>
      </c>
      <c r="E343" s="7" t="s">
        <v>29</v>
      </c>
      <c r="F343" s="7" t="s">
        <v>124</v>
      </c>
      <c r="G343" s="7">
        <v>2020</v>
      </c>
      <c r="H343" s="7" t="str">
        <f>CONCATENATE("04210397479")</f>
        <v>04210397479</v>
      </c>
      <c r="I343" s="7" t="s">
        <v>30</v>
      </c>
      <c r="J343" s="7" t="s">
        <v>31</v>
      </c>
      <c r="K343" s="7" t="str">
        <f>CONCATENATE("")</f>
        <v/>
      </c>
      <c r="L343" s="7" t="str">
        <f>CONCATENATE("13 13.1 4a")</f>
        <v>13 13.1 4a</v>
      </c>
      <c r="M343" s="7" t="str">
        <f>CONCATENATE("FDLGNN58C26D965P")</f>
        <v>FDLGNN58C26D965P</v>
      </c>
      <c r="N343" s="7" t="s">
        <v>446</v>
      </c>
      <c r="O343" s="7" t="s">
        <v>249</v>
      </c>
      <c r="P343" s="8">
        <v>44321</v>
      </c>
      <c r="Q343" s="7" t="s">
        <v>32</v>
      </c>
      <c r="R343" s="7" t="s">
        <v>33</v>
      </c>
      <c r="S343" s="7" t="s">
        <v>34</v>
      </c>
      <c r="T343" s="7"/>
      <c r="U343" s="7" t="s">
        <v>35</v>
      </c>
      <c r="V343" s="9">
        <v>1017.54</v>
      </c>
      <c r="W343" s="7">
        <v>438.76</v>
      </c>
      <c r="X343" s="7">
        <v>405.18</v>
      </c>
      <c r="Y343" s="7">
        <v>0</v>
      </c>
      <c r="Z343" s="7">
        <v>173.6</v>
      </c>
    </row>
    <row r="344" spans="1:26" x14ac:dyDescent="0.35">
      <c r="A344" s="7" t="s">
        <v>27</v>
      </c>
      <c r="B344" s="7" t="s">
        <v>36</v>
      </c>
      <c r="C344" s="7" t="s">
        <v>48</v>
      </c>
      <c r="D344" s="7" t="s">
        <v>62</v>
      </c>
      <c r="E344" s="7" t="s">
        <v>29</v>
      </c>
      <c r="F344" s="7" t="s">
        <v>66</v>
      </c>
      <c r="G344" s="7">
        <v>2020</v>
      </c>
      <c r="H344" s="7" t="str">
        <f>CONCATENATE("04210410785")</f>
        <v>04210410785</v>
      </c>
      <c r="I344" s="7" t="s">
        <v>30</v>
      </c>
      <c r="J344" s="7" t="s">
        <v>31</v>
      </c>
      <c r="K344" s="7" t="str">
        <f>CONCATENATE("")</f>
        <v/>
      </c>
      <c r="L344" s="7" t="str">
        <f>CONCATENATE("13 13.1 4a")</f>
        <v>13 13.1 4a</v>
      </c>
      <c r="M344" s="7" t="str">
        <f>CONCATENATE("CRSRND69S02D429U")</f>
        <v>CRSRND69S02D429U</v>
      </c>
      <c r="N344" s="7" t="s">
        <v>447</v>
      </c>
      <c r="O344" s="7" t="s">
        <v>249</v>
      </c>
      <c r="P344" s="8">
        <v>44321</v>
      </c>
      <c r="Q344" s="7" t="s">
        <v>32</v>
      </c>
      <c r="R344" s="7" t="s">
        <v>33</v>
      </c>
      <c r="S344" s="7" t="s">
        <v>34</v>
      </c>
      <c r="T344" s="7"/>
      <c r="U344" s="7" t="s">
        <v>35</v>
      </c>
      <c r="V344" s="7">
        <v>110.97</v>
      </c>
      <c r="W344" s="7">
        <v>47.85</v>
      </c>
      <c r="X344" s="7">
        <v>44.19</v>
      </c>
      <c r="Y344" s="7">
        <v>0</v>
      </c>
      <c r="Z344" s="7">
        <v>18.93</v>
      </c>
    </row>
    <row r="345" spans="1:26" x14ac:dyDescent="0.35">
      <c r="A345" s="7" t="s">
        <v>27</v>
      </c>
      <c r="B345" s="7" t="s">
        <v>36</v>
      </c>
      <c r="C345" s="7" t="s">
        <v>48</v>
      </c>
      <c r="D345" s="7" t="s">
        <v>56</v>
      </c>
      <c r="E345" s="7" t="s">
        <v>29</v>
      </c>
      <c r="F345" s="7" t="s">
        <v>113</v>
      </c>
      <c r="G345" s="7">
        <v>2020</v>
      </c>
      <c r="H345" s="7" t="str">
        <f>CONCATENATE("04240202285")</f>
        <v>04240202285</v>
      </c>
      <c r="I345" s="7" t="s">
        <v>39</v>
      </c>
      <c r="J345" s="7" t="s">
        <v>31</v>
      </c>
      <c r="K345" s="7" t="str">
        <f>CONCATENATE("")</f>
        <v/>
      </c>
      <c r="L345" s="7" t="str">
        <f>CONCATENATE("11 11.1 4b")</f>
        <v>11 11.1 4b</v>
      </c>
      <c r="M345" s="7" t="str">
        <f>CONCATENATE("BSBPLA62D20H501G")</f>
        <v>BSBPLA62D20H501G</v>
      </c>
      <c r="N345" s="7" t="s">
        <v>448</v>
      </c>
      <c r="O345" s="7" t="s">
        <v>268</v>
      </c>
      <c r="P345" s="8">
        <v>44321</v>
      </c>
      <c r="Q345" s="7" t="s">
        <v>32</v>
      </c>
      <c r="R345" s="7" t="s">
        <v>33</v>
      </c>
      <c r="S345" s="7" t="s">
        <v>34</v>
      </c>
      <c r="T345" s="7"/>
      <c r="U345" s="7" t="s">
        <v>35</v>
      </c>
      <c r="V345" s="7">
        <v>100.36</v>
      </c>
      <c r="W345" s="7">
        <v>43.28</v>
      </c>
      <c r="X345" s="7">
        <v>39.96</v>
      </c>
      <c r="Y345" s="7">
        <v>0</v>
      </c>
      <c r="Z345" s="7">
        <v>17.12</v>
      </c>
    </row>
    <row r="346" spans="1:26" x14ac:dyDescent="0.35">
      <c r="A346" s="7" t="s">
        <v>27</v>
      </c>
      <c r="B346" s="7" t="s">
        <v>36</v>
      </c>
      <c r="C346" s="7" t="s">
        <v>48</v>
      </c>
      <c r="D346" s="7" t="s">
        <v>56</v>
      </c>
      <c r="E346" s="7" t="s">
        <v>29</v>
      </c>
      <c r="F346" s="7" t="s">
        <v>113</v>
      </c>
      <c r="G346" s="7">
        <v>2020</v>
      </c>
      <c r="H346" s="7" t="str">
        <f>CONCATENATE("04210437515")</f>
        <v>04210437515</v>
      </c>
      <c r="I346" s="7" t="s">
        <v>39</v>
      </c>
      <c r="J346" s="7" t="s">
        <v>31</v>
      </c>
      <c r="K346" s="7" t="str">
        <f>CONCATENATE("")</f>
        <v/>
      </c>
      <c r="L346" s="7" t="str">
        <f>CONCATENATE("13 13.1 4a")</f>
        <v>13 13.1 4a</v>
      </c>
      <c r="M346" s="7" t="str">
        <f>CONCATENATE("BSBPLA62D20H501G")</f>
        <v>BSBPLA62D20H501G</v>
      </c>
      <c r="N346" s="7" t="s">
        <v>448</v>
      </c>
      <c r="O346" s="7" t="s">
        <v>249</v>
      </c>
      <c r="P346" s="8">
        <v>44321</v>
      </c>
      <c r="Q346" s="7" t="s">
        <v>32</v>
      </c>
      <c r="R346" s="7" t="s">
        <v>33</v>
      </c>
      <c r="S346" s="7" t="s">
        <v>34</v>
      </c>
      <c r="T346" s="7"/>
      <c r="U346" s="7" t="s">
        <v>35</v>
      </c>
      <c r="V346" s="7">
        <v>448.05</v>
      </c>
      <c r="W346" s="7">
        <v>193.2</v>
      </c>
      <c r="X346" s="7">
        <v>178.41</v>
      </c>
      <c r="Y346" s="7">
        <v>0</v>
      </c>
      <c r="Z346" s="7">
        <v>76.44</v>
      </c>
    </row>
    <row r="347" spans="1:26" x14ac:dyDescent="0.35">
      <c r="A347" s="7" t="s">
        <v>27</v>
      </c>
      <c r="B347" s="7" t="s">
        <v>36</v>
      </c>
      <c r="C347" s="7" t="s">
        <v>48</v>
      </c>
      <c r="D347" s="7" t="s">
        <v>56</v>
      </c>
      <c r="E347" s="7" t="s">
        <v>29</v>
      </c>
      <c r="F347" s="7" t="s">
        <v>113</v>
      </c>
      <c r="G347" s="7">
        <v>2016</v>
      </c>
      <c r="H347" s="7" t="str">
        <f>CONCATENATE("64240729380")</f>
        <v>64240729380</v>
      </c>
      <c r="I347" s="7" t="s">
        <v>30</v>
      </c>
      <c r="J347" s="7" t="s">
        <v>31</v>
      </c>
      <c r="K347" s="7" t="str">
        <f>CONCATENATE("")</f>
        <v/>
      </c>
      <c r="L347" s="7" t="str">
        <f>CONCATENATE("11 11.2 4b")</f>
        <v>11 11.2 4b</v>
      </c>
      <c r="M347" s="7" t="str">
        <f>CONCATENATE("FRNLGU38L10G478C")</f>
        <v>FRNLGU38L10G478C</v>
      </c>
      <c r="N347" s="7" t="s">
        <v>449</v>
      </c>
      <c r="O347" s="7" t="s">
        <v>268</v>
      </c>
      <c r="P347" s="8">
        <v>44321</v>
      </c>
      <c r="Q347" s="7" t="s">
        <v>32</v>
      </c>
      <c r="R347" s="7" t="s">
        <v>33</v>
      </c>
      <c r="S347" s="7" t="s">
        <v>34</v>
      </c>
      <c r="T347" s="7"/>
      <c r="U347" s="7" t="s">
        <v>35</v>
      </c>
      <c r="V347" s="9">
        <v>35003.96</v>
      </c>
      <c r="W347" s="9">
        <v>15093.71</v>
      </c>
      <c r="X347" s="9">
        <v>13938.58</v>
      </c>
      <c r="Y347" s="7">
        <v>0</v>
      </c>
      <c r="Z347" s="9">
        <v>5971.67</v>
      </c>
    </row>
    <row r="348" spans="1:26" x14ac:dyDescent="0.35">
      <c r="A348" s="7" t="s">
        <v>27</v>
      </c>
      <c r="B348" s="7" t="s">
        <v>36</v>
      </c>
      <c r="C348" s="7" t="s">
        <v>48</v>
      </c>
      <c r="D348" s="7" t="s">
        <v>56</v>
      </c>
      <c r="E348" s="7" t="s">
        <v>29</v>
      </c>
      <c r="F348" s="7" t="s">
        <v>113</v>
      </c>
      <c r="G348" s="7">
        <v>2020</v>
      </c>
      <c r="H348" s="7" t="str">
        <f>CONCATENATE("04240880072")</f>
        <v>04240880072</v>
      </c>
      <c r="I348" s="7" t="s">
        <v>30</v>
      </c>
      <c r="J348" s="7" t="s">
        <v>31</v>
      </c>
      <c r="K348" s="7" t="str">
        <f>CONCATENATE("")</f>
        <v/>
      </c>
      <c r="L348" s="7" t="str">
        <f>CONCATENATE("10 10.1 4a")</f>
        <v>10 10.1 4a</v>
      </c>
      <c r="M348" s="7" t="str">
        <f>CONCATENATE("FRNLGU38L10G478C")</f>
        <v>FRNLGU38L10G478C</v>
      </c>
      <c r="N348" s="7" t="s">
        <v>449</v>
      </c>
      <c r="O348" s="7" t="s">
        <v>394</v>
      </c>
      <c r="P348" s="8">
        <v>44321</v>
      </c>
      <c r="Q348" s="7" t="s">
        <v>32</v>
      </c>
      <c r="R348" s="7" t="s">
        <v>33</v>
      </c>
      <c r="S348" s="7" t="s">
        <v>34</v>
      </c>
      <c r="T348" s="7"/>
      <c r="U348" s="7" t="s">
        <v>35</v>
      </c>
      <c r="V348" s="9">
        <v>4293</v>
      </c>
      <c r="W348" s="9">
        <v>1851.14</v>
      </c>
      <c r="X348" s="9">
        <v>1709.47</v>
      </c>
      <c r="Y348" s="7">
        <v>0</v>
      </c>
      <c r="Z348" s="7">
        <v>732.39</v>
      </c>
    </row>
    <row r="349" spans="1:26" x14ac:dyDescent="0.35">
      <c r="A349" s="7" t="s">
        <v>27</v>
      </c>
      <c r="B349" s="7" t="s">
        <v>36</v>
      </c>
      <c r="C349" s="7" t="s">
        <v>48</v>
      </c>
      <c r="D349" s="7" t="s">
        <v>56</v>
      </c>
      <c r="E349" s="7" t="s">
        <v>29</v>
      </c>
      <c r="F349" s="7" t="s">
        <v>113</v>
      </c>
      <c r="G349" s="7">
        <v>2020</v>
      </c>
      <c r="H349" s="7" t="str">
        <f>CONCATENATE("04240425696")</f>
        <v>04240425696</v>
      </c>
      <c r="I349" s="7" t="s">
        <v>39</v>
      </c>
      <c r="J349" s="7" t="s">
        <v>31</v>
      </c>
      <c r="K349" s="7" t="str">
        <f>CONCATENATE("")</f>
        <v/>
      </c>
      <c r="L349" s="7" t="str">
        <f>CONCATENATE("11 11.2 4b")</f>
        <v>11 11.2 4b</v>
      </c>
      <c r="M349" s="7" t="str">
        <f>CONCATENATE("DNGPTR96P12E230A")</f>
        <v>DNGPTR96P12E230A</v>
      </c>
      <c r="N349" s="7" t="s">
        <v>450</v>
      </c>
      <c r="O349" s="7" t="s">
        <v>268</v>
      </c>
      <c r="P349" s="8">
        <v>44321</v>
      </c>
      <c r="Q349" s="7" t="s">
        <v>32</v>
      </c>
      <c r="R349" s="7" t="s">
        <v>33</v>
      </c>
      <c r="S349" s="7" t="s">
        <v>34</v>
      </c>
      <c r="T349" s="7"/>
      <c r="U349" s="7" t="s">
        <v>35</v>
      </c>
      <c r="V349" s="7">
        <v>831.3</v>
      </c>
      <c r="W349" s="7">
        <v>358.46</v>
      </c>
      <c r="X349" s="7">
        <v>331.02</v>
      </c>
      <c r="Y349" s="7">
        <v>0</v>
      </c>
      <c r="Z349" s="7">
        <v>141.82</v>
      </c>
    </row>
    <row r="350" spans="1:26" x14ac:dyDescent="0.35">
      <c r="A350" s="7" t="s">
        <v>27</v>
      </c>
      <c r="B350" s="7" t="s">
        <v>36</v>
      </c>
      <c r="C350" s="7" t="s">
        <v>48</v>
      </c>
      <c r="D350" s="7" t="s">
        <v>56</v>
      </c>
      <c r="E350" s="7" t="s">
        <v>29</v>
      </c>
      <c r="F350" s="7" t="s">
        <v>113</v>
      </c>
      <c r="G350" s="7">
        <v>2020</v>
      </c>
      <c r="H350" s="7" t="str">
        <f>CONCATENATE("04210376481")</f>
        <v>04210376481</v>
      </c>
      <c r="I350" s="7" t="s">
        <v>39</v>
      </c>
      <c r="J350" s="7" t="s">
        <v>31</v>
      </c>
      <c r="K350" s="7" t="str">
        <f>CONCATENATE("")</f>
        <v/>
      </c>
      <c r="L350" s="7" t="str">
        <f>CONCATENATE("13 13.1 4a")</f>
        <v>13 13.1 4a</v>
      </c>
      <c r="M350" s="7" t="str">
        <f>CONCATENATE("DNGPTR96P12E230A")</f>
        <v>DNGPTR96P12E230A</v>
      </c>
      <c r="N350" s="7" t="s">
        <v>450</v>
      </c>
      <c r="O350" s="7" t="s">
        <v>249</v>
      </c>
      <c r="P350" s="8">
        <v>44321</v>
      </c>
      <c r="Q350" s="7" t="s">
        <v>32</v>
      </c>
      <c r="R350" s="7" t="s">
        <v>33</v>
      </c>
      <c r="S350" s="7" t="s">
        <v>34</v>
      </c>
      <c r="T350" s="7"/>
      <c r="U350" s="7" t="s">
        <v>35</v>
      </c>
      <c r="V350" s="7">
        <v>416.24</v>
      </c>
      <c r="W350" s="7">
        <v>179.48</v>
      </c>
      <c r="X350" s="7">
        <v>165.75</v>
      </c>
      <c r="Y350" s="7">
        <v>0</v>
      </c>
      <c r="Z350" s="7">
        <v>71.010000000000005</v>
      </c>
    </row>
    <row r="351" spans="1:26" x14ac:dyDescent="0.35">
      <c r="A351" s="7" t="s">
        <v>27</v>
      </c>
      <c r="B351" s="7" t="s">
        <v>36</v>
      </c>
      <c r="C351" s="7" t="s">
        <v>48</v>
      </c>
      <c r="D351" s="7" t="s">
        <v>59</v>
      </c>
      <c r="E351" s="7" t="s">
        <v>40</v>
      </c>
      <c r="F351" s="7" t="s">
        <v>183</v>
      </c>
      <c r="G351" s="7">
        <v>2018</v>
      </c>
      <c r="H351" s="7" t="str">
        <f>CONCATENATE("84240730212")</f>
        <v>84240730212</v>
      </c>
      <c r="I351" s="7" t="s">
        <v>39</v>
      </c>
      <c r="J351" s="7" t="s">
        <v>31</v>
      </c>
      <c r="K351" s="7" t="str">
        <f>CONCATENATE("")</f>
        <v/>
      </c>
      <c r="L351" s="7" t="str">
        <f>CONCATENATE("11 11.2 4b")</f>
        <v>11 11.2 4b</v>
      </c>
      <c r="M351" s="7" t="str">
        <f>CONCATENATE("CHPCLS78P15Z603Y")</f>
        <v>CHPCLS78P15Z603Y</v>
      </c>
      <c r="N351" s="7" t="s">
        <v>451</v>
      </c>
      <c r="O351" s="7" t="s">
        <v>268</v>
      </c>
      <c r="P351" s="8">
        <v>44321</v>
      </c>
      <c r="Q351" s="7" t="s">
        <v>32</v>
      </c>
      <c r="R351" s="7" t="s">
        <v>33</v>
      </c>
      <c r="S351" s="7" t="s">
        <v>34</v>
      </c>
      <c r="T351" s="7"/>
      <c r="U351" s="7" t="s">
        <v>35</v>
      </c>
      <c r="V351" s="9">
        <v>2167.48</v>
      </c>
      <c r="W351" s="7">
        <v>934.62</v>
      </c>
      <c r="X351" s="7">
        <v>863.09</v>
      </c>
      <c r="Y351" s="7">
        <v>0</v>
      </c>
      <c r="Z351" s="7">
        <v>369.77</v>
      </c>
    </row>
    <row r="352" spans="1:26" x14ac:dyDescent="0.35">
      <c r="A352" s="7" t="s">
        <v>27</v>
      </c>
      <c r="B352" s="7" t="s">
        <v>36</v>
      </c>
      <c r="C352" s="7" t="s">
        <v>48</v>
      </c>
      <c r="D352" s="7" t="s">
        <v>56</v>
      </c>
      <c r="E352" s="7" t="s">
        <v>29</v>
      </c>
      <c r="F352" s="7" t="s">
        <v>128</v>
      </c>
      <c r="G352" s="7">
        <v>2020</v>
      </c>
      <c r="H352" s="7" t="str">
        <f>CONCATENATE("04240253205")</f>
        <v>04240253205</v>
      </c>
      <c r="I352" s="7" t="s">
        <v>30</v>
      </c>
      <c r="J352" s="7" t="s">
        <v>31</v>
      </c>
      <c r="K352" s="7" t="str">
        <f>CONCATENATE("")</f>
        <v/>
      </c>
      <c r="L352" s="7" t="str">
        <f>CONCATENATE("11 11.2 4b")</f>
        <v>11 11.2 4b</v>
      </c>
      <c r="M352" s="7" t="str">
        <f>CONCATENATE("VLNLCN65M17I643E")</f>
        <v>VLNLCN65M17I643E</v>
      </c>
      <c r="N352" s="7" t="s">
        <v>452</v>
      </c>
      <c r="O352" s="7" t="s">
        <v>268</v>
      </c>
      <c r="P352" s="8">
        <v>44321</v>
      </c>
      <c r="Q352" s="7" t="s">
        <v>32</v>
      </c>
      <c r="R352" s="7" t="s">
        <v>33</v>
      </c>
      <c r="S352" s="7" t="s">
        <v>34</v>
      </c>
      <c r="T352" s="7"/>
      <c r="U352" s="7" t="s">
        <v>35</v>
      </c>
      <c r="V352" s="9">
        <v>8954.4599999999991</v>
      </c>
      <c r="W352" s="9">
        <v>3861.16</v>
      </c>
      <c r="X352" s="9">
        <v>3565.67</v>
      </c>
      <c r="Y352" s="7">
        <v>0</v>
      </c>
      <c r="Z352" s="9">
        <v>1527.63</v>
      </c>
    </row>
    <row r="353" spans="1:26" x14ac:dyDescent="0.35">
      <c r="A353" s="7" t="s">
        <v>27</v>
      </c>
      <c r="B353" s="7" t="s">
        <v>36</v>
      </c>
      <c r="C353" s="7" t="s">
        <v>48</v>
      </c>
      <c r="D353" s="7" t="s">
        <v>56</v>
      </c>
      <c r="E353" s="7" t="s">
        <v>37</v>
      </c>
      <c r="F353" s="7" t="s">
        <v>415</v>
      </c>
      <c r="G353" s="7">
        <v>2020</v>
      </c>
      <c r="H353" s="7" t="str">
        <f>CONCATENATE("04241026816")</f>
        <v>04241026816</v>
      </c>
      <c r="I353" s="7" t="s">
        <v>30</v>
      </c>
      <c r="J353" s="7" t="s">
        <v>31</v>
      </c>
      <c r="K353" s="7" t="str">
        <f>CONCATENATE("")</f>
        <v/>
      </c>
      <c r="L353" s="7" t="str">
        <f>CONCATENATE("11 11.2 4b")</f>
        <v>11 11.2 4b</v>
      </c>
      <c r="M353" s="7" t="str">
        <f>CONCATENATE("02118990429")</f>
        <v>02118990429</v>
      </c>
      <c r="N353" s="7" t="s">
        <v>453</v>
      </c>
      <c r="O353" s="7" t="s">
        <v>268</v>
      </c>
      <c r="P353" s="8">
        <v>44321</v>
      </c>
      <c r="Q353" s="7" t="s">
        <v>32</v>
      </c>
      <c r="R353" s="7" t="s">
        <v>33</v>
      </c>
      <c r="S353" s="7" t="s">
        <v>34</v>
      </c>
      <c r="T353" s="7"/>
      <c r="U353" s="7" t="s">
        <v>35</v>
      </c>
      <c r="V353" s="9">
        <v>2592.11</v>
      </c>
      <c r="W353" s="9">
        <v>1117.72</v>
      </c>
      <c r="X353" s="9">
        <v>1032.18</v>
      </c>
      <c r="Y353" s="7">
        <v>0</v>
      </c>
      <c r="Z353" s="7">
        <v>442.21</v>
      </c>
    </row>
    <row r="354" spans="1:26" x14ac:dyDescent="0.35">
      <c r="A354" s="7" t="s">
        <v>27</v>
      </c>
      <c r="B354" s="7" t="s">
        <v>36</v>
      </c>
      <c r="C354" s="7" t="s">
        <v>48</v>
      </c>
      <c r="D354" s="7" t="s">
        <v>56</v>
      </c>
      <c r="E354" s="7" t="s">
        <v>38</v>
      </c>
      <c r="F354" s="7" t="s">
        <v>269</v>
      </c>
      <c r="G354" s="7">
        <v>2020</v>
      </c>
      <c r="H354" s="7" t="str">
        <f>CONCATENATE("04240048985")</f>
        <v>04240048985</v>
      </c>
      <c r="I354" s="7" t="s">
        <v>30</v>
      </c>
      <c r="J354" s="7" t="s">
        <v>31</v>
      </c>
      <c r="K354" s="7" t="str">
        <f>CONCATENATE("")</f>
        <v/>
      </c>
      <c r="L354" s="7" t="str">
        <f>CONCATENATE("11 11.1 4b")</f>
        <v>11 11.1 4b</v>
      </c>
      <c r="M354" s="7" t="str">
        <f>CONCATENATE("RGGRSL68C62A271Q")</f>
        <v>RGGRSL68C62A271Q</v>
      </c>
      <c r="N354" s="7" t="s">
        <v>454</v>
      </c>
      <c r="O354" s="7" t="s">
        <v>268</v>
      </c>
      <c r="P354" s="8">
        <v>44321</v>
      </c>
      <c r="Q354" s="7" t="s">
        <v>32</v>
      </c>
      <c r="R354" s="7" t="s">
        <v>33</v>
      </c>
      <c r="S354" s="7" t="s">
        <v>34</v>
      </c>
      <c r="T354" s="7"/>
      <c r="U354" s="7" t="s">
        <v>35</v>
      </c>
      <c r="V354" s="9">
        <v>15200.18</v>
      </c>
      <c r="W354" s="9">
        <v>6554.32</v>
      </c>
      <c r="X354" s="9">
        <v>6052.71</v>
      </c>
      <c r="Y354" s="7">
        <v>0</v>
      </c>
      <c r="Z354" s="9">
        <v>2593.15</v>
      </c>
    </row>
    <row r="355" spans="1:26" x14ac:dyDescent="0.35">
      <c r="A355" s="7" t="s">
        <v>27</v>
      </c>
      <c r="B355" s="7" t="s">
        <v>36</v>
      </c>
      <c r="C355" s="7" t="s">
        <v>48</v>
      </c>
      <c r="D355" s="7" t="s">
        <v>56</v>
      </c>
      <c r="E355" s="7" t="s">
        <v>42</v>
      </c>
      <c r="F355" s="7" t="s">
        <v>290</v>
      </c>
      <c r="G355" s="7">
        <v>2020</v>
      </c>
      <c r="H355" s="7" t="str">
        <f>CONCATENATE("04240748097")</f>
        <v>04240748097</v>
      </c>
      <c r="I355" s="7" t="s">
        <v>30</v>
      </c>
      <c r="J355" s="7" t="s">
        <v>31</v>
      </c>
      <c r="K355" s="7" t="str">
        <f>CONCATENATE("")</f>
        <v/>
      </c>
      <c r="L355" s="7" t="str">
        <f>CONCATENATE("11 11.2 4b")</f>
        <v>11 11.2 4b</v>
      </c>
      <c r="M355" s="7" t="str">
        <f>CONCATENATE("02428010421")</f>
        <v>02428010421</v>
      </c>
      <c r="N355" s="7" t="s">
        <v>455</v>
      </c>
      <c r="O355" s="7" t="s">
        <v>268</v>
      </c>
      <c r="P355" s="8">
        <v>44321</v>
      </c>
      <c r="Q355" s="7" t="s">
        <v>32</v>
      </c>
      <c r="R355" s="7" t="s">
        <v>33</v>
      </c>
      <c r="S355" s="7" t="s">
        <v>34</v>
      </c>
      <c r="T355" s="7"/>
      <c r="U355" s="7" t="s">
        <v>35</v>
      </c>
      <c r="V355" s="9">
        <v>2910.66</v>
      </c>
      <c r="W355" s="9">
        <v>1255.08</v>
      </c>
      <c r="X355" s="9">
        <v>1159.02</v>
      </c>
      <c r="Y355" s="7">
        <v>0</v>
      </c>
      <c r="Z355" s="7">
        <v>496.56</v>
      </c>
    </row>
    <row r="356" spans="1:26" x14ac:dyDescent="0.35">
      <c r="A356" s="7" t="s">
        <v>27</v>
      </c>
      <c r="B356" s="7" t="s">
        <v>36</v>
      </c>
      <c r="C356" s="7" t="s">
        <v>48</v>
      </c>
      <c r="D356" s="7" t="s">
        <v>49</v>
      </c>
      <c r="E356" s="7" t="s">
        <v>29</v>
      </c>
      <c r="F356" s="7" t="s">
        <v>138</v>
      </c>
      <c r="G356" s="7">
        <v>2020</v>
      </c>
      <c r="H356" s="7" t="str">
        <f>CONCATENATE("04210289379")</f>
        <v>04210289379</v>
      </c>
      <c r="I356" s="7" t="s">
        <v>30</v>
      </c>
      <c r="J356" s="7" t="s">
        <v>31</v>
      </c>
      <c r="K356" s="7" t="str">
        <f>CONCATENATE("")</f>
        <v/>
      </c>
      <c r="L356" s="7" t="str">
        <f>CONCATENATE("13 13.1 4a")</f>
        <v>13 13.1 4a</v>
      </c>
      <c r="M356" s="7" t="str">
        <f>CONCATENATE("FRRDMA43P25F509Y")</f>
        <v>FRRDMA43P25F509Y</v>
      </c>
      <c r="N356" s="7" t="s">
        <v>456</v>
      </c>
      <c r="O356" s="7" t="s">
        <v>249</v>
      </c>
      <c r="P356" s="8">
        <v>44321</v>
      </c>
      <c r="Q356" s="7" t="s">
        <v>32</v>
      </c>
      <c r="R356" s="7" t="s">
        <v>33</v>
      </c>
      <c r="S356" s="7" t="s">
        <v>34</v>
      </c>
      <c r="T356" s="7"/>
      <c r="U356" s="7" t="s">
        <v>35</v>
      </c>
      <c r="V356" s="9">
        <v>5522.09</v>
      </c>
      <c r="W356" s="9">
        <v>2381.13</v>
      </c>
      <c r="X356" s="9">
        <v>2198.9</v>
      </c>
      <c r="Y356" s="7">
        <v>0</v>
      </c>
      <c r="Z356" s="7">
        <v>942.06</v>
      </c>
    </row>
    <row r="357" spans="1:26" x14ac:dyDescent="0.35">
      <c r="A357" s="7" t="s">
        <v>27</v>
      </c>
      <c r="B357" s="7" t="s">
        <v>36</v>
      </c>
      <c r="C357" s="7" t="s">
        <v>48</v>
      </c>
      <c r="D357" s="7" t="s">
        <v>49</v>
      </c>
      <c r="E357" s="7" t="s">
        <v>29</v>
      </c>
      <c r="F357" s="7" t="s">
        <v>138</v>
      </c>
      <c r="G357" s="7">
        <v>2020</v>
      </c>
      <c r="H357" s="7" t="str">
        <f>CONCATENATE("04210143444")</f>
        <v>04210143444</v>
      </c>
      <c r="I357" s="7" t="s">
        <v>30</v>
      </c>
      <c r="J357" s="7" t="s">
        <v>31</v>
      </c>
      <c r="K357" s="7" t="str">
        <f>CONCATENATE("")</f>
        <v/>
      </c>
      <c r="L357" s="7" t="str">
        <f>CONCATENATE("13 13.1 4a")</f>
        <v>13 13.1 4a</v>
      </c>
      <c r="M357" s="7" t="str">
        <f>CONCATENATE("NNNRSL64A66H659A")</f>
        <v>NNNRSL64A66H659A</v>
      </c>
      <c r="N357" s="7" t="s">
        <v>457</v>
      </c>
      <c r="O357" s="7" t="s">
        <v>249</v>
      </c>
      <c r="P357" s="8">
        <v>44321</v>
      </c>
      <c r="Q357" s="7" t="s">
        <v>32</v>
      </c>
      <c r="R357" s="7" t="s">
        <v>33</v>
      </c>
      <c r="S357" s="7" t="s">
        <v>34</v>
      </c>
      <c r="T357" s="7"/>
      <c r="U357" s="7" t="s">
        <v>35</v>
      </c>
      <c r="V357" s="7">
        <v>475.28</v>
      </c>
      <c r="W357" s="7">
        <v>204.94</v>
      </c>
      <c r="X357" s="7">
        <v>189.26</v>
      </c>
      <c r="Y357" s="7">
        <v>0</v>
      </c>
      <c r="Z357" s="7">
        <v>81.08</v>
      </c>
    </row>
    <row r="358" spans="1:26" x14ac:dyDescent="0.35">
      <c r="A358" s="7" t="s">
        <v>27</v>
      </c>
      <c r="B358" s="7" t="s">
        <v>36</v>
      </c>
      <c r="C358" s="7" t="s">
        <v>48</v>
      </c>
      <c r="D358" s="7" t="s">
        <v>56</v>
      </c>
      <c r="E358" s="7" t="s">
        <v>29</v>
      </c>
      <c r="F358" s="7" t="s">
        <v>124</v>
      </c>
      <c r="G358" s="7">
        <v>2020</v>
      </c>
      <c r="H358" s="7" t="str">
        <f>CONCATENATE("04210363919")</f>
        <v>04210363919</v>
      </c>
      <c r="I358" s="7" t="s">
        <v>30</v>
      </c>
      <c r="J358" s="7" t="s">
        <v>31</v>
      </c>
      <c r="K358" s="7" t="str">
        <f>CONCATENATE("")</f>
        <v/>
      </c>
      <c r="L358" s="7" t="str">
        <f>CONCATENATE("13 13.1 4a")</f>
        <v>13 13.1 4a</v>
      </c>
      <c r="M358" s="7" t="str">
        <f>CONCATENATE("BDCLFA46S01I461E")</f>
        <v>BDCLFA46S01I461E</v>
      </c>
      <c r="N358" s="7" t="s">
        <v>458</v>
      </c>
      <c r="O358" s="7" t="s">
        <v>249</v>
      </c>
      <c r="P358" s="8">
        <v>44321</v>
      </c>
      <c r="Q358" s="7" t="s">
        <v>32</v>
      </c>
      <c r="R358" s="7" t="s">
        <v>33</v>
      </c>
      <c r="S358" s="7" t="s">
        <v>34</v>
      </c>
      <c r="T358" s="7"/>
      <c r="U358" s="7" t="s">
        <v>35</v>
      </c>
      <c r="V358" s="9">
        <v>2715.27</v>
      </c>
      <c r="W358" s="9">
        <v>1170.82</v>
      </c>
      <c r="X358" s="9">
        <v>1081.22</v>
      </c>
      <c r="Y358" s="7">
        <v>0</v>
      </c>
      <c r="Z358" s="7">
        <v>463.23</v>
      </c>
    </row>
    <row r="359" spans="1:26" x14ac:dyDescent="0.35">
      <c r="A359" s="7" t="s">
        <v>27</v>
      </c>
      <c r="B359" s="7" t="s">
        <v>36</v>
      </c>
      <c r="C359" s="7" t="s">
        <v>48</v>
      </c>
      <c r="D359" s="7" t="s">
        <v>56</v>
      </c>
      <c r="E359" s="7" t="s">
        <v>29</v>
      </c>
      <c r="F359" s="7" t="s">
        <v>124</v>
      </c>
      <c r="G359" s="7">
        <v>2020</v>
      </c>
      <c r="H359" s="7" t="str">
        <f>CONCATENATE("04210076743")</f>
        <v>04210076743</v>
      </c>
      <c r="I359" s="7" t="s">
        <v>39</v>
      </c>
      <c r="J359" s="7" t="s">
        <v>31</v>
      </c>
      <c r="K359" s="7" t="str">
        <f>CONCATENATE("")</f>
        <v/>
      </c>
      <c r="L359" s="7" t="str">
        <f>CONCATENATE("13 13.1 4a")</f>
        <v>13 13.1 4a</v>
      </c>
      <c r="M359" s="7" t="str">
        <f>CONCATENATE("DLNMHL48P29D403K")</f>
        <v>DLNMHL48P29D403K</v>
      </c>
      <c r="N359" s="7" t="s">
        <v>459</v>
      </c>
      <c r="O359" s="7" t="s">
        <v>249</v>
      </c>
      <c r="P359" s="8">
        <v>44321</v>
      </c>
      <c r="Q359" s="7" t="s">
        <v>32</v>
      </c>
      <c r="R359" s="7" t="s">
        <v>33</v>
      </c>
      <c r="S359" s="7" t="s">
        <v>34</v>
      </c>
      <c r="T359" s="7"/>
      <c r="U359" s="7" t="s">
        <v>35</v>
      </c>
      <c r="V359" s="7">
        <v>174.38</v>
      </c>
      <c r="W359" s="7">
        <v>75.19</v>
      </c>
      <c r="X359" s="7">
        <v>69.44</v>
      </c>
      <c r="Y359" s="7">
        <v>0</v>
      </c>
      <c r="Z359" s="7">
        <v>29.75</v>
      </c>
    </row>
    <row r="360" spans="1:26" x14ac:dyDescent="0.35">
      <c r="A360" s="7" t="s">
        <v>27</v>
      </c>
      <c r="B360" s="7" t="s">
        <v>36</v>
      </c>
      <c r="C360" s="7" t="s">
        <v>48</v>
      </c>
      <c r="D360" s="7" t="s">
        <v>56</v>
      </c>
      <c r="E360" s="7" t="s">
        <v>29</v>
      </c>
      <c r="F360" s="7" t="s">
        <v>124</v>
      </c>
      <c r="G360" s="7">
        <v>2020</v>
      </c>
      <c r="H360" s="7" t="str">
        <f>CONCATENATE("04210493872")</f>
        <v>04210493872</v>
      </c>
      <c r="I360" s="7" t="s">
        <v>39</v>
      </c>
      <c r="J360" s="7" t="s">
        <v>31</v>
      </c>
      <c r="K360" s="7" t="str">
        <f>CONCATENATE("")</f>
        <v/>
      </c>
      <c r="L360" s="7" t="str">
        <f>CONCATENATE("13 13.1 4a")</f>
        <v>13 13.1 4a</v>
      </c>
      <c r="M360" s="7" t="str">
        <f>CONCATENATE("FRINDE45P43I461U")</f>
        <v>FRINDE45P43I461U</v>
      </c>
      <c r="N360" s="7" t="s">
        <v>460</v>
      </c>
      <c r="O360" s="7" t="s">
        <v>249</v>
      </c>
      <c r="P360" s="8">
        <v>44321</v>
      </c>
      <c r="Q360" s="7" t="s">
        <v>32</v>
      </c>
      <c r="R360" s="7" t="s">
        <v>33</v>
      </c>
      <c r="S360" s="7" t="s">
        <v>34</v>
      </c>
      <c r="T360" s="7"/>
      <c r="U360" s="7" t="s">
        <v>35</v>
      </c>
      <c r="V360" s="7">
        <v>182.6</v>
      </c>
      <c r="W360" s="7">
        <v>78.739999999999995</v>
      </c>
      <c r="X360" s="7">
        <v>72.709999999999994</v>
      </c>
      <c r="Y360" s="7">
        <v>0</v>
      </c>
      <c r="Z360" s="7">
        <v>31.15</v>
      </c>
    </row>
    <row r="361" spans="1:26" x14ac:dyDescent="0.35">
      <c r="A361" s="7" t="s">
        <v>27</v>
      </c>
      <c r="B361" s="7" t="s">
        <v>36</v>
      </c>
      <c r="C361" s="7" t="s">
        <v>48</v>
      </c>
      <c r="D361" s="7" t="s">
        <v>56</v>
      </c>
      <c r="E361" s="7" t="s">
        <v>29</v>
      </c>
      <c r="F361" s="7" t="s">
        <v>124</v>
      </c>
      <c r="G361" s="7">
        <v>2020</v>
      </c>
      <c r="H361" s="7" t="str">
        <f>CONCATENATE("04210507069")</f>
        <v>04210507069</v>
      </c>
      <c r="I361" s="7" t="s">
        <v>39</v>
      </c>
      <c r="J361" s="7" t="s">
        <v>31</v>
      </c>
      <c r="K361" s="7" t="str">
        <f>CONCATENATE("")</f>
        <v/>
      </c>
      <c r="L361" s="7" t="str">
        <f>CONCATENATE("13 13.1 4a")</f>
        <v>13 13.1 4a</v>
      </c>
      <c r="M361" s="7" t="str">
        <f>CONCATENATE("RSSLSN82L08D451F")</f>
        <v>RSSLSN82L08D451F</v>
      </c>
      <c r="N361" s="7" t="s">
        <v>461</v>
      </c>
      <c r="O361" s="7" t="s">
        <v>249</v>
      </c>
      <c r="P361" s="8">
        <v>44321</v>
      </c>
      <c r="Q361" s="7" t="s">
        <v>32</v>
      </c>
      <c r="R361" s="7" t="s">
        <v>33</v>
      </c>
      <c r="S361" s="7" t="s">
        <v>34</v>
      </c>
      <c r="T361" s="7"/>
      <c r="U361" s="7" t="s">
        <v>35</v>
      </c>
      <c r="V361" s="9">
        <v>1653.01</v>
      </c>
      <c r="W361" s="7">
        <v>712.78</v>
      </c>
      <c r="X361" s="7">
        <v>658.23</v>
      </c>
      <c r="Y361" s="7">
        <v>0</v>
      </c>
      <c r="Z361" s="7">
        <v>282</v>
      </c>
    </row>
    <row r="362" spans="1:26" x14ac:dyDescent="0.35">
      <c r="A362" s="7" t="s">
        <v>27</v>
      </c>
      <c r="B362" s="7" t="s">
        <v>36</v>
      </c>
      <c r="C362" s="7" t="s">
        <v>48</v>
      </c>
      <c r="D362" s="7" t="s">
        <v>59</v>
      </c>
      <c r="E362" s="7" t="s">
        <v>29</v>
      </c>
      <c r="F362" s="7" t="s">
        <v>225</v>
      </c>
      <c r="G362" s="7">
        <v>2020</v>
      </c>
      <c r="H362" s="7" t="str">
        <f>CONCATENATE("04210787018")</f>
        <v>04210787018</v>
      </c>
      <c r="I362" s="7" t="s">
        <v>30</v>
      </c>
      <c r="J362" s="7" t="s">
        <v>31</v>
      </c>
      <c r="K362" s="7" t="str">
        <f>CONCATENATE("")</f>
        <v/>
      </c>
      <c r="L362" s="7" t="str">
        <f>CONCATENATE("13 13.1 4a")</f>
        <v>13 13.1 4a</v>
      </c>
      <c r="M362" s="7" t="str">
        <f>CONCATENATE("STRGPP57M14D007C")</f>
        <v>STRGPP57M14D007C</v>
      </c>
      <c r="N362" s="7" t="s">
        <v>462</v>
      </c>
      <c r="O362" s="7" t="s">
        <v>360</v>
      </c>
      <c r="P362" s="8">
        <v>44321</v>
      </c>
      <c r="Q362" s="7" t="s">
        <v>32</v>
      </c>
      <c r="R362" s="7" t="s">
        <v>33</v>
      </c>
      <c r="S362" s="7" t="s">
        <v>34</v>
      </c>
      <c r="T362" s="7"/>
      <c r="U362" s="7" t="s">
        <v>35</v>
      </c>
      <c r="V362" s="7">
        <v>846.96</v>
      </c>
      <c r="W362" s="7">
        <v>365.21</v>
      </c>
      <c r="X362" s="7">
        <v>337.26</v>
      </c>
      <c r="Y362" s="7">
        <v>0</v>
      </c>
      <c r="Z362" s="7">
        <v>144.49</v>
      </c>
    </row>
    <row r="363" spans="1:26" x14ac:dyDescent="0.35">
      <c r="A363" s="7" t="s">
        <v>27</v>
      </c>
      <c r="B363" s="7" t="s">
        <v>36</v>
      </c>
      <c r="C363" s="7" t="s">
        <v>48</v>
      </c>
      <c r="D363" s="7" t="s">
        <v>59</v>
      </c>
      <c r="E363" s="7" t="s">
        <v>40</v>
      </c>
      <c r="F363" s="7" t="s">
        <v>463</v>
      </c>
      <c r="G363" s="7">
        <v>2020</v>
      </c>
      <c r="H363" s="7" t="str">
        <f>CONCATENATE("04210502060")</f>
        <v>04210502060</v>
      </c>
      <c r="I363" s="7" t="s">
        <v>30</v>
      </c>
      <c r="J363" s="7" t="s">
        <v>31</v>
      </c>
      <c r="K363" s="7" t="str">
        <f>CONCATENATE("")</f>
        <v/>
      </c>
      <c r="L363" s="7" t="str">
        <f>CONCATENATE("13 13.1 4a")</f>
        <v>13 13.1 4a</v>
      </c>
      <c r="M363" s="7" t="str">
        <f>CONCATENATE("01057570416")</f>
        <v>01057570416</v>
      </c>
      <c r="N363" s="7" t="s">
        <v>464</v>
      </c>
      <c r="O363" s="7" t="s">
        <v>360</v>
      </c>
      <c r="P363" s="8">
        <v>44321</v>
      </c>
      <c r="Q363" s="7" t="s">
        <v>32</v>
      </c>
      <c r="R363" s="7" t="s">
        <v>33</v>
      </c>
      <c r="S363" s="7" t="s">
        <v>34</v>
      </c>
      <c r="T363" s="7"/>
      <c r="U363" s="7" t="s">
        <v>35</v>
      </c>
      <c r="V363" s="9">
        <v>6791.82</v>
      </c>
      <c r="W363" s="9">
        <v>2928.63</v>
      </c>
      <c r="X363" s="9">
        <v>2704.5</v>
      </c>
      <c r="Y363" s="7">
        <v>0</v>
      </c>
      <c r="Z363" s="9">
        <v>1158.69</v>
      </c>
    </row>
    <row r="364" spans="1:26" x14ac:dyDescent="0.35">
      <c r="A364" s="7" t="s">
        <v>27</v>
      </c>
      <c r="B364" s="7" t="s">
        <v>36</v>
      </c>
      <c r="C364" s="7" t="s">
        <v>48</v>
      </c>
      <c r="D364" s="7" t="s">
        <v>59</v>
      </c>
      <c r="E364" s="7" t="s">
        <v>29</v>
      </c>
      <c r="F364" s="7" t="s">
        <v>371</v>
      </c>
      <c r="G364" s="7">
        <v>2020</v>
      </c>
      <c r="H364" s="7" t="str">
        <f>CONCATENATE("04210019628")</f>
        <v>04210019628</v>
      </c>
      <c r="I364" s="7" t="s">
        <v>30</v>
      </c>
      <c r="J364" s="7" t="s">
        <v>31</v>
      </c>
      <c r="K364" s="7" t="str">
        <f>CONCATENATE("")</f>
        <v/>
      </c>
      <c r="L364" s="7" t="str">
        <f>CONCATENATE("13 13.1 4a")</f>
        <v>13 13.1 4a</v>
      </c>
      <c r="M364" s="7" t="str">
        <f>CONCATENATE("SVRGPL72H28I459F")</f>
        <v>SVRGPL72H28I459F</v>
      </c>
      <c r="N364" s="7" t="s">
        <v>465</v>
      </c>
      <c r="O364" s="7" t="s">
        <v>360</v>
      </c>
      <c r="P364" s="8">
        <v>44321</v>
      </c>
      <c r="Q364" s="7" t="s">
        <v>32</v>
      </c>
      <c r="R364" s="7" t="s">
        <v>33</v>
      </c>
      <c r="S364" s="7" t="s">
        <v>34</v>
      </c>
      <c r="T364" s="7"/>
      <c r="U364" s="7" t="s">
        <v>35</v>
      </c>
      <c r="V364" s="9">
        <v>4365.8</v>
      </c>
      <c r="W364" s="9">
        <v>1882.53</v>
      </c>
      <c r="X364" s="9">
        <v>1738.46</v>
      </c>
      <c r="Y364" s="7">
        <v>0</v>
      </c>
      <c r="Z364" s="7">
        <v>744.81</v>
      </c>
    </row>
    <row r="365" spans="1:26" x14ac:dyDescent="0.35">
      <c r="A365" s="7" t="s">
        <v>27</v>
      </c>
      <c r="B365" s="7" t="s">
        <v>36</v>
      </c>
      <c r="C365" s="7" t="s">
        <v>48</v>
      </c>
      <c r="D365" s="7" t="s">
        <v>59</v>
      </c>
      <c r="E365" s="7" t="s">
        <v>40</v>
      </c>
      <c r="F365" s="7" t="s">
        <v>163</v>
      </c>
      <c r="G365" s="7">
        <v>2020</v>
      </c>
      <c r="H365" s="7" t="str">
        <f>CONCATENATE("04210375970")</f>
        <v>04210375970</v>
      </c>
      <c r="I365" s="7" t="s">
        <v>30</v>
      </c>
      <c r="J365" s="7" t="s">
        <v>31</v>
      </c>
      <c r="K365" s="7" t="str">
        <f>CONCATENATE("")</f>
        <v/>
      </c>
      <c r="L365" s="7" t="str">
        <f>CONCATENATE("13 13.1 4a")</f>
        <v>13 13.1 4a</v>
      </c>
      <c r="M365" s="7" t="str">
        <f>CONCATENATE("VRGGNN55A23G627T")</f>
        <v>VRGGNN55A23G627T</v>
      </c>
      <c r="N365" s="7" t="s">
        <v>466</v>
      </c>
      <c r="O365" s="7" t="s">
        <v>360</v>
      </c>
      <c r="P365" s="8">
        <v>44321</v>
      </c>
      <c r="Q365" s="7" t="s">
        <v>32</v>
      </c>
      <c r="R365" s="7" t="s">
        <v>33</v>
      </c>
      <c r="S365" s="7" t="s">
        <v>34</v>
      </c>
      <c r="T365" s="7"/>
      <c r="U365" s="7" t="s">
        <v>35</v>
      </c>
      <c r="V365" s="7">
        <v>948.16</v>
      </c>
      <c r="W365" s="7">
        <v>408.85</v>
      </c>
      <c r="X365" s="7">
        <v>377.56</v>
      </c>
      <c r="Y365" s="7">
        <v>0</v>
      </c>
      <c r="Z365" s="7">
        <v>161.75</v>
      </c>
    </row>
    <row r="366" spans="1:26" x14ac:dyDescent="0.35">
      <c r="A366" s="7" t="s">
        <v>27</v>
      </c>
      <c r="B366" s="7" t="s">
        <v>36</v>
      </c>
      <c r="C366" s="7" t="s">
        <v>48</v>
      </c>
      <c r="D366" s="7" t="s">
        <v>59</v>
      </c>
      <c r="E366" s="7" t="s">
        <v>29</v>
      </c>
      <c r="F366" s="7" t="s">
        <v>173</v>
      </c>
      <c r="G366" s="7">
        <v>2020</v>
      </c>
      <c r="H366" s="7" t="str">
        <f>CONCATENATE("04210372282")</f>
        <v>04210372282</v>
      </c>
      <c r="I366" s="7" t="s">
        <v>30</v>
      </c>
      <c r="J366" s="7" t="s">
        <v>31</v>
      </c>
      <c r="K366" s="7" t="str">
        <f>CONCATENATE("")</f>
        <v/>
      </c>
      <c r="L366" s="7" t="str">
        <f>CONCATENATE("13 13.1 4a")</f>
        <v>13 13.1 4a</v>
      </c>
      <c r="M366" s="7" t="str">
        <f>CONCATENATE("00724050414")</f>
        <v>00724050414</v>
      </c>
      <c r="N366" s="7" t="s">
        <v>467</v>
      </c>
      <c r="O366" s="7" t="s">
        <v>360</v>
      </c>
      <c r="P366" s="8">
        <v>44321</v>
      </c>
      <c r="Q366" s="7" t="s">
        <v>32</v>
      </c>
      <c r="R366" s="7" t="s">
        <v>33</v>
      </c>
      <c r="S366" s="7" t="s">
        <v>34</v>
      </c>
      <c r="T366" s="7"/>
      <c r="U366" s="7" t="s">
        <v>35</v>
      </c>
      <c r="V366" s="9">
        <v>2325.5300000000002</v>
      </c>
      <c r="W366" s="9">
        <v>1002.77</v>
      </c>
      <c r="X366" s="7">
        <v>926.03</v>
      </c>
      <c r="Y366" s="7">
        <v>0</v>
      </c>
      <c r="Z366" s="7">
        <v>396.73</v>
      </c>
    </row>
    <row r="367" spans="1:26" x14ac:dyDescent="0.35">
      <c r="A367" s="7" t="s">
        <v>27</v>
      </c>
      <c r="B367" s="7" t="s">
        <v>36</v>
      </c>
      <c r="C367" s="7" t="s">
        <v>48</v>
      </c>
      <c r="D367" s="7" t="s">
        <v>59</v>
      </c>
      <c r="E367" s="7" t="s">
        <v>29</v>
      </c>
      <c r="F367" s="7" t="s">
        <v>195</v>
      </c>
      <c r="G367" s="7">
        <v>2020</v>
      </c>
      <c r="H367" s="7" t="str">
        <f>CONCATENATE("04210031169")</f>
        <v>04210031169</v>
      </c>
      <c r="I367" s="7" t="s">
        <v>30</v>
      </c>
      <c r="J367" s="7" t="s">
        <v>31</v>
      </c>
      <c r="K367" s="7" t="str">
        <f>CONCATENATE("")</f>
        <v/>
      </c>
      <c r="L367" s="7" t="str">
        <f>CONCATENATE("13 13.1 4a")</f>
        <v>13 13.1 4a</v>
      </c>
      <c r="M367" s="7" t="str">
        <f>CONCATENATE("DNIGLN48M30B026Q")</f>
        <v>DNIGLN48M30B026Q</v>
      </c>
      <c r="N367" s="7" t="s">
        <v>468</v>
      </c>
      <c r="O367" s="7" t="s">
        <v>360</v>
      </c>
      <c r="P367" s="8">
        <v>44321</v>
      </c>
      <c r="Q367" s="7" t="s">
        <v>32</v>
      </c>
      <c r="R367" s="7" t="s">
        <v>33</v>
      </c>
      <c r="S367" s="7" t="s">
        <v>34</v>
      </c>
      <c r="T367" s="7"/>
      <c r="U367" s="7" t="s">
        <v>35</v>
      </c>
      <c r="V367" s="9">
        <v>2705.49</v>
      </c>
      <c r="W367" s="9">
        <v>1166.6099999999999</v>
      </c>
      <c r="X367" s="9">
        <v>1077.33</v>
      </c>
      <c r="Y367" s="7">
        <v>0</v>
      </c>
      <c r="Z367" s="7">
        <v>461.55</v>
      </c>
    </row>
    <row r="368" spans="1:26" x14ac:dyDescent="0.35">
      <c r="A368" s="7" t="s">
        <v>27</v>
      </c>
      <c r="B368" s="7" t="s">
        <v>36</v>
      </c>
      <c r="C368" s="7" t="s">
        <v>48</v>
      </c>
      <c r="D368" s="7" t="s">
        <v>59</v>
      </c>
      <c r="E368" s="7" t="s">
        <v>29</v>
      </c>
      <c r="F368" s="7" t="s">
        <v>371</v>
      </c>
      <c r="G368" s="7">
        <v>2020</v>
      </c>
      <c r="H368" s="7" t="str">
        <f>CONCATENATE("04210155190")</f>
        <v>04210155190</v>
      </c>
      <c r="I368" s="7" t="s">
        <v>30</v>
      </c>
      <c r="J368" s="7" t="s">
        <v>31</v>
      </c>
      <c r="K368" s="7" t="str">
        <f>CONCATENATE("")</f>
        <v/>
      </c>
      <c r="L368" s="7" t="str">
        <f>CONCATENATE("13 13.1 4a")</f>
        <v>13 13.1 4a</v>
      </c>
      <c r="M368" s="7" t="str">
        <f>CONCATENATE("RSSFNC28D20I459B")</f>
        <v>RSSFNC28D20I459B</v>
      </c>
      <c r="N368" s="7" t="s">
        <v>469</v>
      </c>
      <c r="O368" s="7" t="s">
        <v>360</v>
      </c>
      <c r="P368" s="8">
        <v>44321</v>
      </c>
      <c r="Q368" s="7" t="s">
        <v>32</v>
      </c>
      <c r="R368" s="7" t="s">
        <v>33</v>
      </c>
      <c r="S368" s="7" t="s">
        <v>34</v>
      </c>
      <c r="T368" s="7"/>
      <c r="U368" s="7" t="s">
        <v>35</v>
      </c>
      <c r="V368" s="7">
        <v>390.61</v>
      </c>
      <c r="W368" s="7">
        <v>168.43</v>
      </c>
      <c r="X368" s="7">
        <v>155.54</v>
      </c>
      <c r="Y368" s="7">
        <v>0</v>
      </c>
      <c r="Z368" s="7">
        <v>66.64</v>
      </c>
    </row>
    <row r="369" spans="1:26" x14ac:dyDescent="0.35">
      <c r="A369" s="7" t="s">
        <v>27</v>
      </c>
      <c r="B369" s="7" t="s">
        <v>36</v>
      </c>
      <c r="C369" s="7" t="s">
        <v>48</v>
      </c>
      <c r="D369" s="7" t="s">
        <v>59</v>
      </c>
      <c r="E369" s="7" t="s">
        <v>29</v>
      </c>
      <c r="F369" s="7" t="s">
        <v>371</v>
      </c>
      <c r="G369" s="7">
        <v>2020</v>
      </c>
      <c r="H369" s="7" t="str">
        <f>CONCATENATE("04210155315")</f>
        <v>04210155315</v>
      </c>
      <c r="I369" s="7" t="s">
        <v>30</v>
      </c>
      <c r="J369" s="7" t="s">
        <v>31</v>
      </c>
      <c r="K369" s="7" t="str">
        <f>CONCATENATE("")</f>
        <v/>
      </c>
      <c r="L369" s="7" t="str">
        <f>CONCATENATE("13 13.1 4a")</f>
        <v>13 13.1 4a</v>
      </c>
      <c r="M369" s="7" t="str">
        <f>CONCATENATE("RSSWTR48P14I459I")</f>
        <v>RSSWTR48P14I459I</v>
      </c>
      <c r="N369" s="7" t="s">
        <v>470</v>
      </c>
      <c r="O369" s="7" t="s">
        <v>360</v>
      </c>
      <c r="P369" s="8">
        <v>44321</v>
      </c>
      <c r="Q369" s="7" t="s">
        <v>32</v>
      </c>
      <c r="R369" s="7" t="s">
        <v>33</v>
      </c>
      <c r="S369" s="7" t="s">
        <v>34</v>
      </c>
      <c r="T369" s="7"/>
      <c r="U369" s="7" t="s">
        <v>35</v>
      </c>
      <c r="V369" s="7">
        <v>613.01</v>
      </c>
      <c r="W369" s="7">
        <v>264.33</v>
      </c>
      <c r="X369" s="7">
        <v>244.1</v>
      </c>
      <c r="Y369" s="7">
        <v>0</v>
      </c>
      <c r="Z369" s="7">
        <v>104.58</v>
      </c>
    </row>
    <row r="370" spans="1:26" x14ac:dyDescent="0.35">
      <c r="A370" s="7" t="s">
        <v>27</v>
      </c>
      <c r="B370" s="7" t="s">
        <v>36</v>
      </c>
      <c r="C370" s="7" t="s">
        <v>48</v>
      </c>
      <c r="D370" s="7" t="s">
        <v>59</v>
      </c>
      <c r="E370" s="7" t="s">
        <v>29</v>
      </c>
      <c r="F370" s="7" t="s">
        <v>371</v>
      </c>
      <c r="G370" s="7">
        <v>2020</v>
      </c>
      <c r="H370" s="7" t="str">
        <f>CONCATENATE("04210014462")</f>
        <v>04210014462</v>
      </c>
      <c r="I370" s="7" t="s">
        <v>30</v>
      </c>
      <c r="J370" s="7" t="s">
        <v>31</v>
      </c>
      <c r="K370" s="7" t="str">
        <f>CONCATENATE("")</f>
        <v/>
      </c>
      <c r="L370" s="7" t="str">
        <f>CONCATENATE("13 13.1 4a")</f>
        <v>13 13.1 4a</v>
      </c>
      <c r="M370" s="7" t="str">
        <f>CONCATENATE("RCLRGE44P25F524G")</f>
        <v>RCLRGE44P25F524G</v>
      </c>
      <c r="N370" s="7" t="s">
        <v>471</v>
      </c>
      <c r="O370" s="7" t="s">
        <v>360</v>
      </c>
      <c r="P370" s="8">
        <v>44321</v>
      </c>
      <c r="Q370" s="7" t="s">
        <v>32</v>
      </c>
      <c r="R370" s="7" t="s">
        <v>33</v>
      </c>
      <c r="S370" s="7" t="s">
        <v>34</v>
      </c>
      <c r="T370" s="7"/>
      <c r="U370" s="7" t="s">
        <v>35</v>
      </c>
      <c r="V370" s="9">
        <v>3397.54</v>
      </c>
      <c r="W370" s="9">
        <v>1465.02</v>
      </c>
      <c r="X370" s="9">
        <v>1352.9</v>
      </c>
      <c r="Y370" s="7">
        <v>0</v>
      </c>
      <c r="Z370" s="7">
        <v>579.62</v>
      </c>
    </row>
    <row r="371" spans="1:26" x14ac:dyDescent="0.35">
      <c r="A371" s="7" t="s">
        <v>27</v>
      </c>
      <c r="B371" s="7" t="s">
        <v>36</v>
      </c>
      <c r="C371" s="7" t="s">
        <v>48</v>
      </c>
      <c r="D371" s="7" t="s">
        <v>59</v>
      </c>
      <c r="E371" s="7" t="s">
        <v>29</v>
      </c>
      <c r="F371" s="7" t="s">
        <v>195</v>
      </c>
      <c r="G371" s="7">
        <v>2020</v>
      </c>
      <c r="H371" s="7" t="str">
        <f>CONCATENATE("04210077451")</f>
        <v>04210077451</v>
      </c>
      <c r="I371" s="7" t="s">
        <v>30</v>
      </c>
      <c r="J371" s="7" t="s">
        <v>31</v>
      </c>
      <c r="K371" s="7" t="str">
        <f>CONCATENATE("")</f>
        <v/>
      </c>
      <c r="L371" s="7" t="str">
        <f>CONCATENATE("13 13.1 4a")</f>
        <v>13 13.1 4a</v>
      </c>
      <c r="M371" s="7" t="str">
        <f>CONCATENATE("VNNCRL69L27I287T")</f>
        <v>VNNCRL69L27I287T</v>
      </c>
      <c r="N371" s="7" t="s">
        <v>472</v>
      </c>
      <c r="O371" s="7" t="s">
        <v>360</v>
      </c>
      <c r="P371" s="8">
        <v>44321</v>
      </c>
      <c r="Q371" s="7" t="s">
        <v>32</v>
      </c>
      <c r="R371" s="7" t="s">
        <v>33</v>
      </c>
      <c r="S371" s="7" t="s">
        <v>34</v>
      </c>
      <c r="T371" s="7"/>
      <c r="U371" s="7" t="s">
        <v>35</v>
      </c>
      <c r="V371" s="9">
        <v>1044.18</v>
      </c>
      <c r="W371" s="7">
        <v>450.25</v>
      </c>
      <c r="X371" s="7">
        <v>415.79</v>
      </c>
      <c r="Y371" s="7">
        <v>0</v>
      </c>
      <c r="Z371" s="7">
        <v>178.14</v>
      </c>
    </row>
    <row r="372" spans="1:26" x14ac:dyDescent="0.35">
      <c r="A372" s="7" t="s">
        <v>27</v>
      </c>
      <c r="B372" s="7" t="s">
        <v>36</v>
      </c>
      <c r="C372" s="7" t="s">
        <v>48</v>
      </c>
      <c r="D372" s="7" t="s">
        <v>56</v>
      </c>
      <c r="E372" s="7" t="s">
        <v>38</v>
      </c>
      <c r="F372" s="7" t="s">
        <v>269</v>
      </c>
      <c r="G372" s="7">
        <v>2020</v>
      </c>
      <c r="H372" s="7" t="str">
        <f>CONCATENATE("04210069896")</f>
        <v>04210069896</v>
      </c>
      <c r="I372" s="7" t="s">
        <v>39</v>
      </c>
      <c r="J372" s="7" t="s">
        <v>31</v>
      </c>
      <c r="K372" s="7" t="str">
        <f>CONCATENATE("")</f>
        <v/>
      </c>
      <c r="L372" s="7" t="str">
        <f>CONCATENATE("13 13.1 4a")</f>
        <v>13 13.1 4a</v>
      </c>
      <c r="M372" s="7" t="str">
        <f>CONCATENATE("PPLSLN43C55A366Q")</f>
        <v>PPLSLN43C55A366Q</v>
      </c>
      <c r="N372" s="7" t="s">
        <v>473</v>
      </c>
      <c r="O372" s="7" t="s">
        <v>249</v>
      </c>
      <c r="P372" s="8">
        <v>44321</v>
      </c>
      <c r="Q372" s="7" t="s">
        <v>32</v>
      </c>
      <c r="R372" s="7" t="s">
        <v>33</v>
      </c>
      <c r="S372" s="7" t="s">
        <v>34</v>
      </c>
      <c r="T372" s="7"/>
      <c r="U372" s="7" t="s">
        <v>35</v>
      </c>
      <c r="V372" s="7">
        <v>679.19</v>
      </c>
      <c r="W372" s="7">
        <v>292.87</v>
      </c>
      <c r="X372" s="7">
        <v>270.45</v>
      </c>
      <c r="Y372" s="7">
        <v>0</v>
      </c>
      <c r="Z372" s="7">
        <v>115.87</v>
      </c>
    </row>
    <row r="373" spans="1:26" x14ac:dyDescent="0.35">
      <c r="A373" s="7" t="s">
        <v>27</v>
      </c>
      <c r="B373" s="7" t="s">
        <v>36</v>
      </c>
      <c r="C373" s="7" t="s">
        <v>48</v>
      </c>
      <c r="D373" s="7" t="s">
        <v>59</v>
      </c>
      <c r="E373" s="7" t="s">
        <v>40</v>
      </c>
      <c r="F373" s="7" t="s">
        <v>163</v>
      </c>
      <c r="G373" s="7">
        <v>2020</v>
      </c>
      <c r="H373" s="7" t="str">
        <f>CONCATENATE("04210776383")</f>
        <v>04210776383</v>
      </c>
      <c r="I373" s="7" t="s">
        <v>30</v>
      </c>
      <c r="J373" s="7" t="s">
        <v>31</v>
      </c>
      <c r="K373" s="7" t="str">
        <f>CONCATENATE("")</f>
        <v/>
      </c>
      <c r="L373" s="7" t="str">
        <f>CONCATENATE("13 13.1 4a")</f>
        <v>13 13.1 4a</v>
      </c>
      <c r="M373" s="7" t="str">
        <f>CONCATENATE("CSRMRD57A48G551S")</f>
        <v>CSRMRD57A48G551S</v>
      </c>
      <c r="N373" s="7" t="s">
        <v>474</v>
      </c>
      <c r="O373" s="7" t="s">
        <v>360</v>
      </c>
      <c r="P373" s="8">
        <v>44321</v>
      </c>
      <c r="Q373" s="7" t="s">
        <v>32</v>
      </c>
      <c r="R373" s="7" t="s">
        <v>33</v>
      </c>
      <c r="S373" s="7" t="s">
        <v>34</v>
      </c>
      <c r="T373" s="7"/>
      <c r="U373" s="7" t="s">
        <v>35</v>
      </c>
      <c r="V373" s="7">
        <v>449.18</v>
      </c>
      <c r="W373" s="7">
        <v>193.69</v>
      </c>
      <c r="X373" s="7">
        <v>178.86</v>
      </c>
      <c r="Y373" s="7">
        <v>0</v>
      </c>
      <c r="Z373" s="7">
        <v>76.63</v>
      </c>
    </row>
    <row r="374" spans="1:26" x14ac:dyDescent="0.35">
      <c r="A374" s="7" t="s">
        <v>27</v>
      </c>
      <c r="B374" s="7" t="s">
        <v>36</v>
      </c>
      <c r="C374" s="7" t="s">
        <v>48</v>
      </c>
      <c r="D374" s="7" t="s">
        <v>59</v>
      </c>
      <c r="E374" s="7" t="s">
        <v>42</v>
      </c>
      <c r="F374" s="7" t="s">
        <v>361</v>
      </c>
      <c r="G374" s="7">
        <v>2020</v>
      </c>
      <c r="H374" s="7" t="str">
        <f>CONCATENATE("04210822005")</f>
        <v>04210822005</v>
      </c>
      <c r="I374" s="7" t="s">
        <v>39</v>
      </c>
      <c r="J374" s="7" t="s">
        <v>31</v>
      </c>
      <c r="K374" s="7" t="str">
        <f>CONCATENATE("")</f>
        <v/>
      </c>
      <c r="L374" s="7" t="str">
        <f>CONCATENATE("13 13.1 4a")</f>
        <v>13 13.1 4a</v>
      </c>
      <c r="M374" s="7" t="str">
        <f>CONCATENATE("JNSSTP79E17Z105C")</f>
        <v>JNSSTP79E17Z105C</v>
      </c>
      <c r="N374" s="7" t="s">
        <v>475</v>
      </c>
      <c r="O374" s="7" t="s">
        <v>360</v>
      </c>
      <c r="P374" s="8">
        <v>44321</v>
      </c>
      <c r="Q374" s="7" t="s">
        <v>32</v>
      </c>
      <c r="R374" s="7" t="s">
        <v>33</v>
      </c>
      <c r="S374" s="7" t="s">
        <v>34</v>
      </c>
      <c r="T374" s="7"/>
      <c r="U374" s="7" t="s">
        <v>35</v>
      </c>
      <c r="V374" s="7">
        <v>337.13</v>
      </c>
      <c r="W374" s="7">
        <v>145.37</v>
      </c>
      <c r="X374" s="7">
        <v>134.25</v>
      </c>
      <c r="Y374" s="7">
        <v>0</v>
      </c>
      <c r="Z374" s="7">
        <v>57.51</v>
      </c>
    </row>
    <row r="375" spans="1:26" x14ac:dyDescent="0.35">
      <c r="A375" s="7" t="s">
        <v>27</v>
      </c>
      <c r="B375" s="7" t="s">
        <v>36</v>
      </c>
      <c r="C375" s="7" t="s">
        <v>48</v>
      </c>
      <c r="D375" s="7" t="s">
        <v>59</v>
      </c>
      <c r="E375" s="7" t="s">
        <v>29</v>
      </c>
      <c r="F375" s="7" t="s">
        <v>371</v>
      </c>
      <c r="G375" s="7">
        <v>2020</v>
      </c>
      <c r="H375" s="7" t="str">
        <f>CONCATENATE("04210038826")</f>
        <v>04210038826</v>
      </c>
      <c r="I375" s="7" t="s">
        <v>30</v>
      </c>
      <c r="J375" s="7" t="s">
        <v>31</v>
      </c>
      <c r="K375" s="7" t="str">
        <f>CONCATENATE("")</f>
        <v/>
      </c>
      <c r="L375" s="7" t="str">
        <f>CONCATENATE("13 13.1 4a")</f>
        <v>13 13.1 4a</v>
      </c>
      <c r="M375" s="7" t="str">
        <f>CONCATENATE("LZZRNN50C60G551V")</f>
        <v>LZZRNN50C60G551V</v>
      </c>
      <c r="N375" s="7" t="s">
        <v>476</v>
      </c>
      <c r="O375" s="7" t="s">
        <v>360</v>
      </c>
      <c r="P375" s="8">
        <v>44321</v>
      </c>
      <c r="Q375" s="7" t="s">
        <v>32</v>
      </c>
      <c r="R375" s="7" t="s">
        <v>33</v>
      </c>
      <c r="S375" s="7" t="s">
        <v>34</v>
      </c>
      <c r="T375" s="7"/>
      <c r="U375" s="7" t="s">
        <v>35</v>
      </c>
      <c r="V375" s="9">
        <v>2273.1799999999998</v>
      </c>
      <c r="W375" s="7">
        <v>980.2</v>
      </c>
      <c r="X375" s="7">
        <v>905.18</v>
      </c>
      <c r="Y375" s="7">
        <v>0</v>
      </c>
      <c r="Z375" s="7">
        <v>387.8</v>
      </c>
    </row>
    <row r="376" spans="1:26" ht="17.5" x14ac:dyDescent="0.35">
      <c r="A376" s="7" t="s">
        <v>27</v>
      </c>
      <c r="B376" s="7" t="s">
        <v>36</v>
      </c>
      <c r="C376" s="7" t="s">
        <v>48</v>
      </c>
      <c r="D376" s="7" t="s">
        <v>59</v>
      </c>
      <c r="E376" s="7" t="s">
        <v>40</v>
      </c>
      <c r="F376" s="7" t="s">
        <v>183</v>
      </c>
      <c r="G376" s="7">
        <v>2020</v>
      </c>
      <c r="H376" s="7" t="str">
        <f>CONCATENATE("04210618619")</f>
        <v>04210618619</v>
      </c>
      <c r="I376" s="7" t="s">
        <v>30</v>
      </c>
      <c r="J376" s="7" t="s">
        <v>31</v>
      </c>
      <c r="K376" s="7" t="str">
        <f>CONCATENATE("")</f>
        <v/>
      </c>
      <c r="L376" s="7" t="str">
        <f>CONCATENATE("13 13.1 4a")</f>
        <v>13 13.1 4a</v>
      </c>
      <c r="M376" s="7" t="str">
        <f>CONCATENATE("MRNMHL69A12D749P")</f>
        <v>MRNMHL69A12D749P</v>
      </c>
      <c r="N376" s="7" t="s">
        <v>477</v>
      </c>
      <c r="O376" s="7" t="s">
        <v>360</v>
      </c>
      <c r="P376" s="8">
        <v>44321</v>
      </c>
      <c r="Q376" s="7" t="s">
        <v>32</v>
      </c>
      <c r="R376" s="7" t="s">
        <v>33</v>
      </c>
      <c r="S376" s="7" t="s">
        <v>34</v>
      </c>
      <c r="T376" s="7"/>
      <c r="U376" s="7" t="s">
        <v>35</v>
      </c>
      <c r="V376" s="9">
        <v>5227.7</v>
      </c>
      <c r="W376" s="9">
        <v>2254.1799999999998</v>
      </c>
      <c r="X376" s="9">
        <v>2081.67</v>
      </c>
      <c r="Y376" s="7">
        <v>0</v>
      </c>
      <c r="Z376" s="7">
        <v>891.85</v>
      </c>
    </row>
    <row r="377" spans="1:26" x14ac:dyDescent="0.35">
      <c r="A377" s="7" t="s">
        <v>27</v>
      </c>
      <c r="B377" s="7" t="s">
        <v>36</v>
      </c>
      <c r="C377" s="7" t="s">
        <v>48</v>
      </c>
      <c r="D377" s="7" t="s">
        <v>59</v>
      </c>
      <c r="E377" s="7" t="s">
        <v>29</v>
      </c>
      <c r="F377" s="7" t="s">
        <v>371</v>
      </c>
      <c r="G377" s="7">
        <v>2020</v>
      </c>
      <c r="H377" s="7" t="str">
        <f>CONCATENATE("04210184679")</f>
        <v>04210184679</v>
      </c>
      <c r="I377" s="7" t="s">
        <v>30</v>
      </c>
      <c r="J377" s="7" t="s">
        <v>31</v>
      </c>
      <c r="K377" s="7" t="str">
        <f>CONCATENATE("")</f>
        <v/>
      </c>
      <c r="L377" s="7" t="str">
        <f>CONCATENATE("13 13.1 4a")</f>
        <v>13 13.1 4a</v>
      </c>
      <c r="M377" s="7" t="str">
        <f>CONCATENATE("NNNGUO46S05F478N")</f>
        <v>NNNGUO46S05F478N</v>
      </c>
      <c r="N377" s="7" t="s">
        <v>478</v>
      </c>
      <c r="O377" s="7" t="s">
        <v>360</v>
      </c>
      <c r="P377" s="8">
        <v>44321</v>
      </c>
      <c r="Q377" s="7" t="s">
        <v>32</v>
      </c>
      <c r="R377" s="7" t="s">
        <v>33</v>
      </c>
      <c r="S377" s="7" t="s">
        <v>34</v>
      </c>
      <c r="T377" s="7"/>
      <c r="U377" s="7" t="s">
        <v>35</v>
      </c>
      <c r="V377" s="7">
        <v>474.21</v>
      </c>
      <c r="W377" s="7">
        <v>204.48</v>
      </c>
      <c r="X377" s="7">
        <v>188.83</v>
      </c>
      <c r="Y377" s="7">
        <v>0</v>
      </c>
      <c r="Z377" s="7">
        <v>80.900000000000006</v>
      </c>
    </row>
    <row r="378" spans="1:26" x14ac:dyDescent="0.35">
      <c r="A378" s="7" t="s">
        <v>27</v>
      </c>
      <c r="B378" s="7" t="s">
        <v>36</v>
      </c>
      <c r="C378" s="7" t="s">
        <v>48</v>
      </c>
      <c r="D378" s="7" t="s">
        <v>59</v>
      </c>
      <c r="E378" s="7" t="s">
        <v>29</v>
      </c>
      <c r="F378" s="7" t="s">
        <v>479</v>
      </c>
      <c r="G378" s="7">
        <v>2020</v>
      </c>
      <c r="H378" s="7" t="str">
        <f>CONCATENATE("04210974921")</f>
        <v>04210974921</v>
      </c>
      <c r="I378" s="7" t="s">
        <v>30</v>
      </c>
      <c r="J378" s="7" t="s">
        <v>31</v>
      </c>
      <c r="K378" s="7" t="str">
        <f>CONCATENATE("")</f>
        <v/>
      </c>
      <c r="L378" s="7" t="str">
        <f>CONCATENATE("13 13.1 4a")</f>
        <v>13 13.1 4a</v>
      </c>
      <c r="M378" s="7" t="str">
        <f>CONCATENATE("PMPDTL50L60G627G")</f>
        <v>PMPDTL50L60G627G</v>
      </c>
      <c r="N378" s="7" t="s">
        <v>480</v>
      </c>
      <c r="O378" s="7" t="s">
        <v>360</v>
      </c>
      <c r="P378" s="8">
        <v>44321</v>
      </c>
      <c r="Q378" s="7" t="s">
        <v>32</v>
      </c>
      <c r="R378" s="7" t="s">
        <v>33</v>
      </c>
      <c r="S378" s="7" t="s">
        <v>34</v>
      </c>
      <c r="T378" s="7"/>
      <c r="U378" s="7" t="s">
        <v>35</v>
      </c>
      <c r="V378" s="9">
        <v>3205.18</v>
      </c>
      <c r="W378" s="9">
        <v>1382.07</v>
      </c>
      <c r="X378" s="9">
        <v>1276.3</v>
      </c>
      <c r="Y378" s="7">
        <v>0</v>
      </c>
      <c r="Z378" s="7">
        <v>546.80999999999995</v>
      </c>
    </row>
    <row r="379" spans="1:26" x14ac:dyDescent="0.35">
      <c r="A379" s="7" t="s">
        <v>27</v>
      </c>
      <c r="B379" s="7" t="s">
        <v>36</v>
      </c>
      <c r="C379" s="7" t="s">
        <v>48</v>
      </c>
      <c r="D379" s="7" t="s">
        <v>59</v>
      </c>
      <c r="E379" s="7" t="s">
        <v>29</v>
      </c>
      <c r="F379" s="7" t="s">
        <v>371</v>
      </c>
      <c r="G379" s="7">
        <v>2020</v>
      </c>
      <c r="H379" s="7" t="str">
        <f>CONCATENATE("04210039196")</f>
        <v>04210039196</v>
      </c>
      <c r="I379" s="7" t="s">
        <v>30</v>
      </c>
      <c r="J379" s="7" t="s">
        <v>31</v>
      </c>
      <c r="K379" s="7" t="str">
        <f>CONCATENATE("")</f>
        <v/>
      </c>
      <c r="L379" s="7" t="str">
        <f>CONCATENATE("13 13.1 4a")</f>
        <v>13 13.1 4a</v>
      </c>
      <c r="M379" s="7" t="str">
        <f>CONCATENATE("MRCMLS60L71G627K")</f>
        <v>MRCMLS60L71G627K</v>
      </c>
      <c r="N379" s="7" t="s">
        <v>481</v>
      </c>
      <c r="O379" s="7" t="s">
        <v>360</v>
      </c>
      <c r="P379" s="8">
        <v>44321</v>
      </c>
      <c r="Q379" s="7" t="s">
        <v>32</v>
      </c>
      <c r="R379" s="7" t="s">
        <v>33</v>
      </c>
      <c r="S379" s="7" t="s">
        <v>34</v>
      </c>
      <c r="T379" s="7"/>
      <c r="U379" s="7" t="s">
        <v>35</v>
      </c>
      <c r="V379" s="9">
        <v>1859.48</v>
      </c>
      <c r="W379" s="7">
        <v>801.81</v>
      </c>
      <c r="X379" s="7">
        <v>740.44</v>
      </c>
      <c r="Y379" s="7">
        <v>0</v>
      </c>
      <c r="Z379" s="7">
        <v>317.23</v>
      </c>
    </row>
    <row r="380" spans="1:26" x14ac:dyDescent="0.35">
      <c r="A380" s="7" t="s">
        <v>27</v>
      </c>
      <c r="B380" s="7" t="s">
        <v>36</v>
      </c>
      <c r="C380" s="7" t="s">
        <v>48</v>
      </c>
      <c r="D380" s="7" t="s">
        <v>56</v>
      </c>
      <c r="E380" s="7" t="s">
        <v>40</v>
      </c>
      <c r="F380" s="7" t="s">
        <v>272</v>
      </c>
      <c r="G380" s="7">
        <v>2020</v>
      </c>
      <c r="H380" s="7" t="str">
        <f>CONCATENATE("04240806648")</f>
        <v>04240806648</v>
      </c>
      <c r="I380" s="7" t="s">
        <v>30</v>
      </c>
      <c r="J380" s="7" t="s">
        <v>31</v>
      </c>
      <c r="K380" s="7" t="str">
        <f>CONCATENATE("")</f>
        <v/>
      </c>
      <c r="L380" s="7" t="str">
        <f>CONCATENATE("10 10.1 4a")</f>
        <v>10 10.1 4a</v>
      </c>
      <c r="M380" s="7" t="str">
        <f>CONCATENATE("GRCLCU62L09G157N")</f>
        <v>GRCLCU62L09G157N</v>
      </c>
      <c r="N380" s="7" t="s">
        <v>482</v>
      </c>
      <c r="O380" s="7" t="s">
        <v>394</v>
      </c>
      <c r="P380" s="8">
        <v>44321</v>
      </c>
      <c r="Q380" s="7" t="s">
        <v>32</v>
      </c>
      <c r="R380" s="7" t="s">
        <v>33</v>
      </c>
      <c r="S380" s="7" t="s">
        <v>34</v>
      </c>
      <c r="T380" s="7"/>
      <c r="U380" s="7" t="s">
        <v>35</v>
      </c>
      <c r="V380" s="7">
        <v>173.72</v>
      </c>
      <c r="W380" s="7">
        <v>74.91</v>
      </c>
      <c r="X380" s="7">
        <v>69.180000000000007</v>
      </c>
      <c r="Y380" s="7">
        <v>0</v>
      </c>
      <c r="Z380" s="7">
        <v>29.63</v>
      </c>
    </row>
    <row r="381" spans="1:26" x14ac:dyDescent="0.35">
      <c r="A381" s="7" t="s">
        <v>27</v>
      </c>
      <c r="B381" s="7" t="s">
        <v>36</v>
      </c>
      <c r="C381" s="7" t="s">
        <v>48</v>
      </c>
      <c r="D381" s="7" t="s">
        <v>59</v>
      </c>
      <c r="E381" s="7" t="s">
        <v>29</v>
      </c>
      <c r="F381" s="7" t="s">
        <v>371</v>
      </c>
      <c r="G381" s="7">
        <v>2020</v>
      </c>
      <c r="H381" s="7" t="str">
        <f>CONCATENATE("04210013969")</f>
        <v>04210013969</v>
      </c>
      <c r="I381" s="7" t="s">
        <v>30</v>
      </c>
      <c r="J381" s="7" t="s">
        <v>31</v>
      </c>
      <c r="K381" s="7" t="str">
        <f>CONCATENATE("")</f>
        <v/>
      </c>
      <c r="L381" s="7" t="str">
        <f>CONCATENATE("13 13.1 4a")</f>
        <v>13 13.1 4a</v>
      </c>
      <c r="M381" s="7" t="str">
        <f>CONCATENATE("CRBPLG55E14D807T")</f>
        <v>CRBPLG55E14D807T</v>
      </c>
      <c r="N381" s="7" t="s">
        <v>483</v>
      </c>
      <c r="O381" s="7" t="s">
        <v>360</v>
      </c>
      <c r="P381" s="8">
        <v>44321</v>
      </c>
      <c r="Q381" s="7" t="s">
        <v>32</v>
      </c>
      <c r="R381" s="7" t="s">
        <v>33</v>
      </c>
      <c r="S381" s="7" t="s">
        <v>34</v>
      </c>
      <c r="T381" s="7"/>
      <c r="U381" s="7" t="s">
        <v>35</v>
      </c>
      <c r="V381" s="9">
        <v>2500.1799999999998</v>
      </c>
      <c r="W381" s="9">
        <v>1078.08</v>
      </c>
      <c r="X381" s="7">
        <v>995.57</v>
      </c>
      <c r="Y381" s="7">
        <v>0</v>
      </c>
      <c r="Z381" s="7">
        <v>426.53</v>
      </c>
    </row>
    <row r="382" spans="1:26" x14ac:dyDescent="0.35">
      <c r="A382" s="7" t="s">
        <v>27</v>
      </c>
      <c r="B382" s="7" t="s">
        <v>36</v>
      </c>
      <c r="C382" s="7" t="s">
        <v>48</v>
      </c>
      <c r="D382" s="7" t="s">
        <v>62</v>
      </c>
      <c r="E382" s="7" t="s">
        <v>29</v>
      </c>
      <c r="F382" s="7" t="s">
        <v>66</v>
      </c>
      <c r="G382" s="7">
        <v>2020</v>
      </c>
      <c r="H382" s="7" t="str">
        <f>CONCATENATE("04210552768")</f>
        <v>04210552768</v>
      </c>
      <c r="I382" s="7" t="s">
        <v>30</v>
      </c>
      <c r="J382" s="7" t="s">
        <v>31</v>
      </c>
      <c r="K382" s="7" t="str">
        <f>CONCATENATE("")</f>
        <v/>
      </c>
      <c r="L382" s="7" t="str">
        <f>CONCATENATE("13 13.1 4a")</f>
        <v>13 13.1 4a</v>
      </c>
      <c r="M382" s="7" t="str">
        <f>CONCATENATE("00735610438")</f>
        <v>00735610438</v>
      </c>
      <c r="N382" s="7" t="s">
        <v>484</v>
      </c>
      <c r="O382" s="7" t="s">
        <v>249</v>
      </c>
      <c r="P382" s="8">
        <v>44321</v>
      </c>
      <c r="Q382" s="7" t="s">
        <v>32</v>
      </c>
      <c r="R382" s="7" t="s">
        <v>33</v>
      </c>
      <c r="S382" s="7" t="s">
        <v>34</v>
      </c>
      <c r="T382" s="7"/>
      <c r="U382" s="7" t="s">
        <v>35</v>
      </c>
      <c r="V382" s="9">
        <v>4930.76</v>
      </c>
      <c r="W382" s="9">
        <v>2126.14</v>
      </c>
      <c r="X382" s="9">
        <v>1963.43</v>
      </c>
      <c r="Y382" s="7">
        <v>0</v>
      </c>
      <c r="Z382" s="7">
        <v>841.19</v>
      </c>
    </row>
    <row r="383" spans="1:26" x14ac:dyDescent="0.35">
      <c r="A383" s="7" t="s">
        <v>27</v>
      </c>
      <c r="B383" s="7" t="s">
        <v>36</v>
      </c>
      <c r="C383" s="7" t="s">
        <v>48</v>
      </c>
      <c r="D383" s="7" t="s">
        <v>59</v>
      </c>
      <c r="E383" s="7" t="s">
        <v>29</v>
      </c>
      <c r="F383" s="7" t="s">
        <v>371</v>
      </c>
      <c r="G383" s="7">
        <v>2020</v>
      </c>
      <c r="H383" s="7" t="str">
        <f>CONCATENATE("04210239549")</f>
        <v>04210239549</v>
      </c>
      <c r="I383" s="7" t="s">
        <v>30</v>
      </c>
      <c r="J383" s="7" t="s">
        <v>31</v>
      </c>
      <c r="K383" s="7" t="str">
        <f>CONCATENATE("")</f>
        <v/>
      </c>
      <c r="L383" s="7" t="str">
        <f>CONCATENATE("13 13.1 4a")</f>
        <v>13 13.1 4a</v>
      </c>
      <c r="M383" s="7" t="str">
        <f>CONCATENATE("00460120413")</f>
        <v>00460120413</v>
      </c>
      <c r="N383" s="7" t="s">
        <v>485</v>
      </c>
      <c r="O383" s="7" t="s">
        <v>360</v>
      </c>
      <c r="P383" s="8">
        <v>44321</v>
      </c>
      <c r="Q383" s="7" t="s">
        <v>32</v>
      </c>
      <c r="R383" s="7" t="s">
        <v>33</v>
      </c>
      <c r="S383" s="7" t="s">
        <v>34</v>
      </c>
      <c r="T383" s="7"/>
      <c r="U383" s="7" t="s">
        <v>35</v>
      </c>
      <c r="V383" s="9">
        <v>7907.79</v>
      </c>
      <c r="W383" s="9">
        <v>3409.84</v>
      </c>
      <c r="X383" s="9">
        <v>3148.88</v>
      </c>
      <c r="Y383" s="7">
        <v>0</v>
      </c>
      <c r="Z383" s="9">
        <v>1349.07</v>
      </c>
    </row>
    <row r="384" spans="1:26" x14ac:dyDescent="0.35">
      <c r="A384" s="7" t="s">
        <v>27</v>
      </c>
      <c r="B384" s="7" t="s">
        <v>36</v>
      </c>
      <c r="C384" s="7" t="s">
        <v>48</v>
      </c>
      <c r="D384" s="7" t="s">
        <v>59</v>
      </c>
      <c r="E384" s="7" t="s">
        <v>29</v>
      </c>
      <c r="F384" s="7" t="s">
        <v>371</v>
      </c>
      <c r="G384" s="7">
        <v>2020</v>
      </c>
      <c r="H384" s="7" t="str">
        <f>CONCATENATE("04210039162")</f>
        <v>04210039162</v>
      </c>
      <c r="I384" s="7" t="s">
        <v>30</v>
      </c>
      <c r="J384" s="7" t="s">
        <v>31</v>
      </c>
      <c r="K384" s="7" t="str">
        <f>CONCATENATE("")</f>
        <v/>
      </c>
      <c r="L384" s="7" t="str">
        <f>CONCATENATE("13 13.1 4a")</f>
        <v>13 13.1 4a</v>
      </c>
      <c r="M384" s="7" t="str">
        <f>CONCATENATE("MZZDNL68M27I459V")</f>
        <v>MZZDNL68M27I459V</v>
      </c>
      <c r="N384" s="7" t="s">
        <v>486</v>
      </c>
      <c r="O384" s="7" t="s">
        <v>360</v>
      </c>
      <c r="P384" s="8">
        <v>44321</v>
      </c>
      <c r="Q384" s="7" t="s">
        <v>32</v>
      </c>
      <c r="R384" s="7" t="s">
        <v>33</v>
      </c>
      <c r="S384" s="7" t="s">
        <v>34</v>
      </c>
      <c r="T384" s="7"/>
      <c r="U384" s="7" t="s">
        <v>35</v>
      </c>
      <c r="V384" s="9">
        <v>6385.44</v>
      </c>
      <c r="W384" s="9">
        <v>2753.4</v>
      </c>
      <c r="X384" s="9">
        <v>2542.6799999999998</v>
      </c>
      <c r="Y384" s="7">
        <v>0</v>
      </c>
      <c r="Z384" s="9">
        <v>1089.3599999999999</v>
      </c>
    </row>
    <row r="385" spans="1:26" x14ac:dyDescent="0.35">
      <c r="A385" s="7" t="s">
        <v>27</v>
      </c>
      <c r="B385" s="7" t="s">
        <v>36</v>
      </c>
      <c r="C385" s="7" t="s">
        <v>48</v>
      </c>
      <c r="D385" s="7" t="s">
        <v>49</v>
      </c>
      <c r="E385" s="7" t="s">
        <v>29</v>
      </c>
      <c r="F385" s="7" t="s">
        <v>138</v>
      </c>
      <c r="G385" s="7">
        <v>2020</v>
      </c>
      <c r="H385" s="7" t="str">
        <f>CONCATENATE("04210509495")</f>
        <v>04210509495</v>
      </c>
      <c r="I385" s="7" t="s">
        <v>30</v>
      </c>
      <c r="J385" s="7" t="s">
        <v>31</v>
      </c>
      <c r="K385" s="7" t="str">
        <f>CONCATENATE("")</f>
        <v/>
      </c>
      <c r="L385" s="7" t="str">
        <f>CONCATENATE("13 13.1 4a")</f>
        <v>13 13.1 4a</v>
      </c>
      <c r="M385" s="7" t="str">
        <f>CONCATENATE("PMPDTL66P50A462S")</f>
        <v>PMPDTL66P50A462S</v>
      </c>
      <c r="N385" s="7" t="s">
        <v>487</v>
      </c>
      <c r="O385" s="7" t="s">
        <v>249</v>
      </c>
      <c r="P385" s="8">
        <v>44321</v>
      </c>
      <c r="Q385" s="7" t="s">
        <v>32</v>
      </c>
      <c r="R385" s="7" t="s">
        <v>33</v>
      </c>
      <c r="S385" s="7" t="s">
        <v>34</v>
      </c>
      <c r="T385" s="7"/>
      <c r="U385" s="7" t="s">
        <v>35</v>
      </c>
      <c r="V385" s="9">
        <v>4581.76</v>
      </c>
      <c r="W385" s="9">
        <v>1975.65</v>
      </c>
      <c r="X385" s="9">
        <v>1824.46</v>
      </c>
      <c r="Y385" s="7">
        <v>0</v>
      </c>
      <c r="Z385" s="7">
        <v>781.65</v>
      </c>
    </row>
    <row r="386" spans="1:26" x14ac:dyDescent="0.35">
      <c r="A386" s="7" t="s">
        <v>27</v>
      </c>
      <c r="B386" s="7" t="s">
        <v>36</v>
      </c>
      <c r="C386" s="7" t="s">
        <v>48</v>
      </c>
      <c r="D386" s="7" t="s">
        <v>59</v>
      </c>
      <c r="E386" s="7" t="s">
        <v>29</v>
      </c>
      <c r="F386" s="7" t="s">
        <v>371</v>
      </c>
      <c r="G386" s="7">
        <v>2020</v>
      </c>
      <c r="H386" s="7" t="str">
        <f>CONCATENATE("04210037828")</f>
        <v>04210037828</v>
      </c>
      <c r="I386" s="7" t="s">
        <v>30</v>
      </c>
      <c r="J386" s="7" t="s">
        <v>31</v>
      </c>
      <c r="K386" s="7" t="str">
        <f>CONCATENATE("")</f>
        <v/>
      </c>
      <c r="L386" s="7" t="str">
        <f>CONCATENATE("13 13.1 4a")</f>
        <v>13 13.1 4a</v>
      </c>
      <c r="M386" s="7" t="str">
        <f>CONCATENATE("DBLLEI23M70I459N")</f>
        <v>DBLLEI23M70I459N</v>
      </c>
      <c r="N386" s="7" t="s">
        <v>488</v>
      </c>
      <c r="O386" s="7" t="s">
        <v>360</v>
      </c>
      <c r="P386" s="8">
        <v>44321</v>
      </c>
      <c r="Q386" s="7" t="s">
        <v>32</v>
      </c>
      <c r="R386" s="7" t="s">
        <v>33</v>
      </c>
      <c r="S386" s="7" t="s">
        <v>34</v>
      </c>
      <c r="T386" s="7"/>
      <c r="U386" s="7" t="s">
        <v>35</v>
      </c>
      <c r="V386" s="7">
        <v>693.54</v>
      </c>
      <c r="W386" s="7">
        <v>299.05</v>
      </c>
      <c r="X386" s="7">
        <v>276.17</v>
      </c>
      <c r="Y386" s="7">
        <v>0</v>
      </c>
      <c r="Z386" s="7">
        <v>118.32</v>
      </c>
    </row>
    <row r="387" spans="1:26" x14ac:dyDescent="0.35">
      <c r="A387" s="7" t="s">
        <v>27</v>
      </c>
      <c r="B387" s="7" t="s">
        <v>36</v>
      </c>
      <c r="C387" s="7" t="s">
        <v>48</v>
      </c>
      <c r="D387" s="7" t="s">
        <v>59</v>
      </c>
      <c r="E387" s="7" t="s">
        <v>44</v>
      </c>
      <c r="F387" s="7" t="s">
        <v>315</v>
      </c>
      <c r="G387" s="7">
        <v>2020</v>
      </c>
      <c r="H387" s="7" t="str">
        <f>CONCATENATE("04210848729")</f>
        <v>04210848729</v>
      </c>
      <c r="I387" s="7" t="s">
        <v>30</v>
      </c>
      <c r="J387" s="7" t="s">
        <v>31</v>
      </c>
      <c r="K387" s="7" t="str">
        <f>CONCATENATE("")</f>
        <v/>
      </c>
      <c r="L387" s="7" t="str">
        <f>CONCATENATE("13 13.1 4a")</f>
        <v>13 13.1 4a</v>
      </c>
      <c r="M387" s="7" t="str">
        <f>CONCATENATE("VNNMLL62A55D488P")</f>
        <v>VNNMLL62A55D488P</v>
      </c>
      <c r="N387" s="7" t="s">
        <v>489</v>
      </c>
      <c r="O387" s="7" t="s">
        <v>360</v>
      </c>
      <c r="P387" s="8">
        <v>44321</v>
      </c>
      <c r="Q387" s="7" t="s">
        <v>32</v>
      </c>
      <c r="R387" s="7" t="s">
        <v>33</v>
      </c>
      <c r="S387" s="7" t="s">
        <v>34</v>
      </c>
      <c r="T387" s="7"/>
      <c r="U387" s="7" t="s">
        <v>35</v>
      </c>
      <c r="V387" s="9">
        <v>1221.92</v>
      </c>
      <c r="W387" s="7">
        <v>526.89</v>
      </c>
      <c r="X387" s="7">
        <v>486.57</v>
      </c>
      <c r="Y387" s="7">
        <v>0</v>
      </c>
      <c r="Z387" s="7">
        <v>208.46</v>
      </c>
    </row>
    <row r="388" spans="1:26" x14ac:dyDescent="0.35">
      <c r="A388" s="7" t="s">
        <v>27</v>
      </c>
      <c r="B388" s="7" t="s">
        <v>36</v>
      </c>
      <c r="C388" s="7" t="s">
        <v>48</v>
      </c>
      <c r="D388" s="7" t="s">
        <v>59</v>
      </c>
      <c r="E388" s="7" t="s">
        <v>40</v>
      </c>
      <c r="F388" s="7" t="s">
        <v>183</v>
      </c>
      <c r="G388" s="7">
        <v>2020</v>
      </c>
      <c r="H388" s="7" t="str">
        <f>CONCATENATE("04210728780")</f>
        <v>04210728780</v>
      </c>
      <c r="I388" s="7" t="s">
        <v>30</v>
      </c>
      <c r="J388" s="7" t="s">
        <v>31</v>
      </c>
      <c r="K388" s="7" t="str">
        <f>CONCATENATE("")</f>
        <v/>
      </c>
      <c r="L388" s="7" t="str">
        <f>CONCATENATE("13 13.1 4a")</f>
        <v>13 13.1 4a</v>
      </c>
      <c r="M388" s="7" t="str">
        <f>CONCATENATE("VNGSVN48P54G089T")</f>
        <v>VNGSVN48P54G089T</v>
      </c>
      <c r="N388" s="7" t="s">
        <v>490</v>
      </c>
      <c r="O388" s="7" t="s">
        <v>360</v>
      </c>
      <c r="P388" s="8">
        <v>44321</v>
      </c>
      <c r="Q388" s="7" t="s">
        <v>32</v>
      </c>
      <c r="R388" s="7" t="s">
        <v>33</v>
      </c>
      <c r="S388" s="7" t="s">
        <v>34</v>
      </c>
      <c r="T388" s="7"/>
      <c r="U388" s="7" t="s">
        <v>35</v>
      </c>
      <c r="V388" s="9">
        <v>1873.86</v>
      </c>
      <c r="W388" s="7">
        <v>808.01</v>
      </c>
      <c r="X388" s="7">
        <v>746.17</v>
      </c>
      <c r="Y388" s="7">
        <v>0</v>
      </c>
      <c r="Z388" s="7">
        <v>319.68</v>
      </c>
    </row>
    <row r="389" spans="1:26" x14ac:dyDescent="0.35">
      <c r="A389" s="7" t="s">
        <v>27</v>
      </c>
      <c r="B389" s="7" t="s">
        <v>36</v>
      </c>
      <c r="C389" s="7" t="s">
        <v>48</v>
      </c>
      <c r="D389" s="7" t="s">
        <v>59</v>
      </c>
      <c r="E389" s="7" t="s">
        <v>40</v>
      </c>
      <c r="F389" s="7" t="s">
        <v>165</v>
      </c>
      <c r="G389" s="7">
        <v>2020</v>
      </c>
      <c r="H389" s="7" t="str">
        <f>CONCATENATE("04210338507")</f>
        <v>04210338507</v>
      </c>
      <c r="I389" s="7" t="s">
        <v>30</v>
      </c>
      <c r="J389" s="7" t="s">
        <v>31</v>
      </c>
      <c r="K389" s="7" t="str">
        <f>CONCATENATE("")</f>
        <v/>
      </c>
      <c r="L389" s="7" t="str">
        <f>CONCATENATE("13 13.1 4a")</f>
        <v>13 13.1 4a</v>
      </c>
      <c r="M389" s="7" t="str">
        <f>CONCATENATE("CTNMLV63E56D808N")</f>
        <v>CTNMLV63E56D808N</v>
      </c>
      <c r="N389" s="7" t="s">
        <v>491</v>
      </c>
      <c r="O389" s="7" t="s">
        <v>360</v>
      </c>
      <c r="P389" s="8">
        <v>44321</v>
      </c>
      <c r="Q389" s="7" t="s">
        <v>32</v>
      </c>
      <c r="R389" s="7" t="s">
        <v>33</v>
      </c>
      <c r="S389" s="7" t="s">
        <v>34</v>
      </c>
      <c r="T389" s="7"/>
      <c r="U389" s="7" t="s">
        <v>35</v>
      </c>
      <c r="V389" s="9">
        <v>3659.71</v>
      </c>
      <c r="W389" s="9">
        <v>1578.07</v>
      </c>
      <c r="X389" s="9">
        <v>1457.3</v>
      </c>
      <c r="Y389" s="7">
        <v>0</v>
      </c>
      <c r="Z389" s="7">
        <v>624.34</v>
      </c>
    </row>
    <row r="390" spans="1:26" x14ac:dyDescent="0.35">
      <c r="A390" s="7" t="s">
        <v>27</v>
      </c>
      <c r="B390" s="7" t="s">
        <v>36</v>
      </c>
      <c r="C390" s="7" t="s">
        <v>48</v>
      </c>
      <c r="D390" s="7" t="s">
        <v>59</v>
      </c>
      <c r="E390" s="7" t="s">
        <v>40</v>
      </c>
      <c r="F390" s="7" t="s">
        <v>165</v>
      </c>
      <c r="G390" s="7">
        <v>2020</v>
      </c>
      <c r="H390" s="7" t="str">
        <f>CONCATENATE("04210338747")</f>
        <v>04210338747</v>
      </c>
      <c r="I390" s="7" t="s">
        <v>30</v>
      </c>
      <c r="J390" s="7" t="s">
        <v>31</v>
      </c>
      <c r="K390" s="7" t="str">
        <f>CONCATENATE("")</f>
        <v/>
      </c>
      <c r="L390" s="7" t="str">
        <f>CONCATENATE("13 13.1 4a")</f>
        <v>13 13.1 4a</v>
      </c>
      <c r="M390" s="7" t="str">
        <f>CONCATENATE("CSTMRO77T13B352F")</f>
        <v>CSTMRO77T13B352F</v>
      </c>
      <c r="N390" s="7" t="s">
        <v>492</v>
      </c>
      <c r="O390" s="7" t="s">
        <v>360</v>
      </c>
      <c r="P390" s="8">
        <v>44321</v>
      </c>
      <c r="Q390" s="7" t="s">
        <v>32</v>
      </c>
      <c r="R390" s="7" t="s">
        <v>33</v>
      </c>
      <c r="S390" s="7" t="s">
        <v>34</v>
      </c>
      <c r="T390" s="7"/>
      <c r="U390" s="7" t="s">
        <v>35</v>
      </c>
      <c r="V390" s="9">
        <v>3270.54</v>
      </c>
      <c r="W390" s="9">
        <v>1410.26</v>
      </c>
      <c r="X390" s="9">
        <v>1302.33</v>
      </c>
      <c r="Y390" s="7">
        <v>0</v>
      </c>
      <c r="Z390" s="7">
        <v>557.95000000000005</v>
      </c>
    </row>
    <row r="391" spans="1:26" x14ac:dyDescent="0.35">
      <c r="A391" s="7" t="s">
        <v>27</v>
      </c>
      <c r="B391" s="7" t="s">
        <v>36</v>
      </c>
      <c r="C391" s="7" t="s">
        <v>48</v>
      </c>
      <c r="D391" s="7" t="s">
        <v>59</v>
      </c>
      <c r="E391" s="7" t="s">
        <v>29</v>
      </c>
      <c r="F391" s="7" t="s">
        <v>195</v>
      </c>
      <c r="G391" s="7">
        <v>2020</v>
      </c>
      <c r="H391" s="7" t="str">
        <f>CONCATENATE("04210038776")</f>
        <v>04210038776</v>
      </c>
      <c r="I391" s="7" t="s">
        <v>30</v>
      </c>
      <c r="J391" s="7" t="s">
        <v>31</v>
      </c>
      <c r="K391" s="7" t="str">
        <f>CONCATENATE("")</f>
        <v/>
      </c>
      <c r="L391" s="7" t="str">
        <f>CONCATENATE("13 13.1 4a")</f>
        <v>13 13.1 4a</v>
      </c>
      <c r="M391" s="7" t="str">
        <f>CONCATENATE("CCCFNC65A18I287O")</f>
        <v>CCCFNC65A18I287O</v>
      </c>
      <c r="N391" s="7" t="s">
        <v>493</v>
      </c>
      <c r="O391" s="7" t="s">
        <v>360</v>
      </c>
      <c r="P391" s="8">
        <v>44321</v>
      </c>
      <c r="Q391" s="7" t="s">
        <v>32</v>
      </c>
      <c r="R391" s="7" t="s">
        <v>33</v>
      </c>
      <c r="S391" s="7" t="s">
        <v>34</v>
      </c>
      <c r="T391" s="7"/>
      <c r="U391" s="7" t="s">
        <v>35</v>
      </c>
      <c r="V391" s="7">
        <v>140.71</v>
      </c>
      <c r="W391" s="7">
        <v>60.67</v>
      </c>
      <c r="X391" s="7">
        <v>56.03</v>
      </c>
      <c r="Y391" s="7">
        <v>0</v>
      </c>
      <c r="Z391" s="7">
        <v>24.01</v>
      </c>
    </row>
    <row r="392" spans="1:26" x14ac:dyDescent="0.35">
      <c r="A392" s="7" t="s">
        <v>27</v>
      </c>
      <c r="B392" s="7" t="s">
        <v>36</v>
      </c>
      <c r="C392" s="7" t="s">
        <v>48</v>
      </c>
      <c r="D392" s="7" t="s">
        <v>59</v>
      </c>
      <c r="E392" s="7" t="s">
        <v>40</v>
      </c>
      <c r="F392" s="7" t="s">
        <v>183</v>
      </c>
      <c r="G392" s="7">
        <v>2020</v>
      </c>
      <c r="H392" s="7" t="str">
        <f>CONCATENATE("04210290146")</f>
        <v>04210290146</v>
      </c>
      <c r="I392" s="7" t="s">
        <v>30</v>
      </c>
      <c r="J392" s="7" t="s">
        <v>31</v>
      </c>
      <c r="K392" s="7" t="str">
        <f>CONCATENATE("")</f>
        <v/>
      </c>
      <c r="L392" s="7" t="str">
        <f>CONCATENATE("13 13.1 4a")</f>
        <v>13 13.1 4a</v>
      </c>
      <c r="M392" s="7" t="str">
        <f>CONCATENATE("GSTVRN55E31D749I")</f>
        <v>GSTVRN55E31D749I</v>
      </c>
      <c r="N392" s="7" t="s">
        <v>494</v>
      </c>
      <c r="O392" s="7" t="s">
        <v>360</v>
      </c>
      <c r="P392" s="8">
        <v>44321</v>
      </c>
      <c r="Q392" s="7" t="s">
        <v>32</v>
      </c>
      <c r="R392" s="7" t="s">
        <v>33</v>
      </c>
      <c r="S392" s="7" t="s">
        <v>34</v>
      </c>
      <c r="T392" s="7"/>
      <c r="U392" s="7" t="s">
        <v>35</v>
      </c>
      <c r="V392" s="9">
        <v>2193.5</v>
      </c>
      <c r="W392" s="7">
        <v>945.84</v>
      </c>
      <c r="X392" s="7">
        <v>873.45</v>
      </c>
      <c r="Y392" s="7">
        <v>0</v>
      </c>
      <c r="Z392" s="7">
        <v>374.21</v>
      </c>
    </row>
    <row r="393" spans="1:26" x14ac:dyDescent="0.35">
      <c r="A393" s="7" t="s">
        <v>27</v>
      </c>
      <c r="B393" s="7" t="s">
        <v>36</v>
      </c>
      <c r="C393" s="7" t="s">
        <v>48</v>
      </c>
      <c r="D393" s="7" t="s">
        <v>59</v>
      </c>
      <c r="E393" s="7" t="s">
        <v>40</v>
      </c>
      <c r="F393" s="7" t="s">
        <v>199</v>
      </c>
      <c r="G393" s="7">
        <v>2020</v>
      </c>
      <c r="H393" s="7" t="str">
        <f>CONCATENATE("04210363620")</f>
        <v>04210363620</v>
      </c>
      <c r="I393" s="7" t="s">
        <v>30</v>
      </c>
      <c r="J393" s="7" t="s">
        <v>31</v>
      </c>
      <c r="K393" s="7" t="str">
        <f>CONCATENATE("")</f>
        <v/>
      </c>
      <c r="L393" s="7" t="str">
        <f>CONCATENATE("13 13.1 4a")</f>
        <v>13 13.1 4a</v>
      </c>
      <c r="M393" s="7" t="str">
        <f>CONCATENATE("PGNMRT68E13L500D")</f>
        <v>PGNMRT68E13L500D</v>
      </c>
      <c r="N393" s="7" t="s">
        <v>495</v>
      </c>
      <c r="O393" s="7" t="s">
        <v>360</v>
      </c>
      <c r="P393" s="8">
        <v>44321</v>
      </c>
      <c r="Q393" s="7" t="s">
        <v>32</v>
      </c>
      <c r="R393" s="7" t="s">
        <v>33</v>
      </c>
      <c r="S393" s="7" t="s">
        <v>34</v>
      </c>
      <c r="T393" s="7"/>
      <c r="U393" s="7" t="s">
        <v>35</v>
      </c>
      <c r="V393" s="9">
        <v>1115.6400000000001</v>
      </c>
      <c r="W393" s="7">
        <v>481.06</v>
      </c>
      <c r="X393" s="7">
        <v>444.25</v>
      </c>
      <c r="Y393" s="7">
        <v>0</v>
      </c>
      <c r="Z393" s="7">
        <v>190.33</v>
      </c>
    </row>
    <row r="394" spans="1:26" x14ac:dyDescent="0.35">
      <c r="A394" s="7" t="s">
        <v>27</v>
      </c>
      <c r="B394" s="7" t="s">
        <v>36</v>
      </c>
      <c r="C394" s="7" t="s">
        <v>48</v>
      </c>
      <c r="D394" s="7" t="s">
        <v>59</v>
      </c>
      <c r="E394" s="7" t="s">
        <v>29</v>
      </c>
      <c r="F394" s="7" t="s">
        <v>173</v>
      </c>
      <c r="G394" s="7">
        <v>2020</v>
      </c>
      <c r="H394" s="7" t="str">
        <f>CONCATENATE("04210370807")</f>
        <v>04210370807</v>
      </c>
      <c r="I394" s="7" t="s">
        <v>30</v>
      </c>
      <c r="J394" s="7" t="s">
        <v>31</v>
      </c>
      <c r="K394" s="7" t="str">
        <f>CONCATENATE("")</f>
        <v/>
      </c>
      <c r="L394" s="7" t="str">
        <f>CONCATENATE("13 13.1 4a")</f>
        <v>13 13.1 4a</v>
      </c>
      <c r="M394" s="7" t="str">
        <f>CONCATENATE("PLDNNL63E70D749P")</f>
        <v>PLDNNL63E70D749P</v>
      </c>
      <c r="N394" s="7" t="s">
        <v>496</v>
      </c>
      <c r="O394" s="7" t="s">
        <v>360</v>
      </c>
      <c r="P394" s="8">
        <v>44321</v>
      </c>
      <c r="Q394" s="7" t="s">
        <v>32</v>
      </c>
      <c r="R394" s="7" t="s">
        <v>33</v>
      </c>
      <c r="S394" s="7" t="s">
        <v>34</v>
      </c>
      <c r="T394" s="7"/>
      <c r="U394" s="7" t="s">
        <v>35</v>
      </c>
      <c r="V394" s="7">
        <v>882.25</v>
      </c>
      <c r="W394" s="7">
        <v>380.43</v>
      </c>
      <c r="X394" s="7">
        <v>351.31</v>
      </c>
      <c r="Y394" s="7">
        <v>0</v>
      </c>
      <c r="Z394" s="7">
        <v>150.51</v>
      </c>
    </row>
    <row r="395" spans="1:26" x14ac:dyDescent="0.35">
      <c r="A395" s="7" t="s">
        <v>27</v>
      </c>
      <c r="B395" s="7" t="s">
        <v>36</v>
      </c>
      <c r="C395" s="7" t="s">
        <v>48</v>
      </c>
      <c r="D395" s="7" t="s">
        <v>62</v>
      </c>
      <c r="E395" s="7" t="s">
        <v>29</v>
      </c>
      <c r="F395" s="7" t="s">
        <v>66</v>
      </c>
      <c r="G395" s="7">
        <v>2020</v>
      </c>
      <c r="H395" s="7" t="str">
        <f>CONCATENATE("04210359479")</f>
        <v>04210359479</v>
      </c>
      <c r="I395" s="7" t="s">
        <v>30</v>
      </c>
      <c r="J395" s="7" t="s">
        <v>31</v>
      </c>
      <c r="K395" s="7" t="str">
        <f>CONCATENATE("")</f>
        <v/>
      </c>
      <c r="L395" s="7" t="str">
        <f>CONCATENATE("13 13.1 4a")</f>
        <v>13 13.1 4a</v>
      </c>
      <c r="M395" s="7" t="str">
        <f>CONCATENATE("TRMSRA54H14B474P")</f>
        <v>TRMSRA54H14B474P</v>
      </c>
      <c r="N395" s="7" t="s">
        <v>497</v>
      </c>
      <c r="O395" s="7" t="s">
        <v>249</v>
      </c>
      <c r="P395" s="8">
        <v>44321</v>
      </c>
      <c r="Q395" s="7" t="s">
        <v>32</v>
      </c>
      <c r="R395" s="7" t="s">
        <v>33</v>
      </c>
      <c r="S395" s="7" t="s">
        <v>34</v>
      </c>
      <c r="T395" s="7"/>
      <c r="U395" s="7" t="s">
        <v>35</v>
      </c>
      <c r="V395" s="7">
        <v>686.65</v>
      </c>
      <c r="W395" s="7">
        <v>296.08</v>
      </c>
      <c r="X395" s="7">
        <v>273.42</v>
      </c>
      <c r="Y395" s="7">
        <v>0</v>
      </c>
      <c r="Z395" s="7">
        <v>117.15</v>
      </c>
    </row>
    <row r="396" spans="1:26" x14ac:dyDescent="0.35">
      <c r="A396" s="7" t="s">
        <v>27</v>
      </c>
      <c r="B396" s="7" t="s">
        <v>36</v>
      </c>
      <c r="C396" s="7" t="s">
        <v>48</v>
      </c>
      <c r="D396" s="7" t="s">
        <v>59</v>
      </c>
      <c r="E396" s="7" t="s">
        <v>44</v>
      </c>
      <c r="F396" s="7" t="s">
        <v>178</v>
      </c>
      <c r="G396" s="7">
        <v>2020</v>
      </c>
      <c r="H396" s="7" t="str">
        <f>CONCATENATE("04210299782")</f>
        <v>04210299782</v>
      </c>
      <c r="I396" s="7" t="s">
        <v>30</v>
      </c>
      <c r="J396" s="7" t="s">
        <v>31</v>
      </c>
      <c r="K396" s="7" t="str">
        <f>CONCATENATE("")</f>
        <v/>
      </c>
      <c r="L396" s="7" t="str">
        <f>CONCATENATE("13 13.1 4a")</f>
        <v>13 13.1 4a</v>
      </c>
      <c r="M396" s="7" t="str">
        <f>CONCATENATE("02599330418")</f>
        <v>02599330418</v>
      </c>
      <c r="N396" s="7" t="s">
        <v>498</v>
      </c>
      <c r="O396" s="7" t="s">
        <v>360</v>
      </c>
      <c r="P396" s="8">
        <v>44321</v>
      </c>
      <c r="Q396" s="7" t="s">
        <v>32</v>
      </c>
      <c r="R396" s="7" t="s">
        <v>33</v>
      </c>
      <c r="S396" s="7" t="s">
        <v>34</v>
      </c>
      <c r="T396" s="7"/>
      <c r="U396" s="7" t="s">
        <v>35</v>
      </c>
      <c r="V396" s="9">
        <v>2149.66</v>
      </c>
      <c r="W396" s="7">
        <v>926.93</v>
      </c>
      <c r="X396" s="7">
        <v>855.99</v>
      </c>
      <c r="Y396" s="7">
        <v>0</v>
      </c>
      <c r="Z396" s="7">
        <v>366.74</v>
      </c>
    </row>
    <row r="397" spans="1:26" x14ac:dyDescent="0.35">
      <c r="A397" s="7" t="s">
        <v>27</v>
      </c>
      <c r="B397" s="7" t="s">
        <v>36</v>
      </c>
      <c r="C397" s="7" t="s">
        <v>48</v>
      </c>
      <c r="D397" s="7" t="s">
        <v>59</v>
      </c>
      <c r="E397" s="7" t="s">
        <v>40</v>
      </c>
      <c r="F397" s="7" t="s">
        <v>183</v>
      </c>
      <c r="G397" s="7">
        <v>2020</v>
      </c>
      <c r="H397" s="7" t="str">
        <f>CONCATENATE("04210216307")</f>
        <v>04210216307</v>
      </c>
      <c r="I397" s="7" t="s">
        <v>30</v>
      </c>
      <c r="J397" s="7" t="s">
        <v>31</v>
      </c>
      <c r="K397" s="7" t="str">
        <f>CONCATENATE("")</f>
        <v/>
      </c>
      <c r="L397" s="7" t="str">
        <f>CONCATENATE("13 13.1 4a")</f>
        <v>13 13.1 4a</v>
      </c>
      <c r="M397" s="7" t="str">
        <f>CONCATENATE("GRGCRL74H70G089U")</f>
        <v>GRGCRL74H70G089U</v>
      </c>
      <c r="N397" s="7" t="s">
        <v>499</v>
      </c>
      <c r="O397" s="7" t="s">
        <v>360</v>
      </c>
      <c r="P397" s="8">
        <v>44321</v>
      </c>
      <c r="Q397" s="7" t="s">
        <v>32</v>
      </c>
      <c r="R397" s="7" t="s">
        <v>33</v>
      </c>
      <c r="S397" s="7" t="s">
        <v>34</v>
      </c>
      <c r="T397" s="7"/>
      <c r="U397" s="7" t="s">
        <v>35</v>
      </c>
      <c r="V397" s="7">
        <v>185.62</v>
      </c>
      <c r="W397" s="7">
        <v>80.040000000000006</v>
      </c>
      <c r="X397" s="7">
        <v>73.91</v>
      </c>
      <c r="Y397" s="7">
        <v>0</v>
      </c>
      <c r="Z397" s="7">
        <v>31.67</v>
      </c>
    </row>
    <row r="398" spans="1:26" ht="17.5" x14ac:dyDescent="0.35">
      <c r="A398" s="7" t="s">
        <v>27</v>
      </c>
      <c r="B398" s="7" t="s">
        <v>36</v>
      </c>
      <c r="C398" s="7" t="s">
        <v>48</v>
      </c>
      <c r="D398" s="7" t="s">
        <v>59</v>
      </c>
      <c r="E398" s="7" t="s">
        <v>29</v>
      </c>
      <c r="F398" s="7" t="s">
        <v>371</v>
      </c>
      <c r="G398" s="7">
        <v>2020</v>
      </c>
      <c r="H398" s="7" t="str">
        <f>CONCATENATE("04210210136")</f>
        <v>04210210136</v>
      </c>
      <c r="I398" s="7" t="s">
        <v>30</v>
      </c>
      <c r="J398" s="7" t="s">
        <v>31</v>
      </c>
      <c r="K398" s="7" t="str">
        <f>CONCATENATE("")</f>
        <v/>
      </c>
      <c r="L398" s="7" t="str">
        <f>CONCATENATE("13 13.1 4a")</f>
        <v>13 13.1 4a</v>
      </c>
      <c r="M398" s="7" t="str">
        <f>CONCATENATE("GRSMNL61D65F205W")</f>
        <v>GRSMNL61D65F205W</v>
      </c>
      <c r="N398" s="7" t="s">
        <v>500</v>
      </c>
      <c r="O398" s="7" t="s">
        <v>360</v>
      </c>
      <c r="P398" s="8">
        <v>44321</v>
      </c>
      <c r="Q398" s="7" t="s">
        <v>32</v>
      </c>
      <c r="R398" s="7" t="s">
        <v>33</v>
      </c>
      <c r="S398" s="7" t="s">
        <v>34</v>
      </c>
      <c r="T398" s="7"/>
      <c r="U398" s="7" t="s">
        <v>35</v>
      </c>
      <c r="V398" s="9">
        <v>2284.59</v>
      </c>
      <c r="W398" s="7">
        <v>985.12</v>
      </c>
      <c r="X398" s="7">
        <v>909.72</v>
      </c>
      <c r="Y398" s="7">
        <v>0</v>
      </c>
      <c r="Z398" s="7">
        <v>389.75</v>
      </c>
    </row>
    <row r="399" spans="1:26" x14ac:dyDescent="0.35">
      <c r="A399" s="7" t="s">
        <v>27</v>
      </c>
      <c r="B399" s="7" t="s">
        <v>36</v>
      </c>
      <c r="C399" s="7" t="s">
        <v>48</v>
      </c>
      <c r="D399" s="7" t="s">
        <v>59</v>
      </c>
      <c r="E399" s="7" t="s">
        <v>47</v>
      </c>
      <c r="F399" s="7" t="s">
        <v>201</v>
      </c>
      <c r="G399" s="7">
        <v>2020</v>
      </c>
      <c r="H399" s="7" t="str">
        <f>CONCATENATE("04210711406")</f>
        <v>04210711406</v>
      </c>
      <c r="I399" s="7" t="s">
        <v>30</v>
      </c>
      <c r="J399" s="7" t="s">
        <v>31</v>
      </c>
      <c r="K399" s="7" t="str">
        <f>CONCATENATE("")</f>
        <v/>
      </c>
      <c r="L399" s="7" t="str">
        <f>CONCATENATE("13 13.1 4a")</f>
        <v>13 13.1 4a</v>
      </c>
      <c r="M399" s="7" t="str">
        <f>CONCATENATE("02681090417")</f>
        <v>02681090417</v>
      </c>
      <c r="N399" s="7" t="s">
        <v>501</v>
      </c>
      <c r="O399" s="7" t="s">
        <v>360</v>
      </c>
      <c r="P399" s="8">
        <v>44321</v>
      </c>
      <c r="Q399" s="7" t="s">
        <v>32</v>
      </c>
      <c r="R399" s="7" t="s">
        <v>33</v>
      </c>
      <c r="S399" s="7" t="s">
        <v>34</v>
      </c>
      <c r="T399" s="7"/>
      <c r="U399" s="7" t="s">
        <v>35</v>
      </c>
      <c r="V399" s="9">
        <v>9000</v>
      </c>
      <c r="W399" s="9">
        <v>3880.8</v>
      </c>
      <c r="X399" s="9">
        <v>3583.8</v>
      </c>
      <c r="Y399" s="7">
        <v>0</v>
      </c>
      <c r="Z399" s="9">
        <v>1535.4</v>
      </c>
    </row>
    <row r="400" spans="1:26" x14ac:dyDescent="0.35">
      <c r="A400" s="7" t="s">
        <v>27</v>
      </c>
      <c r="B400" s="7" t="s">
        <v>36</v>
      </c>
      <c r="C400" s="7" t="s">
        <v>48</v>
      </c>
      <c r="D400" s="7" t="s">
        <v>59</v>
      </c>
      <c r="E400" s="7" t="s">
        <v>29</v>
      </c>
      <c r="F400" s="7" t="s">
        <v>371</v>
      </c>
      <c r="G400" s="7">
        <v>2020</v>
      </c>
      <c r="H400" s="7" t="str">
        <f>CONCATENATE("04210013654")</f>
        <v>04210013654</v>
      </c>
      <c r="I400" s="7" t="s">
        <v>30</v>
      </c>
      <c r="J400" s="7" t="s">
        <v>31</v>
      </c>
      <c r="K400" s="7" t="str">
        <f>CONCATENATE("")</f>
        <v/>
      </c>
      <c r="L400" s="7" t="str">
        <f>CONCATENATE("13 13.1 4a")</f>
        <v>13 13.1 4a</v>
      </c>
      <c r="M400" s="7" t="str">
        <f>CONCATENATE("BBEMLE64R22B816W")</f>
        <v>BBEMLE64R22B816W</v>
      </c>
      <c r="N400" s="7" t="s">
        <v>502</v>
      </c>
      <c r="O400" s="7" t="s">
        <v>360</v>
      </c>
      <c r="P400" s="8">
        <v>44321</v>
      </c>
      <c r="Q400" s="7" t="s">
        <v>32</v>
      </c>
      <c r="R400" s="7" t="s">
        <v>33</v>
      </c>
      <c r="S400" s="7" t="s">
        <v>34</v>
      </c>
      <c r="T400" s="7"/>
      <c r="U400" s="7" t="s">
        <v>35</v>
      </c>
      <c r="V400" s="9">
        <v>1259.58</v>
      </c>
      <c r="W400" s="7">
        <v>543.13</v>
      </c>
      <c r="X400" s="7">
        <v>501.56</v>
      </c>
      <c r="Y400" s="7">
        <v>0</v>
      </c>
      <c r="Z400" s="7">
        <v>214.89</v>
      </c>
    </row>
    <row r="401" spans="1:26" x14ac:dyDescent="0.35">
      <c r="A401" s="7" t="s">
        <v>27</v>
      </c>
      <c r="B401" s="7" t="s">
        <v>36</v>
      </c>
      <c r="C401" s="7" t="s">
        <v>48</v>
      </c>
      <c r="D401" s="7" t="s">
        <v>59</v>
      </c>
      <c r="E401" s="7" t="s">
        <v>29</v>
      </c>
      <c r="F401" s="7" t="s">
        <v>173</v>
      </c>
      <c r="G401" s="7">
        <v>2020</v>
      </c>
      <c r="H401" s="7" t="str">
        <f>CONCATENATE("04210353092")</f>
        <v>04210353092</v>
      </c>
      <c r="I401" s="7" t="s">
        <v>30</v>
      </c>
      <c r="J401" s="7" t="s">
        <v>31</v>
      </c>
      <c r="K401" s="7" t="str">
        <f>CONCATENATE("")</f>
        <v/>
      </c>
      <c r="L401" s="7" t="str">
        <f>CONCATENATE("13 13.1 4a")</f>
        <v>13 13.1 4a</v>
      </c>
      <c r="M401" s="7" t="str">
        <f>CONCATENATE("FLVRNN78H06C745V")</f>
        <v>FLVRNN78H06C745V</v>
      </c>
      <c r="N401" s="7" t="s">
        <v>503</v>
      </c>
      <c r="O401" s="7" t="s">
        <v>360</v>
      </c>
      <c r="P401" s="8">
        <v>44321</v>
      </c>
      <c r="Q401" s="7" t="s">
        <v>32</v>
      </c>
      <c r="R401" s="7" t="s">
        <v>33</v>
      </c>
      <c r="S401" s="7" t="s">
        <v>34</v>
      </c>
      <c r="T401" s="7"/>
      <c r="U401" s="7" t="s">
        <v>35</v>
      </c>
      <c r="V401" s="7">
        <v>586.41</v>
      </c>
      <c r="W401" s="7">
        <v>252.86</v>
      </c>
      <c r="X401" s="7">
        <v>233.51</v>
      </c>
      <c r="Y401" s="7">
        <v>0</v>
      </c>
      <c r="Z401" s="7">
        <v>100.04</v>
      </c>
    </row>
    <row r="402" spans="1:26" x14ac:dyDescent="0.35">
      <c r="A402" s="7" t="s">
        <v>27</v>
      </c>
      <c r="B402" s="7" t="s">
        <v>36</v>
      </c>
      <c r="C402" s="7" t="s">
        <v>48</v>
      </c>
      <c r="D402" s="7" t="s">
        <v>59</v>
      </c>
      <c r="E402" s="7" t="s">
        <v>29</v>
      </c>
      <c r="F402" s="7" t="s">
        <v>195</v>
      </c>
      <c r="G402" s="7">
        <v>2020</v>
      </c>
      <c r="H402" s="7" t="str">
        <f>CONCATENATE("04210304293")</f>
        <v>04210304293</v>
      </c>
      <c r="I402" s="7" t="s">
        <v>30</v>
      </c>
      <c r="J402" s="7" t="s">
        <v>31</v>
      </c>
      <c r="K402" s="7" t="str">
        <f>CONCATENATE("")</f>
        <v/>
      </c>
      <c r="L402" s="7" t="str">
        <f>CONCATENATE("13 13.1 4a")</f>
        <v>13 13.1 4a</v>
      </c>
      <c r="M402" s="7" t="str">
        <f>CONCATENATE("02276370414")</f>
        <v>02276370414</v>
      </c>
      <c r="N402" s="7" t="s">
        <v>504</v>
      </c>
      <c r="O402" s="7" t="s">
        <v>360</v>
      </c>
      <c r="P402" s="8">
        <v>44321</v>
      </c>
      <c r="Q402" s="7" t="s">
        <v>32</v>
      </c>
      <c r="R402" s="7" t="s">
        <v>33</v>
      </c>
      <c r="S402" s="7" t="s">
        <v>34</v>
      </c>
      <c r="T402" s="7"/>
      <c r="U402" s="7" t="s">
        <v>35</v>
      </c>
      <c r="V402" s="9">
        <v>1361.17</v>
      </c>
      <c r="W402" s="7">
        <v>586.94000000000005</v>
      </c>
      <c r="X402" s="7">
        <v>542.02</v>
      </c>
      <c r="Y402" s="7">
        <v>0</v>
      </c>
      <c r="Z402" s="7">
        <v>232.21</v>
      </c>
    </row>
    <row r="403" spans="1:26" x14ac:dyDescent="0.35">
      <c r="A403" s="7" t="s">
        <v>27</v>
      </c>
      <c r="B403" s="7" t="s">
        <v>36</v>
      </c>
      <c r="C403" s="7" t="s">
        <v>48</v>
      </c>
      <c r="D403" s="7" t="s">
        <v>59</v>
      </c>
      <c r="E403" s="7" t="s">
        <v>29</v>
      </c>
      <c r="F403" s="7" t="s">
        <v>225</v>
      </c>
      <c r="G403" s="7">
        <v>2020</v>
      </c>
      <c r="H403" s="7" t="str">
        <f>CONCATENATE("04210215861")</f>
        <v>04210215861</v>
      </c>
      <c r="I403" s="7" t="s">
        <v>30</v>
      </c>
      <c r="J403" s="7" t="s">
        <v>31</v>
      </c>
      <c r="K403" s="7" t="str">
        <f>CONCATENATE("")</f>
        <v/>
      </c>
      <c r="L403" s="7" t="str">
        <f>CONCATENATE("13 13.1 4a")</f>
        <v>13 13.1 4a</v>
      </c>
      <c r="M403" s="7" t="str">
        <f>CONCATENATE("STRCSR62A12D791T")</f>
        <v>STRCSR62A12D791T</v>
      </c>
      <c r="N403" s="7" t="s">
        <v>505</v>
      </c>
      <c r="O403" s="7" t="s">
        <v>360</v>
      </c>
      <c r="P403" s="8">
        <v>44321</v>
      </c>
      <c r="Q403" s="7" t="s">
        <v>32</v>
      </c>
      <c r="R403" s="7" t="s">
        <v>33</v>
      </c>
      <c r="S403" s="7" t="s">
        <v>34</v>
      </c>
      <c r="T403" s="7"/>
      <c r="U403" s="7" t="s">
        <v>35</v>
      </c>
      <c r="V403" s="7">
        <v>80.400000000000006</v>
      </c>
      <c r="W403" s="7">
        <v>34.67</v>
      </c>
      <c r="X403" s="7">
        <v>32.020000000000003</v>
      </c>
      <c r="Y403" s="7">
        <v>0</v>
      </c>
      <c r="Z403" s="7">
        <v>13.71</v>
      </c>
    </row>
    <row r="404" spans="1:26" x14ac:dyDescent="0.35">
      <c r="A404" s="7" t="s">
        <v>27</v>
      </c>
      <c r="B404" s="7" t="s">
        <v>36</v>
      </c>
      <c r="C404" s="7" t="s">
        <v>48</v>
      </c>
      <c r="D404" s="7" t="s">
        <v>59</v>
      </c>
      <c r="E404" s="7" t="s">
        <v>29</v>
      </c>
      <c r="F404" s="7" t="s">
        <v>173</v>
      </c>
      <c r="G404" s="7">
        <v>2020</v>
      </c>
      <c r="H404" s="7" t="str">
        <f>CONCATENATE("04210303287")</f>
        <v>04210303287</v>
      </c>
      <c r="I404" s="7" t="s">
        <v>30</v>
      </c>
      <c r="J404" s="7" t="s">
        <v>31</v>
      </c>
      <c r="K404" s="7" t="str">
        <f>CONCATENATE("")</f>
        <v/>
      </c>
      <c r="L404" s="7" t="str">
        <f>CONCATENATE("13 13.1 4a")</f>
        <v>13 13.1 4a</v>
      </c>
      <c r="M404" s="7" t="str">
        <f>CONCATENATE("SGUMRC60T25D749P")</f>
        <v>SGUMRC60T25D749P</v>
      </c>
      <c r="N404" s="7" t="s">
        <v>506</v>
      </c>
      <c r="O404" s="7" t="s">
        <v>360</v>
      </c>
      <c r="P404" s="8">
        <v>44321</v>
      </c>
      <c r="Q404" s="7" t="s">
        <v>32</v>
      </c>
      <c r="R404" s="7" t="s">
        <v>33</v>
      </c>
      <c r="S404" s="7" t="s">
        <v>34</v>
      </c>
      <c r="T404" s="7"/>
      <c r="U404" s="7" t="s">
        <v>35</v>
      </c>
      <c r="V404" s="9">
        <v>2042.06</v>
      </c>
      <c r="W404" s="7">
        <v>880.54</v>
      </c>
      <c r="X404" s="7">
        <v>813.15</v>
      </c>
      <c r="Y404" s="7">
        <v>0</v>
      </c>
      <c r="Z404" s="7">
        <v>348.37</v>
      </c>
    </row>
    <row r="405" spans="1:26" x14ac:dyDescent="0.35">
      <c r="A405" s="7" t="s">
        <v>27</v>
      </c>
      <c r="B405" s="7" t="s">
        <v>36</v>
      </c>
      <c r="C405" s="7" t="s">
        <v>48</v>
      </c>
      <c r="D405" s="7" t="s">
        <v>59</v>
      </c>
      <c r="E405" s="7" t="s">
        <v>29</v>
      </c>
      <c r="F405" s="7" t="s">
        <v>225</v>
      </c>
      <c r="G405" s="7">
        <v>2020</v>
      </c>
      <c r="H405" s="7" t="str">
        <f>CONCATENATE("04210091833")</f>
        <v>04210091833</v>
      </c>
      <c r="I405" s="7" t="s">
        <v>30</v>
      </c>
      <c r="J405" s="7" t="s">
        <v>31</v>
      </c>
      <c r="K405" s="7" t="str">
        <f>CONCATENATE("")</f>
        <v/>
      </c>
      <c r="L405" s="7" t="str">
        <f>CONCATENATE("13 13.1 4a")</f>
        <v>13 13.1 4a</v>
      </c>
      <c r="M405" s="7" t="str">
        <f>CONCATENATE("CHSGNN72R12D488F")</f>
        <v>CHSGNN72R12D488F</v>
      </c>
      <c r="N405" s="7" t="s">
        <v>507</v>
      </c>
      <c r="O405" s="7" t="s">
        <v>360</v>
      </c>
      <c r="P405" s="8">
        <v>44321</v>
      </c>
      <c r="Q405" s="7" t="s">
        <v>32</v>
      </c>
      <c r="R405" s="7" t="s">
        <v>33</v>
      </c>
      <c r="S405" s="7" t="s">
        <v>34</v>
      </c>
      <c r="T405" s="7"/>
      <c r="U405" s="7" t="s">
        <v>35</v>
      </c>
      <c r="V405" s="7">
        <v>376.92</v>
      </c>
      <c r="W405" s="7">
        <v>162.53</v>
      </c>
      <c r="X405" s="7">
        <v>150.09</v>
      </c>
      <c r="Y405" s="7">
        <v>0</v>
      </c>
      <c r="Z405" s="7">
        <v>64.3</v>
      </c>
    </row>
    <row r="406" spans="1:26" x14ac:dyDescent="0.35">
      <c r="A406" s="7" t="s">
        <v>27</v>
      </c>
      <c r="B406" s="7" t="s">
        <v>36</v>
      </c>
      <c r="C406" s="7" t="s">
        <v>48</v>
      </c>
      <c r="D406" s="7" t="s">
        <v>59</v>
      </c>
      <c r="E406" s="7" t="s">
        <v>29</v>
      </c>
      <c r="F406" s="7" t="s">
        <v>173</v>
      </c>
      <c r="G406" s="7">
        <v>2020</v>
      </c>
      <c r="H406" s="7" t="str">
        <f>CONCATENATE("04210456432")</f>
        <v>04210456432</v>
      </c>
      <c r="I406" s="7" t="s">
        <v>30</v>
      </c>
      <c r="J406" s="7" t="s">
        <v>31</v>
      </c>
      <c r="K406" s="7" t="str">
        <f>CONCATENATE("")</f>
        <v/>
      </c>
      <c r="L406" s="7" t="str">
        <f>CONCATENATE("13 13.1 4a")</f>
        <v>13 13.1 4a</v>
      </c>
      <c r="M406" s="7" t="str">
        <f>CONCATENATE("GMBMRN50P08F497F")</f>
        <v>GMBMRN50P08F497F</v>
      </c>
      <c r="N406" s="7" t="s">
        <v>508</v>
      </c>
      <c r="O406" s="7" t="s">
        <v>360</v>
      </c>
      <c r="P406" s="8">
        <v>44321</v>
      </c>
      <c r="Q406" s="7" t="s">
        <v>32</v>
      </c>
      <c r="R406" s="7" t="s">
        <v>33</v>
      </c>
      <c r="S406" s="7" t="s">
        <v>34</v>
      </c>
      <c r="T406" s="7"/>
      <c r="U406" s="7" t="s">
        <v>35</v>
      </c>
      <c r="V406" s="9">
        <v>2329.1999999999998</v>
      </c>
      <c r="W406" s="9">
        <v>1004.35</v>
      </c>
      <c r="X406" s="7">
        <v>927.49</v>
      </c>
      <c r="Y406" s="7">
        <v>0</v>
      </c>
      <c r="Z406" s="7">
        <v>397.36</v>
      </c>
    </row>
    <row r="407" spans="1:26" x14ac:dyDescent="0.35">
      <c r="A407" s="7" t="s">
        <v>27</v>
      </c>
      <c r="B407" s="7" t="s">
        <v>36</v>
      </c>
      <c r="C407" s="7" t="s">
        <v>48</v>
      </c>
      <c r="D407" s="7" t="s">
        <v>59</v>
      </c>
      <c r="E407" s="7" t="s">
        <v>29</v>
      </c>
      <c r="F407" s="7" t="s">
        <v>317</v>
      </c>
      <c r="G407" s="7">
        <v>2020</v>
      </c>
      <c r="H407" s="7" t="str">
        <f>CONCATENATE("04210500981")</f>
        <v>04210500981</v>
      </c>
      <c r="I407" s="7" t="s">
        <v>30</v>
      </c>
      <c r="J407" s="7" t="s">
        <v>31</v>
      </c>
      <c r="K407" s="7" t="str">
        <f>CONCATENATE("")</f>
        <v/>
      </c>
      <c r="L407" s="7" t="str">
        <f>CONCATENATE("13 13.1 4a")</f>
        <v>13 13.1 4a</v>
      </c>
      <c r="M407" s="7" t="str">
        <f>CONCATENATE("01407050416")</f>
        <v>01407050416</v>
      </c>
      <c r="N407" s="7" t="s">
        <v>509</v>
      </c>
      <c r="O407" s="7" t="s">
        <v>360</v>
      </c>
      <c r="P407" s="8">
        <v>44321</v>
      </c>
      <c r="Q407" s="7" t="s">
        <v>32</v>
      </c>
      <c r="R407" s="7" t="s">
        <v>33</v>
      </c>
      <c r="S407" s="7" t="s">
        <v>34</v>
      </c>
      <c r="T407" s="7"/>
      <c r="U407" s="7" t="s">
        <v>35</v>
      </c>
      <c r="V407" s="7">
        <v>658.26</v>
      </c>
      <c r="W407" s="7">
        <v>283.83999999999997</v>
      </c>
      <c r="X407" s="7">
        <v>262.12</v>
      </c>
      <c r="Y407" s="7">
        <v>0</v>
      </c>
      <c r="Z407" s="7">
        <v>112.3</v>
      </c>
    </row>
    <row r="408" spans="1:26" x14ac:dyDescent="0.35">
      <c r="A408" s="7" t="s">
        <v>27</v>
      </c>
      <c r="B408" s="7" t="s">
        <v>36</v>
      </c>
      <c r="C408" s="7" t="s">
        <v>48</v>
      </c>
      <c r="D408" s="7" t="s">
        <v>59</v>
      </c>
      <c r="E408" s="7" t="s">
        <v>29</v>
      </c>
      <c r="F408" s="7" t="s">
        <v>317</v>
      </c>
      <c r="G408" s="7">
        <v>2020</v>
      </c>
      <c r="H408" s="7" t="str">
        <f>CONCATENATE("04210817369")</f>
        <v>04210817369</v>
      </c>
      <c r="I408" s="7" t="s">
        <v>30</v>
      </c>
      <c r="J408" s="7" t="s">
        <v>31</v>
      </c>
      <c r="K408" s="7" t="str">
        <f>CONCATENATE("")</f>
        <v/>
      </c>
      <c r="L408" s="7" t="str">
        <f>CONCATENATE("13 13.1 4a")</f>
        <v>13 13.1 4a</v>
      </c>
      <c r="M408" s="7" t="str">
        <f>CONCATENATE("PCCGBR54H05B352U")</f>
        <v>PCCGBR54H05B352U</v>
      </c>
      <c r="N408" s="7" t="s">
        <v>510</v>
      </c>
      <c r="O408" s="7" t="s">
        <v>360</v>
      </c>
      <c r="P408" s="8">
        <v>44321</v>
      </c>
      <c r="Q408" s="7" t="s">
        <v>32</v>
      </c>
      <c r="R408" s="7" t="s">
        <v>33</v>
      </c>
      <c r="S408" s="7" t="s">
        <v>34</v>
      </c>
      <c r="T408" s="7"/>
      <c r="U408" s="7" t="s">
        <v>35</v>
      </c>
      <c r="V408" s="9">
        <v>2155.3000000000002</v>
      </c>
      <c r="W408" s="7">
        <v>929.37</v>
      </c>
      <c r="X408" s="7">
        <v>858.24</v>
      </c>
      <c r="Y408" s="7">
        <v>0</v>
      </c>
      <c r="Z408" s="7">
        <v>367.69</v>
      </c>
    </row>
    <row r="409" spans="1:26" x14ac:dyDescent="0.35">
      <c r="A409" s="7" t="s">
        <v>27</v>
      </c>
      <c r="B409" s="7" t="s">
        <v>36</v>
      </c>
      <c r="C409" s="7" t="s">
        <v>48</v>
      </c>
      <c r="D409" s="7" t="s">
        <v>56</v>
      </c>
      <c r="E409" s="7" t="s">
        <v>29</v>
      </c>
      <c r="F409" s="7" t="s">
        <v>285</v>
      </c>
      <c r="G409" s="7">
        <v>2020</v>
      </c>
      <c r="H409" s="7" t="str">
        <f>CONCATENATE("04240151979")</f>
        <v>04240151979</v>
      </c>
      <c r="I409" s="7" t="s">
        <v>30</v>
      </c>
      <c r="J409" s="7" t="s">
        <v>31</v>
      </c>
      <c r="K409" s="7" t="str">
        <f>CONCATENATE("")</f>
        <v/>
      </c>
      <c r="L409" s="7" t="str">
        <f>CONCATENATE("10 10.1 4a")</f>
        <v>10 10.1 4a</v>
      </c>
      <c r="M409" s="7" t="str">
        <f>CONCATENATE("BNFMRL40T60G157L")</f>
        <v>BNFMRL40T60G157L</v>
      </c>
      <c r="N409" s="7" t="s">
        <v>511</v>
      </c>
      <c r="O409" s="7" t="s">
        <v>394</v>
      </c>
      <c r="P409" s="8">
        <v>44321</v>
      </c>
      <c r="Q409" s="7" t="s">
        <v>32</v>
      </c>
      <c r="R409" s="7" t="s">
        <v>33</v>
      </c>
      <c r="S409" s="7" t="s">
        <v>34</v>
      </c>
      <c r="T409" s="7"/>
      <c r="U409" s="7" t="s">
        <v>35</v>
      </c>
      <c r="V409" s="7">
        <v>231.52</v>
      </c>
      <c r="W409" s="7">
        <v>99.83</v>
      </c>
      <c r="X409" s="7">
        <v>92.19</v>
      </c>
      <c r="Y409" s="7">
        <v>0</v>
      </c>
      <c r="Z409" s="7">
        <v>39.5</v>
      </c>
    </row>
    <row r="410" spans="1:26" x14ac:dyDescent="0.35">
      <c r="A410" s="7" t="s">
        <v>27</v>
      </c>
      <c r="B410" s="7" t="s">
        <v>36</v>
      </c>
      <c r="C410" s="7" t="s">
        <v>48</v>
      </c>
      <c r="D410" s="7" t="s">
        <v>56</v>
      </c>
      <c r="E410" s="7" t="s">
        <v>40</v>
      </c>
      <c r="F410" s="7" t="s">
        <v>272</v>
      </c>
      <c r="G410" s="7">
        <v>2020</v>
      </c>
      <c r="H410" s="7" t="str">
        <f>CONCATENATE("04240241861")</f>
        <v>04240241861</v>
      </c>
      <c r="I410" s="7" t="s">
        <v>30</v>
      </c>
      <c r="J410" s="7" t="s">
        <v>31</v>
      </c>
      <c r="K410" s="7" t="str">
        <f>CONCATENATE("")</f>
        <v/>
      </c>
      <c r="L410" s="7" t="str">
        <f>CONCATENATE("10 10.1 4a")</f>
        <v>10 10.1 4a</v>
      </c>
      <c r="M410" s="7" t="str">
        <f>CONCATENATE("ZCCRLL63A48E388M")</f>
        <v>ZCCRLL63A48E388M</v>
      </c>
      <c r="N410" s="7" t="s">
        <v>512</v>
      </c>
      <c r="O410" s="7" t="s">
        <v>394</v>
      </c>
      <c r="P410" s="8">
        <v>44321</v>
      </c>
      <c r="Q410" s="7" t="s">
        <v>32</v>
      </c>
      <c r="R410" s="7" t="s">
        <v>33</v>
      </c>
      <c r="S410" s="7" t="s">
        <v>34</v>
      </c>
      <c r="T410" s="7"/>
      <c r="U410" s="7" t="s">
        <v>35</v>
      </c>
      <c r="V410" s="9">
        <v>3144.04</v>
      </c>
      <c r="W410" s="9">
        <v>1355.71</v>
      </c>
      <c r="X410" s="9">
        <v>1251.96</v>
      </c>
      <c r="Y410" s="7">
        <v>0</v>
      </c>
      <c r="Z410" s="7">
        <v>536.37</v>
      </c>
    </row>
    <row r="411" spans="1:26" x14ac:dyDescent="0.35">
      <c r="A411" s="7" t="s">
        <v>27</v>
      </c>
      <c r="B411" s="7" t="s">
        <v>36</v>
      </c>
      <c r="C411" s="7" t="s">
        <v>48</v>
      </c>
      <c r="D411" s="7" t="s">
        <v>59</v>
      </c>
      <c r="E411" s="7" t="s">
        <v>29</v>
      </c>
      <c r="F411" s="7" t="s">
        <v>225</v>
      </c>
      <c r="G411" s="7">
        <v>2020</v>
      </c>
      <c r="H411" s="7" t="str">
        <f>CONCATENATE("04210095578")</f>
        <v>04210095578</v>
      </c>
      <c r="I411" s="7" t="s">
        <v>30</v>
      </c>
      <c r="J411" s="7" t="s">
        <v>31</v>
      </c>
      <c r="K411" s="7" t="str">
        <f>CONCATENATE("")</f>
        <v/>
      </c>
      <c r="L411" s="7" t="str">
        <f>CONCATENATE("13 13.1 4a")</f>
        <v>13 13.1 4a</v>
      </c>
      <c r="M411" s="7" t="str">
        <f>CONCATENATE("CTNDNC59A16I654P")</f>
        <v>CTNDNC59A16I654P</v>
      </c>
      <c r="N411" s="7" t="s">
        <v>513</v>
      </c>
      <c r="O411" s="7" t="s">
        <v>360</v>
      </c>
      <c r="P411" s="8">
        <v>44321</v>
      </c>
      <c r="Q411" s="7" t="s">
        <v>32</v>
      </c>
      <c r="R411" s="7" t="s">
        <v>33</v>
      </c>
      <c r="S411" s="7" t="s">
        <v>34</v>
      </c>
      <c r="T411" s="7"/>
      <c r="U411" s="7" t="s">
        <v>35</v>
      </c>
      <c r="V411" s="7">
        <v>49.94</v>
      </c>
      <c r="W411" s="7">
        <v>21.53</v>
      </c>
      <c r="X411" s="7">
        <v>19.89</v>
      </c>
      <c r="Y411" s="7">
        <v>0</v>
      </c>
      <c r="Z411" s="7">
        <v>8.52</v>
      </c>
    </row>
    <row r="412" spans="1:26" x14ac:dyDescent="0.35">
      <c r="A412" s="7" t="s">
        <v>27</v>
      </c>
      <c r="B412" s="7" t="s">
        <v>36</v>
      </c>
      <c r="C412" s="7" t="s">
        <v>48</v>
      </c>
      <c r="D412" s="7" t="s">
        <v>59</v>
      </c>
      <c r="E412" s="7" t="s">
        <v>29</v>
      </c>
      <c r="F412" s="7" t="s">
        <v>371</v>
      </c>
      <c r="G412" s="7">
        <v>2020</v>
      </c>
      <c r="H412" s="7" t="str">
        <f>CONCATENATE("04210138139")</f>
        <v>04210138139</v>
      </c>
      <c r="I412" s="7" t="s">
        <v>30</v>
      </c>
      <c r="J412" s="7" t="s">
        <v>31</v>
      </c>
      <c r="K412" s="7" t="str">
        <f>CONCATENATE("")</f>
        <v/>
      </c>
      <c r="L412" s="7" t="str">
        <f>CONCATENATE("13 13.1 4a")</f>
        <v>13 13.1 4a</v>
      </c>
      <c r="M412" s="7" t="str">
        <f>CONCATENATE("00409290418")</f>
        <v>00409290418</v>
      </c>
      <c r="N412" s="7" t="s">
        <v>514</v>
      </c>
      <c r="O412" s="7" t="s">
        <v>360</v>
      </c>
      <c r="P412" s="8">
        <v>44321</v>
      </c>
      <c r="Q412" s="7" t="s">
        <v>32</v>
      </c>
      <c r="R412" s="7" t="s">
        <v>33</v>
      </c>
      <c r="S412" s="7" t="s">
        <v>34</v>
      </c>
      <c r="T412" s="7"/>
      <c r="U412" s="7" t="s">
        <v>35</v>
      </c>
      <c r="V412" s="7">
        <v>565.95000000000005</v>
      </c>
      <c r="W412" s="7">
        <v>244.04</v>
      </c>
      <c r="X412" s="7">
        <v>225.36</v>
      </c>
      <c r="Y412" s="7">
        <v>0</v>
      </c>
      <c r="Z412" s="7">
        <v>96.55</v>
      </c>
    </row>
    <row r="413" spans="1:26" x14ac:dyDescent="0.35">
      <c r="A413" s="7" t="s">
        <v>27</v>
      </c>
      <c r="B413" s="7" t="s">
        <v>36</v>
      </c>
      <c r="C413" s="7" t="s">
        <v>48</v>
      </c>
      <c r="D413" s="7" t="s">
        <v>59</v>
      </c>
      <c r="E413" s="7" t="s">
        <v>29</v>
      </c>
      <c r="F413" s="7" t="s">
        <v>317</v>
      </c>
      <c r="G413" s="7">
        <v>2020</v>
      </c>
      <c r="H413" s="7" t="str">
        <f>CONCATENATE("04210475481")</f>
        <v>04210475481</v>
      </c>
      <c r="I413" s="7" t="s">
        <v>30</v>
      </c>
      <c r="J413" s="7" t="s">
        <v>31</v>
      </c>
      <c r="K413" s="7" t="str">
        <f>CONCATENATE("")</f>
        <v/>
      </c>
      <c r="L413" s="7" t="str">
        <f>CONCATENATE("13 13.1 4a")</f>
        <v>13 13.1 4a</v>
      </c>
      <c r="M413" s="7" t="str">
        <f>CONCATENATE("02207970415")</f>
        <v>02207970415</v>
      </c>
      <c r="N413" s="7" t="s">
        <v>515</v>
      </c>
      <c r="O413" s="7" t="s">
        <v>360</v>
      </c>
      <c r="P413" s="8">
        <v>44321</v>
      </c>
      <c r="Q413" s="7" t="s">
        <v>32</v>
      </c>
      <c r="R413" s="7" t="s">
        <v>33</v>
      </c>
      <c r="S413" s="7" t="s">
        <v>34</v>
      </c>
      <c r="T413" s="7"/>
      <c r="U413" s="7" t="s">
        <v>35</v>
      </c>
      <c r="V413" s="9">
        <v>1825.26</v>
      </c>
      <c r="W413" s="7">
        <v>787.05</v>
      </c>
      <c r="X413" s="7">
        <v>726.82</v>
      </c>
      <c r="Y413" s="7">
        <v>0</v>
      </c>
      <c r="Z413" s="7">
        <v>311.39</v>
      </c>
    </row>
    <row r="414" spans="1:26" x14ac:dyDescent="0.35">
      <c r="A414" s="7" t="s">
        <v>27</v>
      </c>
      <c r="B414" s="7" t="s">
        <v>36</v>
      </c>
      <c r="C414" s="7" t="s">
        <v>48</v>
      </c>
      <c r="D414" s="7" t="s">
        <v>56</v>
      </c>
      <c r="E414" s="7" t="s">
        <v>29</v>
      </c>
      <c r="F414" s="7" t="s">
        <v>113</v>
      </c>
      <c r="G414" s="7">
        <v>2020</v>
      </c>
      <c r="H414" s="7" t="str">
        <f>CONCATENATE("04240843955")</f>
        <v>04240843955</v>
      </c>
      <c r="I414" s="7" t="s">
        <v>30</v>
      </c>
      <c r="J414" s="7" t="s">
        <v>31</v>
      </c>
      <c r="K414" s="7" t="str">
        <f>CONCATENATE("")</f>
        <v/>
      </c>
      <c r="L414" s="7" t="str">
        <f>CONCATENATE("10 10.1 4a")</f>
        <v>10 10.1 4a</v>
      </c>
      <c r="M414" s="7" t="str">
        <f>CONCATENATE("CPPSNT59L46D451M")</f>
        <v>CPPSNT59L46D451M</v>
      </c>
      <c r="N414" s="7" t="s">
        <v>516</v>
      </c>
      <c r="O414" s="7" t="s">
        <v>394</v>
      </c>
      <c r="P414" s="8">
        <v>44321</v>
      </c>
      <c r="Q414" s="7" t="s">
        <v>32</v>
      </c>
      <c r="R414" s="7" t="s">
        <v>33</v>
      </c>
      <c r="S414" s="7" t="s">
        <v>34</v>
      </c>
      <c r="T414" s="7"/>
      <c r="U414" s="7" t="s">
        <v>35</v>
      </c>
      <c r="V414" s="7">
        <v>120</v>
      </c>
      <c r="W414" s="7">
        <v>51.74</v>
      </c>
      <c r="X414" s="7">
        <v>47.78</v>
      </c>
      <c r="Y414" s="7">
        <v>0</v>
      </c>
      <c r="Z414" s="7">
        <v>20.48</v>
      </c>
    </row>
    <row r="415" spans="1:26" x14ac:dyDescent="0.35">
      <c r="A415" s="7" t="s">
        <v>27</v>
      </c>
      <c r="B415" s="7" t="s">
        <v>36</v>
      </c>
      <c r="C415" s="7" t="s">
        <v>48</v>
      </c>
      <c r="D415" s="7" t="s">
        <v>59</v>
      </c>
      <c r="E415" s="7" t="s">
        <v>29</v>
      </c>
      <c r="F415" s="7" t="s">
        <v>173</v>
      </c>
      <c r="G415" s="7">
        <v>2020</v>
      </c>
      <c r="H415" s="7" t="str">
        <f>CONCATENATE("04210773174")</f>
        <v>04210773174</v>
      </c>
      <c r="I415" s="7" t="s">
        <v>30</v>
      </c>
      <c r="J415" s="7" t="s">
        <v>31</v>
      </c>
      <c r="K415" s="7" t="str">
        <f>CONCATENATE("")</f>
        <v/>
      </c>
      <c r="L415" s="7" t="str">
        <f>CONCATENATE("13 13.1 4a")</f>
        <v>13 13.1 4a</v>
      </c>
      <c r="M415" s="7" t="str">
        <f>CONCATENATE("CRNFRC71T06D749T")</f>
        <v>CRNFRC71T06D749T</v>
      </c>
      <c r="N415" s="7" t="s">
        <v>517</v>
      </c>
      <c r="O415" s="7" t="s">
        <v>360</v>
      </c>
      <c r="P415" s="8">
        <v>44321</v>
      </c>
      <c r="Q415" s="7" t="s">
        <v>32</v>
      </c>
      <c r="R415" s="7" t="s">
        <v>33</v>
      </c>
      <c r="S415" s="7" t="s">
        <v>34</v>
      </c>
      <c r="T415" s="7"/>
      <c r="U415" s="7" t="s">
        <v>35</v>
      </c>
      <c r="V415" s="9">
        <v>1147.28</v>
      </c>
      <c r="W415" s="7">
        <v>494.71</v>
      </c>
      <c r="X415" s="7">
        <v>456.85</v>
      </c>
      <c r="Y415" s="7">
        <v>0</v>
      </c>
      <c r="Z415" s="7">
        <v>195.72</v>
      </c>
    </row>
    <row r="416" spans="1:26" x14ac:dyDescent="0.35">
      <c r="A416" s="7" t="s">
        <v>27</v>
      </c>
      <c r="B416" s="7" t="s">
        <v>36</v>
      </c>
      <c r="C416" s="7" t="s">
        <v>48</v>
      </c>
      <c r="D416" s="7" t="s">
        <v>59</v>
      </c>
      <c r="E416" s="7" t="s">
        <v>29</v>
      </c>
      <c r="F416" s="7" t="s">
        <v>225</v>
      </c>
      <c r="G416" s="7">
        <v>2020</v>
      </c>
      <c r="H416" s="7" t="str">
        <f>CONCATENATE("04210819894")</f>
        <v>04210819894</v>
      </c>
      <c r="I416" s="7" t="s">
        <v>30</v>
      </c>
      <c r="J416" s="7" t="s">
        <v>31</v>
      </c>
      <c r="K416" s="7" t="str">
        <f>CONCATENATE("")</f>
        <v/>
      </c>
      <c r="L416" s="7" t="str">
        <f>CONCATENATE("13 13.1 4a")</f>
        <v>13 13.1 4a</v>
      </c>
      <c r="M416" s="7" t="str">
        <f>CONCATENATE("00322350414")</f>
        <v>00322350414</v>
      </c>
      <c r="N416" s="7" t="s">
        <v>518</v>
      </c>
      <c r="O416" s="7" t="s">
        <v>360</v>
      </c>
      <c r="P416" s="8">
        <v>44321</v>
      </c>
      <c r="Q416" s="7" t="s">
        <v>32</v>
      </c>
      <c r="R416" s="7" t="s">
        <v>33</v>
      </c>
      <c r="S416" s="7" t="s">
        <v>34</v>
      </c>
      <c r="T416" s="7"/>
      <c r="U416" s="7" t="s">
        <v>35</v>
      </c>
      <c r="V416" s="9">
        <v>3844.43</v>
      </c>
      <c r="W416" s="9">
        <v>1657.72</v>
      </c>
      <c r="X416" s="9">
        <v>1530.85</v>
      </c>
      <c r="Y416" s="7">
        <v>0</v>
      </c>
      <c r="Z416" s="7">
        <v>655.86</v>
      </c>
    </row>
    <row r="417" spans="1:26" x14ac:dyDescent="0.35">
      <c r="A417" s="7" t="s">
        <v>27</v>
      </c>
      <c r="B417" s="7" t="s">
        <v>36</v>
      </c>
      <c r="C417" s="7" t="s">
        <v>48</v>
      </c>
      <c r="D417" s="7" t="s">
        <v>59</v>
      </c>
      <c r="E417" s="7" t="s">
        <v>29</v>
      </c>
      <c r="F417" s="7" t="s">
        <v>225</v>
      </c>
      <c r="G417" s="7">
        <v>2020</v>
      </c>
      <c r="H417" s="7" t="str">
        <f>CONCATENATE("04210659936")</f>
        <v>04210659936</v>
      </c>
      <c r="I417" s="7" t="s">
        <v>30</v>
      </c>
      <c r="J417" s="7" t="s">
        <v>31</v>
      </c>
      <c r="K417" s="7" t="str">
        <f>CONCATENATE("")</f>
        <v/>
      </c>
      <c r="L417" s="7" t="str">
        <f>CONCATENATE("13 13.1 4a")</f>
        <v>13 13.1 4a</v>
      </c>
      <c r="M417" s="7" t="str">
        <f>CONCATENATE("CCCGLN74S09H886I")</f>
        <v>CCCGLN74S09H886I</v>
      </c>
      <c r="N417" s="7" t="s">
        <v>519</v>
      </c>
      <c r="O417" s="7" t="s">
        <v>360</v>
      </c>
      <c r="P417" s="8">
        <v>44321</v>
      </c>
      <c r="Q417" s="7" t="s">
        <v>32</v>
      </c>
      <c r="R417" s="7" t="s">
        <v>33</v>
      </c>
      <c r="S417" s="7" t="s">
        <v>34</v>
      </c>
      <c r="T417" s="7"/>
      <c r="U417" s="7" t="s">
        <v>35</v>
      </c>
      <c r="V417" s="7">
        <v>494.68</v>
      </c>
      <c r="W417" s="7">
        <v>213.31</v>
      </c>
      <c r="X417" s="7">
        <v>196.98</v>
      </c>
      <c r="Y417" s="7">
        <v>0</v>
      </c>
      <c r="Z417" s="7">
        <v>84.39</v>
      </c>
    </row>
    <row r="418" spans="1:26" x14ac:dyDescent="0.35">
      <c r="A418" s="7" t="s">
        <v>27</v>
      </c>
      <c r="B418" s="7" t="s">
        <v>36</v>
      </c>
      <c r="C418" s="7" t="s">
        <v>48</v>
      </c>
      <c r="D418" s="7" t="s">
        <v>59</v>
      </c>
      <c r="E418" s="7" t="s">
        <v>29</v>
      </c>
      <c r="F418" s="7" t="s">
        <v>68</v>
      </c>
      <c r="G418" s="7">
        <v>2020</v>
      </c>
      <c r="H418" s="7" t="str">
        <f>CONCATENATE("04210610897")</f>
        <v>04210610897</v>
      </c>
      <c r="I418" s="7" t="s">
        <v>30</v>
      </c>
      <c r="J418" s="7" t="s">
        <v>31</v>
      </c>
      <c r="K418" s="7" t="str">
        <f>CONCATENATE("")</f>
        <v/>
      </c>
      <c r="L418" s="7" t="str">
        <f>CONCATENATE("13 13.1 4a")</f>
        <v>13 13.1 4a</v>
      </c>
      <c r="M418" s="7" t="str">
        <f>CONCATENATE("CRRTZN52L09D749O")</f>
        <v>CRRTZN52L09D749O</v>
      </c>
      <c r="N418" s="7" t="s">
        <v>520</v>
      </c>
      <c r="O418" s="7" t="s">
        <v>360</v>
      </c>
      <c r="P418" s="8">
        <v>44321</v>
      </c>
      <c r="Q418" s="7" t="s">
        <v>32</v>
      </c>
      <c r="R418" s="7" t="s">
        <v>33</v>
      </c>
      <c r="S418" s="7" t="s">
        <v>34</v>
      </c>
      <c r="T418" s="7"/>
      <c r="U418" s="7" t="s">
        <v>35</v>
      </c>
      <c r="V418" s="7">
        <v>714.14</v>
      </c>
      <c r="W418" s="7">
        <v>307.94</v>
      </c>
      <c r="X418" s="7">
        <v>284.37</v>
      </c>
      <c r="Y418" s="7">
        <v>0</v>
      </c>
      <c r="Z418" s="7">
        <v>121.83</v>
      </c>
    </row>
    <row r="419" spans="1:26" x14ac:dyDescent="0.35">
      <c r="A419" s="7" t="s">
        <v>27</v>
      </c>
      <c r="B419" s="7" t="s">
        <v>36</v>
      </c>
      <c r="C419" s="7" t="s">
        <v>48</v>
      </c>
      <c r="D419" s="7" t="s">
        <v>59</v>
      </c>
      <c r="E419" s="7" t="s">
        <v>40</v>
      </c>
      <c r="F419" s="7" t="s">
        <v>154</v>
      </c>
      <c r="G419" s="7">
        <v>2020</v>
      </c>
      <c r="H419" s="7" t="str">
        <f>CONCATENATE("04210293371")</f>
        <v>04210293371</v>
      </c>
      <c r="I419" s="7" t="s">
        <v>30</v>
      </c>
      <c r="J419" s="7" t="s">
        <v>31</v>
      </c>
      <c r="K419" s="7" t="str">
        <f>CONCATENATE("")</f>
        <v/>
      </c>
      <c r="L419" s="7" t="str">
        <f>CONCATENATE("13 13.1 4a")</f>
        <v>13 13.1 4a</v>
      </c>
      <c r="M419" s="7" t="str">
        <f>CONCATENATE("01266920410")</f>
        <v>01266920410</v>
      </c>
      <c r="N419" s="7" t="s">
        <v>521</v>
      </c>
      <c r="O419" s="7" t="s">
        <v>360</v>
      </c>
      <c r="P419" s="8">
        <v>44321</v>
      </c>
      <c r="Q419" s="7" t="s">
        <v>32</v>
      </c>
      <c r="R419" s="7" t="s">
        <v>33</v>
      </c>
      <c r="S419" s="7" t="s">
        <v>34</v>
      </c>
      <c r="T419" s="7"/>
      <c r="U419" s="7" t="s">
        <v>35</v>
      </c>
      <c r="V419" s="9">
        <v>1355.02</v>
      </c>
      <c r="W419" s="7">
        <v>584.28</v>
      </c>
      <c r="X419" s="7">
        <v>539.57000000000005</v>
      </c>
      <c r="Y419" s="7">
        <v>0</v>
      </c>
      <c r="Z419" s="7">
        <v>231.17</v>
      </c>
    </row>
    <row r="420" spans="1:26" x14ac:dyDescent="0.35">
      <c r="A420" s="7" t="s">
        <v>27</v>
      </c>
      <c r="B420" s="7" t="s">
        <v>36</v>
      </c>
      <c r="C420" s="7" t="s">
        <v>48</v>
      </c>
      <c r="D420" s="7" t="s">
        <v>59</v>
      </c>
      <c r="E420" s="7" t="s">
        <v>29</v>
      </c>
      <c r="F420" s="7" t="s">
        <v>68</v>
      </c>
      <c r="G420" s="7">
        <v>2020</v>
      </c>
      <c r="H420" s="7" t="str">
        <f>CONCATENATE("04210488245")</f>
        <v>04210488245</v>
      </c>
      <c r="I420" s="7" t="s">
        <v>30</v>
      </c>
      <c r="J420" s="7" t="s">
        <v>31</v>
      </c>
      <c r="K420" s="7" t="str">
        <f>CONCATENATE("")</f>
        <v/>
      </c>
      <c r="L420" s="7" t="str">
        <f>CONCATENATE("13 13.1 4a")</f>
        <v>13 13.1 4a</v>
      </c>
      <c r="M420" s="7" t="str">
        <f>CONCATENATE("PGNMRZ78P16L500N")</f>
        <v>PGNMRZ78P16L500N</v>
      </c>
      <c r="N420" s="7" t="s">
        <v>522</v>
      </c>
      <c r="O420" s="7" t="s">
        <v>360</v>
      </c>
      <c r="P420" s="8">
        <v>44321</v>
      </c>
      <c r="Q420" s="7" t="s">
        <v>32</v>
      </c>
      <c r="R420" s="7" t="s">
        <v>33</v>
      </c>
      <c r="S420" s="7" t="s">
        <v>34</v>
      </c>
      <c r="T420" s="7"/>
      <c r="U420" s="7" t="s">
        <v>35</v>
      </c>
      <c r="V420" s="7">
        <v>559.91999999999996</v>
      </c>
      <c r="W420" s="7">
        <v>241.44</v>
      </c>
      <c r="X420" s="7">
        <v>222.96</v>
      </c>
      <c r="Y420" s="7">
        <v>0</v>
      </c>
      <c r="Z420" s="7">
        <v>95.52</v>
      </c>
    </row>
    <row r="421" spans="1:26" x14ac:dyDescent="0.35">
      <c r="A421" s="7" t="s">
        <v>27</v>
      </c>
      <c r="B421" s="7" t="s">
        <v>36</v>
      </c>
      <c r="C421" s="7" t="s">
        <v>48</v>
      </c>
      <c r="D421" s="7" t="s">
        <v>59</v>
      </c>
      <c r="E421" s="7" t="s">
        <v>29</v>
      </c>
      <c r="F421" s="7" t="s">
        <v>225</v>
      </c>
      <c r="G421" s="7">
        <v>2020</v>
      </c>
      <c r="H421" s="7" t="str">
        <f>CONCATENATE("04210788875")</f>
        <v>04210788875</v>
      </c>
      <c r="I421" s="7" t="s">
        <v>30</v>
      </c>
      <c r="J421" s="7" t="s">
        <v>31</v>
      </c>
      <c r="K421" s="7" t="str">
        <f>CONCATENATE("")</f>
        <v/>
      </c>
      <c r="L421" s="7" t="str">
        <f>CONCATENATE("13 13.1 4a")</f>
        <v>13 13.1 4a</v>
      </c>
      <c r="M421" s="7" t="str">
        <f>CONCATENATE("01394890410")</f>
        <v>01394890410</v>
      </c>
      <c r="N421" s="7" t="s">
        <v>523</v>
      </c>
      <c r="O421" s="7" t="s">
        <v>360</v>
      </c>
      <c r="P421" s="8">
        <v>44321</v>
      </c>
      <c r="Q421" s="7" t="s">
        <v>32</v>
      </c>
      <c r="R421" s="7" t="s">
        <v>33</v>
      </c>
      <c r="S421" s="7" t="s">
        <v>34</v>
      </c>
      <c r="T421" s="7"/>
      <c r="U421" s="7" t="s">
        <v>35</v>
      </c>
      <c r="V421" s="7">
        <v>905.26</v>
      </c>
      <c r="W421" s="7">
        <v>390.35</v>
      </c>
      <c r="X421" s="7">
        <v>360.47</v>
      </c>
      <c r="Y421" s="7">
        <v>0</v>
      </c>
      <c r="Z421" s="7">
        <v>154.44</v>
      </c>
    </row>
    <row r="422" spans="1:26" x14ac:dyDescent="0.35">
      <c r="A422" s="7" t="s">
        <v>27</v>
      </c>
      <c r="B422" s="7" t="s">
        <v>36</v>
      </c>
      <c r="C422" s="7" t="s">
        <v>48</v>
      </c>
      <c r="D422" s="7" t="s">
        <v>59</v>
      </c>
      <c r="E422" s="7" t="s">
        <v>29</v>
      </c>
      <c r="F422" s="7" t="s">
        <v>317</v>
      </c>
      <c r="G422" s="7">
        <v>2020</v>
      </c>
      <c r="H422" s="7" t="str">
        <f>CONCATENATE("04210541084")</f>
        <v>04210541084</v>
      </c>
      <c r="I422" s="7" t="s">
        <v>30</v>
      </c>
      <c r="J422" s="7" t="s">
        <v>31</v>
      </c>
      <c r="K422" s="7" t="str">
        <f>CONCATENATE("")</f>
        <v/>
      </c>
      <c r="L422" s="7" t="str">
        <f>CONCATENATE("13 13.1 4a")</f>
        <v>13 13.1 4a</v>
      </c>
      <c r="M422" s="7" t="str">
        <f>CONCATENATE("TGNDNL89B27B352J")</f>
        <v>TGNDNL89B27B352J</v>
      </c>
      <c r="N422" s="7" t="s">
        <v>524</v>
      </c>
      <c r="O422" s="7" t="s">
        <v>360</v>
      </c>
      <c r="P422" s="8">
        <v>44321</v>
      </c>
      <c r="Q422" s="7" t="s">
        <v>32</v>
      </c>
      <c r="R422" s="7" t="s">
        <v>33</v>
      </c>
      <c r="S422" s="7" t="s">
        <v>34</v>
      </c>
      <c r="T422" s="7"/>
      <c r="U422" s="7" t="s">
        <v>35</v>
      </c>
      <c r="V422" s="9">
        <v>1599.74</v>
      </c>
      <c r="W422" s="7">
        <v>689.81</v>
      </c>
      <c r="X422" s="7">
        <v>637.02</v>
      </c>
      <c r="Y422" s="7">
        <v>0</v>
      </c>
      <c r="Z422" s="7">
        <v>272.91000000000003</v>
      </c>
    </row>
    <row r="423" spans="1:26" x14ac:dyDescent="0.35">
      <c r="A423" s="7" t="s">
        <v>27</v>
      </c>
      <c r="B423" s="7" t="s">
        <v>36</v>
      </c>
      <c r="C423" s="7" t="s">
        <v>48</v>
      </c>
      <c r="D423" s="7" t="s">
        <v>56</v>
      </c>
      <c r="E423" s="7" t="s">
        <v>40</v>
      </c>
      <c r="F423" s="7" t="s">
        <v>525</v>
      </c>
      <c r="G423" s="7">
        <v>2020</v>
      </c>
      <c r="H423" s="7" t="str">
        <f>CONCATENATE("04240251316")</f>
        <v>04240251316</v>
      </c>
      <c r="I423" s="7" t="s">
        <v>30</v>
      </c>
      <c r="J423" s="7" t="s">
        <v>31</v>
      </c>
      <c r="K423" s="7" t="str">
        <f>CONCATENATE("")</f>
        <v/>
      </c>
      <c r="L423" s="7" t="str">
        <f>CONCATENATE("10 10.1 4a")</f>
        <v>10 10.1 4a</v>
      </c>
      <c r="M423" s="7" t="str">
        <f>CONCATENATE("DPPCST69H60E783M")</f>
        <v>DPPCST69H60E783M</v>
      </c>
      <c r="N423" s="7" t="s">
        <v>526</v>
      </c>
      <c r="O423" s="7" t="s">
        <v>394</v>
      </c>
      <c r="P423" s="8">
        <v>44321</v>
      </c>
      <c r="Q423" s="7" t="s">
        <v>32</v>
      </c>
      <c r="R423" s="7" t="s">
        <v>33</v>
      </c>
      <c r="S423" s="7" t="s">
        <v>34</v>
      </c>
      <c r="T423" s="7"/>
      <c r="U423" s="7" t="s">
        <v>35</v>
      </c>
      <c r="V423" s="7">
        <v>901.64</v>
      </c>
      <c r="W423" s="7">
        <v>388.79</v>
      </c>
      <c r="X423" s="7">
        <v>359.03</v>
      </c>
      <c r="Y423" s="7">
        <v>0</v>
      </c>
      <c r="Z423" s="7">
        <v>153.82</v>
      </c>
    </row>
    <row r="424" spans="1:26" x14ac:dyDescent="0.35">
      <c r="A424" s="7" t="s">
        <v>27</v>
      </c>
      <c r="B424" s="7" t="s">
        <v>36</v>
      </c>
      <c r="C424" s="7" t="s">
        <v>48</v>
      </c>
      <c r="D424" s="7" t="s">
        <v>56</v>
      </c>
      <c r="E424" s="7" t="s">
        <v>40</v>
      </c>
      <c r="F424" s="7" t="s">
        <v>272</v>
      </c>
      <c r="G424" s="7">
        <v>2020</v>
      </c>
      <c r="H424" s="7" t="str">
        <f>CONCATENATE("04240035107")</f>
        <v>04240035107</v>
      </c>
      <c r="I424" s="7" t="s">
        <v>30</v>
      </c>
      <c r="J424" s="7" t="s">
        <v>31</v>
      </c>
      <c r="K424" s="7" t="str">
        <f>CONCATENATE("")</f>
        <v/>
      </c>
      <c r="L424" s="7" t="str">
        <f>CONCATENATE("10 10.1 4a")</f>
        <v>10 10.1 4a</v>
      </c>
      <c r="M424" s="7" t="str">
        <f>CONCATENATE("FTTPLA53A70A271Y")</f>
        <v>FTTPLA53A70A271Y</v>
      </c>
      <c r="N424" s="7" t="s">
        <v>527</v>
      </c>
      <c r="O424" s="7" t="s">
        <v>394</v>
      </c>
      <c r="P424" s="8">
        <v>44321</v>
      </c>
      <c r="Q424" s="7" t="s">
        <v>32</v>
      </c>
      <c r="R424" s="7" t="s">
        <v>33</v>
      </c>
      <c r="S424" s="7" t="s">
        <v>34</v>
      </c>
      <c r="T424" s="7"/>
      <c r="U424" s="7" t="s">
        <v>35</v>
      </c>
      <c r="V424" s="9">
        <v>1614.71</v>
      </c>
      <c r="W424" s="7">
        <v>696.26</v>
      </c>
      <c r="X424" s="7">
        <v>642.98</v>
      </c>
      <c r="Y424" s="7">
        <v>0</v>
      </c>
      <c r="Z424" s="7">
        <v>275.47000000000003</v>
      </c>
    </row>
    <row r="425" spans="1:26" x14ac:dyDescent="0.35">
      <c r="A425" s="7" t="s">
        <v>27</v>
      </c>
      <c r="B425" s="7" t="s">
        <v>36</v>
      </c>
      <c r="C425" s="7" t="s">
        <v>48</v>
      </c>
      <c r="D425" s="7" t="s">
        <v>56</v>
      </c>
      <c r="E425" s="7" t="s">
        <v>40</v>
      </c>
      <c r="F425" s="7" t="s">
        <v>528</v>
      </c>
      <c r="G425" s="7">
        <v>2020</v>
      </c>
      <c r="H425" s="7" t="str">
        <f>CONCATENATE("04240611980")</f>
        <v>04240611980</v>
      </c>
      <c r="I425" s="7" t="s">
        <v>30</v>
      </c>
      <c r="J425" s="7" t="s">
        <v>31</v>
      </c>
      <c r="K425" s="7" t="str">
        <f>CONCATENATE("")</f>
        <v/>
      </c>
      <c r="L425" s="7" t="str">
        <f>CONCATENATE("10 10.1 4a")</f>
        <v>10 10.1 4a</v>
      </c>
      <c r="M425" s="7" t="str">
        <f>CONCATENATE("SNTRRT76H57A271B")</f>
        <v>SNTRRT76H57A271B</v>
      </c>
      <c r="N425" s="7" t="s">
        <v>529</v>
      </c>
      <c r="O425" s="7" t="s">
        <v>394</v>
      </c>
      <c r="P425" s="8">
        <v>44321</v>
      </c>
      <c r="Q425" s="7" t="s">
        <v>32</v>
      </c>
      <c r="R425" s="7" t="s">
        <v>33</v>
      </c>
      <c r="S425" s="7" t="s">
        <v>34</v>
      </c>
      <c r="T425" s="7"/>
      <c r="U425" s="7" t="s">
        <v>35</v>
      </c>
      <c r="V425" s="7">
        <v>440.76</v>
      </c>
      <c r="W425" s="7">
        <v>190.06</v>
      </c>
      <c r="X425" s="7">
        <v>175.51</v>
      </c>
      <c r="Y425" s="7">
        <v>0</v>
      </c>
      <c r="Z425" s="7">
        <v>75.19</v>
      </c>
    </row>
    <row r="426" spans="1:26" x14ac:dyDescent="0.35">
      <c r="A426" s="7" t="s">
        <v>27</v>
      </c>
      <c r="B426" s="7" t="s">
        <v>36</v>
      </c>
      <c r="C426" s="7" t="s">
        <v>48</v>
      </c>
      <c r="D426" s="7" t="s">
        <v>62</v>
      </c>
      <c r="E426" s="7" t="s">
        <v>44</v>
      </c>
      <c r="F426" s="7" t="s">
        <v>530</v>
      </c>
      <c r="G426" s="7">
        <v>2020</v>
      </c>
      <c r="H426" s="7" t="str">
        <f>CONCATENATE("04241168279")</f>
        <v>04241168279</v>
      </c>
      <c r="I426" s="7" t="s">
        <v>30</v>
      </c>
      <c r="J426" s="7" t="s">
        <v>31</v>
      </c>
      <c r="K426" s="7" t="str">
        <f>CONCATENATE("")</f>
        <v/>
      </c>
      <c r="L426" s="7" t="str">
        <f>CONCATENATE("10 10.1 4a")</f>
        <v>10 10.1 4a</v>
      </c>
      <c r="M426" s="7" t="str">
        <f>CONCATENATE("LPPBBR74B62E783E")</f>
        <v>LPPBBR74B62E783E</v>
      </c>
      <c r="N426" s="7" t="s">
        <v>531</v>
      </c>
      <c r="O426" s="7" t="s">
        <v>394</v>
      </c>
      <c r="P426" s="8">
        <v>44321</v>
      </c>
      <c r="Q426" s="7" t="s">
        <v>32</v>
      </c>
      <c r="R426" s="7" t="s">
        <v>33</v>
      </c>
      <c r="S426" s="7" t="s">
        <v>34</v>
      </c>
      <c r="T426" s="7"/>
      <c r="U426" s="7" t="s">
        <v>35</v>
      </c>
      <c r="V426" s="7">
        <v>500.12</v>
      </c>
      <c r="W426" s="7">
        <v>215.65</v>
      </c>
      <c r="X426" s="7">
        <v>199.15</v>
      </c>
      <c r="Y426" s="7">
        <v>0</v>
      </c>
      <c r="Z426" s="7">
        <v>85.32</v>
      </c>
    </row>
    <row r="427" spans="1:26" x14ac:dyDescent="0.35">
      <c r="A427" s="7" t="s">
        <v>27</v>
      </c>
      <c r="B427" s="7" t="s">
        <v>36</v>
      </c>
      <c r="C427" s="7" t="s">
        <v>48</v>
      </c>
      <c r="D427" s="7" t="s">
        <v>62</v>
      </c>
      <c r="E427" s="7" t="s">
        <v>44</v>
      </c>
      <c r="F427" s="7" t="s">
        <v>530</v>
      </c>
      <c r="G427" s="7">
        <v>2020</v>
      </c>
      <c r="H427" s="7" t="str">
        <f>CONCATENATE("04241167065")</f>
        <v>04241167065</v>
      </c>
      <c r="I427" s="7" t="s">
        <v>30</v>
      </c>
      <c r="J427" s="7" t="s">
        <v>31</v>
      </c>
      <c r="K427" s="7" t="str">
        <f>CONCATENATE("")</f>
        <v/>
      </c>
      <c r="L427" s="7" t="str">
        <f>CONCATENATE("10 10.1 4a")</f>
        <v>10 10.1 4a</v>
      </c>
      <c r="M427" s="7" t="str">
        <f>CONCATENATE("TSTMNL83S02I156A")</f>
        <v>TSTMNL83S02I156A</v>
      </c>
      <c r="N427" s="7" t="s">
        <v>532</v>
      </c>
      <c r="O427" s="7" t="s">
        <v>394</v>
      </c>
      <c r="P427" s="8">
        <v>44321</v>
      </c>
      <c r="Q427" s="7" t="s">
        <v>32</v>
      </c>
      <c r="R427" s="7" t="s">
        <v>33</v>
      </c>
      <c r="S427" s="7" t="s">
        <v>34</v>
      </c>
      <c r="T427" s="7"/>
      <c r="U427" s="7" t="s">
        <v>35</v>
      </c>
      <c r="V427" s="7">
        <v>708.36</v>
      </c>
      <c r="W427" s="7">
        <v>305.44</v>
      </c>
      <c r="X427" s="7">
        <v>282.07</v>
      </c>
      <c r="Y427" s="7">
        <v>0</v>
      </c>
      <c r="Z427" s="7">
        <v>120.85</v>
      </c>
    </row>
    <row r="428" spans="1:26" x14ac:dyDescent="0.35">
      <c r="A428" s="7" t="s">
        <v>27</v>
      </c>
      <c r="B428" s="7" t="s">
        <v>36</v>
      </c>
      <c r="C428" s="7" t="s">
        <v>48</v>
      </c>
      <c r="D428" s="7" t="s">
        <v>56</v>
      </c>
      <c r="E428" s="7" t="s">
        <v>40</v>
      </c>
      <c r="F428" s="7" t="s">
        <v>272</v>
      </c>
      <c r="G428" s="7">
        <v>2020</v>
      </c>
      <c r="H428" s="7" t="str">
        <f>CONCATENATE("04240210841")</f>
        <v>04240210841</v>
      </c>
      <c r="I428" s="7" t="s">
        <v>30</v>
      </c>
      <c r="J428" s="7" t="s">
        <v>31</v>
      </c>
      <c r="K428" s="7" t="str">
        <f>CONCATENATE("")</f>
        <v/>
      </c>
      <c r="L428" s="7" t="str">
        <f>CONCATENATE("10 10.1 4a")</f>
        <v>10 10.1 4a</v>
      </c>
      <c r="M428" s="7" t="str">
        <f>CONCATENATE("02761500426")</f>
        <v>02761500426</v>
      </c>
      <c r="N428" s="7" t="s">
        <v>533</v>
      </c>
      <c r="O428" s="7" t="s">
        <v>394</v>
      </c>
      <c r="P428" s="8">
        <v>44321</v>
      </c>
      <c r="Q428" s="7" t="s">
        <v>32</v>
      </c>
      <c r="R428" s="7" t="s">
        <v>33</v>
      </c>
      <c r="S428" s="7" t="s">
        <v>34</v>
      </c>
      <c r="T428" s="7"/>
      <c r="U428" s="7" t="s">
        <v>35</v>
      </c>
      <c r="V428" s="7">
        <v>147.24</v>
      </c>
      <c r="W428" s="7">
        <v>63.49</v>
      </c>
      <c r="X428" s="7">
        <v>58.63</v>
      </c>
      <c r="Y428" s="7">
        <v>0</v>
      </c>
      <c r="Z428" s="7">
        <v>25.12</v>
      </c>
    </row>
    <row r="429" spans="1:26" ht="17.5" x14ac:dyDescent="0.35">
      <c r="A429" s="7" t="s">
        <v>27</v>
      </c>
      <c r="B429" s="7" t="s">
        <v>36</v>
      </c>
      <c r="C429" s="7" t="s">
        <v>48</v>
      </c>
      <c r="D429" s="7" t="s">
        <v>56</v>
      </c>
      <c r="E429" s="7" t="s">
        <v>40</v>
      </c>
      <c r="F429" s="7" t="s">
        <v>272</v>
      </c>
      <c r="G429" s="7">
        <v>2020</v>
      </c>
      <c r="H429" s="7" t="str">
        <f>CONCATENATE("04240648123")</f>
        <v>04240648123</v>
      </c>
      <c r="I429" s="7" t="s">
        <v>30</v>
      </c>
      <c r="J429" s="7" t="s">
        <v>31</v>
      </c>
      <c r="K429" s="7" t="str">
        <f>CONCATENATE("")</f>
        <v/>
      </c>
      <c r="L429" s="7" t="str">
        <f>CONCATENATE("10 10.1 4a")</f>
        <v>10 10.1 4a</v>
      </c>
      <c r="M429" s="7" t="str">
        <f>CONCATENATE("02018110425")</f>
        <v>02018110425</v>
      </c>
      <c r="N429" s="7" t="s">
        <v>534</v>
      </c>
      <c r="O429" s="7" t="s">
        <v>394</v>
      </c>
      <c r="P429" s="8">
        <v>44321</v>
      </c>
      <c r="Q429" s="7" t="s">
        <v>32</v>
      </c>
      <c r="R429" s="7" t="s">
        <v>33</v>
      </c>
      <c r="S429" s="7" t="s">
        <v>34</v>
      </c>
      <c r="T429" s="7"/>
      <c r="U429" s="7" t="s">
        <v>35</v>
      </c>
      <c r="V429" s="7">
        <v>41.48</v>
      </c>
      <c r="W429" s="7">
        <v>17.89</v>
      </c>
      <c r="X429" s="7">
        <v>16.52</v>
      </c>
      <c r="Y429" s="7">
        <v>0</v>
      </c>
      <c r="Z429" s="7">
        <v>7.07</v>
      </c>
    </row>
    <row r="430" spans="1:26" x14ac:dyDescent="0.35">
      <c r="A430" s="7" t="s">
        <v>27</v>
      </c>
      <c r="B430" s="7" t="s">
        <v>36</v>
      </c>
      <c r="C430" s="7" t="s">
        <v>48</v>
      </c>
      <c r="D430" s="7" t="s">
        <v>62</v>
      </c>
      <c r="E430" s="7" t="s">
        <v>44</v>
      </c>
      <c r="F430" s="7" t="s">
        <v>46</v>
      </c>
      <c r="G430" s="7">
        <v>2020</v>
      </c>
      <c r="H430" s="7" t="str">
        <f>CONCATENATE("04241075391")</f>
        <v>04241075391</v>
      </c>
      <c r="I430" s="7" t="s">
        <v>39</v>
      </c>
      <c r="J430" s="7" t="s">
        <v>31</v>
      </c>
      <c r="K430" s="7" t="str">
        <f>CONCATENATE("")</f>
        <v/>
      </c>
      <c r="L430" s="7" t="str">
        <f>CONCATENATE("10 10.1 4a")</f>
        <v>10 10.1 4a</v>
      </c>
      <c r="M430" s="7" t="str">
        <f>CONCATENATE("01914370430")</f>
        <v>01914370430</v>
      </c>
      <c r="N430" s="7" t="s">
        <v>535</v>
      </c>
      <c r="O430" s="7" t="s">
        <v>394</v>
      </c>
      <c r="P430" s="8">
        <v>44321</v>
      </c>
      <c r="Q430" s="7" t="s">
        <v>32</v>
      </c>
      <c r="R430" s="7" t="s">
        <v>33</v>
      </c>
      <c r="S430" s="7" t="s">
        <v>34</v>
      </c>
      <c r="T430" s="7"/>
      <c r="U430" s="7" t="s">
        <v>35</v>
      </c>
      <c r="V430" s="9">
        <v>2087.84</v>
      </c>
      <c r="W430" s="7">
        <v>900.28</v>
      </c>
      <c r="X430" s="7">
        <v>831.38</v>
      </c>
      <c r="Y430" s="7">
        <v>0</v>
      </c>
      <c r="Z430" s="7">
        <v>356.18</v>
      </c>
    </row>
    <row r="431" spans="1:26" ht="17.5" x14ac:dyDescent="0.35">
      <c r="A431" s="7" t="s">
        <v>27</v>
      </c>
      <c r="B431" s="7" t="s">
        <v>36</v>
      </c>
      <c r="C431" s="7" t="s">
        <v>48</v>
      </c>
      <c r="D431" s="7" t="s">
        <v>56</v>
      </c>
      <c r="E431" s="7" t="s">
        <v>40</v>
      </c>
      <c r="F431" s="7" t="s">
        <v>272</v>
      </c>
      <c r="G431" s="7">
        <v>2020</v>
      </c>
      <c r="H431" s="7" t="str">
        <f>CONCATENATE("04240344566")</f>
        <v>04240344566</v>
      </c>
      <c r="I431" s="7" t="s">
        <v>30</v>
      </c>
      <c r="J431" s="7" t="s">
        <v>31</v>
      </c>
      <c r="K431" s="7" t="str">
        <f>CONCATENATE("")</f>
        <v/>
      </c>
      <c r="L431" s="7" t="str">
        <f>CONCATENATE("10 10.1 4a")</f>
        <v>10 10.1 4a</v>
      </c>
      <c r="M431" s="7" t="str">
        <f>CONCATENATE("02707530420")</f>
        <v>02707530420</v>
      </c>
      <c r="N431" s="7" t="s">
        <v>536</v>
      </c>
      <c r="O431" s="7" t="s">
        <v>394</v>
      </c>
      <c r="P431" s="8">
        <v>44321</v>
      </c>
      <c r="Q431" s="7" t="s">
        <v>32</v>
      </c>
      <c r="R431" s="7" t="s">
        <v>33</v>
      </c>
      <c r="S431" s="7" t="s">
        <v>34</v>
      </c>
      <c r="T431" s="7"/>
      <c r="U431" s="7" t="s">
        <v>35</v>
      </c>
      <c r="V431" s="7">
        <v>845.46</v>
      </c>
      <c r="W431" s="7">
        <v>364.56</v>
      </c>
      <c r="X431" s="7">
        <v>336.66</v>
      </c>
      <c r="Y431" s="7">
        <v>0</v>
      </c>
      <c r="Z431" s="7">
        <v>144.24</v>
      </c>
    </row>
    <row r="432" spans="1:26" x14ac:dyDescent="0.35">
      <c r="A432" s="7" t="s">
        <v>27</v>
      </c>
      <c r="B432" s="7" t="s">
        <v>36</v>
      </c>
      <c r="C432" s="7" t="s">
        <v>48</v>
      </c>
      <c r="D432" s="7" t="s">
        <v>56</v>
      </c>
      <c r="E432" s="7" t="s">
        <v>29</v>
      </c>
      <c r="F432" s="7" t="s">
        <v>106</v>
      </c>
      <c r="G432" s="7">
        <v>2020</v>
      </c>
      <c r="H432" s="7" t="str">
        <f>CONCATENATE("04240047326")</f>
        <v>04240047326</v>
      </c>
      <c r="I432" s="7" t="s">
        <v>30</v>
      </c>
      <c r="J432" s="7" t="s">
        <v>31</v>
      </c>
      <c r="K432" s="7" t="str">
        <f>CONCATENATE("")</f>
        <v/>
      </c>
      <c r="L432" s="7" t="str">
        <f>CONCATENATE("10 10.1 4a")</f>
        <v>10 10.1 4a</v>
      </c>
      <c r="M432" s="7" t="str">
        <f>CONCATENATE("BRTMCL37D26E388F")</f>
        <v>BRTMCL37D26E388F</v>
      </c>
      <c r="N432" s="7" t="s">
        <v>537</v>
      </c>
      <c r="O432" s="7" t="s">
        <v>394</v>
      </c>
      <c r="P432" s="8">
        <v>44321</v>
      </c>
      <c r="Q432" s="7" t="s">
        <v>32</v>
      </c>
      <c r="R432" s="7" t="s">
        <v>33</v>
      </c>
      <c r="S432" s="7" t="s">
        <v>34</v>
      </c>
      <c r="T432" s="7"/>
      <c r="U432" s="7" t="s">
        <v>35</v>
      </c>
      <c r="V432" s="9">
        <v>1344.12</v>
      </c>
      <c r="W432" s="7">
        <v>579.58000000000004</v>
      </c>
      <c r="X432" s="7">
        <v>535.23</v>
      </c>
      <c r="Y432" s="7">
        <v>0</v>
      </c>
      <c r="Z432" s="7">
        <v>229.31</v>
      </c>
    </row>
    <row r="433" spans="1:26" x14ac:dyDescent="0.35">
      <c r="A433" s="7" t="s">
        <v>27</v>
      </c>
      <c r="B433" s="7" t="s">
        <v>36</v>
      </c>
      <c r="C433" s="7" t="s">
        <v>48</v>
      </c>
      <c r="D433" s="7" t="s">
        <v>56</v>
      </c>
      <c r="E433" s="7" t="s">
        <v>40</v>
      </c>
      <c r="F433" s="7" t="s">
        <v>272</v>
      </c>
      <c r="G433" s="7">
        <v>2020</v>
      </c>
      <c r="H433" s="7" t="str">
        <f>CONCATENATE("04240231904")</f>
        <v>04240231904</v>
      </c>
      <c r="I433" s="7" t="s">
        <v>30</v>
      </c>
      <c r="J433" s="7" t="s">
        <v>31</v>
      </c>
      <c r="K433" s="7" t="str">
        <f>CONCATENATE("")</f>
        <v/>
      </c>
      <c r="L433" s="7" t="str">
        <f>CONCATENATE("10 10.1 4a")</f>
        <v>10 10.1 4a</v>
      </c>
      <c r="M433" s="7" t="str">
        <f>CONCATENATE("BNCMCL71S28H501N")</f>
        <v>BNCMCL71S28H501N</v>
      </c>
      <c r="N433" s="7" t="s">
        <v>538</v>
      </c>
      <c r="O433" s="7" t="s">
        <v>394</v>
      </c>
      <c r="P433" s="8">
        <v>44321</v>
      </c>
      <c r="Q433" s="7" t="s">
        <v>32</v>
      </c>
      <c r="R433" s="7" t="s">
        <v>33</v>
      </c>
      <c r="S433" s="7" t="s">
        <v>34</v>
      </c>
      <c r="T433" s="7"/>
      <c r="U433" s="7" t="s">
        <v>35</v>
      </c>
      <c r="V433" s="9">
        <v>1548.64</v>
      </c>
      <c r="W433" s="7">
        <v>667.77</v>
      </c>
      <c r="X433" s="7">
        <v>616.66999999999996</v>
      </c>
      <c r="Y433" s="7">
        <v>0</v>
      </c>
      <c r="Z433" s="7">
        <v>264.2</v>
      </c>
    </row>
    <row r="434" spans="1:26" x14ac:dyDescent="0.35">
      <c r="A434" s="7" t="s">
        <v>27</v>
      </c>
      <c r="B434" s="7" t="s">
        <v>36</v>
      </c>
      <c r="C434" s="7" t="s">
        <v>48</v>
      </c>
      <c r="D434" s="7" t="s">
        <v>56</v>
      </c>
      <c r="E434" s="7" t="s">
        <v>40</v>
      </c>
      <c r="F434" s="7" t="s">
        <v>272</v>
      </c>
      <c r="G434" s="7">
        <v>2020</v>
      </c>
      <c r="H434" s="7" t="str">
        <f>CONCATENATE("04240055618")</f>
        <v>04240055618</v>
      </c>
      <c r="I434" s="7" t="s">
        <v>30</v>
      </c>
      <c r="J434" s="7" t="s">
        <v>31</v>
      </c>
      <c r="K434" s="7" t="str">
        <f>CONCATENATE("")</f>
        <v/>
      </c>
      <c r="L434" s="7" t="str">
        <f>CONCATENATE("10 10.1 4a")</f>
        <v>10 10.1 4a</v>
      </c>
      <c r="M434" s="7" t="str">
        <f>CONCATENATE("BRNLSS84L07A271E")</f>
        <v>BRNLSS84L07A271E</v>
      </c>
      <c r="N434" s="7" t="s">
        <v>539</v>
      </c>
      <c r="O434" s="7" t="s">
        <v>394</v>
      </c>
      <c r="P434" s="8">
        <v>44321</v>
      </c>
      <c r="Q434" s="7" t="s">
        <v>32</v>
      </c>
      <c r="R434" s="7" t="s">
        <v>33</v>
      </c>
      <c r="S434" s="7" t="s">
        <v>34</v>
      </c>
      <c r="T434" s="7"/>
      <c r="U434" s="7" t="s">
        <v>35</v>
      </c>
      <c r="V434" s="7">
        <v>445.76</v>
      </c>
      <c r="W434" s="7">
        <v>192.21</v>
      </c>
      <c r="X434" s="7">
        <v>177.5</v>
      </c>
      <c r="Y434" s="7">
        <v>0</v>
      </c>
      <c r="Z434" s="7">
        <v>76.05</v>
      </c>
    </row>
    <row r="435" spans="1:26" x14ac:dyDescent="0.35">
      <c r="A435" s="7" t="s">
        <v>27</v>
      </c>
      <c r="B435" s="7" t="s">
        <v>36</v>
      </c>
      <c r="C435" s="7" t="s">
        <v>48</v>
      </c>
      <c r="D435" s="7" t="s">
        <v>56</v>
      </c>
      <c r="E435" s="7" t="s">
        <v>40</v>
      </c>
      <c r="F435" s="7" t="s">
        <v>278</v>
      </c>
      <c r="G435" s="7">
        <v>2020</v>
      </c>
      <c r="H435" s="7" t="str">
        <f>CONCATENATE("04240563652")</f>
        <v>04240563652</v>
      </c>
      <c r="I435" s="7" t="s">
        <v>30</v>
      </c>
      <c r="J435" s="7" t="s">
        <v>31</v>
      </c>
      <c r="K435" s="7" t="str">
        <f>CONCATENATE("")</f>
        <v/>
      </c>
      <c r="L435" s="7" t="str">
        <f>CONCATENATE("10 10.1 4a")</f>
        <v>10 10.1 4a</v>
      </c>
      <c r="M435" s="7" t="str">
        <f>CONCATENATE("CLDNLS83C09I608S")</f>
        <v>CLDNLS83C09I608S</v>
      </c>
      <c r="N435" s="7" t="s">
        <v>540</v>
      </c>
      <c r="O435" s="7" t="s">
        <v>394</v>
      </c>
      <c r="P435" s="8">
        <v>44321</v>
      </c>
      <c r="Q435" s="7" t="s">
        <v>32</v>
      </c>
      <c r="R435" s="7" t="s">
        <v>33</v>
      </c>
      <c r="S435" s="7" t="s">
        <v>34</v>
      </c>
      <c r="T435" s="7"/>
      <c r="U435" s="7" t="s">
        <v>35</v>
      </c>
      <c r="V435" s="7">
        <v>166.48</v>
      </c>
      <c r="W435" s="7">
        <v>71.790000000000006</v>
      </c>
      <c r="X435" s="7">
        <v>66.290000000000006</v>
      </c>
      <c r="Y435" s="7">
        <v>0</v>
      </c>
      <c r="Z435" s="7">
        <v>28.4</v>
      </c>
    </row>
    <row r="436" spans="1:26" x14ac:dyDescent="0.35">
      <c r="A436" s="7" t="s">
        <v>27</v>
      </c>
      <c r="B436" s="7" t="s">
        <v>36</v>
      </c>
      <c r="C436" s="7" t="s">
        <v>48</v>
      </c>
      <c r="D436" s="7" t="s">
        <v>56</v>
      </c>
      <c r="E436" s="7" t="s">
        <v>40</v>
      </c>
      <c r="F436" s="7" t="s">
        <v>528</v>
      </c>
      <c r="G436" s="7">
        <v>2020</v>
      </c>
      <c r="H436" s="7" t="str">
        <f>CONCATENATE("04240612350")</f>
        <v>04240612350</v>
      </c>
      <c r="I436" s="7" t="s">
        <v>30</v>
      </c>
      <c r="J436" s="7" t="s">
        <v>31</v>
      </c>
      <c r="K436" s="7" t="str">
        <f>CONCATENATE("")</f>
        <v/>
      </c>
      <c r="L436" s="7" t="str">
        <f>CONCATENATE("10 10.1 4a")</f>
        <v>10 10.1 4a</v>
      </c>
      <c r="M436" s="7" t="str">
        <f>CONCATENATE("CRCLSN87E42I608T")</f>
        <v>CRCLSN87E42I608T</v>
      </c>
      <c r="N436" s="7" t="s">
        <v>541</v>
      </c>
      <c r="O436" s="7" t="s">
        <v>394</v>
      </c>
      <c r="P436" s="8">
        <v>44321</v>
      </c>
      <c r="Q436" s="7" t="s">
        <v>32</v>
      </c>
      <c r="R436" s="7" t="s">
        <v>33</v>
      </c>
      <c r="S436" s="7" t="s">
        <v>34</v>
      </c>
      <c r="T436" s="7"/>
      <c r="U436" s="7" t="s">
        <v>35</v>
      </c>
      <c r="V436" s="7">
        <v>404.78</v>
      </c>
      <c r="W436" s="7">
        <v>174.54</v>
      </c>
      <c r="X436" s="7">
        <v>161.18</v>
      </c>
      <c r="Y436" s="7">
        <v>0</v>
      </c>
      <c r="Z436" s="7">
        <v>69.06</v>
      </c>
    </row>
    <row r="437" spans="1:26" x14ac:dyDescent="0.35">
      <c r="A437" s="7" t="s">
        <v>27</v>
      </c>
      <c r="B437" s="7" t="s">
        <v>36</v>
      </c>
      <c r="C437" s="7" t="s">
        <v>48</v>
      </c>
      <c r="D437" s="7" t="s">
        <v>56</v>
      </c>
      <c r="E437" s="7" t="s">
        <v>40</v>
      </c>
      <c r="F437" s="7" t="s">
        <v>272</v>
      </c>
      <c r="G437" s="7">
        <v>2020</v>
      </c>
      <c r="H437" s="7" t="str">
        <f>CONCATENATE("04240024796")</f>
        <v>04240024796</v>
      </c>
      <c r="I437" s="7" t="s">
        <v>30</v>
      </c>
      <c r="J437" s="7" t="s">
        <v>31</v>
      </c>
      <c r="K437" s="7" t="str">
        <f>CONCATENATE("")</f>
        <v/>
      </c>
      <c r="L437" s="7" t="str">
        <f>CONCATENATE("10 10.1 4a")</f>
        <v>10 10.1 4a</v>
      </c>
      <c r="M437" s="7" t="str">
        <f>CONCATENATE("FCNDNI36S15F560A")</f>
        <v>FCNDNI36S15F560A</v>
      </c>
      <c r="N437" s="7" t="s">
        <v>542</v>
      </c>
      <c r="O437" s="7" t="s">
        <v>394</v>
      </c>
      <c r="P437" s="8">
        <v>44321</v>
      </c>
      <c r="Q437" s="7" t="s">
        <v>32</v>
      </c>
      <c r="R437" s="7" t="s">
        <v>33</v>
      </c>
      <c r="S437" s="7" t="s">
        <v>34</v>
      </c>
      <c r="T437" s="7"/>
      <c r="U437" s="7" t="s">
        <v>35</v>
      </c>
      <c r="V437" s="7">
        <v>210.12</v>
      </c>
      <c r="W437" s="7">
        <v>90.6</v>
      </c>
      <c r="X437" s="7">
        <v>83.67</v>
      </c>
      <c r="Y437" s="7">
        <v>0</v>
      </c>
      <c r="Z437" s="7">
        <v>35.85</v>
      </c>
    </row>
    <row r="438" spans="1:26" x14ac:dyDescent="0.35">
      <c r="A438" s="7" t="s">
        <v>27</v>
      </c>
      <c r="B438" s="7" t="s">
        <v>36</v>
      </c>
      <c r="C438" s="7" t="s">
        <v>48</v>
      </c>
      <c r="D438" s="7" t="s">
        <v>56</v>
      </c>
      <c r="E438" s="7" t="s">
        <v>29</v>
      </c>
      <c r="F438" s="7" t="s">
        <v>124</v>
      </c>
      <c r="G438" s="7">
        <v>2020</v>
      </c>
      <c r="H438" s="7" t="str">
        <f>CONCATENATE("04240426629")</f>
        <v>04240426629</v>
      </c>
      <c r="I438" s="7" t="s">
        <v>30</v>
      </c>
      <c r="J438" s="7" t="s">
        <v>31</v>
      </c>
      <c r="K438" s="7" t="str">
        <f>CONCATENATE("")</f>
        <v/>
      </c>
      <c r="L438" s="7" t="str">
        <f>CONCATENATE("10 10.1 4a")</f>
        <v>10 10.1 4a</v>
      </c>
      <c r="M438" s="7" t="str">
        <f>CONCATENATE("BCRGCR48M24A366I")</f>
        <v>BCRGCR48M24A366I</v>
      </c>
      <c r="N438" s="7" t="s">
        <v>543</v>
      </c>
      <c r="O438" s="7" t="s">
        <v>394</v>
      </c>
      <c r="P438" s="8">
        <v>44321</v>
      </c>
      <c r="Q438" s="7" t="s">
        <v>32</v>
      </c>
      <c r="R438" s="7" t="s">
        <v>33</v>
      </c>
      <c r="S438" s="7" t="s">
        <v>34</v>
      </c>
      <c r="T438" s="7"/>
      <c r="U438" s="7" t="s">
        <v>35</v>
      </c>
      <c r="V438" s="9">
        <v>4500</v>
      </c>
      <c r="W438" s="9">
        <v>1940.4</v>
      </c>
      <c r="X438" s="9">
        <v>1791.9</v>
      </c>
      <c r="Y438" s="7">
        <v>0</v>
      </c>
      <c r="Z438" s="7">
        <v>767.7</v>
      </c>
    </row>
    <row r="439" spans="1:26" x14ac:dyDescent="0.35">
      <c r="A439" s="7" t="s">
        <v>27</v>
      </c>
      <c r="B439" s="7" t="s">
        <v>36</v>
      </c>
      <c r="C439" s="7" t="s">
        <v>48</v>
      </c>
      <c r="D439" s="7" t="s">
        <v>62</v>
      </c>
      <c r="E439" s="7" t="s">
        <v>44</v>
      </c>
      <c r="F439" s="7" t="s">
        <v>46</v>
      </c>
      <c r="G439" s="7">
        <v>2020</v>
      </c>
      <c r="H439" s="7" t="str">
        <f>CONCATENATE("04240374860")</f>
        <v>04240374860</v>
      </c>
      <c r="I439" s="7" t="s">
        <v>30</v>
      </c>
      <c r="J439" s="7" t="s">
        <v>31</v>
      </c>
      <c r="K439" s="7" t="str">
        <f>CONCATENATE("")</f>
        <v/>
      </c>
      <c r="L439" s="7" t="str">
        <f>CONCATENATE("10 10.1 4a")</f>
        <v>10 10.1 4a</v>
      </c>
      <c r="M439" s="7" t="str">
        <f>CONCATENATE("CPPNNA66H65A329N")</f>
        <v>CPPNNA66H65A329N</v>
      </c>
      <c r="N439" s="7" t="s">
        <v>544</v>
      </c>
      <c r="O439" s="7" t="s">
        <v>394</v>
      </c>
      <c r="P439" s="8">
        <v>44321</v>
      </c>
      <c r="Q439" s="7" t="s">
        <v>32</v>
      </c>
      <c r="R439" s="7" t="s">
        <v>33</v>
      </c>
      <c r="S439" s="7" t="s">
        <v>34</v>
      </c>
      <c r="T439" s="7"/>
      <c r="U439" s="7" t="s">
        <v>35</v>
      </c>
      <c r="V439" s="7">
        <v>425.96</v>
      </c>
      <c r="W439" s="7">
        <v>183.67</v>
      </c>
      <c r="X439" s="7">
        <v>169.62</v>
      </c>
      <c r="Y439" s="7">
        <v>0</v>
      </c>
      <c r="Z439" s="7">
        <v>72.67</v>
      </c>
    </row>
    <row r="440" spans="1:26" x14ac:dyDescent="0.35">
      <c r="A440" s="7" t="s">
        <v>27</v>
      </c>
      <c r="B440" s="7" t="s">
        <v>36</v>
      </c>
      <c r="C440" s="7" t="s">
        <v>48</v>
      </c>
      <c r="D440" s="7" t="s">
        <v>62</v>
      </c>
      <c r="E440" s="7" t="s">
        <v>44</v>
      </c>
      <c r="F440" s="7" t="s">
        <v>46</v>
      </c>
      <c r="G440" s="7">
        <v>2020</v>
      </c>
      <c r="H440" s="7" t="str">
        <f>CONCATENATE("04240820912")</f>
        <v>04240820912</v>
      </c>
      <c r="I440" s="7" t="s">
        <v>30</v>
      </c>
      <c r="J440" s="7" t="s">
        <v>31</v>
      </c>
      <c r="K440" s="7" t="str">
        <f>CONCATENATE("")</f>
        <v/>
      </c>
      <c r="L440" s="7" t="str">
        <f>CONCATENATE("10 10.1 4a")</f>
        <v>10 10.1 4a</v>
      </c>
      <c r="M440" s="7" t="str">
        <f>CONCATENATE("SLVGNN58D26C886F")</f>
        <v>SLVGNN58D26C886F</v>
      </c>
      <c r="N440" s="7" t="s">
        <v>545</v>
      </c>
      <c r="O440" s="7" t="s">
        <v>394</v>
      </c>
      <c r="P440" s="8">
        <v>44321</v>
      </c>
      <c r="Q440" s="7" t="s">
        <v>32</v>
      </c>
      <c r="R440" s="7" t="s">
        <v>33</v>
      </c>
      <c r="S440" s="7" t="s">
        <v>34</v>
      </c>
      <c r="T440" s="7"/>
      <c r="U440" s="7" t="s">
        <v>35</v>
      </c>
      <c r="V440" s="7">
        <v>343.92</v>
      </c>
      <c r="W440" s="7">
        <v>148.30000000000001</v>
      </c>
      <c r="X440" s="7">
        <v>136.94999999999999</v>
      </c>
      <c r="Y440" s="7">
        <v>0</v>
      </c>
      <c r="Z440" s="7">
        <v>58.67</v>
      </c>
    </row>
    <row r="441" spans="1:26" x14ac:dyDescent="0.35">
      <c r="A441" s="7" t="s">
        <v>27</v>
      </c>
      <c r="B441" s="7" t="s">
        <v>36</v>
      </c>
      <c r="C441" s="7" t="s">
        <v>48</v>
      </c>
      <c r="D441" s="7" t="s">
        <v>56</v>
      </c>
      <c r="E441" s="7" t="s">
        <v>40</v>
      </c>
      <c r="F441" s="7" t="s">
        <v>272</v>
      </c>
      <c r="G441" s="7">
        <v>2020</v>
      </c>
      <c r="H441" s="7" t="str">
        <f>CONCATENATE("04240381568")</f>
        <v>04240381568</v>
      </c>
      <c r="I441" s="7" t="s">
        <v>30</v>
      </c>
      <c r="J441" s="7" t="s">
        <v>31</v>
      </c>
      <c r="K441" s="7" t="str">
        <f>CONCATENATE("")</f>
        <v/>
      </c>
      <c r="L441" s="7" t="str">
        <f>CONCATENATE("10 10.1 4a")</f>
        <v>10 10.1 4a</v>
      </c>
      <c r="M441" s="7" t="str">
        <f>CONCATENATE("CNDCRL63E17F634T")</f>
        <v>CNDCRL63E17F634T</v>
      </c>
      <c r="N441" s="7" t="s">
        <v>546</v>
      </c>
      <c r="O441" s="7" t="s">
        <v>394</v>
      </c>
      <c r="P441" s="8">
        <v>44321</v>
      </c>
      <c r="Q441" s="7" t="s">
        <v>32</v>
      </c>
      <c r="R441" s="7" t="s">
        <v>33</v>
      </c>
      <c r="S441" s="7" t="s">
        <v>34</v>
      </c>
      <c r="T441" s="7"/>
      <c r="U441" s="7" t="s">
        <v>35</v>
      </c>
      <c r="V441" s="7">
        <v>223.71</v>
      </c>
      <c r="W441" s="7">
        <v>96.46</v>
      </c>
      <c r="X441" s="7">
        <v>89.08</v>
      </c>
      <c r="Y441" s="7">
        <v>0</v>
      </c>
      <c r="Z441" s="7">
        <v>38.17</v>
      </c>
    </row>
    <row r="442" spans="1:26" ht="17.5" x14ac:dyDescent="0.35">
      <c r="A442" s="7" t="s">
        <v>27</v>
      </c>
      <c r="B442" s="7" t="s">
        <v>36</v>
      </c>
      <c r="C442" s="7" t="s">
        <v>48</v>
      </c>
      <c r="D442" s="7" t="s">
        <v>56</v>
      </c>
      <c r="E442" s="7" t="s">
        <v>40</v>
      </c>
      <c r="F442" s="7" t="s">
        <v>525</v>
      </c>
      <c r="G442" s="7">
        <v>2020</v>
      </c>
      <c r="H442" s="7" t="str">
        <f>CONCATENATE("04240854382")</f>
        <v>04240854382</v>
      </c>
      <c r="I442" s="7" t="s">
        <v>30</v>
      </c>
      <c r="J442" s="7" t="s">
        <v>31</v>
      </c>
      <c r="K442" s="7" t="str">
        <f>CONCATENATE("")</f>
        <v/>
      </c>
      <c r="L442" s="7" t="str">
        <f>CONCATENATE("10 10.1 4a")</f>
        <v>10 10.1 4a</v>
      </c>
      <c r="M442" s="7" t="str">
        <f>CONCATENATE("02788490429")</f>
        <v>02788490429</v>
      </c>
      <c r="N442" s="7" t="s">
        <v>547</v>
      </c>
      <c r="O442" s="7" t="s">
        <v>394</v>
      </c>
      <c r="P442" s="8">
        <v>44321</v>
      </c>
      <c r="Q442" s="7" t="s">
        <v>32</v>
      </c>
      <c r="R442" s="7" t="s">
        <v>33</v>
      </c>
      <c r="S442" s="7" t="s">
        <v>34</v>
      </c>
      <c r="T442" s="7"/>
      <c r="U442" s="7" t="s">
        <v>35</v>
      </c>
      <c r="V442" s="9">
        <v>1069.2</v>
      </c>
      <c r="W442" s="7">
        <v>461.04</v>
      </c>
      <c r="X442" s="7">
        <v>425.76</v>
      </c>
      <c r="Y442" s="7">
        <v>0</v>
      </c>
      <c r="Z442" s="7">
        <v>182.4</v>
      </c>
    </row>
    <row r="443" spans="1:26" x14ac:dyDescent="0.35">
      <c r="A443" s="7" t="s">
        <v>27</v>
      </c>
      <c r="B443" s="7" t="s">
        <v>36</v>
      </c>
      <c r="C443" s="7" t="s">
        <v>48</v>
      </c>
      <c r="D443" s="7" t="s">
        <v>56</v>
      </c>
      <c r="E443" s="7" t="s">
        <v>40</v>
      </c>
      <c r="F443" s="7" t="s">
        <v>272</v>
      </c>
      <c r="G443" s="7">
        <v>2020</v>
      </c>
      <c r="H443" s="7" t="str">
        <f>CONCATENATE("04240748071")</f>
        <v>04240748071</v>
      </c>
      <c r="I443" s="7" t="s">
        <v>30</v>
      </c>
      <c r="J443" s="7" t="s">
        <v>31</v>
      </c>
      <c r="K443" s="7" t="str">
        <f>CONCATENATE("")</f>
        <v/>
      </c>
      <c r="L443" s="7" t="str">
        <f>CONCATENATE("10 10.1 4a")</f>
        <v>10 10.1 4a</v>
      </c>
      <c r="M443" s="7" t="str">
        <f>CONCATENATE("FDRBNR58P20E388X")</f>
        <v>FDRBNR58P20E388X</v>
      </c>
      <c r="N443" s="7" t="s">
        <v>548</v>
      </c>
      <c r="O443" s="7" t="s">
        <v>394</v>
      </c>
      <c r="P443" s="8">
        <v>44321</v>
      </c>
      <c r="Q443" s="7" t="s">
        <v>32</v>
      </c>
      <c r="R443" s="7" t="s">
        <v>33</v>
      </c>
      <c r="S443" s="7" t="s">
        <v>34</v>
      </c>
      <c r="T443" s="7"/>
      <c r="U443" s="7" t="s">
        <v>35</v>
      </c>
      <c r="V443" s="7">
        <v>288.44</v>
      </c>
      <c r="W443" s="7">
        <v>124.38</v>
      </c>
      <c r="X443" s="7">
        <v>114.86</v>
      </c>
      <c r="Y443" s="7">
        <v>0</v>
      </c>
      <c r="Z443" s="7">
        <v>49.2</v>
      </c>
    </row>
    <row r="444" spans="1:26" x14ac:dyDescent="0.35">
      <c r="A444" s="7" t="s">
        <v>27</v>
      </c>
      <c r="B444" s="7" t="s">
        <v>36</v>
      </c>
      <c r="C444" s="7" t="s">
        <v>48</v>
      </c>
      <c r="D444" s="7" t="s">
        <v>56</v>
      </c>
      <c r="E444" s="7" t="s">
        <v>29</v>
      </c>
      <c r="F444" s="7" t="s">
        <v>106</v>
      </c>
      <c r="G444" s="7">
        <v>2020</v>
      </c>
      <c r="H444" s="7" t="str">
        <f>CONCATENATE("04240134298")</f>
        <v>04240134298</v>
      </c>
      <c r="I444" s="7" t="s">
        <v>30</v>
      </c>
      <c r="J444" s="7" t="s">
        <v>31</v>
      </c>
      <c r="K444" s="7" t="str">
        <f>CONCATENATE("")</f>
        <v/>
      </c>
      <c r="L444" s="7" t="str">
        <f>CONCATENATE("10 10.1 4a")</f>
        <v>10 10.1 4a</v>
      </c>
      <c r="M444" s="7" t="str">
        <f>CONCATENATE("GRSSLN88M04E388P")</f>
        <v>GRSSLN88M04E388P</v>
      </c>
      <c r="N444" s="7" t="s">
        <v>549</v>
      </c>
      <c r="O444" s="7" t="s">
        <v>394</v>
      </c>
      <c r="P444" s="8">
        <v>44321</v>
      </c>
      <c r="Q444" s="7" t="s">
        <v>32</v>
      </c>
      <c r="R444" s="7" t="s">
        <v>33</v>
      </c>
      <c r="S444" s="7" t="s">
        <v>34</v>
      </c>
      <c r="T444" s="7"/>
      <c r="U444" s="7" t="s">
        <v>35</v>
      </c>
      <c r="V444" s="7">
        <v>551.16</v>
      </c>
      <c r="W444" s="7">
        <v>237.66</v>
      </c>
      <c r="X444" s="7">
        <v>219.47</v>
      </c>
      <c r="Y444" s="7">
        <v>0</v>
      </c>
      <c r="Z444" s="7">
        <v>94.03</v>
      </c>
    </row>
    <row r="445" spans="1:26" x14ac:dyDescent="0.35">
      <c r="A445" s="7" t="s">
        <v>27</v>
      </c>
      <c r="B445" s="7" t="s">
        <v>36</v>
      </c>
      <c r="C445" s="7" t="s">
        <v>48</v>
      </c>
      <c r="D445" s="7" t="s">
        <v>56</v>
      </c>
      <c r="E445" s="7" t="s">
        <v>40</v>
      </c>
      <c r="F445" s="7" t="s">
        <v>272</v>
      </c>
      <c r="G445" s="7">
        <v>2020</v>
      </c>
      <c r="H445" s="7" t="str">
        <f>CONCATENATE("04240748014")</f>
        <v>04240748014</v>
      </c>
      <c r="I445" s="7" t="s">
        <v>30</v>
      </c>
      <c r="J445" s="7" t="s">
        <v>31</v>
      </c>
      <c r="K445" s="7" t="str">
        <f>CONCATENATE("")</f>
        <v/>
      </c>
      <c r="L445" s="7" t="str">
        <f>CONCATENATE("10 10.1 4a")</f>
        <v>10 10.1 4a</v>
      </c>
      <c r="M445" s="7" t="str">
        <f>CONCATENATE("FDRBNR58P20E388X")</f>
        <v>FDRBNR58P20E388X</v>
      </c>
      <c r="N445" s="7" t="s">
        <v>548</v>
      </c>
      <c r="O445" s="7" t="s">
        <v>394</v>
      </c>
      <c r="P445" s="8">
        <v>44321</v>
      </c>
      <c r="Q445" s="7" t="s">
        <v>32</v>
      </c>
      <c r="R445" s="7" t="s">
        <v>33</v>
      </c>
      <c r="S445" s="7" t="s">
        <v>34</v>
      </c>
      <c r="T445" s="7"/>
      <c r="U445" s="7" t="s">
        <v>35</v>
      </c>
      <c r="V445" s="7">
        <v>364.2</v>
      </c>
      <c r="W445" s="7">
        <v>157.04</v>
      </c>
      <c r="X445" s="7">
        <v>145.02000000000001</v>
      </c>
      <c r="Y445" s="7">
        <v>0</v>
      </c>
      <c r="Z445" s="7">
        <v>62.14</v>
      </c>
    </row>
    <row r="446" spans="1:26" x14ac:dyDescent="0.35">
      <c r="A446" s="7" t="s">
        <v>27</v>
      </c>
      <c r="B446" s="7" t="s">
        <v>36</v>
      </c>
      <c r="C446" s="7" t="s">
        <v>48</v>
      </c>
      <c r="D446" s="7" t="s">
        <v>56</v>
      </c>
      <c r="E446" s="7" t="s">
        <v>40</v>
      </c>
      <c r="F446" s="7" t="s">
        <v>272</v>
      </c>
      <c r="G446" s="7">
        <v>2020</v>
      </c>
      <c r="H446" s="7" t="str">
        <f>CONCATENATE("04240012445")</f>
        <v>04240012445</v>
      </c>
      <c r="I446" s="7" t="s">
        <v>30</v>
      </c>
      <c r="J446" s="7" t="s">
        <v>31</v>
      </c>
      <c r="K446" s="7" t="str">
        <f>CONCATENATE("")</f>
        <v/>
      </c>
      <c r="L446" s="7" t="str">
        <f>CONCATENATE("10 10.1 4a")</f>
        <v>10 10.1 4a</v>
      </c>
      <c r="M446" s="7" t="str">
        <f>CONCATENATE("FRTLRT54E03C248P")</f>
        <v>FRTLRT54E03C248P</v>
      </c>
      <c r="N446" s="7" t="s">
        <v>550</v>
      </c>
      <c r="O446" s="7" t="s">
        <v>394</v>
      </c>
      <c r="P446" s="8">
        <v>44321</v>
      </c>
      <c r="Q446" s="7" t="s">
        <v>32</v>
      </c>
      <c r="R446" s="7" t="s">
        <v>33</v>
      </c>
      <c r="S446" s="7" t="s">
        <v>34</v>
      </c>
      <c r="T446" s="7"/>
      <c r="U446" s="7" t="s">
        <v>35</v>
      </c>
      <c r="V446" s="7">
        <v>477.52</v>
      </c>
      <c r="W446" s="7">
        <v>205.91</v>
      </c>
      <c r="X446" s="7">
        <v>190.15</v>
      </c>
      <c r="Y446" s="7">
        <v>0</v>
      </c>
      <c r="Z446" s="7">
        <v>81.459999999999994</v>
      </c>
    </row>
    <row r="447" spans="1:26" x14ac:dyDescent="0.35">
      <c r="A447" s="7" t="s">
        <v>27</v>
      </c>
      <c r="B447" s="7" t="s">
        <v>36</v>
      </c>
      <c r="C447" s="7" t="s">
        <v>48</v>
      </c>
      <c r="D447" s="7" t="s">
        <v>56</v>
      </c>
      <c r="E447" s="7" t="s">
        <v>40</v>
      </c>
      <c r="F447" s="7" t="s">
        <v>272</v>
      </c>
      <c r="G447" s="7">
        <v>2020</v>
      </c>
      <c r="H447" s="7" t="str">
        <f>CONCATENATE("04240680092")</f>
        <v>04240680092</v>
      </c>
      <c r="I447" s="7" t="s">
        <v>30</v>
      </c>
      <c r="J447" s="7" t="s">
        <v>31</v>
      </c>
      <c r="K447" s="7" t="str">
        <f>CONCATENATE("")</f>
        <v/>
      </c>
      <c r="L447" s="7" t="str">
        <f>CONCATENATE("10 10.1 4a")</f>
        <v>10 10.1 4a</v>
      </c>
      <c r="M447" s="7" t="str">
        <f>CONCATENATE("FRLMCL46A01E388M")</f>
        <v>FRLMCL46A01E388M</v>
      </c>
      <c r="N447" s="7" t="s">
        <v>551</v>
      </c>
      <c r="O447" s="7" t="s">
        <v>394</v>
      </c>
      <c r="P447" s="8">
        <v>44321</v>
      </c>
      <c r="Q447" s="7" t="s">
        <v>32</v>
      </c>
      <c r="R447" s="7" t="s">
        <v>33</v>
      </c>
      <c r="S447" s="7" t="s">
        <v>34</v>
      </c>
      <c r="T447" s="7"/>
      <c r="U447" s="7" t="s">
        <v>35</v>
      </c>
      <c r="V447" s="7">
        <v>107.96</v>
      </c>
      <c r="W447" s="7">
        <v>46.55</v>
      </c>
      <c r="X447" s="7">
        <v>42.99</v>
      </c>
      <c r="Y447" s="7">
        <v>0</v>
      </c>
      <c r="Z447" s="7">
        <v>18.420000000000002</v>
      </c>
    </row>
    <row r="448" spans="1:26" x14ac:dyDescent="0.35">
      <c r="A448" s="7" t="s">
        <v>27</v>
      </c>
      <c r="B448" s="7" t="s">
        <v>36</v>
      </c>
      <c r="C448" s="7" t="s">
        <v>48</v>
      </c>
      <c r="D448" s="7" t="s">
        <v>56</v>
      </c>
      <c r="E448" s="7" t="s">
        <v>40</v>
      </c>
      <c r="F448" s="7" t="s">
        <v>272</v>
      </c>
      <c r="G448" s="7">
        <v>2020</v>
      </c>
      <c r="H448" s="7" t="str">
        <f>CONCATENATE("04240038317")</f>
        <v>04240038317</v>
      </c>
      <c r="I448" s="7" t="s">
        <v>30</v>
      </c>
      <c r="J448" s="7" t="s">
        <v>31</v>
      </c>
      <c r="K448" s="7" t="str">
        <f>CONCATENATE("")</f>
        <v/>
      </c>
      <c r="L448" s="7" t="str">
        <f>CONCATENATE("10 10.1 4a")</f>
        <v>10 10.1 4a</v>
      </c>
      <c r="M448" s="7" t="str">
        <f>CONCATENATE("RLNSLV77S66E388V")</f>
        <v>RLNSLV77S66E388V</v>
      </c>
      <c r="N448" s="7" t="s">
        <v>552</v>
      </c>
      <c r="O448" s="7" t="s">
        <v>394</v>
      </c>
      <c r="P448" s="8">
        <v>44321</v>
      </c>
      <c r="Q448" s="7" t="s">
        <v>32</v>
      </c>
      <c r="R448" s="7" t="s">
        <v>33</v>
      </c>
      <c r="S448" s="7" t="s">
        <v>34</v>
      </c>
      <c r="T448" s="7"/>
      <c r="U448" s="7" t="s">
        <v>35</v>
      </c>
      <c r="V448" s="7">
        <v>164</v>
      </c>
      <c r="W448" s="7">
        <v>70.72</v>
      </c>
      <c r="X448" s="7">
        <v>65.3</v>
      </c>
      <c r="Y448" s="7">
        <v>0</v>
      </c>
      <c r="Z448" s="7">
        <v>27.98</v>
      </c>
    </row>
    <row r="449" spans="1:26" x14ac:dyDescent="0.35">
      <c r="A449" s="7" t="s">
        <v>27</v>
      </c>
      <c r="B449" s="7" t="s">
        <v>36</v>
      </c>
      <c r="C449" s="7" t="s">
        <v>48</v>
      </c>
      <c r="D449" s="7" t="s">
        <v>56</v>
      </c>
      <c r="E449" s="7" t="s">
        <v>40</v>
      </c>
      <c r="F449" s="7" t="s">
        <v>272</v>
      </c>
      <c r="G449" s="7">
        <v>2020</v>
      </c>
      <c r="H449" s="7" t="str">
        <f>CONCATENATE("04240019010")</f>
        <v>04240019010</v>
      </c>
      <c r="I449" s="7" t="s">
        <v>30</v>
      </c>
      <c r="J449" s="7" t="s">
        <v>31</v>
      </c>
      <c r="K449" s="7" t="str">
        <f>CONCATENATE("")</f>
        <v/>
      </c>
      <c r="L449" s="7" t="str">
        <f>CONCATENATE("10 10.1 4a")</f>
        <v>10 10.1 4a</v>
      </c>
      <c r="M449" s="7" t="str">
        <f>CONCATENATE("PRNTRN37B44A329H")</f>
        <v>PRNTRN37B44A329H</v>
      </c>
      <c r="N449" s="7" t="s">
        <v>553</v>
      </c>
      <c r="O449" s="7" t="s">
        <v>394</v>
      </c>
      <c r="P449" s="8">
        <v>44321</v>
      </c>
      <c r="Q449" s="7" t="s">
        <v>32</v>
      </c>
      <c r="R449" s="7" t="s">
        <v>33</v>
      </c>
      <c r="S449" s="7" t="s">
        <v>34</v>
      </c>
      <c r="T449" s="7"/>
      <c r="U449" s="7" t="s">
        <v>35</v>
      </c>
      <c r="V449" s="7">
        <v>65.13</v>
      </c>
      <c r="W449" s="7">
        <v>28.08</v>
      </c>
      <c r="X449" s="7">
        <v>25.93</v>
      </c>
      <c r="Y449" s="7">
        <v>0</v>
      </c>
      <c r="Z449" s="7">
        <v>11.12</v>
      </c>
    </row>
    <row r="450" spans="1:26" ht="17.5" x14ac:dyDescent="0.35">
      <c r="A450" s="7" t="s">
        <v>27</v>
      </c>
      <c r="B450" s="7" t="s">
        <v>36</v>
      </c>
      <c r="C450" s="7" t="s">
        <v>48</v>
      </c>
      <c r="D450" s="7" t="s">
        <v>56</v>
      </c>
      <c r="E450" s="7" t="s">
        <v>29</v>
      </c>
      <c r="F450" s="7" t="s">
        <v>128</v>
      </c>
      <c r="G450" s="7">
        <v>2020</v>
      </c>
      <c r="H450" s="7" t="str">
        <f>CONCATENATE("04240962755")</f>
        <v>04240962755</v>
      </c>
      <c r="I450" s="7" t="s">
        <v>30</v>
      </c>
      <c r="J450" s="7" t="s">
        <v>31</v>
      </c>
      <c r="K450" s="7" t="str">
        <f>CONCATENATE("")</f>
        <v/>
      </c>
      <c r="L450" s="7" t="str">
        <f>CONCATENATE("10 10.1 4a")</f>
        <v>10 10.1 4a</v>
      </c>
      <c r="M450" s="7" t="str">
        <f>CONCATENATE("02426410425")</f>
        <v>02426410425</v>
      </c>
      <c r="N450" s="7" t="s">
        <v>554</v>
      </c>
      <c r="O450" s="7" t="s">
        <v>394</v>
      </c>
      <c r="P450" s="8">
        <v>44321</v>
      </c>
      <c r="Q450" s="7" t="s">
        <v>32</v>
      </c>
      <c r="R450" s="7" t="s">
        <v>33</v>
      </c>
      <c r="S450" s="7" t="s">
        <v>34</v>
      </c>
      <c r="T450" s="7"/>
      <c r="U450" s="7" t="s">
        <v>35</v>
      </c>
      <c r="V450" s="9">
        <v>1114.6199999999999</v>
      </c>
      <c r="W450" s="7">
        <v>480.62</v>
      </c>
      <c r="X450" s="7">
        <v>443.84</v>
      </c>
      <c r="Y450" s="7">
        <v>0</v>
      </c>
      <c r="Z450" s="7">
        <v>190.16</v>
      </c>
    </row>
    <row r="451" spans="1:26" x14ac:dyDescent="0.35">
      <c r="A451" s="7" t="s">
        <v>27</v>
      </c>
      <c r="B451" s="7" t="s">
        <v>36</v>
      </c>
      <c r="C451" s="7" t="s">
        <v>48</v>
      </c>
      <c r="D451" s="7" t="s">
        <v>56</v>
      </c>
      <c r="E451" s="7" t="s">
        <v>29</v>
      </c>
      <c r="F451" s="7" t="s">
        <v>285</v>
      </c>
      <c r="G451" s="7">
        <v>2020</v>
      </c>
      <c r="H451" s="7" t="str">
        <f>CONCATENATE("04240121675")</f>
        <v>04240121675</v>
      </c>
      <c r="I451" s="7" t="s">
        <v>30</v>
      </c>
      <c r="J451" s="7" t="s">
        <v>31</v>
      </c>
      <c r="K451" s="7" t="str">
        <f>CONCATENATE("")</f>
        <v/>
      </c>
      <c r="L451" s="7" t="str">
        <f>CONCATENATE("10 10.1 4a")</f>
        <v>10 10.1 4a</v>
      </c>
      <c r="M451" s="7" t="str">
        <f>CONCATENATE("PRNLBT67T64G157T")</f>
        <v>PRNLBT67T64G157T</v>
      </c>
      <c r="N451" s="7" t="s">
        <v>555</v>
      </c>
      <c r="O451" s="7" t="s">
        <v>394</v>
      </c>
      <c r="P451" s="8">
        <v>44321</v>
      </c>
      <c r="Q451" s="7" t="s">
        <v>32</v>
      </c>
      <c r="R451" s="7" t="s">
        <v>33</v>
      </c>
      <c r="S451" s="7" t="s">
        <v>34</v>
      </c>
      <c r="T451" s="7"/>
      <c r="U451" s="7" t="s">
        <v>35</v>
      </c>
      <c r="V451" s="7">
        <v>700.48</v>
      </c>
      <c r="W451" s="7">
        <v>302.05</v>
      </c>
      <c r="X451" s="7">
        <v>278.93</v>
      </c>
      <c r="Y451" s="7">
        <v>0</v>
      </c>
      <c r="Z451" s="7">
        <v>119.5</v>
      </c>
    </row>
    <row r="452" spans="1:26" x14ac:dyDescent="0.35">
      <c r="A452" s="7" t="s">
        <v>27</v>
      </c>
      <c r="B452" s="7" t="s">
        <v>36</v>
      </c>
      <c r="C452" s="7" t="s">
        <v>48</v>
      </c>
      <c r="D452" s="7" t="s">
        <v>56</v>
      </c>
      <c r="E452" s="7" t="s">
        <v>29</v>
      </c>
      <c r="F452" s="7" t="s">
        <v>128</v>
      </c>
      <c r="G452" s="7">
        <v>2020</v>
      </c>
      <c r="H452" s="7" t="str">
        <f>CONCATENATE("04240866196")</f>
        <v>04240866196</v>
      </c>
      <c r="I452" s="7" t="s">
        <v>30</v>
      </c>
      <c r="J452" s="7" t="s">
        <v>31</v>
      </c>
      <c r="K452" s="7" t="str">
        <f>CONCATENATE("")</f>
        <v/>
      </c>
      <c r="L452" s="7" t="str">
        <f>CONCATENATE("10 10.1 4a")</f>
        <v>10 10.1 4a</v>
      </c>
      <c r="M452" s="7" t="str">
        <f>CONCATENATE("RSSFCM85H28E388E")</f>
        <v>RSSFCM85H28E388E</v>
      </c>
      <c r="N452" s="7" t="s">
        <v>556</v>
      </c>
      <c r="O452" s="7" t="s">
        <v>394</v>
      </c>
      <c r="P452" s="8">
        <v>44321</v>
      </c>
      <c r="Q452" s="7" t="s">
        <v>32</v>
      </c>
      <c r="R452" s="7" t="s">
        <v>33</v>
      </c>
      <c r="S452" s="7" t="s">
        <v>34</v>
      </c>
      <c r="T452" s="7"/>
      <c r="U452" s="7" t="s">
        <v>35</v>
      </c>
      <c r="V452" s="7">
        <v>163.82</v>
      </c>
      <c r="W452" s="7">
        <v>70.64</v>
      </c>
      <c r="X452" s="7">
        <v>65.23</v>
      </c>
      <c r="Y452" s="7">
        <v>0</v>
      </c>
      <c r="Z452" s="7">
        <v>27.95</v>
      </c>
    </row>
    <row r="453" spans="1:26" x14ac:dyDescent="0.35">
      <c r="A453" s="7" t="s">
        <v>27</v>
      </c>
      <c r="B453" s="7" t="s">
        <v>36</v>
      </c>
      <c r="C453" s="7" t="s">
        <v>48</v>
      </c>
      <c r="D453" s="7" t="s">
        <v>56</v>
      </c>
      <c r="E453" s="7" t="s">
        <v>40</v>
      </c>
      <c r="F453" s="7" t="s">
        <v>272</v>
      </c>
      <c r="G453" s="7">
        <v>2020</v>
      </c>
      <c r="H453" s="7" t="str">
        <f>CONCATENATE("04240017246")</f>
        <v>04240017246</v>
      </c>
      <c r="I453" s="7" t="s">
        <v>30</v>
      </c>
      <c r="J453" s="7" t="s">
        <v>31</v>
      </c>
      <c r="K453" s="7" t="str">
        <f>CONCATENATE("")</f>
        <v/>
      </c>
      <c r="L453" s="7" t="str">
        <f>CONCATENATE("10 10.1 4a")</f>
        <v>10 10.1 4a</v>
      </c>
      <c r="M453" s="7" t="str">
        <f>CONCATENATE("SLTRRT58B19Z120W")</f>
        <v>SLTRRT58B19Z120W</v>
      </c>
      <c r="N453" s="7" t="s">
        <v>557</v>
      </c>
      <c r="O453" s="7" t="s">
        <v>394</v>
      </c>
      <c r="P453" s="8">
        <v>44321</v>
      </c>
      <c r="Q453" s="7" t="s">
        <v>32</v>
      </c>
      <c r="R453" s="7" t="s">
        <v>33</v>
      </c>
      <c r="S453" s="7" t="s">
        <v>34</v>
      </c>
      <c r="T453" s="7"/>
      <c r="U453" s="7" t="s">
        <v>35</v>
      </c>
      <c r="V453" s="7">
        <v>226.52</v>
      </c>
      <c r="W453" s="7">
        <v>97.68</v>
      </c>
      <c r="X453" s="7">
        <v>90.2</v>
      </c>
      <c r="Y453" s="7">
        <v>0</v>
      </c>
      <c r="Z453" s="7">
        <v>38.64</v>
      </c>
    </row>
    <row r="454" spans="1:26" x14ac:dyDescent="0.35">
      <c r="A454" s="7" t="s">
        <v>27</v>
      </c>
      <c r="B454" s="7" t="s">
        <v>36</v>
      </c>
      <c r="C454" s="7" t="s">
        <v>48</v>
      </c>
      <c r="D454" s="7" t="s">
        <v>62</v>
      </c>
      <c r="E454" s="7" t="s">
        <v>44</v>
      </c>
      <c r="F454" s="7" t="s">
        <v>234</v>
      </c>
      <c r="G454" s="7">
        <v>2020</v>
      </c>
      <c r="H454" s="7" t="str">
        <f>CONCATENATE("04240855405")</f>
        <v>04240855405</v>
      </c>
      <c r="I454" s="7" t="s">
        <v>39</v>
      </c>
      <c r="J454" s="7" t="s">
        <v>31</v>
      </c>
      <c r="K454" s="7" t="str">
        <f>CONCATENATE("")</f>
        <v/>
      </c>
      <c r="L454" s="7" t="str">
        <f>CONCATENATE("10 10.1 4a")</f>
        <v>10 10.1 4a</v>
      </c>
      <c r="M454" s="7" t="str">
        <f>CONCATENATE("PLZGNN59L55A334J")</f>
        <v>PLZGNN59L55A334J</v>
      </c>
      <c r="N454" s="7" t="s">
        <v>558</v>
      </c>
      <c r="O454" s="7" t="s">
        <v>394</v>
      </c>
      <c r="P454" s="8">
        <v>44321</v>
      </c>
      <c r="Q454" s="7" t="s">
        <v>32</v>
      </c>
      <c r="R454" s="7" t="s">
        <v>33</v>
      </c>
      <c r="S454" s="7" t="s">
        <v>34</v>
      </c>
      <c r="T454" s="7"/>
      <c r="U454" s="7" t="s">
        <v>35</v>
      </c>
      <c r="V454" s="7">
        <v>983.84</v>
      </c>
      <c r="W454" s="7">
        <v>424.23</v>
      </c>
      <c r="X454" s="7">
        <v>391.77</v>
      </c>
      <c r="Y454" s="7">
        <v>0</v>
      </c>
      <c r="Z454" s="7">
        <v>167.84</v>
      </c>
    </row>
    <row r="455" spans="1:26" ht="17.5" x14ac:dyDescent="0.35">
      <c r="A455" s="7" t="s">
        <v>27</v>
      </c>
      <c r="B455" s="7" t="s">
        <v>36</v>
      </c>
      <c r="C455" s="7" t="s">
        <v>48</v>
      </c>
      <c r="D455" s="7" t="s">
        <v>56</v>
      </c>
      <c r="E455" s="7" t="s">
        <v>29</v>
      </c>
      <c r="F455" s="7" t="s">
        <v>106</v>
      </c>
      <c r="G455" s="7">
        <v>2020</v>
      </c>
      <c r="H455" s="7" t="str">
        <f>CONCATENATE("04240953390")</f>
        <v>04240953390</v>
      </c>
      <c r="I455" s="7" t="s">
        <v>30</v>
      </c>
      <c r="J455" s="7" t="s">
        <v>31</v>
      </c>
      <c r="K455" s="7" t="str">
        <f>CONCATENATE("")</f>
        <v/>
      </c>
      <c r="L455" s="7" t="str">
        <f>CONCATENATE("10 10.1 4a")</f>
        <v>10 10.1 4a</v>
      </c>
      <c r="M455" s="7" t="str">
        <f>CONCATENATE("02708000423")</f>
        <v>02708000423</v>
      </c>
      <c r="N455" s="7" t="s">
        <v>559</v>
      </c>
      <c r="O455" s="7" t="s">
        <v>394</v>
      </c>
      <c r="P455" s="8">
        <v>44321</v>
      </c>
      <c r="Q455" s="7" t="s">
        <v>32</v>
      </c>
      <c r="R455" s="7" t="s">
        <v>33</v>
      </c>
      <c r="S455" s="7" t="s">
        <v>34</v>
      </c>
      <c r="T455" s="7"/>
      <c r="U455" s="7" t="s">
        <v>35</v>
      </c>
      <c r="V455" s="7">
        <v>395.47</v>
      </c>
      <c r="W455" s="7">
        <v>170.53</v>
      </c>
      <c r="X455" s="7">
        <v>157.47999999999999</v>
      </c>
      <c r="Y455" s="7">
        <v>0</v>
      </c>
      <c r="Z455" s="7">
        <v>67.459999999999994</v>
      </c>
    </row>
    <row r="456" spans="1:26" x14ac:dyDescent="0.35">
      <c r="A456" s="7" t="s">
        <v>27</v>
      </c>
      <c r="B456" s="7" t="s">
        <v>36</v>
      </c>
      <c r="C456" s="7" t="s">
        <v>48</v>
      </c>
      <c r="D456" s="7" t="s">
        <v>56</v>
      </c>
      <c r="E456" s="7" t="s">
        <v>29</v>
      </c>
      <c r="F456" s="7" t="s">
        <v>106</v>
      </c>
      <c r="G456" s="7">
        <v>2020</v>
      </c>
      <c r="H456" s="7" t="str">
        <f>CONCATENATE("04240650616")</f>
        <v>04240650616</v>
      </c>
      <c r="I456" s="7" t="s">
        <v>30</v>
      </c>
      <c r="J456" s="7" t="s">
        <v>31</v>
      </c>
      <c r="K456" s="7" t="str">
        <f>CONCATENATE("")</f>
        <v/>
      </c>
      <c r="L456" s="7" t="str">
        <f>CONCATENATE("10 10.1 4a")</f>
        <v>10 10.1 4a</v>
      </c>
      <c r="M456" s="7" t="str">
        <f>CONCATENATE("TTTMRC68T07L781D")</f>
        <v>TTTMRC68T07L781D</v>
      </c>
      <c r="N456" s="7" t="s">
        <v>560</v>
      </c>
      <c r="O456" s="7" t="s">
        <v>394</v>
      </c>
      <c r="P456" s="8">
        <v>44321</v>
      </c>
      <c r="Q456" s="7" t="s">
        <v>32</v>
      </c>
      <c r="R456" s="7" t="s">
        <v>33</v>
      </c>
      <c r="S456" s="7" t="s">
        <v>34</v>
      </c>
      <c r="T456" s="7"/>
      <c r="U456" s="7" t="s">
        <v>35</v>
      </c>
      <c r="V456" s="7">
        <v>205.56</v>
      </c>
      <c r="W456" s="7">
        <v>88.64</v>
      </c>
      <c r="X456" s="7">
        <v>81.849999999999994</v>
      </c>
      <c r="Y456" s="7">
        <v>0</v>
      </c>
      <c r="Z456" s="7">
        <v>35.07</v>
      </c>
    </row>
    <row r="457" spans="1:26" x14ac:dyDescent="0.35">
      <c r="A457" s="7" t="s">
        <v>27</v>
      </c>
      <c r="B457" s="7" t="s">
        <v>36</v>
      </c>
      <c r="C457" s="7" t="s">
        <v>48</v>
      </c>
      <c r="D457" s="7" t="s">
        <v>56</v>
      </c>
      <c r="E457" s="7" t="s">
        <v>38</v>
      </c>
      <c r="F457" s="7" t="s">
        <v>269</v>
      </c>
      <c r="G457" s="7">
        <v>2020</v>
      </c>
      <c r="H457" s="7" t="str">
        <f>CONCATENATE("04241072414")</f>
        <v>04241072414</v>
      </c>
      <c r="I457" s="7" t="s">
        <v>30</v>
      </c>
      <c r="J457" s="7" t="s">
        <v>31</v>
      </c>
      <c r="K457" s="7" t="str">
        <f>CONCATENATE("")</f>
        <v/>
      </c>
      <c r="L457" s="7" t="str">
        <f>CONCATENATE("10 10.1 4a")</f>
        <v>10 10.1 4a</v>
      </c>
      <c r="M457" s="7" t="str">
        <f>CONCATENATE("01964550436")</f>
        <v>01964550436</v>
      </c>
      <c r="N457" s="7" t="s">
        <v>561</v>
      </c>
      <c r="O457" s="7" t="s">
        <v>394</v>
      </c>
      <c r="P457" s="8">
        <v>44321</v>
      </c>
      <c r="Q457" s="7" t="s">
        <v>32</v>
      </c>
      <c r="R457" s="7" t="s">
        <v>33</v>
      </c>
      <c r="S457" s="7" t="s">
        <v>34</v>
      </c>
      <c r="T457" s="7"/>
      <c r="U457" s="7" t="s">
        <v>35</v>
      </c>
      <c r="V457" s="7">
        <v>574.79999999999995</v>
      </c>
      <c r="W457" s="7">
        <v>247.85</v>
      </c>
      <c r="X457" s="7">
        <v>228.89</v>
      </c>
      <c r="Y457" s="7">
        <v>0</v>
      </c>
      <c r="Z457" s="7">
        <v>98.06</v>
      </c>
    </row>
    <row r="458" spans="1:26" x14ac:dyDescent="0.35">
      <c r="A458" s="7" t="s">
        <v>27</v>
      </c>
      <c r="B458" s="7" t="s">
        <v>36</v>
      </c>
      <c r="C458" s="7" t="s">
        <v>48</v>
      </c>
      <c r="D458" s="7" t="s">
        <v>62</v>
      </c>
      <c r="E458" s="7" t="s">
        <v>29</v>
      </c>
      <c r="F458" s="7" t="s">
        <v>167</v>
      </c>
      <c r="G458" s="7">
        <v>2020</v>
      </c>
      <c r="H458" s="7" t="str">
        <f>CONCATENATE("04241098559")</f>
        <v>04241098559</v>
      </c>
      <c r="I458" s="7" t="s">
        <v>30</v>
      </c>
      <c r="J458" s="7" t="s">
        <v>31</v>
      </c>
      <c r="K458" s="7" t="str">
        <f>CONCATENATE("")</f>
        <v/>
      </c>
      <c r="L458" s="7" t="str">
        <f>CONCATENATE("10 10.1 4a")</f>
        <v>10 10.1 4a</v>
      </c>
      <c r="M458" s="7" t="str">
        <f>CONCATENATE("CLOGNN66R25B474G")</f>
        <v>CLOGNN66R25B474G</v>
      </c>
      <c r="N458" s="7" t="s">
        <v>562</v>
      </c>
      <c r="O458" s="7" t="s">
        <v>394</v>
      </c>
      <c r="P458" s="8">
        <v>44321</v>
      </c>
      <c r="Q458" s="7" t="s">
        <v>32</v>
      </c>
      <c r="R458" s="7" t="s">
        <v>33</v>
      </c>
      <c r="S458" s="7" t="s">
        <v>34</v>
      </c>
      <c r="T458" s="7"/>
      <c r="U458" s="7" t="s">
        <v>35</v>
      </c>
      <c r="V458" s="9">
        <v>1066.4000000000001</v>
      </c>
      <c r="W458" s="7">
        <v>459.83</v>
      </c>
      <c r="X458" s="7">
        <v>424.64</v>
      </c>
      <c r="Y458" s="7">
        <v>0</v>
      </c>
      <c r="Z458" s="7">
        <v>181.93</v>
      </c>
    </row>
    <row r="459" spans="1:26" x14ac:dyDescent="0.35">
      <c r="A459" s="7" t="s">
        <v>27</v>
      </c>
      <c r="B459" s="7" t="s">
        <v>36</v>
      </c>
      <c r="C459" s="7" t="s">
        <v>48</v>
      </c>
      <c r="D459" s="7" t="s">
        <v>62</v>
      </c>
      <c r="E459" s="7" t="s">
        <v>29</v>
      </c>
      <c r="F459" s="7" t="s">
        <v>167</v>
      </c>
      <c r="G459" s="7">
        <v>2020</v>
      </c>
      <c r="H459" s="7" t="str">
        <f>CONCATENATE("04241097536")</f>
        <v>04241097536</v>
      </c>
      <c r="I459" s="7" t="s">
        <v>30</v>
      </c>
      <c r="J459" s="7" t="s">
        <v>31</v>
      </c>
      <c r="K459" s="7" t="str">
        <f>CONCATENATE("")</f>
        <v/>
      </c>
      <c r="L459" s="7" t="str">
        <f>CONCATENATE("10 10.1 4a")</f>
        <v>10 10.1 4a</v>
      </c>
      <c r="M459" s="7" t="str">
        <f>CONCATENATE("CLOGNN66R25B474G")</f>
        <v>CLOGNN66R25B474G</v>
      </c>
      <c r="N459" s="7" t="s">
        <v>562</v>
      </c>
      <c r="O459" s="7" t="s">
        <v>394</v>
      </c>
      <c r="P459" s="8">
        <v>44321</v>
      </c>
      <c r="Q459" s="7" t="s">
        <v>32</v>
      </c>
      <c r="R459" s="7" t="s">
        <v>33</v>
      </c>
      <c r="S459" s="7" t="s">
        <v>34</v>
      </c>
      <c r="T459" s="7"/>
      <c r="U459" s="7" t="s">
        <v>35</v>
      </c>
      <c r="V459" s="9">
        <v>1105.8399999999999</v>
      </c>
      <c r="W459" s="7">
        <v>476.84</v>
      </c>
      <c r="X459" s="7">
        <v>440.35</v>
      </c>
      <c r="Y459" s="7">
        <v>0</v>
      </c>
      <c r="Z459" s="7">
        <v>188.65</v>
      </c>
    </row>
    <row r="460" spans="1:26" x14ac:dyDescent="0.35">
      <c r="A460" s="7" t="s">
        <v>27</v>
      </c>
      <c r="B460" s="7" t="s">
        <v>36</v>
      </c>
      <c r="C460" s="7" t="s">
        <v>48</v>
      </c>
      <c r="D460" s="7" t="s">
        <v>62</v>
      </c>
      <c r="E460" s="7" t="s">
        <v>38</v>
      </c>
      <c r="F460" s="7" t="s">
        <v>251</v>
      </c>
      <c r="G460" s="7">
        <v>2020</v>
      </c>
      <c r="H460" s="7" t="str">
        <f>CONCATENATE("04240964553")</f>
        <v>04240964553</v>
      </c>
      <c r="I460" s="7" t="s">
        <v>30</v>
      </c>
      <c r="J460" s="7" t="s">
        <v>31</v>
      </c>
      <c r="K460" s="7" t="str">
        <f>CONCATENATE("")</f>
        <v/>
      </c>
      <c r="L460" s="7" t="str">
        <f>CONCATENATE("10 10.1 4a")</f>
        <v>10 10.1 4a</v>
      </c>
      <c r="M460" s="7" t="str">
        <f>CONCATENATE("FRRMRA38B46G436V")</f>
        <v>FRRMRA38B46G436V</v>
      </c>
      <c r="N460" s="7" t="s">
        <v>563</v>
      </c>
      <c r="O460" s="7" t="s">
        <v>394</v>
      </c>
      <c r="P460" s="8">
        <v>44321</v>
      </c>
      <c r="Q460" s="7" t="s">
        <v>32</v>
      </c>
      <c r="R460" s="7" t="s">
        <v>33</v>
      </c>
      <c r="S460" s="7" t="s">
        <v>34</v>
      </c>
      <c r="T460" s="7"/>
      <c r="U460" s="7" t="s">
        <v>35</v>
      </c>
      <c r="V460" s="9">
        <v>1596.32</v>
      </c>
      <c r="W460" s="7">
        <v>688.33</v>
      </c>
      <c r="X460" s="7">
        <v>635.65</v>
      </c>
      <c r="Y460" s="7">
        <v>0</v>
      </c>
      <c r="Z460" s="7">
        <v>272.33999999999997</v>
      </c>
    </row>
    <row r="461" spans="1:26" x14ac:dyDescent="0.35">
      <c r="A461" s="7" t="s">
        <v>27</v>
      </c>
      <c r="B461" s="7" t="s">
        <v>36</v>
      </c>
      <c r="C461" s="7" t="s">
        <v>48</v>
      </c>
      <c r="D461" s="7" t="s">
        <v>62</v>
      </c>
      <c r="E461" s="7" t="s">
        <v>29</v>
      </c>
      <c r="F461" s="7" t="s">
        <v>176</v>
      </c>
      <c r="G461" s="7">
        <v>2020</v>
      </c>
      <c r="H461" s="7" t="str">
        <f>CONCATENATE("04240616195")</f>
        <v>04240616195</v>
      </c>
      <c r="I461" s="7" t="s">
        <v>30</v>
      </c>
      <c r="J461" s="7" t="s">
        <v>31</v>
      </c>
      <c r="K461" s="7" t="str">
        <f>CONCATENATE("")</f>
        <v/>
      </c>
      <c r="L461" s="7" t="str">
        <f>CONCATENATE("10 10.1 4a")</f>
        <v>10 10.1 4a</v>
      </c>
      <c r="M461" s="7" t="str">
        <f>CONCATENATE("FRRCST71E52F205B")</f>
        <v>FRRCST71E52F205B</v>
      </c>
      <c r="N461" s="7" t="s">
        <v>564</v>
      </c>
      <c r="O461" s="7" t="s">
        <v>394</v>
      </c>
      <c r="P461" s="8">
        <v>44321</v>
      </c>
      <c r="Q461" s="7" t="s">
        <v>32</v>
      </c>
      <c r="R461" s="7" t="s">
        <v>33</v>
      </c>
      <c r="S461" s="7" t="s">
        <v>34</v>
      </c>
      <c r="T461" s="7"/>
      <c r="U461" s="7" t="s">
        <v>35</v>
      </c>
      <c r="V461" s="7">
        <v>891.78</v>
      </c>
      <c r="W461" s="7">
        <v>384.54</v>
      </c>
      <c r="X461" s="7">
        <v>355.11</v>
      </c>
      <c r="Y461" s="7">
        <v>0</v>
      </c>
      <c r="Z461" s="7">
        <v>152.13</v>
      </c>
    </row>
    <row r="462" spans="1:26" x14ac:dyDescent="0.35">
      <c r="A462" s="7" t="s">
        <v>27</v>
      </c>
      <c r="B462" s="7" t="s">
        <v>36</v>
      </c>
      <c r="C462" s="7" t="s">
        <v>48</v>
      </c>
      <c r="D462" s="7" t="s">
        <v>62</v>
      </c>
      <c r="E462" s="7" t="s">
        <v>29</v>
      </c>
      <c r="F462" s="7" t="s">
        <v>176</v>
      </c>
      <c r="G462" s="7">
        <v>2020</v>
      </c>
      <c r="H462" s="7" t="str">
        <f>CONCATENATE("04210024420")</f>
        <v>04210024420</v>
      </c>
      <c r="I462" s="7" t="s">
        <v>30</v>
      </c>
      <c r="J462" s="7" t="s">
        <v>31</v>
      </c>
      <c r="K462" s="7" t="str">
        <f>CONCATENATE("")</f>
        <v/>
      </c>
      <c r="L462" s="7" t="str">
        <f>CONCATENATE("13 13.1 4a")</f>
        <v>13 13.1 4a</v>
      </c>
      <c r="M462" s="7" t="str">
        <f>CONCATENATE("GNTSNT52D43I436L")</f>
        <v>GNTSNT52D43I436L</v>
      </c>
      <c r="N462" s="7" t="s">
        <v>565</v>
      </c>
      <c r="O462" s="7" t="s">
        <v>249</v>
      </c>
      <c r="P462" s="8">
        <v>44321</v>
      </c>
      <c r="Q462" s="7" t="s">
        <v>32</v>
      </c>
      <c r="R462" s="7" t="s">
        <v>33</v>
      </c>
      <c r="S462" s="7" t="s">
        <v>34</v>
      </c>
      <c r="T462" s="7"/>
      <c r="U462" s="7" t="s">
        <v>35</v>
      </c>
      <c r="V462" s="7">
        <v>618.32000000000005</v>
      </c>
      <c r="W462" s="7">
        <v>266.62</v>
      </c>
      <c r="X462" s="7">
        <v>246.22</v>
      </c>
      <c r="Y462" s="7">
        <v>0</v>
      </c>
      <c r="Z462" s="7">
        <v>105.48</v>
      </c>
    </row>
    <row r="463" spans="1:26" x14ac:dyDescent="0.35">
      <c r="A463" s="7" t="s">
        <v>27</v>
      </c>
      <c r="B463" s="7" t="s">
        <v>36</v>
      </c>
      <c r="C463" s="7" t="s">
        <v>48</v>
      </c>
      <c r="D463" s="7" t="s">
        <v>62</v>
      </c>
      <c r="E463" s="7" t="s">
        <v>44</v>
      </c>
      <c r="F463" s="7" t="s">
        <v>530</v>
      </c>
      <c r="G463" s="7">
        <v>2020</v>
      </c>
      <c r="H463" s="7" t="str">
        <f>CONCATENATE("04241168519")</f>
        <v>04241168519</v>
      </c>
      <c r="I463" s="7" t="s">
        <v>30</v>
      </c>
      <c r="J463" s="7" t="s">
        <v>31</v>
      </c>
      <c r="K463" s="7" t="str">
        <f>CONCATENATE("")</f>
        <v/>
      </c>
      <c r="L463" s="7" t="str">
        <f>CONCATENATE("10 10.1 4a")</f>
        <v>10 10.1 4a</v>
      </c>
      <c r="M463" s="7" t="str">
        <f>CONCATENATE("01932960436")</f>
        <v>01932960436</v>
      </c>
      <c r="N463" s="7" t="s">
        <v>566</v>
      </c>
      <c r="O463" s="7" t="s">
        <v>394</v>
      </c>
      <c r="P463" s="8">
        <v>44321</v>
      </c>
      <c r="Q463" s="7" t="s">
        <v>32</v>
      </c>
      <c r="R463" s="7" t="s">
        <v>33</v>
      </c>
      <c r="S463" s="7" t="s">
        <v>34</v>
      </c>
      <c r="T463" s="7"/>
      <c r="U463" s="7" t="s">
        <v>35</v>
      </c>
      <c r="V463" s="7">
        <v>516.55999999999995</v>
      </c>
      <c r="W463" s="7">
        <v>222.74</v>
      </c>
      <c r="X463" s="7">
        <v>205.69</v>
      </c>
      <c r="Y463" s="7">
        <v>0</v>
      </c>
      <c r="Z463" s="7">
        <v>88.13</v>
      </c>
    </row>
    <row r="464" spans="1:26" x14ac:dyDescent="0.35">
      <c r="A464" s="7" t="s">
        <v>27</v>
      </c>
      <c r="B464" s="7" t="s">
        <v>36</v>
      </c>
      <c r="C464" s="7" t="s">
        <v>48</v>
      </c>
      <c r="D464" s="7" t="s">
        <v>62</v>
      </c>
      <c r="E464" s="7" t="s">
        <v>44</v>
      </c>
      <c r="F464" s="7" t="s">
        <v>46</v>
      </c>
      <c r="G464" s="7">
        <v>2020</v>
      </c>
      <c r="H464" s="7" t="str">
        <f>CONCATENATE("04241076027")</f>
        <v>04241076027</v>
      </c>
      <c r="I464" s="7" t="s">
        <v>30</v>
      </c>
      <c r="J464" s="7" t="s">
        <v>31</v>
      </c>
      <c r="K464" s="7" t="str">
        <f>CONCATENATE("")</f>
        <v/>
      </c>
      <c r="L464" s="7" t="str">
        <f>CONCATENATE("10 10.1 4a")</f>
        <v>10 10.1 4a</v>
      </c>
      <c r="M464" s="7" t="str">
        <f>CONCATENATE("01913780431")</f>
        <v>01913780431</v>
      </c>
      <c r="N464" s="7" t="s">
        <v>567</v>
      </c>
      <c r="O464" s="7" t="s">
        <v>394</v>
      </c>
      <c r="P464" s="8">
        <v>44321</v>
      </c>
      <c r="Q464" s="7" t="s">
        <v>32</v>
      </c>
      <c r="R464" s="7" t="s">
        <v>33</v>
      </c>
      <c r="S464" s="7" t="s">
        <v>34</v>
      </c>
      <c r="T464" s="7"/>
      <c r="U464" s="7" t="s">
        <v>35</v>
      </c>
      <c r="V464" s="9">
        <v>1378.21</v>
      </c>
      <c r="W464" s="7">
        <v>594.28</v>
      </c>
      <c r="X464" s="7">
        <v>548.79999999999995</v>
      </c>
      <c r="Y464" s="7">
        <v>0</v>
      </c>
      <c r="Z464" s="7">
        <v>235.13</v>
      </c>
    </row>
    <row r="465" spans="1:26" ht="17.5" x14ac:dyDescent="0.35">
      <c r="A465" s="7" t="s">
        <v>27</v>
      </c>
      <c r="B465" s="7" t="s">
        <v>36</v>
      </c>
      <c r="C465" s="7" t="s">
        <v>48</v>
      </c>
      <c r="D465" s="7" t="s">
        <v>62</v>
      </c>
      <c r="E465" s="7" t="s">
        <v>38</v>
      </c>
      <c r="F465" s="7" t="s">
        <v>251</v>
      </c>
      <c r="G465" s="7">
        <v>2020</v>
      </c>
      <c r="H465" s="7" t="str">
        <f>CONCATENATE("04240964942")</f>
        <v>04240964942</v>
      </c>
      <c r="I465" s="7" t="s">
        <v>30</v>
      </c>
      <c r="J465" s="7" t="s">
        <v>31</v>
      </c>
      <c r="K465" s="7" t="str">
        <f>CONCATENATE("")</f>
        <v/>
      </c>
      <c r="L465" s="7" t="str">
        <f>CONCATENATE("10 10.1 4a")</f>
        <v>10 10.1 4a</v>
      </c>
      <c r="M465" s="7" t="str">
        <f>CONCATENATE("01003530431")</f>
        <v>01003530431</v>
      </c>
      <c r="N465" s="7" t="s">
        <v>568</v>
      </c>
      <c r="O465" s="7" t="s">
        <v>394</v>
      </c>
      <c r="P465" s="8">
        <v>44321</v>
      </c>
      <c r="Q465" s="7" t="s">
        <v>32</v>
      </c>
      <c r="R465" s="7" t="s">
        <v>33</v>
      </c>
      <c r="S465" s="7" t="s">
        <v>34</v>
      </c>
      <c r="T465" s="7"/>
      <c r="U465" s="7" t="s">
        <v>35</v>
      </c>
      <c r="V465" s="7">
        <v>195.6</v>
      </c>
      <c r="W465" s="7">
        <v>84.34</v>
      </c>
      <c r="X465" s="7">
        <v>77.89</v>
      </c>
      <c r="Y465" s="7">
        <v>0</v>
      </c>
      <c r="Z465" s="7">
        <v>33.369999999999997</v>
      </c>
    </row>
    <row r="466" spans="1:26" x14ac:dyDescent="0.35">
      <c r="A466" s="7" t="s">
        <v>27</v>
      </c>
      <c r="B466" s="7" t="s">
        <v>36</v>
      </c>
      <c r="C466" s="7" t="s">
        <v>48</v>
      </c>
      <c r="D466" s="7" t="s">
        <v>56</v>
      </c>
      <c r="E466" s="7" t="s">
        <v>29</v>
      </c>
      <c r="F466" s="7" t="s">
        <v>113</v>
      </c>
      <c r="G466" s="7">
        <v>2020</v>
      </c>
      <c r="H466" s="7" t="str">
        <f>CONCATENATE("04210360717")</f>
        <v>04210360717</v>
      </c>
      <c r="I466" s="7" t="s">
        <v>30</v>
      </c>
      <c r="J466" s="7" t="s">
        <v>31</v>
      </c>
      <c r="K466" s="7" t="str">
        <f>CONCATENATE("")</f>
        <v/>
      </c>
      <c r="L466" s="7" t="str">
        <f>CONCATENATE("13 13.1 4a")</f>
        <v>13 13.1 4a</v>
      </c>
      <c r="M466" s="7" t="str">
        <f>CONCATENATE("TZZMRN28H16D429U")</f>
        <v>TZZMRN28H16D429U</v>
      </c>
      <c r="N466" s="7" t="s">
        <v>569</v>
      </c>
      <c r="O466" s="7" t="s">
        <v>249</v>
      </c>
      <c r="P466" s="8">
        <v>44321</v>
      </c>
      <c r="Q466" s="7" t="s">
        <v>32</v>
      </c>
      <c r="R466" s="7" t="s">
        <v>33</v>
      </c>
      <c r="S466" s="7" t="s">
        <v>34</v>
      </c>
      <c r="T466" s="7"/>
      <c r="U466" s="7" t="s">
        <v>35</v>
      </c>
      <c r="V466" s="7">
        <v>924.98</v>
      </c>
      <c r="W466" s="7">
        <v>398.85</v>
      </c>
      <c r="X466" s="7">
        <v>368.33</v>
      </c>
      <c r="Y466" s="7">
        <v>0</v>
      </c>
      <c r="Z466" s="7">
        <v>157.80000000000001</v>
      </c>
    </row>
    <row r="467" spans="1:26" x14ac:dyDescent="0.35">
      <c r="A467" s="7" t="s">
        <v>27</v>
      </c>
      <c r="B467" s="7" t="s">
        <v>36</v>
      </c>
      <c r="C467" s="7" t="s">
        <v>48</v>
      </c>
      <c r="D467" s="7" t="s">
        <v>49</v>
      </c>
      <c r="E467" s="7" t="s">
        <v>42</v>
      </c>
      <c r="F467" s="7" t="s">
        <v>50</v>
      </c>
      <c r="G467" s="7">
        <v>2020</v>
      </c>
      <c r="H467" s="7" t="str">
        <f>CONCATENATE("04210512820")</f>
        <v>04210512820</v>
      </c>
      <c r="I467" s="7" t="s">
        <v>39</v>
      </c>
      <c r="J467" s="7" t="s">
        <v>31</v>
      </c>
      <c r="K467" s="7" t="str">
        <f>CONCATENATE("")</f>
        <v/>
      </c>
      <c r="L467" s="7" t="str">
        <f>CONCATENATE("13 13.1 4a")</f>
        <v>13 13.1 4a</v>
      </c>
      <c r="M467" s="7" t="str">
        <f>CONCATENATE("RRGGPP82C09A462B")</f>
        <v>RRGGPP82C09A462B</v>
      </c>
      <c r="N467" s="7" t="s">
        <v>570</v>
      </c>
      <c r="O467" s="7" t="s">
        <v>249</v>
      </c>
      <c r="P467" s="8">
        <v>44321</v>
      </c>
      <c r="Q467" s="7" t="s">
        <v>32</v>
      </c>
      <c r="R467" s="7" t="s">
        <v>33</v>
      </c>
      <c r="S467" s="7" t="s">
        <v>34</v>
      </c>
      <c r="T467" s="7"/>
      <c r="U467" s="7" t="s">
        <v>35</v>
      </c>
      <c r="V467" s="9">
        <v>1229.97</v>
      </c>
      <c r="W467" s="7">
        <v>530.36</v>
      </c>
      <c r="X467" s="7">
        <v>489.77</v>
      </c>
      <c r="Y467" s="7">
        <v>0</v>
      </c>
      <c r="Z467" s="7">
        <v>209.84</v>
      </c>
    </row>
    <row r="468" spans="1:26" x14ac:dyDescent="0.35">
      <c r="A468" s="7" t="s">
        <v>27</v>
      </c>
      <c r="B468" s="7" t="s">
        <v>36</v>
      </c>
      <c r="C468" s="7" t="s">
        <v>48</v>
      </c>
      <c r="D468" s="7" t="s">
        <v>49</v>
      </c>
      <c r="E468" s="7" t="s">
        <v>42</v>
      </c>
      <c r="F468" s="7" t="s">
        <v>50</v>
      </c>
      <c r="G468" s="7">
        <v>2020</v>
      </c>
      <c r="H468" s="7" t="str">
        <f>CONCATENATE("04210551083")</f>
        <v>04210551083</v>
      </c>
      <c r="I468" s="7" t="s">
        <v>30</v>
      </c>
      <c r="J468" s="7" t="s">
        <v>31</v>
      </c>
      <c r="K468" s="7" t="str">
        <f>CONCATENATE("")</f>
        <v/>
      </c>
      <c r="L468" s="7" t="str">
        <f>CONCATENATE("13 13.1 4a")</f>
        <v>13 13.1 4a</v>
      </c>
      <c r="M468" s="7" t="str">
        <f>CONCATENATE("CRTGRL71M70L597Z")</f>
        <v>CRTGRL71M70L597Z</v>
      </c>
      <c r="N468" s="7" t="s">
        <v>571</v>
      </c>
      <c r="O468" s="7" t="s">
        <v>249</v>
      </c>
      <c r="P468" s="8">
        <v>44321</v>
      </c>
      <c r="Q468" s="7" t="s">
        <v>32</v>
      </c>
      <c r="R468" s="7" t="s">
        <v>33</v>
      </c>
      <c r="S468" s="7" t="s">
        <v>34</v>
      </c>
      <c r="T468" s="7"/>
      <c r="U468" s="7" t="s">
        <v>35</v>
      </c>
      <c r="V468" s="9">
        <v>8930.83</v>
      </c>
      <c r="W468" s="9">
        <v>3850.97</v>
      </c>
      <c r="X468" s="9">
        <v>3556.26</v>
      </c>
      <c r="Y468" s="7">
        <v>0</v>
      </c>
      <c r="Z468" s="9">
        <v>1523.6</v>
      </c>
    </row>
    <row r="469" spans="1:26" x14ac:dyDescent="0.35">
      <c r="A469" s="7" t="s">
        <v>27</v>
      </c>
      <c r="B469" s="7" t="s">
        <v>36</v>
      </c>
      <c r="C469" s="7" t="s">
        <v>48</v>
      </c>
      <c r="D469" s="7" t="s">
        <v>56</v>
      </c>
      <c r="E469" s="7" t="s">
        <v>29</v>
      </c>
      <c r="F469" s="7" t="s">
        <v>113</v>
      </c>
      <c r="G469" s="7">
        <v>2020</v>
      </c>
      <c r="H469" s="7" t="str">
        <f>CONCATENATE("04210254779")</f>
        <v>04210254779</v>
      </c>
      <c r="I469" s="7" t="s">
        <v>30</v>
      </c>
      <c r="J469" s="7" t="s">
        <v>31</v>
      </c>
      <c r="K469" s="7" t="str">
        <f>CONCATENATE("")</f>
        <v/>
      </c>
      <c r="L469" s="7" t="str">
        <f>CONCATENATE("13 13.1 4a")</f>
        <v>13 13.1 4a</v>
      </c>
      <c r="M469" s="7" t="str">
        <f>CONCATENATE("CRSNLL47D28D965T")</f>
        <v>CRSNLL47D28D965T</v>
      </c>
      <c r="N469" s="7" t="s">
        <v>572</v>
      </c>
      <c r="O469" s="7" t="s">
        <v>249</v>
      </c>
      <c r="P469" s="8">
        <v>44321</v>
      </c>
      <c r="Q469" s="7" t="s">
        <v>32</v>
      </c>
      <c r="R469" s="7" t="s">
        <v>33</v>
      </c>
      <c r="S469" s="7" t="s">
        <v>34</v>
      </c>
      <c r="T469" s="7"/>
      <c r="U469" s="7" t="s">
        <v>35</v>
      </c>
      <c r="V469" s="7">
        <v>54.07</v>
      </c>
      <c r="W469" s="7">
        <v>23.31</v>
      </c>
      <c r="X469" s="7">
        <v>21.53</v>
      </c>
      <c r="Y469" s="7">
        <v>0</v>
      </c>
      <c r="Z469" s="7">
        <v>9.23</v>
      </c>
    </row>
    <row r="470" spans="1:26" x14ac:dyDescent="0.35">
      <c r="A470" s="7" t="s">
        <v>27</v>
      </c>
      <c r="B470" s="7" t="s">
        <v>36</v>
      </c>
      <c r="C470" s="7" t="s">
        <v>48</v>
      </c>
      <c r="D470" s="7" t="s">
        <v>62</v>
      </c>
      <c r="E470" s="7" t="s">
        <v>29</v>
      </c>
      <c r="F470" s="7" t="s">
        <v>66</v>
      </c>
      <c r="G470" s="7">
        <v>2020</v>
      </c>
      <c r="H470" s="7" t="str">
        <f>CONCATENATE("04210022036")</f>
        <v>04210022036</v>
      </c>
      <c r="I470" s="7" t="s">
        <v>30</v>
      </c>
      <c r="J470" s="7" t="s">
        <v>31</v>
      </c>
      <c r="K470" s="7" t="str">
        <f>CONCATENATE("")</f>
        <v/>
      </c>
      <c r="L470" s="7" t="str">
        <f>CONCATENATE("13 13.1 4a")</f>
        <v>13 13.1 4a</v>
      </c>
      <c r="M470" s="7" t="str">
        <f>CONCATENATE("NGLRRT54H07H501P")</f>
        <v>NGLRRT54H07H501P</v>
      </c>
      <c r="N470" s="7" t="s">
        <v>573</v>
      </c>
      <c r="O470" s="7" t="s">
        <v>249</v>
      </c>
      <c r="P470" s="8">
        <v>44321</v>
      </c>
      <c r="Q470" s="7" t="s">
        <v>32</v>
      </c>
      <c r="R470" s="7" t="s">
        <v>33</v>
      </c>
      <c r="S470" s="7" t="s">
        <v>34</v>
      </c>
      <c r="T470" s="7"/>
      <c r="U470" s="7" t="s">
        <v>35</v>
      </c>
      <c r="V470" s="9">
        <v>5379.56</v>
      </c>
      <c r="W470" s="9">
        <v>2319.67</v>
      </c>
      <c r="X470" s="9">
        <v>2142.14</v>
      </c>
      <c r="Y470" s="7">
        <v>0</v>
      </c>
      <c r="Z470" s="7">
        <v>917.75</v>
      </c>
    </row>
    <row r="471" spans="1:26" x14ac:dyDescent="0.35">
      <c r="A471" s="7" t="s">
        <v>27</v>
      </c>
      <c r="B471" s="7" t="s">
        <v>36</v>
      </c>
      <c r="C471" s="7" t="s">
        <v>48</v>
      </c>
      <c r="D471" s="7" t="s">
        <v>62</v>
      </c>
      <c r="E471" s="7" t="s">
        <v>29</v>
      </c>
      <c r="F471" s="7" t="s">
        <v>66</v>
      </c>
      <c r="G471" s="7">
        <v>2020</v>
      </c>
      <c r="H471" s="7" t="str">
        <f>CONCATENATE("04210090116")</f>
        <v>04210090116</v>
      </c>
      <c r="I471" s="7" t="s">
        <v>30</v>
      </c>
      <c r="J471" s="7" t="s">
        <v>31</v>
      </c>
      <c r="K471" s="7" t="str">
        <f>CONCATENATE("")</f>
        <v/>
      </c>
      <c r="L471" s="7" t="str">
        <f>CONCATENATE("13 13.1 4a")</f>
        <v>13 13.1 4a</v>
      </c>
      <c r="M471" s="7" t="str">
        <f>CONCATENATE("SVRGPP31T03B474Q")</f>
        <v>SVRGPP31T03B474Q</v>
      </c>
      <c r="N471" s="7" t="s">
        <v>574</v>
      </c>
      <c r="O471" s="7" t="s">
        <v>249</v>
      </c>
      <c r="P471" s="8">
        <v>44321</v>
      </c>
      <c r="Q471" s="7" t="s">
        <v>32</v>
      </c>
      <c r="R471" s="7" t="s">
        <v>33</v>
      </c>
      <c r="S471" s="7" t="s">
        <v>34</v>
      </c>
      <c r="T471" s="7"/>
      <c r="U471" s="7" t="s">
        <v>35</v>
      </c>
      <c r="V471" s="9">
        <v>8353.09</v>
      </c>
      <c r="W471" s="9">
        <v>3601.85</v>
      </c>
      <c r="X471" s="9">
        <v>3326.2</v>
      </c>
      <c r="Y471" s="7">
        <v>0</v>
      </c>
      <c r="Z471" s="9">
        <v>1425.04</v>
      </c>
    </row>
    <row r="472" spans="1:26" x14ac:dyDescent="0.35">
      <c r="A472" s="7" t="s">
        <v>27</v>
      </c>
      <c r="B472" s="7" t="s">
        <v>36</v>
      </c>
      <c r="C472" s="7" t="s">
        <v>48</v>
      </c>
      <c r="D472" s="7" t="s">
        <v>62</v>
      </c>
      <c r="E472" s="7" t="s">
        <v>37</v>
      </c>
      <c r="F472" s="7" t="s">
        <v>575</v>
      </c>
      <c r="G472" s="7">
        <v>2020</v>
      </c>
      <c r="H472" s="7" t="str">
        <f>CONCATENATE("04210423879")</f>
        <v>04210423879</v>
      </c>
      <c r="I472" s="7" t="s">
        <v>30</v>
      </c>
      <c r="J472" s="7" t="s">
        <v>31</v>
      </c>
      <c r="K472" s="7" t="str">
        <f>CONCATENATE("")</f>
        <v/>
      </c>
      <c r="L472" s="7" t="str">
        <f>CONCATENATE("13 13.1 4a")</f>
        <v>13 13.1 4a</v>
      </c>
      <c r="M472" s="7" t="str">
        <f>CONCATENATE("00389840430")</f>
        <v>00389840430</v>
      </c>
      <c r="N472" s="7" t="s">
        <v>576</v>
      </c>
      <c r="O472" s="7" t="s">
        <v>249</v>
      </c>
      <c r="P472" s="8">
        <v>44321</v>
      </c>
      <c r="Q472" s="7" t="s">
        <v>32</v>
      </c>
      <c r="R472" s="7" t="s">
        <v>33</v>
      </c>
      <c r="S472" s="7" t="s">
        <v>34</v>
      </c>
      <c r="T472" s="7"/>
      <c r="U472" s="7" t="s">
        <v>35</v>
      </c>
      <c r="V472" s="7">
        <v>518.45000000000005</v>
      </c>
      <c r="W472" s="7">
        <v>223.56</v>
      </c>
      <c r="X472" s="7">
        <v>206.45</v>
      </c>
      <c r="Y472" s="7">
        <v>0</v>
      </c>
      <c r="Z472" s="7">
        <v>88.44</v>
      </c>
    </row>
    <row r="473" spans="1:26" x14ac:dyDescent="0.35">
      <c r="A473" s="7" t="s">
        <v>27</v>
      </c>
      <c r="B473" s="7" t="s">
        <v>36</v>
      </c>
      <c r="C473" s="7" t="s">
        <v>48</v>
      </c>
      <c r="D473" s="7" t="s">
        <v>56</v>
      </c>
      <c r="E473" s="7" t="s">
        <v>29</v>
      </c>
      <c r="F473" s="7" t="s">
        <v>113</v>
      </c>
      <c r="G473" s="7">
        <v>2020</v>
      </c>
      <c r="H473" s="7" t="str">
        <f>CONCATENATE("04210176535")</f>
        <v>04210176535</v>
      </c>
      <c r="I473" s="7" t="s">
        <v>30</v>
      </c>
      <c r="J473" s="7" t="s">
        <v>31</v>
      </c>
      <c r="K473" s="7" t="str">
        <f>CONCATENATE("")</f>
        <v/>
      </c>
      <c r="L473" s="7" t="str">
        <f>CONCATENATE("13 13.1 4a")</f>
        <v>13 13.1 4a</v>
      </c>
      <c r="M473" s="7" t="str">
        <f>CONCATENATE("TVLLRI33H14D451Q")</f>
        <v>TVLLRI33H14D451Q</v>
      </c>
      <c r="N473" s="7" t="s">
        <v>577</v>
      </c>
      <c r="O473" s="7" t="s">
        <v>249</v>
      </c>
      <c r="P473" s="8">
        <v>44321</v>
      </c>
      <c r="Q473" s="7" t="s">
        <v>32</v>
      </c>
      <c r="R473" s="7" t="s">
        <v>33</v>
      </c>
      <c r="S473" s="7" t="s">
        <v>34</v>
      </c>
      <c r="T473" s="7"/>
      <c r="U473" s="7" t="s">
        <v>35</v>
      </c>
      <c r="V473" s="7">
        <v>348.94</v>
      </c>
      <c r="W473" s="7">
        <v>150.46</v>
      </c>
      <c r="X473" s="7">
        <v>138.94999999999999</v>
      </c>
      <c r="Y473" s="7">
        <v>0</v>
      </c>
      <c r="Z473" s="7">
        <v>59.53</v>
      </c>
    </row>
    <row r="474" spans="1:26" x14ac:dyDescent="0.35">
      <c r="A474" s="7" t="s">
        <v>27</v>
      </c>
      <c r="B474" s="7" t="s">
        <v>36</v>
      </c>
      <c r="C474" s="7" t="s">
        <v>48</v>
      </c>
      <c r="D474" s="7" t="s">
        <v>49</v>
      </c>
      <c r="E474" s="7" t="s">
        <v>29</v>
      </c>
      <c r="F474" s="7" t="s">
        <v>104</v>
      </c>
      <c r="G474" s="7">
        <v>2020</v>
      </c>
      <c r="H474" s="7" t="str">
        <f>CONCATENATE("04210051910")</f>
        <v>04210051910</v>
      </c>
      <c r="I474" s="7" t="s">
        <v>30</v>
      </c>
      <c r="J474" s="7" t="s">
        <v>31</v>
      </c>
      <c r="K474" s="7" t="str">
        <f>CONCATENATE("")</f>
        <v/>
      </c>
      <c r="L474" s="7" t="str">
        <f>CONCATENATE("13 13.1 4a")</f>
        <v>13 13.1 4a</v>
      </c>
      <c r="M474" s="7" t="str">
        <f>CONCATENATE("MLNLPL50C71D691W")</f>
        <v>MLNLPL50C71D691W</v>
      </c>
      <c r="N474" s="7" t="s">
        <v>578</v>
      </c>
      <c r="O474" s="7" t="s">
        <v>249</v>
      </c>
      <c r="P474" s="8">
        <v>44321</v>
      </c>
      <c r="Q474" s="7" t="s">
        <v>32</v>
      </c>
      <c r="R474" s="7" t="s">
        <v>33</v>
      </c>
      <c r="S474" s="7" t="s">
        <v>34</v>
      </c>
      <c r="T474" s="7"/>
      <c r="U474" s="7" t="s">
        <v>35</v>
      </c>
      <c r="V474" s="9">
        <v>1936</v>
      </c>
      <c r="W474" s="7">
        <v>834.8</v>
      </c>
      <c r="X474" s="7">
        <v>770.92</v>
      </c>
      <c r="Y474" s="7">
        <v>0</v>
      </c>
      <c r="Z474" s="7">
        <v>330.28</v>
      </c>
    </row>
    <row r="475" spans="1:26" x14ac:dyDescent="0.35">
      <c r="A475" s="7" t="s">
        <v>27</v>
      </c>
      <c r="B475" s="7" t="s">
        <v>36</v>
      </c>
      <c r="C475" s="7" t="s">
        <v>48</v>
      </c>
      <c r="D475" s="7" t="s">
        <v>62</v>
      </c>
      <c r="E475" s="7" t="s">
        <v>44</v>
      </c>
      <c r="F475" s="7" t="s">
        <v>330</v>
      </c>
      <c r="G475" s="7">
        <v>2020</v>
      </c>
      <c r="H475" s="7" t="str">
        <f>CONCATENATE("04210763001")</f>
        <v>04210763001</v>
      </c>
      <c r="I475" s="7" t="s">
        <v>30</v>
      </c>
      <c r="J475" s="7" t="s">
        <v>31</v>
      </c>
      <c r="K475" s="7" t="str">
        <f>CONCATENATE("")</f>
        <v/>
      </c>
      <c r="L475" s="7" t="str">
        <f>CONCATENATE("13 13.1 4a")</f>
        <v>13 13.1 4a</v>
      </c>
      <c r="M475" s="7" t="str">
        <f>CONCATENATE("CSTLCU76L24B474H")</f>
        <v>CSTLCU76L24B474H</v>
      </c>
      <c r="N475" s="7" t="s">
        <v>579</v>
      </c>
      <c r="O475" s="7" t="s">
        <v>249</v>
      </c>
      <c r="P475" s="8">
        <v>44321</v>
      </c>
      <c r="Q475" s="7" t="s">
        <v>32</v>
      </c>
      <c r="R475" s="7" t="s">
        <v>33</v>
      </c>
      <c r="S475" s="7" t="s">
        <v>34</v>
      </c>
      <c r="T475" s="7"/>
      <c r="U475" s="7" t="s">
        <v>35</v>
      </c>
      <c r="V475" s="9">
        <v>4364.3900000000003</v>
      </c>
      <c r="W475" s="9">
        <v>1881.92</v>
      </c>
      <c r="X475" s="9">
        <v>1737.9</v>
      </c>
      <c r="Y475" s="7">
        <v>0</v>
      </c>
      <c r="Z475" s="7">
        <v>744.57</v>
      </c>
    </row>
    <row r="476" spans="1:26" x14ac:dyDescent="0.35">
      <c r="A476" s="7" t="s">
        <v>27</v>
      </c>
      <c r="B476" s="7" t="s">
        <v>36</v>
      </c>
      <c r="C476" s="7" t="s">
        <v>48</v>
      </c>
      <c r="D476" s="7" t="s">
        <v>56</v>
      </c>
      <c r="E476" s="7" t="s">
        <v>40</v>
      </c>
      <c r="F476" s="7" t="s">
        <v>278</v>
      </c>
      <c r="G476" s="7">
        <v>2020</v>
      </c>
      <c r="H476" s="7" t="str">
        <f>CONCATENATE("04210484905")</f>
        <v>04210484905</v>
      </c>
      <c r="I476" s="7" t="s">
        <v>30</v>
      </c>
      <c r="J476" s="7" t="s">
        <v>31</v>
      </c>
      <c r="K476" s="7" t="str">
        <f>CONCATENATE("")</f>
        <v/>
      </c>
      <c r="L476" s="7" t="str">
        <f>CONCATENATE("13 13.1 4a")</f>
        <v>13 13.1 4a</v>
      </c>
      <c r="M476" s="7" t="str">
        <f>CONCATENATE("STRSVN52B65D451B")</f>
        <v>STRSVN52B65D451B</v>
      </c>
      <c r="N476" s="7" t="s">
        <v>580</v>
      </c>
      <c r="O476" s="7" t="s">
        <v>249</v>
      </c>
      <c r="P476" s="8">
        <v>44321</v>
      </c>
      <c r="Q476" s="7" t="s">
        <v>32</v>
      </c>
      <c r="R476" s="7" t="s">
        <v>33</v>
      </c>
      <c r="S476" s="7" t="s">
        <v>34</v>
      </c>
      <c r="T476" s="7"/>
      <c r="U476" s="7" t="s">
        <v>35</v>
      </c>
      <c r="V476" s="9">
        <v>1915.86</v>
      </c>
      <c r="W476" s="7">
        <v>826.12</v>
      </c>
      <c r="X476" s="7">
        <v>762.9</v>
      </c>
      <c r="Y476" s="7">
        <v>0</v>
      </c>
      <c r="Z476" s="7">
        <v>326.83999999999997</v>
      </c>
    </row>
    <row r="477" spans="1:26" x14ac:dyDescent="0.35">
      <c r="A477" s="7" t="s">
        <v>27</v>
      </c>
      <c r="B477" s="7" t="s">
        <v>36</v>
      </c>
      <c r="C477" s="7" t="s">
        <v>48</v>
      </c>
      <c r="D477" s="7" t="s">
        <v>62</v>
      </c>
      <c r="E477" s="7" t="s">
        <v>29</v>
      </c>
      <c r="F477" s="7" t="s">
        <v>176</v>
      </c>
      <c r="G477" s="7">
        <v>2020</v>
      </c>
      <c r="H477" s="7" t="str">
        <f>CONCATENATE("04210028777")</f>
        <v>04210028777</v>
      </c>
      <c r="I477" s="7" t="s">
        <v>30</v>
      </c>
      <c r="J477" s="7" t="s">
        <v>31</v>
      </c>
      <c r="K477" s="7" t="str">
        <f>CONCATENATE("")</f>
        <v/>
      </c>
      <c r="L477" s="7" t="str">
        <f>CONCATENATE("13 13.1 4a")</f>
        <v>13 13.1 4a</v>
      </c>
      <c r="M477" s="7" t="str">
        <f>CONCATENATE("LVISFN69C31I436Z")</f>
        <v>LVISFN69C31I436Z</v>
      </c>
      <c r="N477" s="7" t="s">
        <v>581</v>
      </c>
      <c r="O477" s="7" t="s">
        <v>249</v>
      </c>
      <c r="P477" s="8">
        <v>44321</v>
      </c>
      <c r="Q477" s="7" t="s">
        <v>32</v>
      </c>
      <c r="R477" s="7" t="s">
        <v>33</v>
      </c>
      <c r="S477" s="7" t="s">
        <v>34</v>
      </c>
      <c r="T477" s="7"/>
      <c r="U477" s="7" t="s">
        <v>35</v>
      </c>
      <c r="V477" s="9">
        <v>2126.7800000000002</v>
      </c>
      <c r="W477" s="7">
        <v>917.07</v>
      </c>
      <c r="X477" s="7">
        <v>846.88</v>
      </c>
      <c r="Y477" s="7">
        <v>0</v>
      </c>
      <c r="Z477" s="7">
        <v>362.83</v>
      </c>
    </row>
    <row r="478" spans="1:26" x14ac:dyDescent="0.35">
      <c r="A478" s="7" t="s">
        <v>27</v>
      </c>
      <c r="B478" s="7" t="s">
        <v>36</v>
      </c>
      <c r="C478" s="7" t="s">
        <v>48</v>
      </c>
      <c r="D478" s="7" t="s">
        <v>56</v>
      </c>
      <c r="E478" s="7" t="s">
        <v>29</v>
      </c>
      <c r="F478" s="7" t="s">
        <v>113</v>
      </c>
      <c r="G478" s="7">
        <v>2020</v>
      </c>
      <c r="H478" s="7" t="str">
        <f>CONCATENATE("04210023315")</f>
        <v>04210023315</v>
      </c>
      <c r="I478" s="7" t="s">
        <v>39</v>
      </c>
      <c r="J478" s="7" t="s">
        <v>31</v>
      </c>
      <c r="K478" s="7" t="str">
        <f>CONCATENATE("")</f>
        <v/>
      </c>
      <c r="L478" s="7" t="str">
        <f>CONCATENATE("13 13.1 4a")</f>
        <v>13 13.1 4a</v>
      </c>
      <c r="M478" s="7" t="str">
        <f>CONCATENATE("BLTGMM65T56A237K")</f>
        <v>BLTGMM65T56A237K</v>
      </c>
      <c r="N478" s="7" t="s">
        <v>582</v>
      </c>
      <c r="O478" s="7" t="s">
        <v>249</v>
      </c>
      <c r="P478" s="8">
        <v>44321</v>
      </c>
      <c r="Q478" s="7" t="s">
        <v>32</v>
      </c>
      <c r="R478" s="7" t="s">
        <v>33</v>
      </c>
      <c r="S478" s="7" t="s">
        <v>34</v>
      </c>
      <c r="T478" s="7"/>
      <c r="U478" s="7" t="s">
        <v>35</v>
      </c>
      <c r="V478" s="7">
        <v>206.06</v>
      </c>
      <c r="W478" s="7">
        <v>88.85</v>
      </c>
      <c r="X478" s="7">
        <v>82.05</v>
      </c>
      <c r="Y478" s="7">
        <v>0</v>
      </c>
      <c r="Z478" s="7">
        <v>35.159999999999997</v>
      </c>
    </row>
    <row r="479" spans="1:26" x14ac:dyDescent="0.35">
      <c r="A479" s="7" t="s">
        <v>27</v>
      </c>
      <c r="B479" s="7" t="s">
        <v>36</v>
      </c>
      <c r="C479" s="7" t="s">
        <v>48</v>
      </c>
      <c r="D479" s="7" t="s">
        <v>56</v>
      </c>
      <c r="E479" s="7" t="s">
        <v>38</v>
      </c>
      <c r="F479" s="7" t="s">
        <v>269</v>
      </c>
      <c r="G479" s="7">
        <v>2020</v>
      </c>
      <c r="H479" s="7" t="str">
        <f>CONCATENATE("04210069425")</f>
        <v>04210069425</v>
      </c>
      <c r="I479" s="7" t="s">
        <v>39</v>
      </c>
      <c r="J479" s="7" t="s">
        <v>31</v>
      </c>
      <c r="K479" s="7" t="str">
        <f>CONCATENATE("")</f>
        <v/>
      </c>
      <c r="L479" s="7" t="str">
        <f>CONCATENATE("13 13.1 4a")</f>
        <v>13 13.1 4a</v>
      </c>
      <c r="M479" s="7" t="str">
        <f>CONCATENATE("CTAMCH79D56D451P")</f>
        <v>CTAMCH79D56D451P</v>
      </c>
      <c r="N479" s="7" t="s">
        <v>583</v>
      </c>
      <c r="O479" s="7" t="s">
        <v>249</v>
      </c>
      <c r="P479" s="8">
        <v>44321</v>
      </c>
      <c r="Q479" s="7" t="s">
        <v>32</v>
      </c>
      <c r="R479" s="7" t="s">
        <v>33</v>
      </c>
      <c r="S479" s="7" t="s">
        <v>34</v>
      </c>
      <c r="T479" s="7"/>
      <c r="U479" s="7" t="s">
        <v>35</v>
      </c>
      <c r="V479" s="7">
        <v>387.22</v>
      </c>
      <c r="W479" s="7">
        <v>166.97</v>
      </c>
      <c r="X479" s="7">
        <v>154.19</v>
      </c>
      <c r="Y479" s="7">
        <v>0</v>
      </c>
      <c r="Z479" s="7">
        <v>66.06</v>
      </c>
    </row>
    <row r="480" spans="1:26" x14ac:dyDescent="0.35">
      <c r="A480" s="7" t="s">
        <v>27</v>
      </c>
      <c r="B480" s="7" t="s">
        <v>36</v>
      </c>
      <c r="C480" s="7" t="s">
        <v>48</v>
      </c>
      <c r="D480" s="7" t="s">
        <v>49</v>
      </c>
      <c r="E480" s="7" t="s">
        <v>42</v>
      </c>
      <c r="F480" s="7" t="s">
        <v>50</v>
      </c>
      <c r="G480" s="7">
        <v>2020</v>
      </c>
      <c r="H480" s="7" t="str">
        <f>CONCATENATE("04210520351")</f>
        <v>04210520351</v>
      </c>
      <c r="I480" s="7" t="s">
        <v>30</v>
      </c>
      <c r="J480" s="7" t="s">
        <v>31</v>
      </c>
      <c r="K480" s="7" t="str">
        <f>CONCATENATE("")</f>
        <v/>
      </c>
      <c r="L480" s="7" t="str">
        <f>CONCATENATE("13 13.1 4a")</f>
        <v>13 13.1 4a</v>
      </c>
      <c r="M480" s="7" t="str">
        <f>CONCATENATE("DMSVCN83H42H501I")</f>
        <v>DMSVCN83H42H501I</v>
      </c>
      <c r="N480" s="7" t="s">
        <v>584</v>
      </c>
      <c r="O480" s="7" t="s">
        <v>249</v>
      </c>
      <c r="P480" s="8">
        <v>44321</v>
      </c>
      <c r="Q480" s="7" t="s">
        <v>32</v>
      </c>
      <c r="R480" s="7" t="s">
        <v>33</v>
      </c>
      <c r="S480" s="7" t="s">
        <v>34</v>
      </c>
      <c r="T480" s="7"/>
      <c r="U480" s="7" t="s">
        <v>35</v>
      </c>
      <c r="V480" s="9">
        <v>6482.6</v>
      </c>
      <c r="W480" s="9">
        <v>2795.3</v>
      </c>
      <c r="X480" s="9">
        <v>2581.37</v>
      </c>
      <c r="Y480" s="7">
        <v>0</v>
      </c>
      <c r="Z480" s="9">
        <v>1105.93</v>
      </c>
    </row>
    <row r="481" spans="1:26" x14ac:dyDescent="0.35">
      <c r="A481" s="7" t="s">
        <v>27</v>
      </c>
      <c r="B481" s="7" t="s">
        <v>36</v>
      </c>
      <c r="C481" s="7" t="s">
        <v>48</v>
      </c>
      <c r="D481" s="7" t="s">
        <v>56</v>
      </c>
      <c r="E481" s="7" t="s">
        <v>29</v>
      </c>
      <c r="F481" s="7" t="s">
        <v>152</v>
      </c>
      <c r="G481" s="7">
        <v>2020</v>
      </c>
      <c r="H481" s="7" t="str">
        <f>CONCATENATE("04210571537")</f>
        <v>04210571537</v>
      </c>
      <c r="I481" s="7" t="s">
        <v>39</v>
      </c>
      <c r="J481" s="7" t="s">
        <v>31</v>
      </c>
      <c r="K481" s="7" t="str">
        <f>CONCATENATE("")</f>
        <v/>
      </c>
      <c r="L481" s="7" t="str">
        <f>CONCATENATE("13 13.1 4a")</f>
        <v>13 13.1 4a</v>
      </c>
      <c r="M481" s="7" t="str">
        <f>CONCATENATE("BRTMGL60C48C524I")</f>
        <v>BRTMGL60C48C524I</v>
      </c>
      <c r="N481" s="7" t="s">
        <v>585</v>
      </c>
      <c r="O481" s="7" t="s">
        <v>249</v>
      </c>
      <c r="P481" s="8">
        <v>44321</v>
      </c>
      <c r="Q481" s="7" t="s">
        <v>32</v>
      </c>
      <c r="R481" s="7" t="s">
        <v>33</v>
      </c>
      <c r="S481" s="7" t="s">
        <v>34</v>
      </c>
      <c r="T481" s="7"/>
      <c r="U481" s="7" t="s">
        <v>35</v>
      </c>
      <c r="V481" s="7">
        <v>210.13</v>
      </c>
      <c r="W481" s="7">
        <v>90.61</v>
      </c>
      <c r="X481" s="7">
        <v>83.67</v>
      </c>
      <c r="Y481" s="7">
        <v>0</v>
      </c>
      <c r="Z481" s="7">
        <v>35.85</v>
      </c>
    </row>
    <row r="482" spans="1:26" x14ac:dyDescent="0.35">
      <c r="A482" s="7" t="s">
        <v>27</v>
      </c>
      <c r="B482" s="7" t="s">
        <v>36</v>
      </c>
      <c r="C482" s="7" t="s">
        <v>48</v>
      </c>
      <c r="D482" s="7" t="s">
        <v>56</v>
      </c>
      <c r="E482" s="7" t="s">
        <v>40</v>
      </c>
      <c r="F482" s="7" t="s">
        <v>278</v>
      </c>
      <c r="G482" s="7">
        <v>2020</v>
      </c>
      <c r="H482" s="7" t="str">
        <f>CONCATENATE("04210649598")</f>
        <v>04210649598</v>
      </c>
      <c r="I482" s="7" t="s">
        <v>30</v>
      </c>
      <c r="J482" s="7" t="s">
        <v>31</v>
      </c>
      <c r="K482" s="7" t="str">
        <f>CONCATENATE("")</f>
        <v/>
      </c>
      <c r="L482" s="7" t="str">
        <f>CONCATENATE("13 13.1 4a")</f>
        <v>13 13.1 4a</v>
      </c>
      <c r="M482" s="7" t="str">
        <f>CONCATENATE("MRCDLA60S64D965C")</f>
        <v>MRCDLA60S64D965C</v>
      </c>
      <c r="N482" s="7" t="s">
        <v>586</v>
      </c>
      <c r="O482" s="7" t="s">
        <v>249</v>
      </c>
      <c r="P482" s="8">
        <v>44321</v>
      </c>
      <c r="Q482" s="7" t="s">
        <v>32</v>
      </c>
      <c r="R482" s="7" t="s">
        <v>33</v>
      </c>
      <c r="S482" s="7" t="s">
        <v>34</v>
      </c>
      <c r="T482" s="7"/>
      <c r="U482" s="7" t="s">
        <v>35</v>
      </c>
      <c r="V482" s="9">
        <v>1123.7</v>
      </c>
      <c r="W482" s="7">
        <v>484.54</v>
      </c>
      <c r="X482" s="7">
        <v>447.46</v>
      </c>
      <c r="Y482" s="7">
        <v>0</v>
      </c>
      <c r="Z482" s="7">
        <v>191.7</v>
      </c>
    </row>
    <row r="483" spans="1:26" x14ac:dyDescent="0.35">
      <c r="A483" s="7" t="s">
        <v>27</v>
      </c>
      <c r="B483" s="7" t="s">
        <v>36</v>
      </c>
      <c r="C483" s="7" t="s">
        <v>48</v>
      </c>
      <c r="D483" s="7" t="s">
        <v>56</v>
      </c>
      <c r="E483" s="7" t="s">
        <v>29</v>
      </c>
      <c r="F483" s="7" t="s">
        <v>113</v>
      </c>
      <c r="G483" s="7">
        <v>2020</v>
      </c>
      <c r="H483" s="7" t="str">
        <f>CONCATENATE("04210072965")</f>
        <v>04210072965</v>
      </c>
      <c r="I483" s="7" t="s">
        <v>39</v>
      </c>
      <c r="J483" s="7" t="s">
        <v>31</v>
      </c>
      <c r="K483" s="7" t="str">
        <f>CONCATENATE("")</f>
        <v/>
      </c>
      <c r="L483" s="7" t="str">
        <f>CONCATENATE("13 13.1 4a")</f>
        <v>13 13.1 4a</v>
      </c>
      <c r="M483" s="7" t="str">
        <f>CONCATENATE("BCCJTH85E02D451O")</f>
        <v>BCCJTH85E02D451O</v>
      </c>
      <c r="N483" s="7" t="s">
        <v>587</v>
      </c>
      <c r="O483" s="7" t="s">
        <v>249</v>
      </c>
      <c r="P483" s="8">
        <v>44321</v>
      </c>
      <c r="Q483" s="7" t="s">
        <v>32</v>
      </c>
      <c r="R483" s="7" t="s">
        <v>33</v>
      </c>
      <c r="S483" s="7" t="s">
        <v>34</v>
      </c>
      <c r="T483" s="7"/>
      <c r="U483" s="7" t="s">
        <v>35</v>
      </c>
      <c r="V483" s="7">
        <v>159.66999999999999</v>
      </c>
      <c r="W483" s="7">
        <v>68.849999999999994</v>
      </c>
      <c r="X483" s="7">
        <v>63.58</v>
      </c>
      <c r="Y483" s="7">
        <v>0</v>
      </c>
      <c r="Z483" s="7">
        <v>27.24</v>
      </c>
    </row>
    <row r="484" spans="1:26" x14ac:dyDescent="0.35">
      <c r="A484" s="7" t="s">
        <v>27</v>
      </c>
      <c r="B484" s="7" t="s">
        <v>36</v>
      </c>
      <c r="C484" s="7" t="s">
        <v>48</v>
      </c>
      <c r="D484" s="7" t="s">
        <v>62</v>
      </c>
      <c r="E484" s="7" t="s">
        <v>29</v>
      </c>
      <c r="F484" s="7" t="s">
        <v>66</v>
      </c>
      <c r="G484" s="7">
        <v>2020</v>
      </c>
      <c r="H484" s="7" t="str">
        <f>CONCATENATE("04210065605")</f>
        <v>04210065605</v>
      </c>
      <c r="I484" s="7" t="s">
        <v>30</v>
      </c>
      <c r="J484" s="7" t="s">
        <v>31</v>
      </c>
      <c r="K484" s="7" t="str">
        <f>CONCATENATE("")</f>
        <v/>
      </c>
      <c r="L484" s="7" t="str">
        <f>CONCATENATE("13 13.1 4a")</f>
        <v>13 13.1 4a</v>
      </c>
      <c r="M484" s="7" t="str">
        <f>CONCATENATE("PCFCLT71R29B474O")</f>
        <v>PCFCLT71R29B474O</v>
      </c>
      <c r="N484" s="7" t="s">
        <v>588</v>
      </c>
      <c r="O484" s="7" t="s">
        <v>249</v>
      </c>
      <c r="P484" s="8">
        <v>44321</v>
      </c>
      <c r="Q484" s="7" t="s">
        <v>32</v>
      </c>
      <c r="R484" s="7" t="s">
        <v>33</v>
      </c>
      <c r="S484" s="7" t="s">
        <v>34</v>
      </c>
      <c r="T484" s="7"/>
      <c r="U484" s="7" t="s">
        <v>35</v>
      </c>
      <c r="V484" s="9">
        <v>3255.11</v>
      </c>
      <c r="W484" s="9">
        <v>1403.6</v>
      </c>
      <c r="X484" s="9">
        <v>1296.18</v>
      </c>
      <c r="Y484" s="7">
        <v>0</v>
      </c>
      <c r="Z484" s="7">
        <v>555.33000000000004</v>
      </c>
    </row>
    <row r="485" spans="1:26" x14ac:dyDescent="0.35">
      <c r="A485" s="7" t="s">
        <v>27</v>
      </c>
      <c r="B485" s="7" t="s">
        <v>36</v>
      </c>
      <c r="C485" s="7" t="s">
        <v>48</v>
      </c>
      <c r="D485" s="7" t="s">
        <v>56</v>
      </c>
      <c r="E485" s="7" t="s">
        <v>29</v>
      </c>
      <c r="F485" s="7" t="s">
        <v>113</v>
      </c>
      <c r="G485" s="7">
        <v>2020</v>
      </c>
      <c r="H485" s="7" t="str">
        <f>CONCATENATE("04210083624")</f>
        <v>04210083624</v>
      </c>
      <c r="I485" s="7" t="s">
        <v>39</v>
      </c>
      <c r="J485" s="7" t="s">
        <v>31</v>
      </c>
      <c r="K485" s="7" t="str">
        <f>CONCATENATE("")</f>
        <v/>
      </c>
      <c r="L485" s="7" t="str">
        <f>CONCATENATE("13 13.1 4a")</f>
        <v>13 13.1 4a</v>
      </c>
      <c r="M485" s="7" t="str">
        <f>CONCATENATE("BRZGNN56E03D451B")</f>
        <v>BRZGNN56E03D451B</v>
      </c>
      <c r="N485" s="7" t="s">
        <v>589</v>
      </c>
      <c r="O485" s="7" t="s">
        <v>249</v>
      </c>
      <c r="P485" s="8">
        <v>44321</v>
      </c>
      <c r="Q485" s="7" t="s">
        <v>32</v>
      </c>
      <c r="R485" s="7" t="s">
        <v>33</v>
      </c>
      <c r="S485" s="7" t="s">
        <v>34</v>
      </c>
      <c r="T485" s="7"/>
      <c r="U485" s="7" t="s">
        <v>35</v>
      </c>
      <c r="V485" s="7">
        <v>59.3</v>
      </c>
      <c r="W485" s="7">
        <v>25.57</v>
      </c>
      <c r="X485" s="7">
        <v>23.61</v>
      </c>
      <c r="Y485" s="7">
        <v>0</v>
      </c>
      <c r="Z485" s="7">
        <v>10.119999999999999</v>
      </c>
    </row>
    <row r="486" spans="1:26" x14ac:dyDescent="0.35">
      <c r="A486" s="7" t="s">
        <v>27</v>
      </c>
      <c r="B486" s="7" t="s">
        <v>36</v>
      </c>
      <c r="C486" s="7" t="s">
        <v>48</v>
      </c>
      <c r="D486" s="7" t="s">
        <v>62</v>
      </c>
      <c r="E486" s="7" t="s">
        <v>29</v>
      </c>
      <c r="F486" s="7" t="s">
        <v>167</v>
      </c>
      <c r="G486" s="7">
        <v>2020</v>
      </c>
      <c r="H486" s="7" t="str">
        <f>CONCATENATE("04210401545")</f>
        <v>04210401545</v>
      </c>
      <c r="I486" s="7" t="s">
        <v>30</v>
      </c>
      <c r="J486" s="7" t="s">
        <v>31</v>
      </c>
      <c r="K486" s="7" t="str">
        <f>CONCATENATE("")</f>
        <v/>
      </c>
      <c r="L486" s="7" t="str">
        <f>CONCATENATE("13 13.1 4a")</f>
        <v>13 13.1 4a</v>
      </c>
      <c r="M486" s="7" t="str">
        <f>CONCATENATE("01690330434")</f>
        <v>01690330434</v>
      </c>
      <c r="N486" s="7" t="s">
        <v>590</v>
      </c>
      <c r="O486" s="7" t="s">
        <v>249</v>
      </c>
      <c r="P486" s="8">
        <v>44321</v>
      </c>
      <c r="Q486" s="7" t="s">
        <v>32</v>
      </c>
      <c r="R486" s="7" t="s">
        <v>33</v>
      </c>
      <c r="S486" s="7" t="s">
        <v>34</v>
      </c>
      <c r="T486" s="7"/>
      <c r="U486" s="7" t="s">
        <v>35</v>
      </c>
      <c r="V486" s="9">
        <v>1675.1</v>
      </c>
      <c r="W486" s="7">
        <v>722.3</v>
      </c>
      <c r="X486" s="7">
        <v>667.02</v>
      </c>
      <c r="Y486" s="7">
        <v>0</v>
      </c>
      <c r="Z486" s="7">
        <v>285.77999999999997</v>
      </c>
    </row>
    <row r="487" spans="1:26" x14ac:dyDescent="0.35">
      <c r="A487" s="7" t="s">
        <v>27</v>
      </c>
      <c r="B487" s="7" t="s">
        <v>36</v>
      </c>
      <c r="C487" s="7" t="s">
        <v>48</v>
      </c>
      <c r="D487" s="7" t="s">
        <v>56</v>
      </c>
      <c r="E487" s="7" t="s">
        <v>29</v>
      </c>
      <c r="F487" s="7" t="s">
        <v>113</v>
      </c>
      <c r="G487" s="7">
        <v>2020</v>
      </c>
      <c r="H487" s="7" t="str">
        <f>CONCATENATE("04210025682")</f>
        <v>04210025682</v>
      </c>
      <c r="I487" s="7" t="s">
        <v>39</v>
      </c>
      <c r="J487" s="7" t="s">
        <v>31</v>
      </c>
      <c r="K487" s="7" t="str">
        <f>CONCATENATE("")</f>
        <v/>
      </c>
      <c r="L487" s="7" t="str">
        <f>CONCATENATE("13 13.1 4a")</f>
        <v>13 13.1 4a</v>
      </c>
      <c r="M487" s="7" t="str">
        <f>CONCATENATE("CCCLCU39M51D451A")</f>
        <v>CCCLCU39M51D451A</v>
      </c>
      <c r="N487" s="7" t="s">
        <v>591</v>
      </c>
      <c r="O487" s="7" t="s">
        <v>249</v>
      </c>
      <c r="P487" s="8">
        <v>44321</v>
      </c>
      <c r="Q487" s="7" t="s">
        <v>32</v>
      </c>
      <c r="R487" s="7" t="s">
        <v>33</v>
      </c>
      <c r="S487" s="7" t="s">
        <v>34</v>
      </c>
      <c r="T487" s="7"/>
      <c r="U487" s="7" t="s">
        <v>35</v>
      </c>
      <c r="V487" s="7">
        <v>340.26</v>
      </c>
      <c r="W487" s="7">
        <v>146.72</v>
      </c>
      <c r="X487" s="7">
        <v>135.49</v>
      </c>
      <c r="Y487" s="7">
        <v>0</v>
      </c>
      <c r="Z487" s="7">
        <v>58.05</v>
      </c>
    </row>
    <row r="488" spans="1:26" ht="17.5" x14ac:dyDescent="0.35">
      <c r="A488" s="7" t="s">
        <v>27</v>
      </c>
      <c r="B488" s="7" t="s">
        <v>36</v>
      </c>
      <c r="C488" s="7" t="s">
        <v>48</v>
      </c>
      <c r="D488" s="7" t="s">
        <v>56</v>
      </c>
      <c r="E488" s="7" t="s">
        <v>29</v>
      </c>
      <c r="F488" s="7" t="s">
        <v>124</v>
      </c>
      <c r="G488" s="7">
        <v>2020</v>
      </c>
      <c r="H488" s="7" t="str">
        <f>CONCATENATE("04210335479")</f>
        <v>04210335479</v>
      </c>
      <c r="I488" s="7" t="s">
        <v>30</v>
      </c>
      <c r="J488" s="7" t="s">
        <v>31</v>
      </c>
      <c r="K488" s="7" t="str">
        <f>CONCATENATE("")</f>
        <v/>
      </c>
      <c r="L488" s="7" t="str">
        <f>CONCATENATE("13 13.1 4a")</f>
        <v>13 13.1 4a</v>
      </c>
      <c r="M488" s="7" t="str">
        <f>CONCATENATE("CHTMRN61R64C704W")</f>
        <v>CHTMRN61R64C704W</v>
      </c>
      <c r="N488" s="7" t="s">
        <v>592</v>
      </c>
      <c r="O488" s="7" t="s">
        <v>249</v>
      </c>
      <c r="P488" s="8">
        <v>44321</v>
      </c>
      <c r="Q488" s="7" t="s">
        <v>32</v>
      </c>
      <c r="R488" s="7" t="s">
        <v>33</v>
      </c>
      <c r="S488" s="7" t="s">
        <v>34</v>
      </c>
      <c r="T488" s="7"/>
      <c r="U488" s="7" t="s">
        <v>35</v>
      </c>
      <c r="V488" s="9">
        <v>1960.92</v>
      </c>
      <c r="W488" s="7">
        <v>845.55</v>
      </c>
      <c r="X488" s="7">
        <v>780.84</v>
      </c>
      <c r="Y488" s="7">
        <v>0</v>
      </c>
      <c r="Z488" s="7">
        <v>334.53</v>
      </c>
    </row>
    <row r="489" spans="1:26" x14ac:dyDescent="0.35">
      <c r="A489" s="7" t="s">
        <v>27</v>
      </c>
      <c r="B489" s="7" t="s">
        <v>36</v>
      </c>
      <c r="C489" s="7" t="s">
        <v>48</v>
      </c>
      <c r="D489" s="7" t="s">
        <v>49</v>
      </c>
      <c r="E489" s="7" t="s">
        <v>42</v>
      </c>
      <c r="F489" s="7" t="s">
        <v>50</v>
      </c>
      <c r="G489" s="7">
        <v>2020</v>
      </c>
      <c r="H489" s="7" t="str">
        <f>CONCATENATE("04210550705")</f>
        <v>04210550705</v>
      </c>
      <c r="I489" s="7" t="s">
        <v>30</v>
      </c>
      <c r="J489" s="7" t="s">
        <v>31</v>
      </c>
      <c r="K489" s="7" t="str">
        <f>CONCATENATE("")</f>
        <v/>
      </c>
      <c r="L489" s="7" t="str">
        <f>CONCATENATE("13 13.1 4a")</f>
        <v>13 13.1 4a</v>
      </c>
      <c r="M489" s="7" t="str">
        <f>CONCATENATE("VNCNTN95S11H769C")</f>
        <v>VNCNTN95S11H769C</v>
      </c>
      <c r="N489" s="7" t="s">
        <v>593</v>
      </c>
      <c r="O489" s="7" t="s">
        <v>249</v>
      </c>
      <c r="P489" s="8">
        <v>44321</v>
      </c>
      <c r="Q489" s="7" t="s">
        <v>32</v>
      </c>
      <c r="R489" s="7" t="s">
        <v>33</v>
      </c>
      <c r="S489" s="7" t="s">
        <v>34</v>
      </c>
      <c r="T489" s="7"/>
      <c r="U489" s="7" t="s">
        <v>35</v>
      </c>
      <c r="V489" s="9">
        <v>6649.48</v>
      </c>
      <c r="W489" s="9">
        <v>2867.26</v>
      </c>
      <c r="X489" s="9">
        <v>2647.82</v>
      </c>
      <c r="Y489" s="7">
        <v>0</v>
      </c>
      <c r="Z489" s="9">
        <v>1134.4000000000001</v>
      </c>
    </row>
    <row r="490" spans="1:26" x14ac:dyDescent="0.35">
      <c r="A490" s="7" t="s">
        <v>27</v>
      </c>
      <c r="B490" s="7" t="s">
        <v>36</v>
      </c>
      <c r="C490" s="7" t="s">
        <v>48</v>
      </c>
      <c r="D490" s="7" t="s">
        <v>49</v>
      </c>
      <c r="E490" s="7" t="s">
        <v>38</v>
      </c>
      <c r="F490" s="7" t="s">
        <v>132</v>
      </c>
      <c r="G490" s="7">
        <v>2020</v>
      </c>
      <c r="H490" s="7" t="str">
        <f>CONCATENATE("04210529964")</f>
        <v>04210529964</v>
      </c>
      <c r="I490" s="7" t="s">
        <v>30</v>
      </c>
      <c r="J490" s="7" t="s">
        <v>31</v>
      </c>
      <c r="K490" s="7" t="str">
        <f>CONCATENATE("")</f>
        <v/>
      </c>
      <c r="L490" s="7" t="str">
        <f>CONCATENATE("13 13.1 4a")</f>
        <v>13 13.1 4a</v>
      </c>
      <c r="M490" s="7" t="str">
        <f>CONCATENATE("01824040438")</f>
        <v>01824040438</v>
      </c>
      <c r="N490" s="7" t="s">
        <v>594</v>
      </c>
      <c r="O490" s="7" t="s">
        <v>249</v>
      </c>
      <c r="P490" s="8">
        <v>44321</v>
      </c>
      <c r="Q490" s="7" t="s">
        <v>32</v>
      </c>
      <c r="R490" s="7" t="s">
        <v>33</v>
      </c>
      <c r="S490" s="7" t="s">
        <v>34</v>
      </c>
      <c r="T490" s="7"/>
      <c r="U490" s="7" t="s">
        <v>35</v>
      </c>
      <c r="V490" s="9">
        <v>8961.36</v>
      </c>
      <c r="W490" s="9">
        <v>3864.14</v>
      </c>
      <c r="X490" s="9">
        <v>3568.41</v>
      </c>
      <c r="Y490" s="7">
        <v>0</v>
      </c>
      <c r="Z490" s="9">
        <v>1528.81</v>
      </c>
    </row>
    <row r="491" spans="1:26" x14ac:dyDescent="0.35">
      <c r="A491" s="7" t="s">
        <v>27</v>
      </c>
      <c r="B491" s="7" t="s">
        <v>36</v>
      </c>
      <c r="C491" s="7" t="s">
        <v>48</v>
      </c>
      <c r="D491" s="7" t="s">
        <v>49</v>
      </c>
      <c r="E491" s="7" t="s">
        <v>42</v>
      </c>
      <c r="F491" s="7" t="s">
        <v>50</v>
      </c>
      <c r="G491" s="7">
        <v>2020</v>
      </c>
      <c r="H491" s="7" t="str">
        <f>CONCATENATE("04210548964")</f>
        <v>04210548964</v>
      </c>
      <c r="I491" s="7" t="s">
        <v>30</v>
      </c>
      <c r="J491" s="7" t="s">
        <v>31</v>
      </c>
      <c r="K491" s="7" t="str">
        <f>CONCATENATE("")</f>
        <v/>
      </c>
      <c r="L491" s="7" t="str">
        <f>CONCATENATE("13 13.1 4a")</f>
        <v>13 13.1 4a</v>
      </c>
      <c r="M491" s="7" t="str">
        <f>CONCATENATE("CRBLGN60E22F570O")</f>
        <v>CRBLGN60E22F570O</v>
      </c>
      <c r="N491" s="7" t="s">
        <v>595</v>
      </c>
      <c r="O491" s="7" t="s">
        <v>249</v>
      </c>
      <c r="P491" s="8">
        <v>44321</v>
      </c>
      <c r="Q491" s="7" t="s">
        <v>32</v>
      </c>
      <c r="R491" s="7" t="s">
        <v>33</v>
      </c>
      <c r="S491" s="7" t="s">
        <v>34</v>
      </c>
      <c r="T491" s="7"/>
      <c r="U491" s="7" t="s">
        <v>35</v>
      </c>
      <c r="V491" s="9">
        <v>6087.58</v>
      </c>
      <c r="W491" s="9">
        <v>2624.96</v>
      </c>
      <c r="X491" s="9">
        <v>2424.0700000000002</v>
      </c>
      <c r="Y491" s="7">
        <v>0</v>
      </c>
      <c r="Z491" s="9">
        <v>1038.55</v>
      </c>
    </row>
    <row r="492" spans="1:26" x14ac:dyDescent="0.35">
      <c r="A492" s="7" t="s">
        <v>27</v>
      </c>
      <c r="B492" s="7" t="s">
        <v>36</v>
      </c>
      <c r="C492" s="7" t="s">
        <v>48</v>
      </c>
      <c r="D492" s="7" t="s">
        <v>56</v>
      </c>
      <c r="E492" s="7" t="s">
        <v>29</v>
      </c>
      <c r="F492" s="7" t="s">
        <v>124</v>
      </c>
      <c r="G492" s="7">
        <v>2020</v>
      </c>
      <c r="H492" s="7" t="str">
        <f>CONCATENATE("04210435105")</f>
        <v>04210435105</v>
      </c>
      <c r="I492" s="7" t="s">
        <v>30</v>
      </c>
      <c r="J492" s="7" t="s">
        <v>31</v>
      </c>
      <c r="K492" s="7" t="str">
        <f>CONCATENATE("")</f>
        <v/>
      </c>
      <c r="L492" s="7" t="str">
        <f>CONCATENATE("13 13.1 4a")</f>
        <v>13 13.1 4a</v>
      </c>
      <c r="M492" s="7" t="str">
        <f>CONCATENATE("FRNDNI67T64I461Z")</f>
        <v>FRNDNI67T64I461Z</v>
      </c>
      <c r="N492" s="7" t="s">
        <v>596</v>
      </c>
      <c r="O492" s="7" t="s">
        <v>249</v>
      </c>
      <c r="P492" s="8">
        <v>44321</v>
      </c>
      <c r="Q492" s="7" t="s">
        <v>32</v>
      </c>
      <c r="R492" s="7" t="s">
        <v>33</v>
      </c>
      <c r="S492" s="7" t="s">
        <v>34</v>
      </c>
      <c r="T492" s="7"/>
      <c r="U492" s="7" t="s">
        <v>35</v>
      </c>
      <c r="V492" s="7">
        <v>764.4</v>
      </c>
      <c r="W492" s="7">
        <v>329.61</v>
      </c>
      <c r="X492" s="7">
        <v>304.38</v>
      </c>
      <c r="Y492" s="7">
        <v>0</v>
      </c>
      <c r="Z492" s="7">
        <v>130.41</v>
      </c>
    </row>
    <row r="493" spans="1:26" x14ac:dyDescent="0.35">
      <c r="A493" s="7" t="s">
        <v>27</v>
      </c>
      <c r="B493" s="7" t="s">
        <v>36</v>
      </c>
      <c r="C493" s="7" t="s">
        <v>48</v>
      </c>
      <c r="D493" s="7" t="s">
        <v>56</v>
      </c>
      <c r="E493" s="7" t="s">
        <v>29</v>
      </c>
      <c r="F493" s="7" t="s">
        <v>124</v>
      </c>
      <c r="G493" s="7">
        <v>2020</v>
      </c>
      <c r="H493" s="7" t="str">
        <f>CONCATENATE("04210443547")</f>
        <v>04210443547</v>
      </c>
      <c r="I493" s="7" t="s">
        <v>30</v>
      </c>
      <c r="J493" s="7" t="s">
        <v>31</v>
      </c>
      <c r="K493" s="7" t="str">
        <f>CONCATENATE("")</f>
        <v/>
      </c>
      <c r="L493" s="7" t="str">
        <f>CONCATENATE("13 13.1 4a")</f>
        <v>13 13.1 4a</v>
      </c>
      <c r="M493" s="7" t="str">
        <f>CONCATENATE("FRTSVN34S44D451I")</f>
        <v>FRTSVN34S44D451I</v>
      </c>
      <c r="N493" s="7" t="s">
        <v>597</v>
      </c>
      <c r="O493" s="7" t="s">
        <v>249</v>
      </c>
      <c r="P493" s="8">
        <v>44321</v>
      </c>
      <c r="Q493" s="7" t="s">
        <v>32</v>
      </c>
      <c r="R493" s="7" t="s">
        <v>33</v>
      </c>
      <c r="S493" s="7" t="s">
        <v>34</v>
      </c>
      <c r="T493" s="7"/>
      <c r="U493" s="7" t="s">
        <v>35</v>
      </c>
      <c r="V493" s="9">
        <v>1943.08</v>
      </c>
      <c r="W493" s="7">
        <v>837.86</v>
      </c>
      <c r="X493" s="7">
        <v>773.73</v>
      </c>
      <c r="Y493" s="7">
        <v>0</v>
      </c>
      <c r="Z493" s="7">
        <v>331.49</v>
      </c>
    </row>
    <row r="494" spans="1:26" x14ac:dyDescent="0.35">
      <c r="A494" s="7" t="s">
        <v>27</v>
      </c>
      <c r="B494" s="7" t="s">
        <v>36</v>
      </c>
      <c r="C494" s="7" t="s">
        <v>48</v>
      </c>
      <c r="D494" s="7" t="s">
        <v>62</v>
      </c>
      <c r="E494" s="7" t="s">
        <v>29</v>
      </c>
      <c r="F494" s="7" t="s">
        <v>66</v>
      </c>
      <c r="G494" s="7">
        <v>2020</v>
      </c>
      <c r="H494" s="7" t="str">
        <f>CONCATENATE("04210062917")</f>
        <v>04210062917</v>
      </c>
      <c r="I494" s="7" t="s">
        <v>30</v>
      </c>
      <c r="J494" s="7" t="s">
        <v>31</v>
      </c>
      <c r="K494" s="7" t="str">
        <f>CONCATENATE("")</f>
        <v/>
      </c>
      <c r="L494" s="7" t="str">
        <f>CONCATENATE("13 13.1 4a")</f>
        <v>13 13.1 4a</v>
      </c>
      <c r="M494" s="7" t="str">
        <f>CONCATENATE("00914370432")</f>
        <v>00914370432</v>
      </c>
      <c r="N494" s="7" t="s">
        <v>598</v>
      </c>
      <c r="O494" s="7" t="s">
        <v>249</v>
      </c>
      <c r="P494" s="8">
        <v>44321</v>
      </c>
      <c r="Q494" s="7" t="s">
        <v>32</v>
      </c>
      <c r="R494" s="7" t="s">
        <v>33</v>
      </c>
      <c r="S494" s="7" t="s">
        <v>34</v>
      </c>
      <c r="T494" s="7"/>
      <c r="U494" s="7" t="s">
        <v>35</v>
      </c>
      <c r="V494" s="7">
        <v>812.88</v>
      </c>
      <c r="W494" s="7">
        <v>350.51</v>
      </c>
      <c r="X494" s="7">
        <v>323.69</v>
      </c>
      <c r="Y494" s="7">
        <v>0</v>
      </c>
      <c r="Z494" s="7">
        <v>138.68</v>
      </c>
    </row>
    <row r="495" spans="1:26" x14ac:dyDescent="0.35">
      <c r="A495" s="7" t="s">
        <v>27</v>
      </c>
      <c r="B495" s="7" t="s">
        <v>36</v>
      </c>
      <c r="C495" s="7" t="s">
        <v>48</v>
      </c>
      <c r="D495" s="7" t="s">
        <v>62</v>
      </c>
      <c r="E495" s="7" t="s">
        <v>44</v>
      </c>
      <c r="F495" s="7" t="s">
        <v>330</v>
      </c>
      <c r="G495" s="7">
        <v>2020</v>
      </c>
      <c r="H495" s="7" t="str">
        <f>CONCATENATE("04210215523")</f>
        <v>04210215523</v>
      </c>
      <c r="I495" s="7" t="s">
        <v>30</v>
      </c>
      <c r="J495" s="7" t="s">
        <v>31</v>
      </c>
      <c r="K495" s="7" t="str">
        <f>CONCATENATE("")</f>
        <v/>
      </c>
      <c r="L495" s="7" t="str">
        <f>CONCATENATE("13 13.1 4a")</f>
        <v>13 13.1 4a</v>
      </c>
      <c r="M495" s="7" t="str">
        <f>CONCATENATE("PGGPNI61L21D628Y")</f>
        <v>PGGPNI61L21D628Y</v>
      </c>
      <c r="N495" s="7" t="s">
        <v>599</v>
      </c>
      <c r="O495" s="7" t="s">
        <v>249</v>
      </c>
      <c r="P495" s="8">
        <v>44321</v>
      </c>
      <c r="Q495" s="7" t="s">
        <v>32</v>
      </c>
      <c r="R495" s="7" t="s">
        <v>33</v>
      </c>
      <c r="S495" s="7" t="s">
        <v>34</v>
      </c>
      <c r="T495" s="7"/>
      <c r="U495" s="7" t="s">
        <v>35</v>
      </c>
      <c r="V495" s="7">
        <v>648.62</v>
      </c>
      <c r="W495" s="7">
        <v>279.68</v>
      </c>
      <c r="X495" s="7">
        <v>258.27999999999997</v>
      </c>
      <c r="Y495" s="7">
        <v>0</v>
      </c>
      <c r="Z495" s="7">
        <v>110.66</v>
      </c>
    </row>
    <row r="496" spans="1:26" x14ac:dyDescent="0.35">
      <c r="A496" s="7" t="s">
        <v>27</v>
      </c>
      <c r="B496" s="7" t="s">
        <v>36</v>
      </c>
      <c r="C496" s="7" t="s">
        <v>48</v>
      </c>
      <c r="D496" s="7" t="s">
        <v>49</v>
      </c>
      <c r="E496" s="7" t="s">
        <v>40</v>
      </c>
      <c r="F496" s="7" t="s">
        <v>278</v>
      </c>
      <c r="G496" s="7">
        <v>2020</v>
      </c>
      <c r="H496" s="7" t="str">
        <f>CONCATENATE("04210739753")</f>
        <v>04210739753</v>
      </c>
      <c r="I496" s="7" t="s">
        <v>30</v>
      </c>
      <c r="J496" s="7" t="s">
        <v>31</v>
      </c>
      <c r="K496" s="7" t="str">
        <f>CONCATENATE("")</f>
        <v/>
      </c>
      <c r="L496" s="7" t="str">
        <f>CONCATENATE("13 13.1 4a")</f>
        <v>13 13.1 4a</v>
      </c>
      <c r="M496" s="7" t="str">
        <f>CONCATENATE("02352120428")</f>
        <v>02352120428</v>
      </c>
      <c r="N496" s="7" t="s">
        <v>600</v>
      </c>
      <c r="O496" s="7" t="s">
        <v>249</v>
      </c>
      <c r="P496" s="8">
        <v>44321</v>
      </c>
      <c r="Q496" s="7" t="s">
        <v>32</v>
      </c>
      <c r="R496" s="7" t="s">
        <v>33</v>
      </c>
      <c r="S496" s="7" t="s">
        <v>34</v>
      </c>
      <c r="T496" s="7"/>
      <c r="U496" s="7" t="s">
        <v>35</v>
      </c>
      <c r="V496" s="9">
        <v>2929.6</v>
      </c>
      <c r="W496" s="9">
        <v>1263.24</v>
      </c>
      <c r="X496" s="9">
        <v>1166.57</v>
      </c>
      <c r="Y496" s="7">
        <v>0</v>
      </c>
      <c r="Z496" s="7">
        <v>499.79</v>
      </c>
    </row>
    <row r="497" spans="1:26" x14ac:dyDescent="0.35">
      <c r="A497" s="7" t="s">
        <v>27</v>
      </c>
      <c r="B497" s="7" t="s">
        <v>36</v>
      </c>
      <c r="C497" s="7" t="s">
        <v>48</v>
      </c>
      <c r="D497" s="7" t="s">
        <v>49</v>
      </c>
      <c r="E497" s="7" t="s">
        <v>40</v>
      </c>
      <c r="F497" s="7" t="s">
        <v>149</v>
      </c>
      <c r="G497" s="7">
        <v>2020</v>
      </c>
      <c r="H497" s="7" t="str">
        <f>CONCATENATE("04210362846")</f>
        <v>04210362846</v>
      </c>
      <c r="I497" s="7" t="s">
        <v>30</v>
      </c>
      <c r="J497" s="7" t="s">
        <v>31</v>
      </c>
      <c r="K497" s="7" t="str">
        <f>CONCATENATE("")</f>
        <v/>
      </c>
      <c r="L497" s="7" t="str">
        <f>CONCATENATE("13 13.1 4a")</f>
        <v>13 13.1 4a</v>
      </c>
      <c r="M497" s="7" t="str">
        <f>CONCATENATE("RSSGNN63H24A252I")</f>
        <v>RSSGNN63H24A252I</v>
      </c>
      <c r="N497" s="7" t="s">
        <v>601</v>
      </c>
      <c r="O497" s="7" t="s">
        <v>249</v>
      </c>
      <c r="P497" s="8">
        <v>44321</v>
      </c>
      <c r="Q497" s="7" t="s">
        <v>32</v>
      </c>
      <c r="R497" s="7" t="s">
        <v>33</v>
      </c>
      <c r="S497" s="7" t="s">
        <v>34</v>
      </c>
      <c r="T497" s="7"/>
      <c r="U497" s="7" t="s">
        <v>35</v>
      </c>
      <c r="V497" s="9">
        <v>1268.1300000000001</v>
      </c>
      <c r="W497" s="7">
        <v>546.82000000000005</v>
      </c>
      <c r="X497" s="7">
        <v>504.97</v>
      </c>
      <c r="Y497" s="7">
        <v>0</v>
      </c>
      <c r="Z497" s="7">
        <v>216.34</v>
      </c>
    </row>
    <row r="498" spans="1:26" x14ac:dyDescent="0.35">
      <c r="A498" s="7" t="s">
        <v>27</v>
      </c>
      <c r="B498" s="7" t="s">
        <v>36</v>
      </c>
      <c r="C498" s="7" t="s">
        <v>48</v>
      </c>
      <c r="D498" s="7" t="s">
        <v>49</v>
      </c>
      <c r="E498" s="7" t="s">
        <v>29</v>
      </c>
      <c r="F498" s="7" t="s">
        <v>104</v>
      </c>
      <c r="G498" s="7">
        <v>2020</v>
      </c>
      <c r="H498" s="7" t="str">
        <f>CONCATENATE("04210070092")</f>
        <v>04210070092</v>
      </c>
      <c r="I498" s="7" t="s">
        <v>30</v>
      </c>
      <c r="J498" s="7" t="s">
        <v>31</v>
      </c>
      <c r="K498" s="7" t="str">
        <f>CONCATENATE("")</f>
        <v/>
      </c>
      <c r="L498" s="7" t="str">
        <f>CONCATENATE("13 13.1 4a")</f>
        <v>13 13.1 4a</v>
      </c>
      <c r="M498" s="7" t="str">
        <f>CONCATENATE("01532860440")</f>
        <v>01532860440</v>
      </c>
      <c r="N498" s="7" t="s">
        <v>602</v>
      </c>
      <c r="O498" s="7" t="s">
        <v>249</v>
      </c>
      <c r="P498" s="8">
        <v>44321</v>
      </c>
      <c r="Q498" s="7" t="s">
        <v>32</v>
      </c>
      <c r="R498" s="7" t="s">
        <v>33</v>
      </c>
      <c r="S498" s="7" t="s">
        <v>34</v>
      </c>
      <c r="T498" s="7"/>
      <c r="U498" s="7" t="s">
        <v>35</v>
      </c>
      <c r="V498" s="9">
        <v>4280.6400000000003</v>
      </c>
      <c r="W498" s="9">
        <v>1845.81</v>
      </c>
      <c r="X498" s="9">
        <v>1704.55</v>
      </c>
      <c r="Y498" s="7">
        <v>0</v>
      </c>
      <c r="Z498" s="7">
        <v>730.28</v>
      </c>
    </row>
    <row r="499" spans="1:26" x14ac:dyDescent="0.35">
      <c r="A499" s="7" t="s">
        <v>27</v>
      </c>
      <c r="B499" s="7" t="s">
        <v>36</v>
      </c>
      <c r="C499" s="7" t="s">
        <v>48</v>
      </c>
      <c r="D499" s="7" t="s">
        <v>56</v>
      </c>
      <c r="E499" s="7" t="s">
        <v>29</v>
      </c>
      <c r="F499" s="7" t="s">
        <v>124</v>
      </c>
      <c r="G499" s="7">
        <v>2020</v>
      </c>
      <c r="H499" s="7" t="str">
        <f>CONCATENATE("04210038743")</f>
        <v>04210038743</v>
      </c>
      <c r="I499" s="7" t="s">
        <v>39</v>
      </c>
      <c r="J499" s="7" t="s">
        <v>31</v>
      </c>
      <c r="K499" s="7" t="str">
        <f>CONCATENATE("")</f>
        <v/>
      </c>
      <c r="L499" s="7" t="str">
        <f>CONCATENATE("13 13.1 4a")</f>
        <v>13 13.1 4a</v>
      </c>
      <c r="M499" s="7" t="str">
        <f>CONCATENATE("CSLNNN59A44I461C")</f>
        <v>CSLNNN59A44I461C</v>
      </c>
      <c r="N499" s="7" t="s">
        <v>603</v>
      </c>
      <c r="O499" s="7" t="s">
        <v>249</v>
      </c>
      <c r="P499" s="8">
        <v>44321</v>
      </c>
      <c r="Q499" s="7" t="s">
        <v>32</v>
      </c>
      <c r="R499" s="7" t="s">
        <v>33</v>
      </c>
      <c r="S499" s="7" t="s">
        <v>34</v>
      </c>
      <c r="T499" s="7"/>
      <c r="U499" s="7" t="s">
        <v>35</v>
      </c>
      <c r="V499" s="7">
        <v>67.709999999999994</v>
      </c>
      <c r="W499" s="7">
        <v>29.2</v>
      </c>
      <c r="X499" s="7">
        <v>26.96</v>
      </c>
      <c r="Y499" s="7">
        <v>0</v>
      </c>
      <c r="Z499" s="7">
        <v>11.55</v>
      </c>
    </row>
    <row r="500" spans="1:26" x14ac:dyDescent="0.35">
      <c r="A500" s="7" t="s">
        <v>27</v>
      </c>
      <c r="B500" s="7" t="s">
        <v>36</v>
      </c>
      <c r="C500" s="7" t="s">
        <v>48</v>
      </c>
      <c r="D500" s="7" t="s">
        <v>62</v>
      </c>
      <c r="E500" s="7" t="s">
        <v>38</v>
      </c>
      <c r="F500" s="7" t="s">
        <v>251</v>
      </c>
      <c r="G500" s="7">
        <v>2020</v>
      </c>
      <c r="H500" s="7" t="str">
        <f>CONCATENATE("04210759850")</f>
        <v>04210759850</v>
      </c>
      <c r="I500" s="7" t="s">
        <v>30</v>
      </c>
      <c r="J500" s="7" t="s">
        <v>31</v>
      </c>
      <c r="K500" s="7" t="str">
        <f>CONCATENATE("")</f>
        <v/>
      </c>
      <c r="L500" s="7" t="str">
        <f>CONCATENATE("13 13.1 4a")</f>
        <v>13 13.1 4a</v>
      </c>
      <c r="M500" s="7" t="str">
        <f>CONCATENATE("STFGCM59M04A462G")</f>
        <v>STFGCM59M04A462G</v>
      </c>
      <c r="N500" s="7" t="s">
        <v>604</v>
      </c>
      <c r="O500" s="7" t="s">
        <v>249</v>
      </c>
      <c r="P500" s="8">
        <v>44321</v>
      </c>
      <c r="Q500" s="7" t="s">
        <v>32</v>
      </c>
      <c r="R500" s="7" t="s">
        <v>33</v>
      </c>
      <c r="S500" s="7" t="s">
        <v>34</v>
      </c>
      <c r="T500" s="7"/>
      <c r="U500" s="7" t="s">
        <v>35</v>
      </c>
      <c r="V500" s="7">
        <v>164.5</v>
      </c>
      <c r="W500" s="7">
        <v>70.930000000000007</v>
      </c>
      <c r="X500" s="7">
        <v>65.5</v>
      </c>
      <c r="Y500" s="7">
        <v>0</v>
      </c>
      <c r="Z500" s="7">
        <v>28.07</v>
      </c>
    </row>
    <row r="501" spans="1:26" x14ac:dyDescent="0.35">
      <c r="A501" s="7" t="s">
        <v>27</v>
      </c>
      <c r="B501" s="7" t="s">
        <v>36</v>
      </c>
      <c r="C501" s="7" t="s">
        <v>48</v>
      </c>
      <c r="D501" s="7" t="s">
        <v>56</v>
      </c>
      <c r="E501" s="7" t="s">
        <v>29</v>
      </c>
      <c r="F501" s="7" t="s">
        <v>66</v>
      </c>
      <c r="G501" s="7">
        <v>2020</v>
      </c>
      <c r="H501" s="7" t="str">
        <f>CONCATENATE("04210294213")</f>
        <v>04210294213</v>
      </c>
      <c r="I501" s="7" t="s">
        <v>39</v>
      </c>
      <c r="J501" s="7" t="s">
        <v>31</v>
      </c>
      <c r="K501" s="7" t="str">
        <f>CONCATENATE("")</f>
        <v/>
      </c>
      <c r="L501" s="7" t="str">
        <f>CONCATENATE("13 13.1 4a")</f>
        <v>13 13.1 4a</v>
      </c>
      <c r="M501" s="7" t="str">
        <f>CONCATENATE("CPPLNZ48L08B474P")</f>
        <v>CPPLNZ48L08B474P</v>
      </c>
      <c r="N501" s="7" t="s">
        <v>605</v>
      </c>
      <c r="O501" s="7" t="s">
        <v>249</v>
      </c>
      <c r="P501" s="8">
        <v>44321</v>
      </c>
      <c r="Q501" s="7" t="s">
        <v>32</v>
      </c>
      <c r="R501" s="7" t="s">
        <v>33</v>
      </c>
      <c r="S501" s="7" t="s">
        <v>34</v>
      </c>
      <c r="T501" s="7"/>
      <c r="U501" s="7" t="s">
        <v>35</v>
      </c>
      <c r="V501" s="7">
        <v>348.79</v>
      </c>
      <c r="W501" s="7">
        <v>150.4</v>
      </c>
      <c r="X501" s="7">
        <v>138.88999999999999</v>
      </c>
      <c r="Y501" s="7">
        <v>0</v>
      </c>
      <c r="Z501" s="7">
        <v>59.5</v>
      </c>
    </row>
    <row r="502" spans="1:26" x14ac:dyDescent="0.35">
      <c r="A502" s="7" t="s">
        <v>27</v>
      </c>
      <c r="B502" s="7" t="s">
        <v>36</v>
      </c>
      <c r="C502" s="7" t="s">
        <v>48</v>
      </c>
      <c r="D502" s="7" t="s">
        <v>49</v>
      </c>
      <c r="E502" s="7" t="s">
        <v>38</v>
      </c>
      <c r="F502" s="7" t="s">
        <v>132</v>
      </c>
      <c r="G502" s="7">
        <v>2020</v>
      </c>
      <c r="H502" s="7" t="str">
        <f>CONCATENATE("04210512150")</f>
        <v>04210512150</v>
      </c>
      <c r="I502" s="7" t="s">
        <v>30</v>
      </c>
      <c r="J502" s="7" t="s">
        <v>31</v>
      </c>
      <c r="K502" s="7" t="str">
        <f>CONCATENATE("")</f>
        <v/>
      </c>
      <c r="L502" s="7" t="str">
        <f>CONCATENATE("13 13.1 4a")</f>
        <v>13 13.1 4a</v>
      </c>
      <c r="M502" s="7" t="str">
        <f>CONCATENATE("LDDLRD85C02D542R")</f>
        <v>LDDLRD85C02D542R</v>
      </c>
      <c r="N502" s="7" t="s">
        <v>148</v>
      </c>
      <c r="O502" s="7" t="s">
        <v>249</v>
      </c>
      <c r="P502" s="8">
        <v>44321</v>
      </c>
      <c r="Q502" s="7" t="s">
        <v>32</v>
      </c>
      <c r="R502" s="7" t="s">
        <v>33</v>
      </c>
      <c r="S502" s="7" t="s">
        <v>34</v>
      </c>
      <c r="T502" s="7"/>
      <c r="U502" s="7" t="s">
        <v>35</v>
      </c>
      <c r="V502" s="9">
        <v>4872.54</v>
      </c>
      <c r="W502" s="9">
        <v>2101.04</v>
      </c>
      <c r="X502" s="9">
        <v>1940.25</v>
      </c>
      <c r="Y502" s="7">
        <v>0</v>
      </c>
      <c r="Z502" s="7">
        <v>831.25</v>
      </c>
    </row>
    <row r="503" spans="1:26" x14ac:dyDescent="0.35">
      <c r="A503" s="7" t="s">
        <v>27</v>
      </c>
      <c r="B503" s="7" t="s">
        <v>36</v>
      </c>
      <c r="C503" s="7" t="s">
        <v>48</v>
      </c>
      <c r="D503" s="7" t="s">
        <v>62</v>
      </c>
      <c r="E503" s="7" t="s">
        <v>29</v>
      </c>
      <c r="F503" s="7" t="s">
        <v>66</v>
      </c>
      <c r="G503" s="7">
        <v>2020</v>
      </c>
      <c r="H503" s="7" t="str">
        <f>CONCATENATE("04210042307")</f>
        <v>04210042307</v>
      </c>
      <c r="I503" s="7" t="s">
        <v>30</v>
      </c>
      <c r="J503" s="7" t="s">
        <v>31</v>
      </c>
      <c r="K503" s="7" t="str">
        <f>CONCATENATE("")</f>
        <v/>
      </c>
      <c r="L503" s="7" t="str">
        <f>CONCATENATE("13 13.1 4a")</f>
        <v>13 13.1 4a</v>
      </c>
      <c r="M503" s="7" t="str">
        <f>CONCATENATE("LNEGNN59C54Z120E")</f>
        <v>LNEGNN59C54Z120E</v>
      </c>
      <c r="N503" s="7" t="s">
        <v>606</v>
      </c>
      <c r="O503" s="7" t="s">
        <v>249</v>
      </c>
      <c r="P503" s="8">
        <v>44321</v>
      </c>
      <c r="Q503" s="7" t="s">
        <v>32</v>
      </c>
      <c r="R503" s="7" t="s">
        <v>33</v>
      </c>
      <c r="S503" s="7" t="s">
        <v>34</v>
      </c>
      <c r="T503" s="7"/>
      <c r="U503" s="7" t="s">
        <v>35</v>
      </c>
      <c r="V503" s="7">
        <v>969.46</v>
      </c>
      <c r="W503" s="7">
        <v>418.03</v>
      </c>
      <c r="X503" s="7">
        <v>386.04</v>
      </c>
      <c r="Y503" s="7">
        <v>0</v>
      </c>
      <c r="Z503" s="7">
        <v>165.39</v>
      </c>
    </row>
    <row r="504" spans="1:26" x14ac:dyDescent="0.35">
      <c r="A504" s="7" t="s">
        <v>27</v>
      </c>
      <c r="B504" s="7" t="s">
        <v>36</v>
      </c>
      <c r="C504" s="7" t="s">
        <v>48</v>
      </c>
      <c r="D504" s="7" t="s">
        <v>56</v>
      </c>
      <c r="E504" s="7" t="s">
        <v>29</v>
      </c>
      <c r="F504" s="7" t="s">
        <v>124</v>
      </c>
      <c r="G504" s="7">
        <v>2020</v>
      </c>
      <c r="H504" s="7" t="str">
        <f>CONCATENATE("04210074896")</f>
        <v>04210074896</v>
      </c>
      <c r="I504" s="7" t="s">
        <v>30</v>
      </c>
      <c r="J504" s="7" t="s">
        <v>31</v>
      </c>
      <c r="K504" s="7" t="str">
        <f>CONCATENATE("")</f>
        <v/>
      </c>
      <c r="L504" s="7" t="str">
        <f>CONCATENATE("13 13.1 4a")</f>
        <v>13 13.1 4a</v>
      </c>
      <c r="M504" s="7" t="str">
        <f>CONCATENATE("CRNLCU90D02D451Y")</f>
        <v>CRNLCU90D02D451Y</v>
      </c>
      <c r="N504" s="7" t="s">
        <v>607</v>
      </c>
      <c r="O504" s="7" t="s">
        <v>249</v>
      </c>
      <c r="P504" s="8">
        <v>44321</v>
      </c>
      <c r="Q504" s="7" t="s">
        <v>32</v>
      </c>
      <c r="R504" s="7" t="s">
        <v>33</v>
      </c>
      <c r="S504" s="7" t="s">
        <v>34</v>
      </c>
      <c r="T504" s="7"/>
      <c r="U504" s="7" t="s">
        <v>35</v>
      </c>
      <c r="V504" s="9">
        <v>8481.41</v>
      </c>
      <c r="W504" s="9">
        <v>3657.18</v>
      </c>
      <c r="X504" s="9">
        <v>3377.3</v>
      </c>
      <c r="Y504" s="7">
        <v>0</v>
      </c>
      <c r="Z504" s="9">
        <v>1446.93</v>
      </c>
    </row>
    <row r="505" spans="1:26" x14ac:dyDescent="0.35">
      <c r="A505" s="7" t="s">
        <v>27</v>
      </c>
      <c r="B505" s="7" t="s">
        <v>36</v>
      </c>
      <c r="C505" s="7" t="s">
        <v>48</v>
      </c>
      <c r="D505" s="7" t="s">
        <v>56</v>
      </c>
      <c r="E505" s="7" t="s">
        <v>29</v>
      </c>
      <c r="F505" s="7" t="s">
        <v>124</v>
      </c>
      <c r="G505" s="7">
        <v>2020</v>
      </c>
      <c r="H505" s="7" t="str">
        <f>CONCATENATE("04210077006")</f>
        <v>04210077006</v>
      </c>
      <c r="I505" s="7" t="s">
        <v>30</v>
      </c>
      <c r="J505" s="7" t="s">
        <v>31</v>
      </c>
      <c r="K505" s="7" t="str">
        <f>CONCATENATE("")</f>
        <v/>
      </c>
      <c r="L505" s="7" t="str">
        <f>CONCATENATE("13 13.1 4a")</f>
        <v>13 13.1 4a</v>
      </c>
      <c r="M505" s="7" t="str">
        <f>CONCATENATE("DLZVTR53A64E958S")</f>
        <v>DLZVTR53A64E958S</v>
      </c>
      <c r="N505" s="7" t="s">
        <v>608</v>
      </c>
      <c r="O505" s="7" t="s">
        <v>249</v>
      </c>
      <c r="P505" s="8">
        <v>44321</v>
      </c>
      <c r="Q505" s="7" t="s">
        <v>32</v>
      </c>
      <c r="R505" s="7" t="s">
        <v>33</v>
      </c>
      <c r="S505" s="7" t="s">
        <v>34</v>
      </c>
      <c r="T505" s="7"/>
      <c r="U505" s="7" t="s">
        <v>35</v>
      </c>
      <c r="V505" s="9">
        <v>1915.33</v>
      </c>
      <c r="W505" s="7">
        <v>825.89</v>
      </c>
      <c r="X505" s="7">
        <v>762.68</v>
      </c>
      <c r="Y505" s="7">
        <v>0</v>
      </c>
      <c r="Z505" s="7">
        <v>326.76</v>
      </c>
    </row>
    <row r="506" spans="1:26" x14ac:dyDescent="0.35">
      <c r="A506" s="7" t="s">
        <v>27</v>
      </c>
      <c r="B506" s="7" t="s">
        <v>36</v>
      </c>
      <c r="C506" s="7" t="s">
        <v>48</v>
      </c>
      <c r="D506" s="7" t="s">
        <v>56</v>
      </c>
      <c r="E506" s="7" t="s">
        <v>29</v>
      </c>
      <c r="F506" s="7" t="s">
        <v>124</v>
      </c>
      <c r="G506" s="7">
        <v>2020</v>
      </c>
      <c r="H506" s="7" t="str">
        <f>CONCATENATE("04210033074")</f>
        <v>04210033074</v>
      </c>
      <c r="I506" s="7" t="s">
        <v>30</v>
      </c>
      <c r="J506" s="7" t="s">
        <v>31</v>
      </c>
      <c r="K506" s="7" t="str">
        <f>CONCATENATE("")</f>
        <v/>
      </c>
      <c r="L506" s="7" t="str">
        <f>CONCATENATE("13 13.1 4a")</f>
        <v>13 13.1 4a</v>
      </c>
      <c r="M506" s="7" t="str">
        <f>CONCATENATE("CRPGNE43L55I522N")</f>
        <v>CRPGNE43L55I522N</v>
      </c>
      <c r="N506" s="7" t="s">
        <v>609</v>
      </c>
      <c r="O506" s="7" t="s">
        <v>249</v>
      </c>
      <c r="P506" s="8">
        <v>44321</v>
      </c>
      <c r="Q506" s="7" t="s">
        <v>32</v>
      </c>
      <c r="R506" s="7" t="s">
        <v>33</v>
      </c>
      <c r="S506" s="7" t="s">
        <v>34</v>
      </c>
      <c r="T506" s="7"/>
      <c r="U506" s="7" t="s">
        <v>35</v>
      </c>
      <c r="V506" s="7">
        <v>682.7</v>
      </c>
      <c r="W506" s="7">
        <v>294.38</v>
      </c>
      <c r="X506" s="7">
        <v>271.85000000000002</v>
      </c>
      <c r="Y506" s="7">
        <v>0</v>
      </c>
      <c r="Z506" s="7">
        <v>116.47</v>
      </c>
    </row>
    <row r="507" spans="1:26" x14ac:dyDescent="0.35">
      <c r="A507" s="7" t="s">
        <v>27</v>
      </c>
      <c r="B507" s="7" t="s">
        <v>36</v>
      </c>
      <c r="C507" s="7" t="s">
        <v>48</v>
      </c>
      <c r="D507" s="7" t="s">
        <v>56</v>
      </c>
      <c r="E507" s="7" t="s">
        <v>29</v>
      </c>
      <c r="F507" s="7" t="s">
        <v>124</v>
      </c>
      <c r="G507" s="7">
        <v>2020</v>
      </c>
      <c r="H507" s="7" t="str">
        <f>CONCATENATE("04210443430")</f>
        <v>04210443430</v>
      </c>
      <c r="I507" s="7" t="s">
        <v>30</v>
      </c>
      <c r="J507" s="7" t="s">
        <v>31</v>
      </c>
      <c r="K507" s="7" t="str">
        <f>CONCATENATE("")</f>
        <v/>
      </c>
      <c r="L507" s="7" t="str">
        <f>CONCATENATE("13 13.1 4a")</f>
        <v>13 13.1 4a</v>
      </c>
      <c r="M507" s="7" t="str">
        <f>CONCATENATE("FRNFNC47L02I461V")</f>
        <v>FRNFNC47L02I461V</v>
      </c>
      <c r="N507" s="7" t="s">
        <v>610</v>
      </c>
      <c r="O507" s="7" t="s">
        <v>249</v>
      </c>
      <c r="P507" s="8">
        <v>44321</v>
      </c>
      <c r="Q507" s="7" t="s">
        <v>32</v>
      </c>
      <c r="R507" s="7" t="s">
        <v>33</v>
      </c>
      <c r="S507" s="7" t="s">
        <v>34</v>
      </c>
      <c r="T507" s="7"/>
      <c r="U507" s="7" t="s">
        <v>35</v>
      </c>
      <c r="V507" s="9">
        <v>1123.52</v>
      </c>
      <c r="W507" s="7">
        <v>484.46</v>
      </c>
      <c r="X507" s="7">
        <v>447.39</v>
      </c>
      <c r="Y507" s="7">
        <v>0</v>
      </c>
      <c r="Z507" s="7">
        <v>191.67</v>
      </c>
    </row>
    <row r="508" spans="1:26" x14ac:dyDescent="0.35">
      <c r="A508" s="7" t="s">
        <v>27</v>
      </c>
      <c r="B508" s="7" t="s">
        <v>36</v>
      </c>
      <c r="C508" s="7" t="s">
        <v>48</v>
      </c>
      <c r="D508" s="7" t="s">
        <v>49</v>
      </c>
      <c r="E508" s="7" t="s">
        <v>29</v>
      </c>
      <c r="F508" s="7" t="s">
        <v>66</v>
      </c>
      <c r="G508" s="7">
        <v>2020</v>
      </c>
      <c r="H508" s="7" t="str">
        <f>CONCATENATE("04210750636")</f>
        <v>04210750636</v>
      </c>
      <c r="I508" s="7" t="s">
        <v>30</v>
      </c>
      <c r="J508" s="7" t="s">
        <v>31</v>
      </c>
      <c r="K508" s="7" t="str">
        <f>CONCATENATE("")</f>
        <v/>
      </c>
      <c r="L508" s="7" t="str">
        <f>CONCATENATE("13 13.1 4a")</f>
        <v>13 13.1 4a</v>
      </c>
      <c r="M508" s="7" t="str">
        <f>CONCATENATE("MRCDNL92M14B474V")</f>
        <v>MRCDNL92M14B474V</v>
      </c>
      <c r="N508" s="7" t="s">
        <v>611</v>
      </c>
      <c r="O508" s="7" t="s">
        <v>249</v>
      </c>
      <c r="P508" s="8">
        <v>44321</v>
      </c>
      <c r="Q508" s="7" t="s">
        <v>32</v>
      </c>
      <c r="R508" s="7" t="s">
        <v>33</v>
      </c>
      <c r="S508" s="7" t="s">
        <v>34</v>
      </c>
      <c r="T508" s="7"/>
      <c r="U508" s="7" t="s">
        <v>35</v>
      </c>
      <c r="V508" s="7">
        <v>337.84</v>
      </c>
      <c r="W508" s="7">
        <v>145.68</v>
      </c>
      <c r="X508" s="7">
        <v>134.53</v>
      </c>
      <c r="Y508" s="7">
        <v>0</v>
      </c>
      <c r="Z508" s="7">
        <v>57.63</v>
      </c>
    </row>
    <row r="509" spans="1:26" x14ac:dyDescent="0.35">
      <c r="A509" s="7" t="s">
        <v>27</v>
      </c>
      <c r="B509" s="7" t="s">
        <v>36</v>
      </c>
      <c r="C509" s="7" t="s">
        <v>48</v>
      </c>
      <c r="D509" s="7" t="s">
        <v>62</v>
      </c>
      <c r="E509" s="7" t="s">
        <v>29</v>
      </c>
      <c r="F509" s="7" t="s">
        <v>176</v>
      </c>
      <c r="G509" s="7">
        <v>2020</v>
      </c>
      <c r="H509" s="7" t="str">
        <f>CONCATENATE("04210675429")</f>
        <v>04210675429</v>
      </c>
      <c r="I509" s="7" t="s">
        <v>30</v>
      </c>
      <c r="J509" s="7" t="s">
        <v>31</v>
      </c>
      <c r="K509" s="7" t="str">
        <f>CONCATENATE("")</f>
        <v/>
      </c>
      <c r="L509" s="7" t="str">
        <f>CONCATENATE("13 13.1 4a")</f>
        <v>13 13.1 4a</v>
      </c>
      <c r="M509" s="7" t="str">
        <f>CONCATENATE("SNTLRT55E10H323Z")</f>
        <v>SNTLRT55E10H323Z</v>
      </c>
      <c r="N509" s="7" t="s">
        <v>612</v>
      </c>
      <c r="O509" s="7" t="s">
        <v>249</v>
      </c>
      <c r="P509" s="8">
        <v>44321</v>
      </c>
      <c r="Q509" s="7" t="s">
        <v>32</v>
      </c>
      <c r="R509" s="7" t="s">
        <v>33</v>
      </c>
      <c r="S509" s="7" t="s">
        <v>34</v>
      </c>
      <c r="T509" s="7"/>
      <c r="U509" s="7" t="s">
        <v>35</v>
      </c>
      <c r="V509" s="9">
        <v>1195.6500000000001</v>
      </c>
      <c r="W509" s="7">
        <v>515.55999999999995</v>
      </c>
      <c r="X509" s="7">
        <v>476.11</v>
      </c>
      <c r="Y509" s="7">
        <v>0</v>
      </c>
      <c r="Z509" s="7">
        <v>203.98</v>
      </c>
    </row>
    <row r="510" spans="1:26" x14ac:dyDescent="0.35">
      <c r="A510" s="7" t="s">
        <v>27</v>
      </c>
      <c r="B510" s="7" t="s">
        <v>36</v>
      </c>
      <c r="C510" s="7" t="s">
        <v>48</v>
      </c>
      <c r="D510" s="7" t="s">
        <v>59</v>
      </c>
      <c r="E510" s="7" t="s">
        <v>29</v>
      </c>
      <c r="F510" s="7" t="s">
        <v>371</v>
      </c>
      <c r="G510" s="7">
        <v>2020</v>
      </c>
      <c r="H510" s="7" t="str">
        <f>CONCATENATE("04210050185")</f>
        <v>04210050185</v>
      </c>
      <c r="I510" s="7" t="s">
        <v>30</v>
      </c>
      <c r="J510" s="7" t="s">
        <v>31</v>
      </c>
      <c r="K510" s="7" t="str">
        <f>CONCATENATE("")</f>
        <v/>
      </c>
      <c r="L510" s="7" t="str">
        <f>CONCATENATE("13 13.1 4a")</f>
        <v>13 13.1 4a</v>
      </c>
      <c r="M510" s="7" t="str">
        <f>CONCATENATE("VNNDNC48D29F524O")</f>
        <v>VNNDNC48D29F524O</v>
      </c>
      <c r="N510" s="7" t="s">
        <v>613</v>
      </c>
      <c r="O510" s="7" t="s">
        <v>360</v>
      </c>
      <c r="P510" s="8">
        <v>44321</v>
      </c>
      <c r="Q510" s="7" t="s">
        <v>32</v>
      </c>
      <c r="R510" s="7" t="s">
        <v>33</v>
      </c>
      <c r="S510" s="7" t="s">
        <v>34</v>
      </c>
      <c r="T510" s="7"/>
      <c r="U510" s="7" t="s">
        <v>35</v>
      </c>
      <c r="V510" s="9">
        <v>2801.12</v>
      </c>
      <c r="W510" s="9">
        <v>1207.8399999999999</v>
      </c>
      <c r="X510" s="9">
        <v>1115.4100000000001</v>
      </c>
      <c r="Y510" s="7">
        <v>0</v>
      </c>
      <c r="Z510" s="7">
        <v>477.87</v>
      </c>
    </row>
    <row r="511" spans="1:26" x14ac:dyDescent="0.35">
      <c r="A511" s="7" t="s">
        <v>27</v>
      </c>
      <c r="B511" s="7" t="s">
        <v>36</v>
      </c>
      <c r="C511" s="7" t="s">
        <v>48</v>
      </c>
      <c r="D511" s="7" t="s">
        <v>59</v>
      </c>
      <c r="E511" s="7" t="s">
        <v>29</v>
      </c>
      <c r="F511" s="7" t="s">
        <v>371</v>
      </c>
      <c r="G511" s="7">
        <v>2020</v>
      </c>
      <c r="H511" s="7" t="str">
        <f>CONCATENATE("04210027928")</f>
        <v>04210027928</v>
      </c>
      <c r="I511" s="7" t="s">
        <v>30</v>
      </c>
      <c r="J511" s="7" t="s">
        <v>31</v>
      </c>
      <c r="K511" s="7" t="str">
        <f>CONCATENATE("")</f>
        <v/>
      </c>
      <c r="L511" s="7" t="str">
        <f>CONCATENATE("13 13.1 4a")</f>
        <v>13 13.1 4a</v>
      </c>
      <c r="M511" s="7" t="str">
        <f>CONCATENATE("01274960416")</f>
        <v>01274960416</v>
      </c>
      <c r="N511" s="7" t="s">
        <v>614</v>
      </c>
      <c r="O511" s="7" t="s">
        <v>360</v>
      </c>
      <c r="P511" s="8">
        <v>44321</v>
      </c>
      <c r="Q511" s="7" t="s">
        <v>32</v>
      </c>
      <c r="R511" s="7" t="s">
        <v>33</v>
      </c>
      <c r="S511" s="7" t="s">
        <v>34</v>
      </c>
      <c r="T511" s="7"/>
      <c r="U511" s="7" t="s">
        <v>35</v>
      </c>
      <c r="V511" s="9">
        <v>9000</v>
      </c>
      <c r="W511" s="9">
        <v>3880.8</v>
      </c>
      <c r="X511" s="9">
        <v>3583.8</v>
      </c>
      <c r="Y511" s="7">
        <v>0</v>
      </c>
      <c r="Z511" s="9">
        <v>1535.4</v>
      </c>
    </row>
    <row r="512" spans="1:26" ht="17.5" x14ac:dyDescent="0.35">
      <c r="A512" s="7" t="s">
        <v>27</v>
      </c>
      <c r="B512" s="7" t="s">
        <v>36</v>
      </c>
      <c r="C512" s="7" t="s">
        <v>48</v>
      </c>
      <c r="D512" s="7" t="s">
        <v>56</v>
      </c>
      <c r="E512" s="7" t="s">
        <v>40</v>
      </c>
      <c r="F512" s="7" t="s">
        <v>272</v>
      </c>
      <c r="G512" s="7">
        <v>2020</v>
      </c>
      <c r="H512" s="7" t="str">
        <f>CONCATENATE("04240436123")</f>
        <v>04240436123</v>
      </c>
      <c r="I512" s="7" t="s">
        <v>30</v>
      </c>
      <c r="J512" s="7" t="s">
        <v>31</v>
      </c>
      <c r="K512" s="7" t="str">
        <f>CONCATENATE("")</f>
        <v/>
      </c>
      <c r="L512" s="7" t="str">
        <f>CONCATENATE("10 10.1 4a")</f>
        <v>10 10.1 4a</v>
      </c>
      <c r="M512" s="7" t="str">
        <f>CONCATENATE("02705660427")</f>
        <v>02705660427</v>
      </c>
      <c r="N512" s="7" t="s">
        <v>615</v>
      </c>
      <c r="O512" s="7" t="s">
        <v>394</v>
      </c>
      <c r="P512" s="8">
        <v>44321</v>
      </c>
      <c r="Q512" s="7" t="s">
        <v>32</v>
      </c>
      <c r="R512" s="7" t="s">
        <v>33</v>
      </c>
      <c r="S512" s="7" t="s">
        <v>34</v>
      </c>
      <c r="T512" s="7"/>
      <c r="U512" s="7" t="s">
        <v>35</v>
      </c>
      <c r="V512" s="7">
        <v>486.98</v>
      </c>
      <c r="W512" s="7">
        <v>209.99</v>
      </c>
      <c r="X512" s="7">
        <v>193.92</v>
      </c>
      <c r="Y512" s="7">
        <v>0</v>
      </c>
      <c r="Z512" s="7">
        <v>83.07</v>
      </c>
    </row>
    <row r="513" spans="1:26" x14ac:dyDescent="0.35">
      <c r="A513" s="7" t="s">
        <v>27</v>
      </c>
      <c r="B513" s="7" t="s">
        <v>36</v>
      </c>
      <c r="C513" s="7" t="s">
        <v>48</v>
      </c>
      <c r="D513" s="7" t="s">
        <v>56</v>
      </c>
      <c r="E513" s="7" t="s">
        <v>40</v>
      </c>
      <c r="F513" s="7" t="s">
        <v>272</v>
      </c>
      <c r="G513" s="7">
        <v>2020</v>
      </c>
      <c r="H513" s="7" t="str">
        <f>CONCATENATE("04240483703")</f>
        <v>04240483703</v>
      </c>
      <c r="I513" s="7" t="s">
        <v>30</v>
      </c>
      <c r="J513" s="7" t="s">
        <v>31</v>
      </c>
      <c r="K513" s="7" t="str">
        <f>CONCATENATE("")</f>
        <v/>
      </c>
      <c r="L513" s="7" t="str">
        <f>CONCATENATE("10 10.1 4a")</f>
        <v>10 10.1 4a</v>
      </c>
      <c r="M513" s="7" t="str">
        <f>CONCATENATE("CNSLCU59M31H501Z")</f>
        <v>CNSLCU59M31H501Z</v>
      </c>
      <c r="N513" s="7" t="s">
        <v>616</v>
      </c>
      <c r="O513" s="7" t="s">
        <v>394</v>
      </c>
      <c r="P513" s="8">
        <v>44321</v>
      </c>
      <c r="Q513" s="7" t="s">
        <v>32</v>
      </c>
      <c r="R513" s="7" t="s">
        <v>33</v>
      </c>
      <c r="S513" s="7" t="s">
        <v>34</v>
      </c>
      <c r="T513" s="7"/>
      <c r="U513" s="7" t="s">
        <v>35</v>
      </c>
      <c r="V513" s="7">
        <v>252.24</v>
      </c>
      <c r="W513" s="7">
        <v>108.77</v>
      </c>
      <c r="X513" s="7">
        <v>100.44</v>
      </c>
      <c r="Y513" s="7">
        <v>0</v>
      </c>
      <c r="Z513" s="7">
        <v>43.03</v>
      </c>
    </row>
    <row r="514" spans="1:26" x14ac:dyDescent="0.35">
      <c r="A514" s="7" t="s">
        <v>27</v>
      </c>
      <c r="B514" s="7" t="s">
        <v>36</v>
      </c>
      <c r="C514" s="7" t="s">
        <v>48</v>
      </c>
      <c r="D514" s="7" t="s">
        <v>56</v>
      </c>
      <c r="E514" s="7" t="s">
        <v>29</v>
      </c>
      <c r="F514" s="7" t="s">
        <v>128</v>
      </c>
      <c r="G514" s="7">
        <v>2020</v>
      </c>
      <c r="H514" s="7" t="str">
        <f>CONCATENATE("04240964306")</f>
        <v>04240964306</v>
      </c>
      <c r="I514" s="7" t="s">
        <v>30</v>
      </c>
      <c r="J514" s="7" t="s">
        <v>31</v>
      </c>
      <c r="K514" s="7" t="str">
        <f>CONCATENATE("")</f>
        <v/>
      </c>
      <c r="L514" s="7" t="str">
        <f>CONCATENATE("10 10.1 4a")</f>
        <v>10 10.1 4a</v>
      </c>
      <c r="M514" s="7" t="str">
        <f>CONCATENATE("DTTDRD90S22E388C")</f>
        <v>DTTDRD90S22E388C</v>
      </c>
      <c r="N514" s="7" t="s">
        <v>617</v>
      </c>
      <c r="O514" s="7" t="s">
        <v>394</v>
      </c>
      <c r="P514" s="8">
        <v>44321</v>
      </c>
      <c r="Q514" s="7" t="s">
        <v>32</v>
      </c>
      <c r="R514" s="7" t="s">
        <v>33</v>
      </c>
      <c r="S514" s="7" t="s">
        <v>34</v>
      </c>
      <c r="T514" s="7"/>
      <c r="U514" s="7" t="s">
        <v>35</v>
      </c>
      <c r="V514" s="7">
        <v>279.8</v>
      </c>
      <c r="W514" s="7">
        <v>120.65</v>
      </c>
      <c r="X514" s="7">
        <v>111.42</v>
      </c>
      <c r="Y514" s="7">
        <v>0</v>
      </c>
      <c r="Z514" s="7">
        <v>47.73</v>
      </c>
    </row>
    <row r="515" spans="1:26" x14ac:dyDescent="0.35">
      <c r="A515" s="7" t="s">
        <v>27</v>
      </c>
      <c r="B515" s="7" t="s">
        <v>36</v>
      </c>
      <c r="C515" s="7" t="s">
        <v>48</v>
      </c>
      <c r="D515" s="7" t="s">
        <v>56</v>
      </c>
      <c r="E515" s="7" t="s">
        <v>40</v>
      </c>
      <c r="F515" s="7" t="s">
        <v>278</v>
      </c>
      <c r="G515" s="7">
        <v>2020</v>
      </c>
      <c r="H515" s="7" t="str">
        <f>CONCATENATE("04240564460")</f>
        <v>04240564460</v>
      </c>
      <c r="I515" s="7" t="s">
        <v>30</v>
      </c>
      <c r="J515" s="7" t="s">
        <v>31</v>
      </c>
      <c r="K515" s="7" t="str">
        <f>CONCATENATE("")</f>
        <v/>
      </c>
      <c r="L515" s="7" t="str">
        <f>CONCATENATE("10 10.1 4a")</f>
        <v>10 10.1 4a</v>
      </c>
      <c r="M515" s="7" t="str">
        <f>CONCATENATE("CRBPRZ61M70G771M")</f>
        <v>CRBPRZ61M70G771M</v>
      </c>
      <c r="N515" s="7" t="s">
        <v>618</v>
      </c>
      <c r="O515" s="7" t="s">
        <v>394</v>
      </c>
      <c r="P515" s="8">
        <v>44321</v>
      </c>
      <c r="Q515" s="7" t="s">
        <v>32</v>
      </c>
      <c r="R515" s="7" t="s">
        <v>33</v>
      </c>
      <c r="S515" s="7" t="s">
        <v>34</v>
      </c>
      <c r="T515" s="7"/>
      <c r="U515" s="7" t="s">
        <v>35</v>
      </c>
      <c r="V515" s="7">
        <v>354</v>
      </c>
      <c r="W515" s="7">
        <v>152.63999999999999</v>
      </c>
      <c r="X515" s="7">
        <v>140.96</v>
      </c>
      <c r="Y515" s="7">
        <v>0</v>
      </c>
      <c r="Z515" s="7">
        <v>60.4</v>
      </c>
    </row>
    <row r="516" spans="1:26" x14ac:dyDescent="0.35">
      <c r="A516" s="7" t="s">
        <v>27</v>
      </c>
      <c r="B516" s="7" t="s">
        <v>36</v>
      </c>
      <c r="C516" s="7" t="s">
        <v>48</v>
      </c>
      <c r="D516" s="7" t="s">
        <v>56</v>
      </c>
      <c r="E516" s="7" t="s">
        <v>40</v>
      </c>
      <c r="F516" s="7" t="s">
        <v>278</v>
      </c>
      <c r="G516" s="7">
        <v>2020</v>
      </c>
      <c r="H516" s="7" t="str">
        <f>CONCATENATE("04241097676")</f>
        <v>04241097676</v>
      </c>
      <c r="I516" s="7" t="s">
        <v>30</v>
      </c>
      <c r="J516" s="7" t="s">
        <v>31</v>
      </c>
      <c r="K516" s="7" t="str">
        <f>CONCATENATE("")</f>
        <v/>
      </c>
      <c r="L516" s="7" t="str">
        <f>CONCATENATE("10 10.1 4a")</f>
        <v>10 10.1 4a</v>
      </c>
      <c r="M516" s="7" t="str">
        <f>CONCATENATE("RZZLNZ77R23E388J")</f>
        <v>RZZLNZ77R23E388J</v>
      </c>
      <c r="N516" s="7" t="s">
        <v>619</v>
      </c>
      <c r="O516" s="7" t="s">
        <v>394</v>
      </c>
      <c r="P516" s="8">
        <v>44321</v>
      </c>
      <c r="Q516" s="7" t="s">
        <v>32</v>
      </c>
      <c r="R516" s="7" t="s">
        <v>33</v>
      </c>
      <c r="S516" s="7" t="s">
        <v>34</v>
      </c>
      <c r="T516" s="7"/>
      <c r="U516" s="7" t="s">
        <v>35</v>
      </c>
      <c r="V516" s="9">
        <v>3335.76</v>
      </c>
      <c r="W516" s="9">
        <v>1438.38</v>
      </c>
      <c r="X516" s="9">
        <v>1328.3</v>
      </c>
      <c r="Y516" s="7">
        <v>0</v>
      </c>
      <c r="Z516" s="7">
        <v>569.08000000000004</v>
      </c>
    </row>
    <row r="517" spans="1:26" ht="17.5" x14ac:dyDescent="0.35">
      <c r="A517" s="7" t="s">
        <v>27</v>
      </c>
      <c r="B517" s="7" t="s">
        <v>36</v>
      </c>
      <c r="C517" s="7" t="s">
        <v>48</v>
      </c>
      <c r="D517" s="7" t="s">
        <v>56</v>
      </c>
      <c r="E517" s="7" t="s">
        <v>29</v>
      </c>
      <c r="F517" s="7" t="s">
        <v>106</v>
      </c>
      <c r="G517" s="7">
        <v>2020</v>
      </c>
      <c r="H517" s="7" t="str">
        <f>CONCATENATE("04240224180")</f>
        <v>04240224180</v>
      </c>
      <c r="I517" s="7" t="s">
        <v>30</v>
      </c>
      <c r="J517" s="7" t="s">
        <v>31</v>
      </c>
      <c r="K517" s="7" t="str">
        <f>CONCATENATE("")</f>
        <v/>
      </c>
      <c r="L517" s="7" t="str">
        <f>CONCATENATE("10 10.1 4a")</f>
        <v>10 10.1 4a</v>
      </c>
      <c r="M517" s="7" t="str">
        <f>CONCATENATE("02731480428")</f>
        <v>02731480428</v>
      </c>
      <c r="N517" s="7" t="s">
        <v>620</v>
      </c>
      <c r="O517" s="7" t="s">
        <v>394</v>
      </c>
      <c r="P517" s="8">
        <v>44321</v>
      </c>
      <c r="Q517" s="7" t="s">
        <v>32</v>
      </c>
      <c r="R517" s="7" t="s">
        <v>33</v>
      </c>
      <c r="S517" s="7" t="s">
        <v>34</v>
      </c>
      <c r="T517" s="7"/>
      <c r="U517" s="7" t="s">
        <v>35</v>
      </c>
      <c r="V517" s="7">
        <v>362.44</v>
      </c>
      <c r="W517" s="7">
        <v>156.28</v>
      </c>
      <c r="X517" s="7">
        <v>144.32</v>
      </c>
      <c r="Y517" s="7">
        <v>0</v>
      </c>
      <c r="Z517" s="7">
        <v>61.84</v>
      </c>
    </row>
    <row r="518" spans="1:26" ht="17.5" x14ac:dyDescent="0.35">
      <c r="A518" s="7" t="s">
        <v>27</v>
      </c>
      <c r="B518" s="7" t="s">
        <v>36</v>
      </c>
      <c r="C518" s="7" t="s">
        <v>48</v>
      </c>
      <c r="D518" s="7" t="s">
        <v>56</v>
      </c>
      <c r="E518" s="7" t="s">
        <v>29</v>
      </c>
      <c r="F518" s="7" t="s">
        <v>106</v>
      </c>
      <c r="G518" s="7">
        <v>2020</v>
      </c>
      <c r="H518" s="7" t="str">
        <f>CONCATENATE("04240510893")</f>
        <v>04240510893</v>
      </c>
      <c r="I518" s="7" t="s">
        <v>30</v>
      </c>
      <c r="J518" s="7" t="s">
        <v>31</v>
      </c>
      <c r="K518" s="7" t="str">
        <f>CONCATENATE("")</f>
        <v/>
      </c>
      <c r="L518" s="7" t="str">
        <f>CONCATENATE("10 10.1 4a")</f>
        <v>10 10.1 4a</v>
      </c>
      <c r="M518" s="7" t="str">
        <f>CONCATENATE("02635860428")</f>
        <v>02635860428</v>
      </c>
      <c r="N518" s="7" t="s">
        <v>621</v>
      </c>
      <c r="O518" s="7" t="s">
        <v>394</v>
      </c>
      <c r="P518" s="8">
        <v>44321</v>
      </c>
      <c r="Q518" s="7" t="s">
        <v>32</v>
      </c>
      <c r="R518" s="7" t="s">
        <v>33</v>
      </c>
      <c r="S518" s="7" t="s">
        <v>34</v>
      </c>
      <c r="T518" s="7"/>
      <c r="U518" s="7" t="s">
        <v>35</v>
      </c>
      <c r="V518" s="9">
        <v>1561</v>
      </c>
      <c r="W518" s="7">
        <v>673.1</v>
      </c>
      <c r="X518" s="7">
        <v>621.59</v>
      </c>
      <c r="Y518" s="7">
        <v>0</v>
      </c>
      <c r="Z518" s="7">
        <v>266.31</v>
      </c>
    </row>
    <row r="519" spans="1:26" ht="17.5" x14ac:dyDescent="0.35">
      <c r="A519" s="7" t="s">
        <v>27</v>
      </c>
      <c r="B519" s="7" t="s">
        <v>36</v>
      </c>
      <c r="C519" s="7" t="s">
        <v>48</v>
      </c>
      <c r="D519" s="7" t="s">
        <v>56</v>
      </c>
      <c r="E519" s="7" t="s">
        <v>40</v>
      </c>
      <c r="F519" s="7" t="s">
        <v>272</v>
      </c>
      <c r="G519" s="7">
        <v>2020</v>
      </c>
      <c r="H519" s="7" t="str">
        <f>CONCATENATE("04240810178")</f>
        <v>04240810178</v>
      </c>
      <c r="I519" s="7" t="s">
        <v>30</v>
      </c>
      <c r="J519" s="7" t="s">
        <v>31</v>
      </c>
      <c r="K519" s="7" t="str">
        <f>CONCATENATE("")</f>
        <v/>
      </c>
      <c r="L519" s="7" t="str">
        <f>CONCATENATE("10 10.1 4a")</f>
        <v>10 10.1 4a</v>
      </c>
      <c r="M519" s="7" t="str">
        <f>CONCATENATE("02758090423")</f>
        <v>02758090423</v>
      </c>
      <c r="N519" s="7" t="s">
        <v>622</v>
      </c>
      <c r="O519" s="7" t="s">
        <v>394</v>
      </c>
      <c r="P519" s="8">
        <v>44321</v>
      </c>
      <c r="Q519" s="7" t="s">
        <v>32</v>
      </c>
      <c r="R519" s="7" t="s">
        <v>33</v>
      </c>
      <c r="S519" s="7" t="s">
        <v>34</v>
      </c>
      <c r="T519" s="7"/>
      <c r="U519" s="7" t="s">
        <v>35</v>
      </c>
      <c r="V519" s="7">
        <v>868.98</v>
      </c>
      <c r="W519" s="7">
        <v>374.7</v>
      </c>
      <c r="X519" s="7">
        <v>346.03</v>
      </c>
      <c r="Y519" s="7">
        <v>0</v>
      </c>
      <c r="Z519" s="7">
        <v>148.25</v>
      </c>
    </row>
    <row r="520" spans="1:26" x14ac:dyDescent="0.35">
      <c r="A520" s="7" t="s">
        <v>27</v>
      </c>
      <c r="B520" s="7" t="s">
        <v>36</v>
      </c>
      <c r="C520" s="7" t="s">
        <v>48</v>
      </c>
      <c r="D520" s="7" t="s">
        <v>56</v>
      </c>
      <c r="E520" s="7" t="s">
        <v>40</v>
      </c>
      <c r="F520" s="7" t="s">
        <v>272</v>
      </c>
      <c r="G520" s="7">
        <v>2020</v>
      </c>
      <c r="H520" s="7" t="str">
        <f>CONCATENATE("04240667883")</f>
        <v>04240667883</v>
      </c>
      <c r="I520" s="7" t="s">
        <v>30</v>
      </c>
      <c r="J520" s="7" t="s">
        <v>31</v>
      </c>
      <c r="K520" s="7" t="str">
        <f>CONCATENATE("")</f>
        <v/>
      </c>
      <c r="L520" s="7" t="str">
        <f>CONCATENATE("10 10.1 4a")</f>
        <v>10 10.1 4a</v>
      </c>
      <c r="M520" s="7" t="str">
        <f>CONCATENATE("TDRFNC80H08E388P")</f>
        <v>TDRFNC80H08E388P</v>
      </c>
      <c r="N520" s="7" t="s">
        <v>623</v>
      </c>
      <c r="O520" s="7" t="s">
        <v>394</v>
      </c>
      <c r="P520" s="8">
        <v>44321</v>
      </c>
      <c r="Q520" s="7" t="s">
        <v>32</v>
      </c>
      <c r="R520" s="7" t="s">
        <v>33</v>
      </c>
      <c r="S520" s="7" t="s">
        <v>34</v>
      </c>
      <c r="T520" s="7"/>
      <c r="U520" s="7" t="s">
        <v>35</v>
      </c>
      <c r="V520" s="7">
        <v>702.68</v>
      </c>
      <c r="W520" s="7">
        <v>303</v>
      </c>
      <c r="X520" s="7">
        <v>279.81</v>
      </c>
      <c r="Y520" s="7">
        <v>0</v>
      </c>
      <c r="Z520" s="7">
        <v>119.87</v>
      </c>
    </row>
    <row r="521" spans="1:26" x14ac:dyDescent="0.35">
      <c r="A521" s="7" t="s">
        <v>27</v>
      </c>
      <c r="B521" s="7" t="s">
        <v>36</v>
      </c>
      <c r="C521" s="7" t="s">
        <v>48</v>
      </c>
      <c r="D521" s="7" t="s">
        <v>62</v>
      </c>
      <c r="E521" s="7" t="s">
        <v>29</v>
      </c>
      <c r="F521" s="7" t="s">
        <v>167</v>
      </c>
      <c r="G521" s="7">
        <v>2020</v>
      </c>
      <c r="H521" s="7" t="str">
        <f>CONCATENATE("04241042888")</f>
        <v>04241042888</v>
      </c>
      <c r="I521" s="7" t="s">
        <v>30</v>
      </c>
      <c r="J521" s="7" t="s">
        <v>31</v>
      </c>
      <c r="K521" s="7" t="str">
        <f>CONCATENATE("")</f>
        <v/>
      </c>
      <c r="L521" s="7" t="str">
        <f>CONCATENATE("10 10.1 4a")</f>
        <v>10 10.1 4a</v>
      </c>
      <c r="M521" s="7" t="str">
        <f>CONCATENATE("01939990436")</f>
        <v>01939990436</v>
      </c>
      <c r="N521" s="7" t="s">
        <v>624</v>
      </c>
      <c r="O521" s="7" t="s">
        <v>394</v>
      </c>
      <c r="P521" s="8">
        <v>44321</v>
      </c>
      <c r="Q521" s="7" t="s">
        <v>32</v>
      </c>
      <c r="R521" s="7" t="s">
        <v>33</v>
      </c>
      <c r="S521" s="7" t="s">
        <v>34</v>
      </c>
      <c r="T521" s="7"/>
      <c r="U521" s="7" t="s">
        <v>35</v>
      </c>
      <c r="V521" s="9">
        <v>1562.68</v>
      </c>
      <c r="W521" s="7">
        <v>673.83</v>
      </c>
      <c r="X521" s="7">
        <v>622.26</v>
      </c>
      <c r="Y521" s="7">
        <v>0</v>
      </c>
      <c r="Z521" s="7">
        <v>266.58999999999997</v>
      </c>
    </row>
    <row r="522" spans="1:26" x14ac:dyDescent="0.35">
      <c r="A522" s="7" t="s">
        <v>27</v>
      </c>
      <c r="B522" s="7" t="s">
        <v>36</v>
      </c>
      <c r="C522" s="7" t="s">
        <v>48</v>
      </c>
      <c r="D522" s="7" t="s">
        <v>56</v>
      </c>
      <c r="E522" s="7" t="s">
        <v>29</v>
      </c>
      <c r="F522" s="7" t="s">
        <v>113</v>
      </c>
      <c r="G522" s="7">
        <v>2020</v>
      </c>
      <c r="H522" s="7" t="str">
        <f>CONCATENATE("04210905735")</f>
        <v>04210905735</v>
      </c>
      <c r="I522" s="7" t="s">
        <v>39</v>
      </c>
      <c r="J522" s="7" t="s">
        <v>31</v>
      </c>
      <c r="K522" s="7" t="str">
        <f>CONCATENATE("")</f>
        <v/>
      </c>
      <c r="L522" s="7" t="str">
        <f>CONCATENATE("13 13.1 4a")</f>
        <v>13 13.1 4a</v>
      </c>
      <c r="M522" s="7" t="str">
        <f>CONCATENATE("NGLPLA74S17D451N")</f>
        <v>NGLPLA74S17D451N</v>
      </c>
      <c r="N522" s="7" t="s">
        <v>625</v>
      </c>
      <c r="O522" s="7" t="s">
        <v>249</v>
      </c>
      <c r="P522" s="8">
        <v>44321</v>
      </c>
      <c r="Q522" s="7" t="s">
        <v>32</v>
      </c>
      <c r="R522" s="7" t="s">
        <v>33</v>
      </c>
      <c r="S522" s="7" t="s">
        <v>34</v>
      </c>
      <c r="T522" s="7"/>
      <c r="U522" s="7" t="s">
        <v>35</v>
      </c>
      <c r="V522" s="7">
        <v>341.53</v>
      </c>
      <c r="W522" s="7">
        <v>147.27000000000001</v>
      </c>
      <c r="X522" s="7">
        <v>136</v>
      </c>
      <c r="Y522" s="7">
        <v>0</v>
      </c>
      <c r="Z522" s="7">
        <v>58.26</v>
      </c>
    </row>
    <row r="523" spans="1:26" x14ac:dyDescent="0.35">
      <c r="A523" s="7" t="s">
        <v>27</v>
      </c>
      <c r="B523" s="7" t="s">
        <v>36</v>
      </c>
      <c r="C523" s="7" t="s">
        <v>48</v>
      </c>
      <c r="D523" s="7" t="s">
        <v>49</v>
      </c>
      <c r="E523" s="7" t="s">
        <v>42</v>
      </c>
      <c r="F523" s="7" t="s">
        <v>50</v>
      </c>
      <c r="G523" s="7">
        <v>2020</v>
      </c>
      <c r="H523" s="7" t="str">
        <f>CONCATENATE("04210562924")</f>
        <v>04210562924</v>
      </c>
      <c r="I523" s="7" t="s">
        <v>30</v>
      </c>
      <c r="J523" s="7" t="s">
        <v>31</v>
      </c>
      <c r="K523" s="7" t="str">
        <f>CONCATENATE("")</f>
        <v/>
      </c>
      <c r="L523" s="7" t="str">
        <f>CONCATENATE("13 13.1 4a")</f>
        <v>13 13.1 4a</v>
      </c>
      <c r="M523" s="7" t="str">
        <f>CONCATENATE("VTTPTR35H17C935T")</f>
        <v>VTTPTR35H17C935T</v>
      </c>
      <c r="N523" s="7" t="s">
        <v>626</v>
      </c>
      <c r="O523" s="7" t="s">
        <v>249</v>
      </c>
      <c r="P523" s="8">
        <v>44321</v>
      </c>
      <c r="Q523" s="7" t="s">
        <v>32</v>
      </c>
      <c r="R523" s="7" t="s">
        <v>33</v>
      </c>
      <c r="S523" s="7" t="s">
        <v>34</v>
      </c>
      <c r="T523" s="7"/>
      <c r="U523" s="7" t="s">
        <v>35</v>
      </c>
      <c r="V523" s="9">
        <v>8743.14</v>
      </c>
      <c r="W523" s="9">
        <v>3770.04</v>
      </c>
      <c r="X523" s="9">
        <v>3481.52</v>
      </c>
      <c r="Y523" s="7">
        <v>0</v>
      </c>
      <c r="Z523" s="9">
        <v>1491.58</v>
      </c>
    </row>
    <row r="524" spans="1:26" x14ac:dyDescent="0.35">
      <c r="A524" s="7" t="s">
        <v>27</v>
      </c>
      <c r="B524" s="7" t="s">
        <v>36</v>
      </c>
      <c r="C524" s="7" t="s">
        <v>48</v>
      </c>
      <c r="D524" s="7" t="s">
        <v>56</v>
      </c>
      <c r="E524" s="7" t="s">
        <v>29</v>
      </c>
      <c r="F524" s="7" t="s">
        <v>124</v>
      </c>
      <c r="G524" s="7">
        <v>2020</v>
      </c>
      <c r="H524" s="7" t="str">
        <f>CONCATENATE("04210016947")</f>
        <v>04210016947</v>
      </c>
      <c r="I524" s="7" t="s">
        <v>39</v>
      </c>
      <c r="J524" s="7" t="s">
        <v>31</v>
      </c>
      <c r="K524" s="7" t="str">
        <f>CONCATENATE("")</f>
        <v/>
      </c>
      <c r="L524" s="7" t="str">
        <f>CONCATENATE("13 13.1 4a")</f>
        <v>13 13.1 4a</v>
      </c>
      <c r="M524" s="7" t="str">
        <f>CONCATENATE("BTTPRI50D13D965F")</f>
        <v>BTTPRI50D13D965F</v>
      </c>
      <c r="N524" s="7" t="s">
        <v>627</v>
      </c>
      <c r="O524" s="7" t="s">
        <v>249</v>
      </c>
      <c r="P524" s="8">
        <v>44321</v>
      </c>
      <c r="Q524" s="7" t="s">
        <v>32</v>
      </c>
      <c r="R524" s="7" t="s">
        <v>33</v>
      </c>
      <c r="S524" s="7" t="s">
        <v>34</v>
      </c>
      <c r="T524" s="7"/>
      <c r="U524" s="7" t="s">
        <v>35</v>
      </c>
      <c r="V524" s="7">
        <v>136.06</v>
      </c>
      <c r="W524" s="7">
        <v>58.67</v>
      </c>
      <c r="X524" s="7">
        <v>54.18</v>
      </c>
      <c r="Y524" s="7">
        <v>0</v>
      </c>
      <c r="Z524" s="7">
        <v>23.21</v>
      </c>
    </row>
    <row r="525" spans="1:26" x14ac:dyDescent="0.35">
      <c r="A525" s="7" t="s">
        <v>27</v>
      </c>
      <c r="B525" s="7" t="s">
        <v>36</v>
      </c>
      <c r="C525" s="7" t="s">
        <v>48</v>
      </c>
      <c r="D525" s="7" t="s">
        <v>56</v>
      </c>
      <c r="E525" s="7" t="s">
        <v>29</v>
      </c>
      <c r="F525" s="7" t="s">
        <v>113</v>
      </c>
      <c r="G525" s="7">
        <v>2020</v>
      </c>
      <c r="H525" s="7" t="str">
        <f>CONCATENATE("04210035244")</f>
        <v>04210035244</v>
      </c>
      <c r="I525" s="7" t="s">
        <v>39</v>
      </c>
      <c r="J525" s="7" t="s">
        <v>31</v>
      </c>
      <c r="K525" s="7" t="str">
        <f>CONCATENATE("")</f>
        <v/>
      </c>
      <c r="L525" s="7" t="str">
        <f>CONCATENATE("13 13.1 4a")</f>
        <v>13 13.1 4a</v>
      </c>
      <c r="M525" s="7" t="str">
        <f>CONCATENATE("DNGLCU59H54B474U")</f>
        <v>DNGLCU59H54B474U</v>
      </c>
      <c r="N525" s="7" t="s">
        <v>628</v>
      </c>
      <c r="O525" s="7" t="s">
        <v>249</v>
      </c>
      <c r="P525" s="8">
        <v>44321</v>
      </c>
      <c r="Q525" s="7" t="s">
        <v>32</v>
      </c>
      <c r="R525" s="7" t="s">
        <v>33</v>
      </c>
      <c r="S525" s="7" t="s">
        <v>34</v>
      </c>
      <c r="T525" s="7"/>
      <c r="U525" s="7" t="s">
        <v>35</v>
      </c>
      <c r="V525" s="7">
        <v>159.4</v>
      </c>
      <c r="W525" s="7">
        <v>68.73</v>
      </c>
      <c r="X525" s="7">
        <v>63.47</v>
      </c>
      <c r="Y525" s="7">
        <v>0</v>
      </c>
      <c r="Z525" s="7">
        <v>27.2</v>
      </c>
    </row>
    <row r="526" spans="1:26" x14ac:dyDescent="0.35">
      <c r="A526" s="7" t="s">
        <v>27</v>
      </c>
      <c r="B526" s="7" t="s">
        <v>36</v>
      </c>
      <c r="C526" s="7" t="s">
        <v>48</v>
      </c>
      <c r="D526" s="7" t="s">
        <v>49</v>
      </c>
      <c r="E526" s="7" t="s">
        <v>40</v>
      </c>
      <c r="F526" s="7" t="s">
        <v>97</v>
      </c>
      <c r="G526" s="7">
        <v>2020</v>
      </c>
      <c r="H526" s="7" t="str">
        <f>CONCATENATE("04210397636")</f>
        <v>04210397636</v>
      </c>
      <c r="I526" s="7" t="s">
        <v>30</v>
      </c>
      <c r="J526" s="7" t="s">
        <v>31</v>
      </c>
      <c r="K526" s="7" t="str">
        <f>CONCATENATE("")</f>
        <v/>
      </c>
      <c r="L526" s="7" t="str">
        <f>CONCATENATE("13 13.1 4a")</f>
        <v>13 13.1 4a</v>
      </c>
      <c r="M526" s="7" t="str">
        <f>CONCATENATE("PLLGZL55S52A252J")</f>
        <v>PLLGZL55S52A252J</v>
      </c>
      <c r="N526" s="7" t="s">
        <v>629</v>
      </c>
      <c r="O526" s="7" t="s">
        <v>249</v>
      </c>
      <c r="P526" s="8">
        <v>44321</v>
      </c>
      <c r="Q526" s="7" t="s">
        <v>32</v>
      </c>
      <c r="R526" s="7" t="s">
        <v>33</v>
      </c>
      <c r="S526" s="7" t="s">
        <v>34</v>
      </c>
      <c r="T526" s="7"/>
      <c r="U526" s="7" t="s">
        <v>35</v>
      </c>
      <c r="V526" s="9">
        <v>1048.1199999999999</v>
      </c>
      <c r="W526" s="7">
        <v>451.95</v>
      </c>
      <c r="X526" s="7">
        <v>417.36</v>
      </c>
      <c r="Y526" s="7">
        <v>0</v>
      </c>
      <c r="Z526" s="7">
        <v>178.81</v>
      </c>
    </row>
    <row r="527" spans="1:26" x14ac:dyDescent="0.35">
      <c r="A527" s="7" t="s">
        <v>27</v>
      </c>
      <c r="B527" s="7" t="s">
        <v>36</v>
      </c>
      <c r="C527" s="7" t="s">
        <v>48</v>
      </c>
      <c r="D527" s="7" t="s">
        <v>56</v>
      </c>
      <c r="E527" s="7" t="s">
        <v>29</v>
      </c>
      <c r="F527" s="7" t="s">
        <v>124</v>
      </c>
      <c r="G527" s="7">
        <v>2020</v>
      </c>
      <c r="H527" s="7" t="str">
        <f>CONCATENATE("04210039774")</f>
        <v>04210039774</v>
      </c>
      <c r="I527" s="7" t="s">
        <v>39</v>
      </c>
      <c r="J527" s="7" t="s">
        <v>31</v>
      </c>
      <c r="K527" s="7" t="str">
        <f>CONCATENATE("")</f>
        <v/>
      </c>
      <c r="L527" s="7" t="str">
        <f>CONCATENATE("13 13.1 4a")</f>
        <v>13 13.1 4a</v>
      </c>
      <c r="M527" s="7" t="str">
        <f>CONCATENATE("CPRLDA49C41D451M")</f>
        <v>CPRLDA49C41D451M</v>
      </c>
      <c r="N527" s="7" t="s">
        <v>630</v>
      </c>
      <c r="O527" s="7" t="s">
        <v>249</v>
      </c>
      <c r="P527" s="8">
        <v>44321</v>
      </c>
      <c r="Q527" s="7" t="s">
        <v>32</v>
      </c>
      <c r="R527" s="7" t="s">
        <v>33</v>
      </c>
      <c r="S527" s="7" t="s">
        <v>34</v>
      </c>
      <c r="T527" s="7"/>
      <c r="U527" s="7" t="s">
        <v>35</v>
      </c>
      <c r="V527" s="7">
        <v>87.95</v>
      </c>
      <c r="W527" s="7">
        <v>37.92</v>
      </c>
      <c r="X527" s="7">
        <v>35.020000000000003</v>
      </c>
      <c r="Y527" s="7">
        <v>0</v>
      </c>
      <c r="Z527" s="7">
        <v>15.01</v>
      </c>
    </row>
    <row r="528" spans="1:26" x14ac:dyDescent="0.35">
      <c r="A528" s="7" t="s">
        <v>27</v>
      </c>
      <c r="B528" s="7" t="s">
        <v>36</v>
      </c>
      <c r="C528" s="7" t="s">
        <v>48</v>
      </c>
      <c r="D528" s="7" t="s">
        <v>56</v>
      </c>
      <c r="E528" s="7" t="s">
        <v>29</v>
      </c>
      <c r="F528" s="7" t="s">
        <v>124</v>
      </c>
      <c r="G528" s="7">
        <v>2020</v>
      </c>
      <c r="H528" s="7" t="str">
        <f>CONCATENATE("04210018927")</f>
        <v>04210018927</v>
      </c>
      <c r="I528" s="7" t="s">
        <v>39</v>
      </c>
      <c r="J528" s="7" t="s">
        <v>31</v>
      </c>
      <c r="K528" s="7" t="str">
        <f>CONCATENATE("")</f>
        <v/>
      </c>
      <c r="L528" s="7" t="str">
        <f>CONCATENATE("13 13.1 4a")</f>
        <v>13 13.1 4a</v>
      </c>
      <c r="M528" s="7" t="str">
        <f>CONCATENATE("BZZRND55A01D965U")</f>
        <v>BZZRND55A01D965U</v>
      </c>
      <c r="N528" s="7" t="s">
        <v>631</v>
      </c>
      <c r="O528" s="7" t="s">
        <v>249</v>
      </c>
      <c r="P528" s="8">
        <v>44321</v>
      </c>
      <c r="Q528" s="7" t="s">
        <v>32</v>
      </c>
      <c r="R528" s="7" t="s">
        <v>33</v>
      </c>
      <c r="S528" s="7" t="s">
        <v>34</v>
      </c>
      <c r="T528" s="7"/>
      <c r="U528" s="7" t="s">
        <v>35</v>
      </c>
      <c r="V528" s="9">
        <v>2854.52</v>
      </c>
      <c r="W528" s="9">
        <v>1230.8699999999999</v>
      </c>
      <c r="X528" s="9">
        <v>1136.67</v>
      </c>
      <c r="Y528" s="7">
        <v>0</v>
      </c>
      <c r="Z528" s="7">
        <v>486.98</v>
      </c>
    </row>
    <row r="529" spans="1:26" x14ac:dyDescent="0.35">
      <c r="A529" s="7" t="s">
        <v>27</v>
      </c>
      <c r="B529" s="7" t="s">
        <v>36</v>
      </c>
      <c r="C529" s="7" t="s">
        <v>48</v>
      </c>
      <c r="D529" s="7" t="s">
        <v>56</v>
      </c>
      <c r="E529" s="7" t="s">
        <v>38</v>
      </c>
      <c r="F529" s="7" t="s">
        <v>269</v>
      </c>
      <c r="G529" s="7">
        <v>2020</v>
      </c>
      <c r="H529" s="7" t="str">
        <f>CONCATENATE("04210081800")</f>
        <v>04210081800</v>
      </c>
      <c r="I529" s="7" t="s">
        <v>39</v>
      </c>
      <c r="J529" s="7" t="s">
        <v>31</v>
      </c>
      <c r="K529" s="7" t="str">
        <f>CONCATENATE("")</f>
        <v/>
      </c>
      <c r="L529" s="7" t="str">
        <f>CONCATENATE("13 13.1 4a")</f>
        <v>13 13.1 4a</v>
      </c>
      <c r="M529" s="7" t="str">
        <f>CONCATENATE("CFNGLC88P19D451H")</f>
        <v>CFNGLC88P19D451H</v>
      </c>
      <c r="N529" s="7" t="s">
        <v>632</v>
      </c>
      <c r="O529" s="7" t="s">
        <v>249</v>
      </c>
      <c r="P529" s="8">
        <v>44321</v>
      </c>
      <c r="Q529" s="7" t="s">
        <v>32</v>
      </c>
      <c r="R529" s="7" t="s">
        <v>33</v>
      </c>
      <c r="S529" s="7" t="s">
        <v>34</v>
      </c>
      <c r="T529" s="7"/>
      <c r="U529" s="7" t="s">
        <v>35</v>
      </c>
      <c r="V529" s="7">
        <v>92.56</v>
      </c>
      <c r="W529" s="7">
        <v>39.909999999999997</v>
      </c>
      <c r="X529" s="7">
        <v>36.86</v>
      </c>
      <c r="Y529" s="7">
        <v>0</v>
      </c>
      <c r="Z529" s="7">
        <v>15.79</v>
      </c>
    </row>
    <row r="530" spans="1:26" x14ac:dyDescent="0.35">
      <c r="A530" s="7" t="s">
        <v>27</v>
      </c>
      <c r="B530" s="7" t="s">
        <v>36</v>
      </c>
      <c r="C530" s="7" t="s">
        <v>48</v>
      </c>
      <c r="D530" s="7" t="s">
        <v>62</v>
      </c>
      <c r="E530" s="7" t="s">
        <v>29</v>
      </c>
      <c r="F530" s="7" t="s">
        <v>66</v>
      </c>
      <c r="G530" s="7">
        <v>2020</v>
      </c>
      <c r="H530" s="7" t="str">
        <f>CONCATENATE("04210866481")</f>
        <v>04210866481</v>
      </c>
      <c r="I530" s="7" t="s">
        <v>30</v>
      </c>
      <c r="J530" s="7" t="s">
        <v>31</v>
      </c>
      <c r="K530" s="7" t="str">
        <f>CONCATENATE("")</f>
        <v/>
      </c>
      <c r="L530" s="7" t="str">
        <f>CONCATENATE("13 13.1 4a")</f>
        <v>13 13.1 4a</v>
      </c>
      <c r="M530" s="7" t="str">
        <f>CONCATENATE("RSSNCL43B08I569Q")</f>
        <v>RSSNCL43B08I569Q</v>
      </c>
      <c r="N530" s="7" t="s">
        <v>633</v>
      </c>
      <c r="O530" s="7" t="s">
        <v>249</v>
      </c>
      <c r="P530" s="8">
        <v>44321</v>
      </c>
      <c r="Q530" s="7" t="s">
        <v>32</v>
      </c>
      <c r="R530" s="7" t="s">
        <v>33</v>
      </c>
      <c r="S530" s="7" t="s">
        <v>34</v>
      </c>
      <c r="T530" s="7"/>
      <c r="U530" s="7" t="s">
        <v>35</v>
      </c>
      <c r="V530" s="9">
        <v>8091.15</v>
      </c>
      <c r="W530" s="9">
        <v>3488.9</v>
      </c>
      <c r="X530" s="9">
        <v>3221.9</v>
      </c>
      <c r="Y530" s="7">
        <v>0</v>
      </c>
      <c r="Z530" s="9">
        <v>1380.35</v>
      </c>
    </row>
    <row r="531" spans="1:26" x14ac:dyDescent="0.35">
      <c r="A531" s="7" t="s">
        <v>27</v>
      </c>
      <c r="B531" s="7" t="s">
        <v>36</v>
      </c>
      <c r="C531" s="7" t="s">
        <v>48</v>
      </c>
      <c r="D531" s="7" t="s">
        <v>62</v>
      </c>
      <c r="E531" s="7" t="s">
        <v>29</v>
      </c>
      <c r="F531" s="7" t="s">
        <v>66</v>
      </c>
      <c r="G531" s="7">
        <v>2020</v>
      </c>
      <c r="H531" s="7" t="str">
        <f>CONCATENATE("04210720308")</f>
        <v>04210720308</v>
      </c>
      <c r="I531" s="7" t="s">
        <v>30</v>
      </c>
      <c r="J531" s="7" t="s">
        <v>31</v>
      </c>
      <c r="K531" s="7" t="str">
        <f>CONCATENATE("")</f>
        <v/>
      </c>
      <c r="L531" s="7" t="str">
        <f>CONCATENATE("13 13.1 4a")</f>
        <v>13 13.1 4a</v>
      </c>
      <c r="M531" s="7" t="str">
        <f>CONCATENATE("VLRLNI75B15B474A")</f>
        <v>VLRLNI75B15B474A</v>
      </c>
      <c r="N531" s="7" t="s">
        <v>634</v>
      </c>
      <c r="O531" s="7" t="s">
        <v>249</v>
      </c>
      <c r="P531" s="8">
        <v>44321</v>
      </c>
      <c r="Q531" s="7" t="s">
        <v>32</v>
      </c>
      <c r="R531" s="7" t="s">
        <v>33</v>
      </c>
      <c r="S531" s="7" t="s">
        <v>34</v>
      </c>
      <c r="T531" s="7"/>
      <c r="U531" s="7" t="s">
        <v>35</v>
      </c>
      <c r="V531" s="9">
        <v>3606.44</v>
      </c>
      <c r="W531" s="9">
        <v>1555.1</v>
      </c>
      <c r="X531" s="9">
        <v>1436.08</v>
      </c>
      <c r="Y531" s="7">
        <v>0</v>
      </c>
      <c r="Z531" s="7">
        <v>615.26</v>
      </c>
    </row>
    <row r="532" spans="1:26" x14ac:dyDescent="0.35">
      <c r="A532" s="7" t="s">
        <v>27</v>
      </c>
      <c r="B532" s="7" t="s">
        <v>36</v>
      </c>
      <c r="C532" s="7" t="s">
        <v>48</v>
      </c>
      <c r="D532" s="7" t="s">
        <v>62</v>
      </c>
      <c r="E532" s="7" t="s">
        <v>29</v>
      </c>
      <c r="F532" s="7" t="s">
        <v>66</v>
      </c>
      <c r="G532" s="7">
        <v>2020</v>
      </c>
      <c r="H532" s="7" t="str">
        <f>CONCATENATE("04210089928")</f>
        <v>04210089928</v>
      </c>
      <c r="I532" s="7" t="s">
        <v>30</v>
      </c>
      <c r="J532" s="7" t="s">
        <v>31</v>
      </c>
      <c r="K532" s="7" t="str">
        <f>CONCATENATE("")</f>
        <v/>
      </c>
      <c r="L532" s="7" t="str">
        <f>CONCATENATE("13 13.1 4a")</f>
        <v>13 13.1 4a</v>
      </c>
      <c r="M532" s="7" t="str">
        <f>CONCATENATE("SRRSVN47D45I156Q")</f>
        <v>SRRSVN47D45I156Q</v>
      </c>
      <c r="N532" s="7" t="s">
        <v>635</v>
      </c>
      <c r="O532" s="7" t="s">
        <v>249</v>
      </c>
      <c r="P532" s="8">
        <v>44321</v>
      </c>
      <c r="Q532" s="7" t="s">
        <v>32</v>
      </c>
      <c r="R532" s="7" t="s">
        <v>33</v>
      </c>
      <c r="S532" s="7" t="s">
        <v>34</v>
      </c>
      <c r="T532" s="7"/>
      <c r="U532" s="7" t="s">
        <v>35</v>
      </c>
      <c r="V532" s="7">
        <v>260.7</v>
      </c>
      <c r="W532" s="7">
        <v>112.41</v>
      </c>
      <c r="X532" s="7">
        <v>103.81</v>
      </c>
      <c r="Y532" s="7">
        <v>0</v>
      </c>
      <c r="Z532" s="7">
        <v>44.48</v>
      </c>
    </row>
    <row r="533" spans="1:26" x14ac:dyDescent="0.35">
      <c r="A533" s="7" t="s">
        <v>27</v>
      </c>
      <c r="B533" s="7" t="s">
        <v>36</v>
      </c>
      <c r="C533" s="7" t="s">
        <v>48</v>
      </c>
      <c r="D533" s="7" t="s">
        <v>56</v>
      </c>
      <c r="E533" s="7" t="s">
        <v>29</v>
      </c>
      <c r="F533" s="7" t="s">
        <v>124</v>
      </c>
      <c r="G533" s="7">
        <v>2020</v>
      </c>
      <c r="H533" s="7" t="str">
        <f>CONCATENATE("04210438604")</f>
        <v>04210438604</v>
      </c>
      <c r="I533" s="7" t="s">
        <v>39</v>
      </c>
      <c r="J533" s="7" t="s">
        <v>31</v>
      </c>
      <c r="K533" s="7" t="str">
        <f>CONCATENATE("")</f>
        <v/>
      </c>
      <c r="L533" s="7" t="str">
        <f>CONCATENATE("13 13.1 4a")</f>
        <v>13 13.1 4a</v>
      </c>
      <c r="M533" s="7" t="str">
        <f>CONCATENATE("CNTLRA53B42D965P")</f>
        <v>CNTLRA53B42D965P</v>
      </c>
      <c r="N533" s="7" t="s">
        <v>636</v>
      </c>
      <c r="O533" s="7" t="s">
        <v>249</v>
      </c>
      <c r="P533" s="8">
        <v>44321</v>
      </c>
      <c r="Q533" s="7" t="s">
        <v>32</v>
      </c>
      <c r="R533" s="7" t="s">
        <v>33</v>
      </c>
      <c r="S533" s="7" t="s">
        <v>34</v>
      </c>
      <c r="T533" s="7"/>
      <c r="U533" s="7" t="s">
        <v>35</v>
      </c>
      <c r="V533" s="7">
        <v>101.39</v>
      </c>
      <c r="W533" s="7">
        <v>43.72</v>
      </c>
      <c r="X533" s="7">
        <v>40.369999999999997</v>
      </c>
      <c r="Y533" s="7">
        <v>0</v>
      </c>
      <c r="Z533" s="7">
        <v>17.3</v>
      </c>
    </row>
    <row r="534" spans="1:26" x14ac:dyDescent="0.35">
      <c r="A534" s="7" t="s">
        <v>27</v>
      </c>
      <c r="B534" s="7" t="s">
        <v>36</v>
      </c>
      <c r="C534" s="7" t="s">
        <v>48</v>
      </c>
      <c r="D534" s="7" t="s">
        <v>62</v>
      </c>
      <c r="E534" s="7" t="s">
        <v>38</v>
      </c>
      <c r="F534" s="7" t="s">
        <v>251</v>
      </c>
      <c r="G534" s="7">
        <v>2020</v>
      </c>
      <c r="H534" s="7" t="str">
        <f>CONCATENATE("04210239333")</f>
        <v>04210239333</v>
      </c>
      <c r="I534" s="7" t="s">
        <v>30</v>
      </c>
      <c r="J534" s="7" t="s">
        <v>31</v>
      </c>
      <c r="K534" s="7" t="str">
        <f>CONCATENATE("")</f>
        <v/>
      </c>
      <c r="L534" s="7" t="str">
        <f>CONCATENATE("13 13.1 4a")</f>
        <v>13 13.1 4a</v>
      </c>
      <c r="M534" s="7" t="str">
        <f>CONCATENATE("FDLBRN62A05B474V")</f>
        <v>FDLBRN62A05B474V</v>
      </c>
      <c r="N534" s="7" t="s">
        <v>637</v>
      </c>
      <c r="O534" s="7" t="s">
        <v>249</v>
      </c>
      <c r="P534" s="8">
        <v>44321</v>
      </c>
      <c r="Q534" s="7" t="s">
        <v>32</v>
      </c>
      <c r="R534" s="7" t="s">
        <v>33</v>
      </c>
      <c r="S534" s="7" t="s">
        <v>34</v>
      </c>
      <c r="T534" s="7"/>
      <c r="U534" s="7" t="s">
        <v>35</v>
      </c>
      <c r="V534" s="9">
        <v>2575.25</v>
      </c>
      <c r="W534" s="9">
        <v>1110.45</v>
      </c>
      <c r="X534" s="9">
        <v>1025.46</v>
      </c>
      <c r="Y534" s="7">
        <v>0</v>
      </c>
      <c r="Z534" s="7">
        <v>439.34</v>
      </c>
    </row>
    <row r="535" spans="1:26" x14ac:dyDescent="0.35">
      <c r="A535" s="7" t="s">
        <v>27</v>
      </c>
      <c r="B535" s="7" t="s">
        <v>36</v>
      </c>
      <c r="C535" s="7" t="s">
        <v>48</v>
      </c>
      <c r="D535" s="7" t="s">
        <v>62</v>
      </c>
      <c r="E535" s="7" t="s">
        <v>29</v>
      </c>
      <c r="F535" s="7" t="s">
        <v>167</v>
      </c>
      <c r="G535" s="7">
        <v>2020</v>
      </c>
      <c r="H535" s="7" t="str">
        <f>CONCATENATE("04210820140")</f>
        <v>04210820140</v>
      </c>
      <c r="I535" s="7" t="s">
        <v>30</v>
      </c>
      <c r="J535" s="7" t="s">
        <v>31</v>
      </c>
      <c r="K535" s="7" t="str">
        <f>CONCATENATE("")</f>
        <v/>
      </c>
      <c r="L535" s="7" t="str">
        <f>CONCATENATE("13 13.1 4a")</f>
        <v>13 13.1 4a</v>
      </c>
      <c r="M535" s="7" t="str">
        <f>CONCATENATE("GMNLRT72P15L191L")</f>
        <v>GMNLRT72P15L191L</v>
      </c>
      <c r="N535" s="7" t="s">
        <v>638</v>
      </c>
      <c r="O535" s="7" t="s">
        <v>249</v>
      </c>
      <c r="P535" s="8">
        <v>44321</v>
      </c>
      <c r="Q535" s="7" t="s">
        <v>32</v>
      </c>
      <c r="R535" s="7" t="s">
        <v>33</v>
      </c>
      <c r="S535" s="7" t="s">
        <v>34</v>
      </c>
      <c r="T535" s="7"/>
      <c r="U535" s="7" t="s">
        <v>35</v>
      </c>
      <c r="V535" s="9">
        <v>2166.98</v>
      </c>
      <c r="W535" s="7">
        <v>934.4</v>
      </c>
      <c r="X535" s="7">
        <v>862.89</v>
      </c>
      <c r="Y535" s="7">
        <v>0</v>
      </c>
      <c r="Z535" s="7">
        <v>369.69</v>
      </c>
    </row>
    <row r="536" spans="1:26" x14ac:dyDescent="0.35">
      <c r="A536" s="7" t="s">
        <v>27</v>
      </c>
      <c r="B536" s="7" t="s">
        <v>36</v>
      </c>
      <c r="C536" s="7" t="s">
        <v>48</v>
      </c>
      <c r="D536" s="7" t="s">
        <v>56</v>
      </c>
      <c r="E536" s="7" t="s">
        <v>29</v>
      </c>
      <c r="F536" s="7" t="s">
        <v>113</v>
      </c>
      <c r="G536" s="7">
        <v>2020</v>
      </c>
      <c r="H536" s="7" t="str">
        <f>CONCATENATE("04210038784")</f>
        <v>04210038784</v>
      </c>
      <c r="I536" s="7" t="s">
        <v>39</v>
      </c>
      <c r="J536" s="7" t="s">
        <v>31</v>
      </c>
      <c r="K536" s="7" t="str">
        <f>CONCATENATE("")</f>
        <v/>
      </c>
      <c r="L536" s="7" t="str">
        <f>CONCATENATE("13 13.1 4a")</f>
        <v>13 13.1 4a</v>
      </c>
      <c r="M536" s="7" t="str">
        <f>CONCATENATE("FRRMSM61A26D451V")</f>
        <v>FRRMSM61A26D451V</v>
      </c>
      <c r="N536" s="7" t="s">
        <v>639</v>
      </c>
      <c r="O536" s="7" t="s">
        <v>249</v>
      </c>
      <c r="P536" s="8">
        <v>44321</v>
      </c>
      <c r="Q536" s="7" t="s">
        <v>32</v>
      </c>
      <c r="R536" s="7" t="s">
        <v>33</v>
      </c>
      <c r="S536" s="7" t="s">
        <v>34</v>
      </c>
      <c r="T536" s="7"/>
      <c r="U536" s="7" t="s">
        <v>35</v>
      </c>
      <c r="V536" s="7">
        <v>645.65</v>
      </c>
      <c r="W536" s="7">
        <v>278.39999999999998</v>
      </c>
      <c r="X536" s="7">
        <v>257.10000000000002</v>
      </c>
      <c r="Y536" s="7">
        <v>0</v>
      </c>
      <c r="Z536" s="7">
        <v>110.15</v>
      </c>
    </row>
    <row r="537" spans="1:26" x14ac:dyDescent="0.35">
      <c r="A537" s="7" t="s">
        <v>27</v>
      </c>
      <c r="B537" s="7" t="s">
        <v>36</v>
      </c>
      <c r="C537" s="7" t="s">
        <v>48</v>
      </c>
      <c r="D537" s="7" t="s">
        <v>62</v>
      </c>
      <c r="E537" s="7" t="s">
        <v>29</v>
      </c>
      <c r="F537" s="7" t="s">
        <v>66</v>
      </c>
      <c r="G537" s="7">
        <v>2020</v>
      </c>
      <c r="H537" s="7" t="str">
        <f>CONCATENATE("04210029361")</f>
        <v>04210029361</v>
      </c>
      <c r="I537" s="7" t="s">
        <v>30</v>
      </c>
      <c r="J537" s="7" t="s">
        <v>31</v>
      </c>
      <c r="K537" s="7" t="str">
        <f>CONCATENATE("")</f>
        <v/>
      </c>
      <c r="L537" s="7" t="str">
        <f>CONCATENATE("13 13.1 4a")</f>
        <v>13 13.1 4a</v>
      </c>
      <c r="M537" s="7" t="str">
        <f>CONCATENATE("DMNRTI46P66I569J")</f>
        <v>DMNRTI46P66I569J</v>
      </c>
      <c r="N537" s="7" t="s">
        <v>640</v>
      </c>
      <c r="O537" s="7" t="s">
        <v>249</v>
      </c>
      <c r="P537" s="8">
        <v>44321</v>
      </c>
      <c r="Q537" s="7" t="s">
        <v>32</v>
      </c>
      <c r="R537" s="7" t="s">
        <v>33</v>
      </c>
      <c r="S537" s="7" t="s">
        <v>34</v>
      </c>
      <c r="T537" s="7"/>
      <c r="U537" s="7" t="s">
        <v>35</v>
      </c>
      <c r="V537" s="9">
        <v>7375.14</v>
      </c>
      <c r="W537" s="9">
        <v>3180.16</v>
      </c>
      <c r="X537" s="9">
        <v>2936.78</v>
      </c>
      <c r="Y537" s="7">
        <v>0</v>
      </c>
      <c r="Z537" s="9">
        <v>1258.2</v>
      </c>
    </row>
    <row r="538" spans="1:26" x14ac:dyDescent="0.35">
      <c r="A538" s="7" t="s">
        <v>27</v>
      </c>
      <c r="B538" s="7" t="s">
        <v>36</v>
      </c>
      <c r="C538" s="7" t="s">
        <v>48</v>
      </c>
      <c r="D538" s="7" t="s">
        <v>62</v>
      </c>
      <c r="E538" s="7" t="s">
        <v>29</v>
      </c>
      <c r="F538" s="7" t="s">
        <v>66</v>
      </c>
      <c r="G538" s="7">
        <v>2020</v>
      </c>
      <c r="H538" s="7" t="str">
        <f>CONCATENATE("04210338036")</f>
        <v>04210338036</v>
      </c>
      <c r="I538" s="7" t="s">
        <v>30</v>
      </c>
      <c r="J538" s="7" t="s">
        <v>31</v>
      </c>
      <c r="K538" s="7" t="str">
        <f>CONCATENATE("")</f>
        <v/>
      </c>
      <c r="L538" s="7" t="str">
        <f>CONCATENATE("13 13.1 4a")</f>
        <v>13 13.1 4a</v>
      </c>
      <c r="M538" s="7" t="str">
        <f>CONCATENATE("FDLCRN51E71I661Y")</f>
        <v>FDLCRN51E71I661Y</v>
      </c>
      <c r="N538" s="7" t="s">
        <v>641</v>
      </c>
      <c r="O538" s="7" t="s">
        <v>249</v>
      </c>
      <c r="P538" s="8">
        <v>44321</v>
      </c>
      <c r="Q538" s="7" t="s">
        <v>32</v>
      </c>
      <c r="R538" s="7" t="s">
        <v>33</v>
      </c>
      <c r="S538" s="7" t="s">
        <v>34</v>
      </c>
      <c r="T538" s="7"/>
      <c r="U538" s="7" t="s">
        <v>35</v>
      </c>
      <c r="V538" s="9">
        <v>8979.74</v>
      </c>
      <c r="W538" s="9">
        <v>3872.06</v>
      </c>
      <c r="X538" s="9">
        <v>3575.73</v>
      </c>
      <c r="Y538" s="7">
        <v>0</v>
      </c>
      <c r="Z538" s="9">
        <v>1531.95</v>
      </c>
    </row>
    <row r="539" spans="1:26" x14ac:dyDescent="0.35">
      <c r="A539" s="7" t="s">
        <v>27</v>
      </c>
      <c r="B539" s="7" t="s">
        <v>36</v>
      </c>
      <c r="C539" s="7" t="s">
        <v>48</v>
      </c>
      <c r="D539" s="7" t="s">
        <v>56</v>
      </c>
      <c r="E539" s="7" t="s">
        <v>29</v>
      </c>
      <c r="F539" s="7" t="s">
        <v>113</v>
      </c>
      <c r="G539" s="7">
        <v>2020</v>
      </c>
      <c r="H539" s="7" t="str">
        <f>CONCATENATE("04210023133")</f>
        <v>04210023133</v>
      </c>
      <c r="I539" s="7" t="s">
        <v>39</v>
      </c>
      <c r="J539" s="7" t="s">
        <v>31</v>
      </c>
      <c r="K539" s="7" t="str">
        <f>CONCATENATE("")</f>
        <v/>
      </c>
      <c r="L539" s="7" t="str">
        <f>CONCATENATE("13 13.1 4a")</f>
        <v>13 13.1 4a</v>
      </c>
      <c r="M539" s="7" t="str">
        <f>CONCATENATE("CSCRSR92P04D451W")</f>
        <v>CSCRSR92P04D451W</v>
      </c>
      <c r="N539" s="7" t="s">
        <v>642</v>
      </c>
      <c r="O539" s="7" t="s">
        <v>249</v>
      </c>
      <c r="P539" s="8">
        <v>44321</v>
      </c>
      <c r="Q539" s="7" t="s">
        <v>32</v>
      </c>
      <c r="R539" s="7" t="s">
        <v>33</v>
      </c>
      <c r="S539" s="7" t="s">
        <v>34</v>
      </c>
      <c r="T539" s="7"/>
      <c r="U539" s="7" t="s">
        <v>35</v>
      </c>
      <c r="V539" s="7">
        <v>177.75</v>
      </c>
      <c r="W539" s="7">
        <v>76.650000000000006</v>
      </c>
      <c r="X539" s="7">
        <v>70.78</v>
      </c>
      <c r="Y539" s="7">
        <v>0</v>
      </c>
      <c r="Z539" s="7">
        <v>30.32</v>
      </c>
    </row>
    <row r="540" spans="1:26" x14ac:dyDescent="0.35">
      <c r="A540" s="7" t="s">
        <v>27</v>
      </c>
      <c r="B540" s="7" t="s">
        <v>36</v>
      </c>
      <c r="C540" s="7" t="s">
        <v>48</v>
      </c>
      <c r="D540" s="7" t="s">
        <v>56</v>
      </c>
      <c r="E540" s="7" t="s">
        <v>29</v>
      </c>
      <c r="F540" s="7" t="s">
        <v>113</v>
      </c>
      <c r="G540" s="7">
        <v>2020</v>
      </c>
      <c r="H540" s="7" t="str">
        <f>CONCATENATE("04210035574")</f>
        <v>04210035574</v>
      </c>
      <c r="I540" s="7" t="s">
        <v>39</v>
      </c>
      <c r="J540" s="7" t="s">
        <v>31</v>
      </c>
      <c r="K540" s="7" t="str">
        <f>CONCATENATE("")</f>
        <v/>
      </c>
      <c r="L540" s="7" t="str">
        <f>CONCATENATE("13 13.1 4a")</f>
        <v>13 13.1 4a</v>
      </c>
      <c r="M540" s="7" t="str">
        <f>CONCATENATE("DNNRRT57S20D451G")</f>
        <v>DNNRRT57S20D451G</v>
      </c>
      <c r="N540" s="7" t="s">
        <v>643</v>
      </c>
      <c r="O540" s="7" t="s">
        <v>249</v>
      </c>
      <c r="P540" s="8">
        <v>44321</v>
      </c>
      <c r="Q540" s="7" t="s">
        <v>32</v>
      </c>
      <c r="R540" s="7" t="s">
        <v>33</v>
      </c>
      <c r="S540" s="7" t="s">
        <v>34</v>
      </c>
      <c r="T540" s="7"/>
      <c r="U540" s="7" t="s">
        <v>35</v>
      </c>
      <c r="V540" s="7">
        <v>306.05</v>
      </c>
      <c r="W540" s="7">
        <v>131.97</v>
      </c>
      <c r="X540" s="7">
        <v>121.87</v>
      </c>
      <c r="Y540" s="7">
        <v>0</v>
      </c>
      <c r="Z540" s="7">
        <v>52.21</v>
      </c>
    </row>
    <row r="541" spans="1:26" x14ac:dyDescent="0.35">
      <c r="A541" s="7" t="s">
        <v>27</v>
      </c>
      <c r="B541" s="7" t="s">
        <v>36</v>
      </c>
      <c r="C541" s="7" t="s">
        <v>48</v>
      </c>
      <c r="D541" s="7" t="s">
        <v>56</v>
      </c>
      <c r="E541" s="7" t="s">
        <v>29</v>
      </c>
      <c r="F541" s="7" t="s">
        <v>124</v>
      </c>
      <c r="G541" s="7">
        <v>2020</v>
      </c>
      <c r="H541" s="7" t="str">
        <f>CONCATENATE("04210018968")</f>
        <v>04210018968</v>
      </c>
      <c r="I541" s="7" t="s">
        <v>30</v>
      </c>
      <c r="J541" s="7" t="s">
        <v>31</v>
      </c>
      <c r="K541" s="7" t="str">
        <f>CONCATENATE("")</f>
        <v/>
      </c>
      <c r="L541" s="7" t="str">
        <f>CONCATENATE("13 13.1 4a")</f>
        <v>13 13.1 4a</v>
      </c>
      <c r="M541" s="7" t="str">
        <f>CONCATENATE("BRGLFA62C10D965T")</f>
        <v>BRGLFA62C10D965T</v>
      </c>
      <c r="N541" s="7" t="s">
        <v>644</v>
      </c>
      <c r="O541" s="7" t="s">
        <v>249</v>
      </c>
      <c r="P541" s="8">
        <v>44321</v>
      </c>
      <c r="Q541" s="7" t="s">
        <v>32</v>
      </c>
      <c r="R541" s="7" t="s">
        <v>33</v>
      </c>
      <c r="S541" s="7" t="s">
        <v>34</v>
      </c>
      <c r="T541" s="7"/>
      <c r="U541" s="7" t="s">
        <v>35</v>
      </c>
      <c r="V541" s="9">
        <v>2002.58</v>
      </c>
      <c r="W541" s="7">
        <v>863.51</v>
      </c>
      <c r="X541" s="7">
        <v>797.43</v>
      </c>
      <c r="Y541" s="7">
        <v>0</v>
      </c>
      <c r="Z541" s="7">
        <v>341.64</v>
      </c>
    </row>
    <row r="542" spans="1:26" x14ac:dyDescent="0.35">
      <c r="A542" s="7" t="s">
        <v>27</v>
      </c>
      <c r="B542" s="7" t="s">
        <v>28</v>
      </c>
      <c r="C542" s="7" t="s">
        <v>48</v>
      </c>
      <c r="D542" s="7" t="s">
        <v>62</v>
      </c>
      <c r="E542" s="7" t="s">
        <v>29</v>
      </c>
      <c r="F542" s="7" t="s">
        <v>176</v>
      </c>
      <c r="G542" s="7">
        <v>2017</v>
      </c>
      <c r="H542" s="7" t="str">
        <f>CONCATENATE("14270133896")</f>
        <v>14270133896</v>
      </c>
      <c r="I542" s="7" t="s">
        <v>30</v>
      </c>
      <c r="J542" s="7" t="s">
        <v>31</v>
      </c>
      <c r="K542" s="7" t="str">
        <f>CONCATENATE("")</f>
        <v/>
      </c>
      <c r="L542" s="7" t="str">
        <f>CONCATENATE("4 4.1 2a")</f>
        <v>4 4.1 2a</v>
      </c>
      <c r="M542" s="7" t="str">
        <f>CONCATENATE("01909520437")</f>
        <v>01909520437</v>
      </c>
      <c r="N542" s="7" t="s">
        <v>645</v>
      </c>
      <c r="O542" s="7" t="s">
        <v>646</v>
      </c>
      <c r="P542" s="8">
        <v>44321</v>
      </c>
      <c r="Q542" s="7" t="s">
        <v>32</v>
      </c>
      <c r="R542" s="7" t="s">
        <v>33</v>
      </c>
      <c r="S542" s="7" t="s">
        <v>34</v>
      </c>
      <c r="T542" s="7"/>
      <c r="U542" s="7" t="s">
        <v>35</v>
      </c>
      <c r="V542" s="9">
        <v>64641.72</v>
      </c>
      <c r="W542" s="9">
        <v>27873.51</v>
      </c>
      <c r="X542" s="9">
        <v>25740.33</v>
      </c>
      <c r="Y542" s="7">
        <v>0</v>
      </c>
      <c r="Z542" s="9">
        <v>11027.88</v>
      </c>
    </row>
    <row r="543" spans="1:26" x14ac:dyDescent="0.35">
      <c r="A543" s="7" t="s">
        <v>27</v>
      </c>
      <c r="B543" s="7" t="s">
        <v>28</v>
      </c>
      <c r="C543" s="7" t="s">
        <v>48</v>
      </c>
      <c r="D543" s="7" t="s">
        <v>56</v>
      </c>
      <c r="E543" s="7" t="s">
        <v>29</v>
      </c>
      <c r="F543" s="7" t="s">
        <v>106</v>
      </c>
      <c r="G543" s="7">
        <v>2017</v>
      </c>
      <c r="H543" s="7" t="str">
        <f>CONCATENATE("14270116974")</f>
        <v>14270116974</v>
      </c>
      <c r="I543" s="7" t="s">
        <v>30</v>
      </c>
      <c r="J543" s="7" t="s">
        <v>31</v>
      </c>
      <c r="K543" s="7" t="str">
        <f>CONCATENATE("")</f>
        <v/>
      </c>
      <c r="L543" s="7" t="str">
        <f>CONCATENATE("21 21.1 2a")</f>
        <v>21 21.1 2a</v>
      </c>
      <c r="M543" s="7" t="str">
        <f>CONCATENATE("PLTPLA69P48E388F")</f>
        <v>PLTPLA69P48E388F</v>
      </c>
      <c r="N543" s="7" t="s">
        <v>647</v>
      </c>
      <c r="O543" s="7" t="s">
        <v>78</v>
      </c>
      <c r="P543" s="8">
        <v>44321</v>
      </c>
      <c r="Q543" s="7" t="s">
        <v>32</v>
      </c>
      <c r="R543" s="7" t="s">
        <v>33</v>
      </c>
      <c r="S543" s="7" t="s">
        <v>34</v>
      </c>
      <c r="T543" s="7"/>
      <c r="U543" s="7" t="s">
        <v>35</v>
      </c>
      <c r="V543" s="9">
        <v>1507.3</v>
      </c>
      <c r="W543" s="7">
        <v>649.95000000000005</v>
      </c>
      <c r="X543" s="7">
        <v>600.21</v>
      </c>
      <c r="Y543" s="7">
        <v>0</v>
      </c>
      <c r="Z543" s="7">
        <v>257.14</v>
      </c>
    </row>
    <row r="544" spans="1:26" x14ac:dyDescent="0.35">
      <c r="A544" s="7" t="s">
        <v>27</v>
      </c>
      <c r="B544" s="7" t="s">
        <v>28</v>
      </c>
      <c r="C544" s="7" t="s">
        <v>48</v>
      </c>
      <c r="D544" s="7" t="s">
        <v>62</v>
      </c>
      <c r="E544" s="7" t="s">
        <v>29</v>
      </c>
      <c r="F544" s="7" t="s">
        <v>176</v>
      </c>
      <c r="G544" s="7">
        <v>2017</v>
      </c>
      <c r="H544" s="7" t="str">
        <f>CONCATENATE("14270116933")</f>
        <v>14270116933</v>
      </c>
      <c r="I544" s="7" t="s">
        <v>30</v>
      </c>
      <c r="J544" s="7" t="s">
        <v>31</v>
      </c>
      <c r="K544" s="7" t="str">
        <f>CONCATENATE("")</f>
        <v/>
      </c>
      <c r="L544" s="7" t="str">
        <f>CONCATENATE("21 21.1 2a")</f>
        <v>21 21.1 2a</v>
      </c>
      <c r="M544" s="7" t="str">
        <f>CONCATENATE("FRRCST71E52F205B")</f>
        <v>FRRCST71E52F205B</v>
      </c>
      <c r="N544" s="7" t="s">
        <v>564</v>
      </c>
      <c r="O544" s="7" t="s">
        <v>78</v>
      </c>
      <c r="P544" s="8">
        <v>44321</v>
      </c>
      <c r="Q544" s="7" t="s">
        <v>32</v>
      </c>
      <c r="R544" s="7" t="s">
        <v>33</v>
      </c>
      <c r="S544" s="7" t="s">
        <v>34</v>
      </c>
      <c r="T544" s="7"/>
      <c r="U544" s="7" t="s">
        <v>35</v>
      </c>
      <c r="V544" s="9">
        <v>7000</v>
      </c>
      <c r="W544" s="9">
        <v>3018.4</v>
      </c>
      <c r="X544" s="9">
        <v>2787.4</v>
      </c>
      <c r="Y544" s="7">
        <v>0</v>
      </c>
      <c r="Z544" s="9">
        <v>1194.2</v>
      </c>
    </row>
    <row r="545" spans="1:26" x14ac:dyDescent="0.35">
      <c r="A545" s="7" t="s">
        <v>27</v>
      </c>
      <c r="B545" s="7" t="s">
        <v>28</v>
      </c>
      <c r="C545" s="7" t="s">
        <v>48</v>
      </c>
      <c r="D545" s="7" t="s">
        <v>59</v>
      </c>
      <c r="E545" s="7" t="s">
        <v>43</v>
      </c>
      <c r="F545" s="7" t="s">
        <v>43</v>
      </c>
      <c r="G545" s="7">
        <v>2017</v>
      </c>
      <c r="H545" s="7" t="str">
        <f>CONCATENATE("14270116511")</f>
        <v>14270116511</v>
      </c>
      <c r="I545" s="7" t="s">
        <v>30</v>
      </c>
      <c r="J545" s="7" t="s">
        <v>31</v>
      </c>
      <c r="K545" s="7" t="str">
        <f>CONCATENATE("")</f>
        <v/>
      </c>
      <c r="L545" s="7" t="str">
        <f>CONCATENATE("21 21.1 2a")</f>
        <v>21 21.1 2a</v>
      </c>
      <c r="M545" s="7" t="str">
        <f>CONCATENATE("PPRMRN70T45H501X")</f>
        <v>PPRMRN70T45H501X</v>
      </c>
      <c r="N545" s="7" t="s">
        <v>648</v>
      </c>
      <c r="O545" s="7" t="s">
        <v>78</v>
      </c>
      <c r="P545" s="8">
        <v>44321</v>
      </c>
      <c r="Q545" s="7" t="s">
        <v>32</v>
      </c>
      <c r="R545" s="7" t="s">
        <v>33</v>
      </c>
      <c r="S545" s="7" t="s">
        <v>34</v>
      </c>
      <c r="T545" s="7"/>
      <c r="U545" s="7" t="s">
        <v>35</v>
      </c>
      <c r="V545" s="9">
        <v>7000</v>
      </c>
      <c r="W545" s="9">
        <v>3018.4</v>
      </c>
      <c r="X545" s="9">
        <v>2787.4</v>
      </c>
      <c r="Y545" s="7">
        <v>0</v>
      </c>
      <c r="Z545" s="9">
        <v>1194.2</v>
      </c>
    </row>
    <row r="546" spans="1:26" x14ac:dyDescent="0.35">
      <c r="A546" s="7" t="s">
        <v>27</v>
      </c>
      <c r="B546" s="7" t="s">
        <v>28</v>
      </c>
      <c r="C546" s="7" t="s">
        <v>48</v>
      </c>
      <c r="D546" s="7" t="s">
        <v>49</v>
      </c>
      <c r="E546" s="7" t="s">
        <v>29</v>
      </c>
      <c r="F546" s="7" t="s">
        <v>115</v>
      </c>
      <c r="G546" s="7">
        <v>2017</v>
      </c>
      <c r="H546" s="7" t="str">
        <f>CONCATENATE("14270116354")</f>
        <v>14270116354</v>
      </c>
      <c r="I546" s="7" t="s">
        <v>30</v>
      </c>
      <c r="J546" s="7" t="s">
        <v>31</v>
      </c>
      <c r="K546" s="7" t="str">
        <f>CONCATENATE("")</f>
        <v/>
      </c>
      <c r="L546" s="7" t="str">
        <f>CONCATENATE("21 21.1 2a")</f>
        <v>21 21.1 2a</v>
      </c>
      <c r="M546" s="7" t="str">
        <f>CONCATENATE("RSSPRN56H29G005X")</f>
        <v>RSSPRN56H29G005X</v>
      </c>
      <c r="N546" s="7" t="s">
        <v>649</v>
      </c>
      <c r="O546" s="7" t="s">
        <v>78</v>
      </c>
      <c r="P546" s="8">
        <v>44321</v>
      </c>
      <c r="Q546" s="7" t="s">
        <v>32</v>
      </c>
      <c r="R546" s="7" t="s">
        <v>33</v>
      </c>
      <c r="S546" s="7" t="s">
        <v>34</v>
      </c>
      <c r="T546" s="7"/>
      <c r="U546" s="7" t="s">
        <v>35</v>
      </c>
      <c r="V546" s="9">
        <v>1516.33</v>
      </c>
      <c r="W546" s="7">
        <v>653.84</v>
      </c>
      <c r="X546" s="7">
        <v>603.79999999999995</v>
      </c>
      <c r="Y546" s="7">
        <v>0</v>
      </c>
      <c r="Z546" s="7">
        <v>258.69</v>
      </c>
    </row>
    <row r="547" spans="1:26" x14ac:dyDescent="0.35">
      <c r="A547" s="7" t="s">
        <v>27</v>
      </c>
      <c r="B547" s="7" t="s">
        <v>28</v>
      </c>
      <c r="C547" s="7" t="s">
        <v>48</v>
      </c>
      <c r="D547" s="7" t="s">
        <v>62</v>
      </c>
      <c r="E547" s="7" t="s">
        <v>29</v>
      </c>
      <c r="F547" s="7" t="s">
        <v>176</v>
      </c>
      <c r="G547" s="7">
        <v>2017</v>
      </c>
      <c r="H547" s="7" t="str">
        <f>CONCATENATE("14270116727")</f>
        <v>14270116727</v>
      </c>
      <c r="I547" s="7" t="s">
        <v>30</v>
      </c>
      <c r="J547" s="7" t="s">
        <v>31</v>
      </c>
      <c r="K547" s="7" t="str">
        <f>CONCATENATE("")</f>
        <v/>
      </c>
      <c r="L547" s="7" t="str">
        <f>CONCATENATE("21 21.1 2a")</f>
        <v>21 21.1 2a</v>
      </c>
      <c r="M547" s="7" t="str">
        <f>CONCATENATE("01674350432")</f>
        <v>01674350432</v>
      </c>
      <c r="N547" s="7" t="s">
        <v>650</v>
      </c>
      <c r="O547" s="7" t="s">
        <v>78</v>
      </c>
      <c r="P547" s="8">
        <v>44321</v>
      </c>
      <c r="Q547" s="7" t="s">
        <v>32</v>
      </c>
      <c r="R547" s="7" t="s">
        <v>33</v>
      </c>
      <c r="S547" s="7" t="s">
        <v>34</v>
      </c>
      <c r="T547" s="7"/>
      <c r="U547" s="7" t="s">
        <v>35</v>
      </c>
      <c r="V547" s="9">
        <v>4317.28</v>
      </c>
      <c r="W547" s="9">
        <v>1861.61</v>
      </c>
      <c r="X547" s="9">
        <v>1719.14</v>
      </c>
      <c r="Y547" s="7">
        <v>0</v>
      </c>
      <c r="Z547" s="7">
        <v>736.53</v>
      </c>
    </row>
    <row r="548" spans="1:26" ht="17.5" x14ac:dyDescent="0.35">
      <c r="A548" s="7" t="s">
        <v>27</v>
      </c>
      <c r="B548" s="7" t="s">
        <v>28</v>
      </c>
      <c r="C548" s="7" t="s">
        <v>48</v>
      </c>
      <c r="D548" s="7" t="s">
        <v>56</v>
      </c>
      <c r="E548" s="7" t="s">
        <v>29</v>
      </c>
      <c r="F548" s="7" t="s">
        <v>113</v>
      </c>
      <c r="G548" s="7">
        <v>2017</v>
      </c>
      <c r="H548" s="7" t="str">
        <f>CONCATENATE("14270116867")</f>
        <v>14270116867</v>
      </c>
      <c r="I548" s="7" t="s">
        <v>30</v>
      </c>
      <c r="J548" s="7" t="s">
        <v>31</v>
      </c>
      <c r="K548" s="7" t="str">
        <f>CONCATENATE("")</f>
        <v/>
      </c>
      <c r="L548" s="7" t="str">
        <f>CONCATENATE("21 21.1 2a")</f>
        <v>21 21.1 2a</v>
      </c>
      <c r="M548" s="7" t="str">
        <f>CONCATENATE("VNOMTM60H65D528E")</f>
        <v>VNOMTM60H65D528E</v>
      </c>
      <c r="N548" s="7" t="s">
        <v>651</v>
      </c>
      <c r="O548" s="7" t="s">
        <v>78</v>
      </c>
      <c r="P548" s="8">
        <v>44321</v>
      </c>
      <c r="Q548" s="7" t="s">
        <v>32</v>
      </c>
      <c r="R548" s="7" t="s">
        <v>33</v>
      </c>
      <c r="S548" s="7" t="s">
        <v>34</v>
      </c>
      <c r="T548" s="7"/>
      <c r="U548" s="7" t="s">
        <v>35</v>
      </c>
      <c r="V548" s="9">
        <v>2703.47</v>
      </c>
      <c r="W548" s="9">
        <v>1165.74</v>
      </c>
      <c r="X548" s="9">
        <v>1076.52</v>
      </c>
      <c r="Y548" s="7">
        <v>0</v>
      </c>
      <c r="Z548" s="7">
        <v>461.21</v>
      </c>
    </row>
    <row r="549" spans="1:26" x14ac:dyDescent="0.35">
      <c r="A549" s="7" t="s">
        <v>27</v>
      </c>
      <c r="B549" s="7" t="s">
        <v>28</v>
      </c>
      <c r="C549" s="7" t="s">
        <v>48</v>
      </c>
      <c r="D549" s="7" t="s">
        <v>56</v>
      </c>
      <c r="E549" s="7" t="s">
        <v>43</v>
      </c>
      <c r="F549" s="7" t="s">
        <v>43</v>
      </c>
      <c r="G549" s="7">
        <v>2017</v>
      </c>
      <c r="H549" s="7" t="str">
        <f>CONCATENATE("14270116628")</f>
        <v>14270116628</v>
      </c>
      <c r="I549" s="7" t="s">
        <v>30</v>
      </c>
      <c r="J549" s="7" t="s">
        <v>31</v>
      </c>
      <c r="K549" s="7" t="str">
        <f>CONCATENATE("")</f>
        <v/>
      </c>
      <c r="L549" s="7" t="str">
        <f>CONCATENATE("21 21.1 2a")</f>
        <v>21 21.1 2a</v>
      </c>
      <c r="M549" s="7" t="str">
        <f>CONCATENATE("GRZLVN58D43H501S")</f>
        <v>GRZLVN58D43H501S</v>
      </c>
      <c r="N549" s="7" t="s">
        <v>652</v>
      </c>
      <c r="O549" s="7" t="s">
        <v>78</v>
      </c>
      <c r="P549" s="8">
        <v>44321</v>
      </c>
      <c r="Q549" s="7" t="s">
        <v>32</v>
      </c>
      <c r="R549" s="7" t="s">
        <v>33</v>
      </c>
      <c r="S549" s="7" t="s">
        <v>34</v>
      </c>
      <c r="T549" s="7"/>
      <c r="U549" s="7" t="s">
        <v>35</v>
      </c>
      <c r="V549" s="9">
        <v>3316.71</v>
      </c>
      <c r="W549" s="9">
        <v>1430.17</v>
      </c>
      <c r="X549" s="9">
        <v>1320.71</v>
      </c>
      <c r="Y549" s="7">
        <v>0</v>
      </c>
      <c r="Z549" s="7">
        <v>565.83000000000004</v>
      </c>
    </row>
    <row r="550" spans="1:26" x14ac:dyDescent="0.35">
      <c r="A550" s="7" t="s">
        <v>27</v>
      </c>
      <c r="B550" s="7" t="s">
        <v>28</v>
      </c>
      <c r="C550" s="7" t="s">
        <v>48</v>
      </c>
      <c r="D550" s="7" t="s">
        <v>62</v>
      </c>
      <c r="E550" s="7" t="s">
        <v>29</v>
      </c>
      <c r="F550" s="7" t="s">
        <v>216</v>
      </c>
      <c r="G550" s="7">
        <v>2017</v>
      </c>
      <c r="H550" s="7" t="str">
        <f>CONCATENATE("14270121701")</f>
        <v>14270121701</v>
      </c>
      <c r="I550" s="7" t="s">
        <v>30</v>
      </c>
      <c r="J550" s="7" t="s">
        <v>31</v>
      </c>
      <c r="K550" s="7" t="str">
        <f>CONCATENATE("")</f>
        <v/>
      </c>
      <c r="L550" s="7" t="str">
        <f>CONCATENATE("21 21.1 2a")</f>
        <v>21 21.1 2a</v>
      </c>
      <c r="M550" s="7" t="str">
        <f>CONCATENATE("LCRLEI57C24H876W")</f>
        <v>LCRLEI57C24H876W</v>
      </c>
      <c r="N550" s="7" t="s">
        <v>653</v>
      </c>
      <c r="O550" s="7" t="s">
        <v>78</v>
      </c>
      <c r="P550" s="8">
        <v>44321</v>
      </c>
      <c r="Q550" s="7" t="s">
        <v>32</v>
      </c>
      <c r="R550" s="7" t="s">
        <v>33</v>
      </c>
      <c r="S550" s="7" t="s">
        <v>34</v>
      </c>
      <c r="T550" s="7"/>
      <c r="U550" s="7" t="s">
        <v>35</v>
      </c>
      <c r="V550" s="9">
        <v>4289.93</v>
      </c>
      <c r="W550" s="9">
        <v>1849.82</v>
      </c>
      <c r="X550" s="9">
        <v>1708.25</v>
      </c>
      <c r="Y550" s="7">
        <v>0</v>
      </c>
      <c r="Z550" s="7">
        <v>731.86</v>
      </c>
    </row>
    <row r="551" spans="1:26" x14ac:dyDescent="0.35">
      <c r="A551" s="7" t="s">
        <v>27</v>
      </c>
      <c r="B551" s="7" t="s">
        <v>28</v>
      </c>
      <c r="C551" s="7" t="s">
        <v>48</v>
      </c>
      <c r="D551" s="7" t="s">
        <v>49</v>
      </c>
      <c r="E551" s="7" t="s">
        <v>37</v>
      </c>
      <c r="F551" s="7" t="s">
        <v>93</v>
      </c>
      <c r="G551" s="7">
        <v>2017</v>
      </c>
      <c r="H551" s="7" t="str">
        <f>CONCATENATE("14270116719")</f>
        <v>14270116719</v>
      </c>
      <c r="I551" s="7" t="s">
        <v>30</v>
      </c>
      <c r="J551" s="7" t="s">
        <v>31</v>
      </c>
      <c r="K551" s="7" t="str">
        <f>CONCATENATE("")</f>
        <v/>
      </c>
      <c r="L551" s="7" t="str">
        <f>CONCATENATE("21 21.1 2a")</f>
        <v>21 21.1 2a</v>
      </c>
      <c r="M551" s="7" t="str">
        <f>CONCATENATE("MNLDNL69R64D542L")</f>
        <v>MNLDNL69R64D542L</v>
      </c>
      <c r="N551" s="7" t="s">
        <v>654</v>
      </c>
      <c r="O551" s="7" t="s">
        <v>78</v>
      </c>
      <c r="P551" s="8">
        <v>44321</v>
      </c>
      <c r="Q551" s="7" t="s">
        <v>32</v>
      </c>
      <c r="R551" s="7" t="s">
        <v>33</v>
      </c>
      <c r="S551" s="7" t="s">
        <v>34</v>
      </c>
      <c r="T551" s="7"/>
      <c r="U551" s="7" t="s">
        <v>35</v>
      </c>
      <c r="V551" s="9">
        <v>2612.7800000000002</v>
      </c>
      <c r="W551" s="9">
        <v>1126.6300000000001</v>
      </c>
      <c r="X551" s="9">
        <v>1040.4100000000001</v>
      </c>
      <c r="Y551" s="7">
        <v>0</v>
      </c>
      <c r="Z551" s="7">
        <v>445.74</v>
      </c>
    </row>
    <row r="552" spans="1:26" x14ac:dyDescent="0.35">
      <c r="A552" s="7" t="s">
        <v>27</v>
      </c>
      <c r="B552" s="7" t="s">
        <v>28</v>
      </c>
      <c r="C552" s="7" t="s">
        <v>48</v>
      </c>
      <c r="D552" s="7" t="s">
        <v>56</v>
      </c>
      <c r="E552" s="7" t="s">
        <v>43</v>
      </c>
      <c r="F552" s="7" t="s">
        <v>43</v>
      </c>
      <c r="G552" s="7">
        <v>2017</v>
      </c>
      <c r="H552" s="7" t="str">
        <f>CONCATENATE("14270116362")</f>
        <v>14270116362</v>
      </c>
      <c r="I552" s="7" t="s">
        <v>30</v>
      </c>
      <c r="J552" s="7" t="s">
        <v>31</v>
      </c>
      <c r="K552" s="7" t="str">
        <f>CONCATENATE("")</f>
        <v/>
      </c>
      <c r="L552" s="7" t="str">
        <f>CONCATENATE("21 21.1 2a")</f>
        <v>21 21.1 2a</v>
      </c>
      <c r="M552" s="7" t="str">
        <f>CONCATENATE("PRLRMN73B44E388N")</f>
        <v>PRLRMN73B44E388N</v>
      </c>
      <c r="N552" s="7" t="s">
        <v>655</v>
      </c>
      <c r="O552" s="7" t="s">
        <v>78</v>
      </c>
      <c r="P552" s="8">
        <v>44321</v>
      </c>
      <c r="Q552" s="7" t="s">
        <v>32</v>
      </c>
      <c r="R552" s="7" t="s">
        <v>33</v>
      </c>
      <c r="S552" s="7" t="s">
        <v>34</v>
      </c>
      <c r="T552" s="7"/>
      <c r="U552" s="7" t="s">
        <v>35</v>
      </c>
      <c r="V552" s="9">
        <v>7000</v>
      </c>
      <c r="W552" s="9">
        <v>3018.4</v>
      </c>
      <c r="X552" s="9">
        <v>2787.4</v>
      </c>
      <c r="Y552" s="7">
        <v>0</v>
      </c>
      <c r="Z552" s="9">
        <v>1194.2</v>
      </c>
    </row>
    <row r="553" spans="1:26" x14ac:dyDescent="0.35">
      <c r="A553" s="7" t="s">
        <v>27</v>
      </c>
      <c r="B553" s="7" t="s">
        <v>28</v>
      </c>
      <c r="C553" s="7" t="s">
        <v>48</v>
      </c>
      <c r="D553" s="7" t="s">
        <v>59</v>
      </c>
      <c r="E553" s="7" t="s">
        <v>40</v>
      </c>
      <c r="F553" s="7" t="s">
        <v>163</v>
      </c>
      <c r="G553" s="7">
        <v>2017</v>
      </c>
      <c r="H553" s="7" t="str">
        <f>CONCATENATE("14270116495")</f>
        <v>14270116495</v>
      </c>
      <c r="I553" s="7" t="s">
        <v>30</v>
      </c>
      <c r="J553" s="7" t="s">
        <v>31</v>
      </c>
      <c r="K553" s="7" t="str">
        <f>CONCATENATE("")</f>
        <v/>
      </c>
      <c r="L553" s="7" t="str">
        <f>CONCATENATE("21 21.1 2a")</f>
        <v>21 21.1 2a</v>
      </c>
      <c r="M553" s="7" t="str">
        <f>CONCATENATE("SSTFRC72H64D969F")</f>
        <v>SSTFRC72H64D969F</v>
      </c>
      <c r="N553" s="7" t="s">
        <v>656</v>
      </c>
      <c r="O553" s="7" t="s">
        <v>78</v>
      </c>
      <c r="P553" s="8">
        <v>44321</v>
      </c>
      <c r="Q553" s="7" t="s">
        <v>32</v>
      </c>
      <c r="R553" s="7" t="s">
        <v>33</v>
      </c>
      <c r="S553" s="7" t="s">
        <v>34</v>
      </c>
      <c r="T553" s="7"/>
      <c r="U553" s="7" t="s">
        <v>35</v>
      </c>
      <c r="V553" s="9">
        <v>3010.75</v>
      </c>
      <c r="W553" s="9">
        <v>1298.24</v>
      </c>
      <c r="X553" s="9">
        <v>1198.8800000000001</v>
      </c>
      <c r="Y553" s="7">
        <v>0</v>
      </c>
      <c r="Z553" s="7">
        <v>513.63</v>
      </c>
    </row>
    <row r="554" spans="1:26" x14ac:dyDescent="0.35">
      <c r="A554" s="7" t="s">
        <v>27</v>
      </c>
      <c r="B554" s="7" t="s">
        <v>28</v>
      </c>
      <c r="C554" s="7" t="s">
        <v>48</v>
      </c>
      <c r="D554" s="7" t="s">
        <v>49</v>
      </c>
      <c r="E554" s="7" t="s">
        <v>29</v>
      </c>
      <c r="F554" s="7" t="s">
        <v>76</v>
      </c>
      <c r="G554" s="7">
        <v>2017</v>
      </c>
      <c r="H554" s="7" t="str">
        <f>CONCATENATE("14270116529")</f>
        <v>14270116529</v>
      </c>
      <c r="I554" s="7" t="s">
        <v>30</v>
      </c>
      <c r="J554" s="7" t="s">
        <v>31</v>
      </c>
      <c r="K554" s="7" t="str">
        <f>CONCATENATE("")</f>
        <v/>
      </c>
      <c r="L554" s="7" t="str">
        <f>CONCATENATE("21 21.1 2a")</f>
        <v>21 21.1 2a</v>
      </c>
      <c r="M554" s="7" t="str">
        <f>CONCATENATE("RSSMRP68E51E372D")</f>
        <v>RSSMRP68E51E372D</v>
      </c>
      <c r="N554" s="7" t="s">
        <v>657</v>
      </c>
      <c r="O554" s="7" t="s">
        <v>78</v>
      </c>
      <c r="P554" s="8">
        <v>44321</v>
      </c>
      <c r="Q554" s="7" t="s">
        <v>32</v>
      </c>
      <c r="R554" s="7" t="s">
        <v>33</v>
      </c>
      <c r="S554" s="7" t="s">
        <v>34</v>
      </c>
      <c r="T554" s="7"/>
      <c r="U554" s="7" t="s">
        <v>35</v>
      </c>
      <c r="V554" s="9">
        <v>1567.19</v>
      </c>
      <c r="W554" s="7">
        <v>675.77</v>
      </c>
      <c r="X554" s="7">
        <v>624.05999999999995</v>
      </c>
      <c r="Y554" s="7">
        <v>0</v>
      </c>
      <c r="Z554" s="7">
        <v>267.36</v>
      </c>
    </row>
    <row r="555" spans="1:26" x14ac:dyDescent="0.35">
      <c r="A555" s="7" t="s">
        <v>27</v>
      </c>
      <c r="B555" s="7" t="s">
        <v>28</v>
      </c>
      <c r="C555" s="7" t="s">
        <v>48</v>
      </c>
      <c r="D555" s="7" t="s">
        <v>59</v>
      </c>
      <c r="E555" s="7" t="s">
        <v>43</v>
      </c>
      <c r="F555" s="7" t="s">
        <v>43</v>
      </c>
      <c r="G555" s="7">
        <v>2017</v>
      </c>
      <c r="H555" s="7" t="str">
        <f>CONCATENATE("14270116776")</f>
        <v>14270116776</v>
      </c>
      <c r="I555" s="7" t="s">
        <v>30</v>
      </c>
      <c r="J555" s="7" t="s">
        <v>31</v>
      </c>
      <c r="K555" s="7" t="str">
        <f>CONCATENATE("")</f>
        <v/>
      </c>
      <c r="L555" s="7" t="str">
        <f>CONCATENATE("21 21.1 2a")</f>
        <v>21 21.1 2a</v>
      </c>
      <c r="M555" s="7" t="str">
        <f>CONCATENATE("02325160410")</f>
        <v>02325160410</v>
      </c>
      <c r="N555" s="7" t="s">
        <v>658</v>
      </c>
      <c r="O555" s="7" t="s">
        <v>78</v>
      </c>
      <c r="P555" s="8">
        <v>44321</v>
      </c>
      <c r="Q555" s="7" t="s">
        <v>32</v>
      </c>
      <c r="R555" s="7" t="s">
        <v>33</v>
      </c>
      <c r="S555" s="7" t="s">
        <v>34</v>
      </c>
      <c r="T555" s="7"/>
      <c r="U555" s="7" t="s">
        <v>35</v>
      </c>
      <c r="V555" s="9">
        <v>7000</v>
      </c>
      <c r="W555" s="9">
        <v>3018.4</v>
      </c>
      <c r="X555" s="9">
        <v>2787.4</v>
      </c>
      <c r="Y555" s="7">
        <v>0</v>
      </c>
      <c r="Z555" s="9">
        <v>1194.2</v>
      </c>
    </row>
    <row r="556" spans="1:26" x14ac:dyDescent="0.35">
      <c r="A556" s="7" t="s">
        <v>27</v>
      </c>
      <c r="B556" s="7" t="s">
        <v>28</v>
      </c>
      <c r="C556" s="7" t="s">
        <v>48</v>
      </c>
      <c r="D556" s="7" t="s">
        <v>49</v>
      </c>
      <c r="E556" s="7" t="s">
        <v>42</v>
      </c>
      <c r="F556" s="7" t="s">
        <v>50</v>
      </c>
      <c r="G556" s="7">
        <v>2017</v>
      </c>
      <c r="H556" s="7" t="str">
        <f>CONCATENATE("14270117949")</f>
        <v>14270117949</v>
      </c>
      <c r="I556" s="7" t="s">
        <v>30</v>
      </c>
      <c r="J556" s="7" t="s">
        <v>31</v>
      </c>
      <c r="K556" s="7" t="str">
        <f>CONCATENATE("")</f>
        <v/>
      </c>
      <c r="L556" s="7" t="str">
        <f>CONCATENATE("21 21.1 2a")</f>
        <v>21 21.1 2a</v>
      </c>
      <c r="M556" s="7" t="str">
        <f>CONCATENATE("LSNFBA89P12A462A")</f>
        <v>LSNFBA89P12A462A</v>
      </c>
      <c r="N556" s="7" t="s">
        <v>659</v>
      </c>
      <c r="O556" s="7" t="s">
        <v>660</v>
      </c>
      <c r="P556" s="8">
        <v>44321</v>
      </c>
      <c r="Q556" s="7" t="s">
        <v>32</v>
      </c>
      <c r="R556" s="7" t="s">
        <v>33</v>
      </c>
      <c r="S556" s="7" t="s">
        <v>34</v>
      </c>
      <c r="T556" s="7"/>
      <c r="U556" s="7" t="s">
        <v>35</v>
      </c>
      <c r="V556" s="9">
        <v>2567.9499999999998</v>
      </c>
      <c r="W556" s="9">
        <v>1107.3</v>
      </c>
      <c r="X556" s="9">
        <v>1022.56</v>
      </c>
      <c r="Y556" s="7">
        <v>0</v>
      </c>
      <c r="Z556" s="7">
        <v>438.09</v>
      </c>
    </row>
    <row r="557" spans="1:26" x14ac:dyDescent="0.35">
      <c r="A557" s="7" t="s">
        <v>27</v>
      </c>
      <c r="B557" s="7" t="s">
        <v>28</v>
      </c>
      <c r="C557" s="7" t="s">
        <v>48</v>
      </c>
      <c r="D557" s="7" t="s">
        <v>62</v>
      </c>
      <c r="E557" s="7" t="s">
        <v>29</v>
      </c>
      <c r="F557" s="7" t="s">
        <v>66</v>
      </c>
      <c r="G557" s="7">
        <v>2017</v>
      </c>
      <c r="H557" s="7" t="str">
        <f>CONCATENATE("14270118020")</f>
        <v>14270118020</v>
      </c>
      <c r="I557" s="7" t="s">
        <v>30</v>
      </c>
      <c r="J557" s="7" t="s">
        <v>31</v>
      </c>
      <c r="K557" s="7" t="str">
        <f>CONCATENATE("")</f>
        <v/>
      </c>
      <c r="L557" s="7" t="str">
        <f>CONCATENATE("21 21.1 2a")</f>
        <v>21 21.1 2a</v>
      </c>
      <c r="M557" s="7" t="str">
        <f>CONCATENATE("RLAMCR50S10G637S")</f>
        <v>RLAMCR50S10G637S</v>
      </c>
      <c r="N557" s="7" t="s">
        <v>661</v>
      </c>
      <c r="O557" s="7" t="s">
        <v>660</v>
      </c>
      <c r="P557" s="8">
        <v>44321</v>
      </c>
      <c r="Q557" s="7" t="s">
        <v>32</v>
      </c>
      <c r="R557" s="7" t="s">
        <v>33</v>
      </c>
      <c r="S557" s="7" t="s">
        <v>34</v>
      </c>
      <c r="T557" s="7"/>
      <c r="U557" s="7" t="s">
        <v>35</v>
      </c>
      <c r="V557" s="9">
        <v>7000</v>
      </c>
      <c r="W557" s="9">
        <v>3018.4</v>
      </c>
      <c r="X557" s="9">
        <v>2787.4</v>
      </c>
      <c r="Y557" s="7">
        <v>0</v>
      </c>
      <c r="Z557" s="9">
        <v>1194.2</v>
      </c>
    </row>
    <row r="558" spans="1:26" x14ac:dyDescent="0.35">
      <c r="A558" s="7" t="s">
        <v>27</v>
      </c>
      <c r="B558" s="7" t="s">
        <v>28</v>
      </c>
      <c r="C558" s="7" t="s">
        <v>48</v>
      </c>
      <c r="D558" s="7" t="s">
        <v>62</v>
      </c>
      <c r="E558" s="7" t="s">
        <v>29</v>
      </c>
      <c r="F558" s="7" t="s">
        <v>216</v>
      </c>
      <c r="G558" s="7">
        <v>2017</v>
      </c>
      <c r="H558" s="7" t="str">
        <f>CONCATENATE("14270117626")</f>
        <v>14270117626</v>
      </c>
      <c r="I558" s="7" t="s">
        <v>30</v>
      </c>
      <c r="J558" s="7" t="s">
        <v>31</v>
      </c>
      <c r="K558" s="7" t="str">
        <f>CONCATENATE("")</f>
        <v/>
      </c>
      <c r="L558" s="7" t="str">
        <f>CONCATENATE("21 21.1 2a")</f>
        <v>21 21.1 2a</v>
      </c>
      <c r="M558" s="7" t="str">
        <f>CONCATENATE("01442190433")</f>
        <v>01442190433</v>
      </c>
      <c r="N558" s="7" t="s">
        <v>662</v>
      </c>
      <c r="O558" s="7" t="s">
        <v>660</v>
      </c>
      <c r="P558" s="8">
        <v>44321</v>
      </c>
      <c r="Q558" s="7" t="s">
        <v>32</v>
      </c>
      <c r="R558" s="7" t="s">
        <v>33</v>
      </c>
      <c r="S558" s="7" t="s">
        <v>34</v>
      </c>
      <c r="T558" s="7"/>
      <c r="U558" s="7" t="s">
        <v>35</v>
      </c>
      <c r="V558" s="9">
        <v>7000</v>
      </c>
      <c r="W558" s="9">
        <v>3018.4</v>
      </c>
      <c r="X558" s="9">
        <v>2787.4</v>
      </c>
      <c r="Y558" s="7">
        <v>0</v>
      </c>
      <c r="Z558" s="9">
        <v>1194.2</v>
      </c>
    </row>
    <row r="559" spans="1:26" x14ac:dyDescent="0.35">
      <c r="A559" s="7" t="s">
        <v>27</v>
      </c>
      <c r="B559" s="7" t="s">
        <v>28</v>
      </c>
      <c r="C559" s="7" t="s">
        <v>48</v>
      </c>
      <c r="D559" s="7" t="s">
        <v>49</v>
      </c>
      <c r="E559" s="7" t="s">
        <v>42</v>
      </c>
      <c r="F559" s="7" t="s">
        <v>50</v>
      </c>
      <c r="G559" s="7">
        <v>2017</v>
      </c>
      <c r="H559" s="7" t="str">
        <f>CONCATENATE("14270117725")</f>
        <v>14270117725</v>
      </c>
      <c r="I559" s="7" t="s">
        <v>30</v>
      </c>
      <c r="J559" s="7" t="s">
        <v>31</v>
      </c>
      <c r="K559" s="7" t="str">
        <f>CONCATENATE("")</f>
        <v/>
      </c>
      <c r="L559" s="7" t="str">
        <f>CONCATENATE("21 21.1 2a")</f>
        <v>21 21.1 2a</v>
      </c>
      <c r="M559" s="7" t="str">
        <f>CONCATENATE("00775820442")</f>
        <v>00775820442</v>
      </c>
      <c r="N559" s="7" t="s">
        <v>663</v>
      </c>
      <c r="O559" s="7" t="s">
        <v>660</v>
      </c>
      <c r="P559" s="8">
        <v>44321</v>
      </c>
      <c r="Q559" s="7" t="s">
        <v>32</v>
      </c>
      <c r="R559" s="7" t="s">
        <v>33</v>
      </c>
      <c r="S559" s="7" t="s">
        <v>34</v>
      </c>
      <c r="T559" s="7"/>
      <c r="U559" s="7" t="s">
        <v>35</v>
      </c>
      <c r="V559" s="9">
        <v>4434.82</v>
      </c>
      <c r="W559" s="9">
        <v>1912.29</v>
      </c>
      <c r="X559" s="9">
        <v>1765.95</v>
      </c>
      <c r="Y559" s="7">
        <v>0</v>
      </c>
      <c r="Z559" s="7">
        <v>756.58</v>
      </c>
    </row>
    <row r="560" spans="1:26" x14ac:dyDescent="0.35">
      <c r="A560" s="7" t="s">
        <v>27</v>
      </c>
      <c r="B560" s="7" t="s">
        <v>28</v>
      </c>
      <c r="C560" s="7" t="s">
        <v>48</v>
      </c>
      <c r="D560" s="7" t="s">
        <v>59</v>
      </c>
      <c r="E560" s="7" t="s">
        <v>44</v>
      </c>
      <c r="F560" s="7" t="s">
        <v>178</v>
      </c>
      <c r="G560" s="7">
        <v>2017</v>
      </c>
      <c r="H560" s="7" t="str">
        <f>CONCATENATE("14270118046")</f>
        <v>14270118046</v>
      </c>
      <c r="I560" s="7" t="s">
        <v>30</v>
      </c>
      <c r="J560" s="7" t="s">
        <v>31</v>
      </c>
      <c r="K560" s="7" t="str">
        <f>CONCATENATE("")</f>
        <v/>
      </c>
      <c r="L560" s="7" t="str">
        <f>CONCATENATE("21 21.1 2a")</f>
        <v>21 21.1 2a</v>
      </c>
      <c r="M560" s="7" t="str">
        <f>CONCATENATE("00456890417")</f>
        <v>00456890417</v>
      </c>
      <c r="N560" s="7" t="s">
        <v>664</v>
      </c>
      <c r="O560" s="7" t="s">
        <v>660</v>
      </c>
      <c r="P560" s="8">
        <v>44321</v>
      </c>
      <c r="Q560" s="7" t="s">
        <v>32</v>
      </c>
      <c r="R560" s="7" t="s">
        <v>33</v>
      </c>
      <c r="S560" s="7" t="s">
        <v>34</v>
      </c>
      <c r="T560" s="7"/>
      <c r="U560" s="7" t="s">
        <v>35</v>
      </c>
      <c r="V560" s="9">
        <v>7000</v>
      </c>
      <c r="W560" s="9">
        <v>3018.4</v>
      </c>
      <c r="X560" s="9">
        <v>2787.4</v>
      </c>
      <c r="Y560" s="7">
        <v>0</v>
      </c>
      <c r="Z560" s="9">
        <v>1194.2</v>
      </c>
    </row>
    <row r="561" spans="1:26" x14ac:dyDescent="0.35">
      <c r="A561" s="7" t="s">
        <v>27</v>
      </c>
      <c r="B561" s="7" t="s">
        <v>28</v>
      </c>
      <c r="C561" s="7" t="s">
        <v>48</v>
      </c>
      <c r="D561" s="7" t="s">
        <v>49</v>
      </c>
      <c r="E561" s="7" t="s">
        <v>43</v>
      </c>
      <c r="F561" s="7" t="s">
        <v>43</v>
      </c>
      <c r="G561" s="7">
        <v>2017</v>
      </c>
      <c r="H561" s="7" t="str">
        <f>CONCATENATE("14270117873")</f>
        <v>14270117873</v>
      </c>
      <c r="I561" s="7" t="s">
        <v>30</v>
      </c>
      <c r="J561" s="7" t="s">
        <v>31</v>
      </c>
      <c r="K561" s="7" t="str">
        <f>CONCATENATE("")</f>
        <v/>
      </c>
      <c r="L561" s="7" t="str">
        <f>CONCATENATE("21 21.1 2a")</f>
        <v>21 21.1 2a</v>
      </c>
      <c r="M561" s="7" t="str">
        <f>CONCATENATE("02270700442")</f>
        <v>02270700442</v>
      </c>
      <c r="N561" s="7" t="s">
        <v>665</v>
      </c>
      <c r="O561" s="7" t="s">
        <v>660</v>
      </c>
      <c r="P561" s="8">
        <v>44321</v>
      </c>
      <c r="Q561" s="7" t="s">
        <v>32</v>
      </c>
      <c r="R561" s="7" t="s">
        <v>33</v>
      </c>
      <c r="S561" s="7" t="s">
        <v>34</v>
      </c>
      <c r="T561" s="7"/>
      <c r="U561" s="7" t="s">
        <v>35</v>
      </c>
      <c r="V561" s="9">
        <v>7000</v>
      </c>
      <c r="W561" s="9">
        <v>3018.4</v>
      </c>
      <c r="X561" s="9">
        <v>2787.4</v>
      </c>
      <c r="Y561" s="7">
        <v>0</v>
      </c>
      <c r="Z561" s="9">
        <v>1194.2</v>
      </c>
    </row>
    <row r="562" spans="1:26" x14ac:dyDescent="0.35">
      <c r="A562" s="7" t="s">
        <v>27</v>
      </c>
      <c r="B562" s="7" t="s">
        <v>28</v>
      </c>
      <c r="C562" s="7" t="s">
        <v>48</v>
      </c>
      <c r="D562" s="7" t="s">
        <v>59</v>
      </c>
      <c r="E562" s="7" t="s">
        <v>29</v>
      </c>
      <c r="F562" s="7" t="s">
        <v>317</v>
      </c>
      <c r="G562" s="7">
        <v>2017</v>
      </c>
      <c r="H562" s="7" t="str">
        <f>CONCATENATE("14270116958")</f>
        <v>14270116958</v>
      </c>
      <c r="I562" s="7" t="s">
        <v>30</v>
      </c>
      <c r="J562" s="7" t="s">
        <v>31</v>
      </c>
      <c r="K562" s="7" t="str">
        <f>CONCATENATE("")</f>
        <v/>
      </c>
      <c r="L562" s="7" t="str">
        <f>CONCATENATE("21 21.1 2a")</f>
        <v>21 21.1 2a</v>
      </c>
      <c r="M562" s="7" t="str">
        <f>CONCATENATE("CTNSNO63R48G479G")</f>
        <v>CTNSNO63R48G479G</v>
      </c>
      <c r="N562" s="7" t="s">
        <v>666</v>
      </c>
      <c r="O562" s="7" t="s">
        <v>78</v>
      </c>
      <c r="P562" s="8">
        <v>44321</v>
      </c>
      <c r="Q562" s="7" t="s">
        <v>32</v>
      </c>
      <c r="R562" s="7" t="s">
        <v>33</v>
      </c>
      <c r="S562" s="7" t="s">
        <v>34</v>
      </c>
      <c r="T562" s="7"/>
      <c r="U562" s="7" t="s">
        <v>35</v>
      </c>
      <c r="V562" s="9">
        <v>7000</v>
      </c>
      <c r="W562" s="9">
        <v>3018.4</v>
      </c>
      <c r="X562" s="9">
        <v>2787.4</v>
      </c>
      <c r="Y562" s="7">
        <v>0</v>
      </c>
      <c r="Z562" s="9">
        <v>1194.2</v>
      </c>
    </row>
    <row r="563" spans="1:26" x14ac:dyDescent="0.35">
      <c r="A563" s="7" t="s">
        <v>27</v>
      </c>
      <c r="B563" s="7" t="s">
        <v>28</v>
      </c>
      <c r="C563" s="7" t="s">
        <v>48</v>
      </c>
      <c r="D563" s="7" t="s">
        <v>59</v>
      </c>
      <c r="E563" s="7" t="s">
        <v>40</v>
      </c>
      <c r="F563" s="7" t="s">
        <v>165</v>
      </c>
      <c r="G563" s="7">
        <v>2017</v>
      </c>
      <c r="H563" s="7" t="str">
        <f>CONCATENATE("14270116560")</f>
        <v>14270116560</v>
      </c>
      <c r="I563" s="7" t="s">
        <v>30</v>
      </c>
      <c r="J563" s="7" t="s">
        <v>31</v>
      </c>
      <c r="K563" s="7" t="str">
        <f>CONCATENATE("")</f>
        <v/>
      </c>
      <c r="L563" s="7" t="str">
        <f>CONCATENATE("21 21.1 2a")</f>
        <v>21 21.1 2a</v>
      </c>
      <c r="M563" s="7" t="str">
        <f>CONCATENATE("FRMDVD83A22L500P")</f>
        <v>FRMDVD83A22L500P</v>
      </c>
      <c r="N563" s="7" t="s">
        <v>667</v>
      </c>
      <c r="O563" s="7" t="s">
        <v>78</v>
      </c>
      <c r="P563" s="8">
        <v>44321</v>
      </c>
      <c r="Q563" s="7" t="s">
        <v>32</v>
      </c>
      <c r="R563" s="7" t="s">
        <v>33</v>
      </c>
      <c r="S563" s="7" t="s">
        <v>34</v>
      </c>
      <c r="T563" s="7"/>
      <c r="U563" s="7" t="s">
        <v>35</v>
      </c>
      <c r="V563" s="9">
        <v>6378.14</v>
      </c>
      <c r="W563" s="9">
        <v>2750.25</v>
      </c>
      <c r="X563" s="9">
        <v>2539.7800000000002</v>
      </c>
      <c r="Y563" s="7">
        <v>0</v>
      </c>
      <c r="Z563" s="9">
        <v>1088.1099999999999</v>
      </c>
    </row>
    <row r="564" spans="1:26" x14ac:dyDescent="0.35">
      <c r="A564" s="7" t="s">
        <v>27</v>
      </c>
      <c r="B564" s="7" t="s">
        <v>28</v>
      </c>
      <c r="C564" s="7" t="s">
        <v>48</v>
      </c>
      <c r="D564" s="7" t="s">
        <v>56</v>
      </c>
      <c r="E564" s="7" t="s">
        <v>29</v>
      </c>
      <c r="F564" s="7" t="s">
        <v>152</v>
      </c>
      <c r="G564" s="7">
        <v>2017</v>
      </c>
      <c r="H564" s="7" t="str">
        <f>CONCATENATE("14270116404")</f>
        <v>14270116404</v>
      </c>
      <c r="I564" s="7" t="s">
        <v>30</v>
      </c>
      <c r="J564" s="7" t="s">
        <v>31</v>
      </c>
      <c r="K564" s="7" t="str">
        <f>CONCATENATE("")</f>
        <v/>
      </c>
      <c r="L564" s="7" t="str">
        <f>CONCATENATE("21 21.1 2a")</f>
        <v>21 21.1 2a</v>
      </c>
      <c r="M564" s="7" t="str">
        <f>CONCATENATE("GLLGRL69R30A271Z")</f>
        <v>GLLGRL69R30A271Z</v>
      </c>
      <c r="N564" s="7" t="s">
        <v>668</v>
      </c>
      <c r="O564" s="7" t="s">
        <v>78</v>
      </c>
      <c r="P564" s="8">
        <v>44321</v>
      </c>
      <c r="Q564" s="7" t="s">
        <v>32</v>
      </c>
      <c r="R564" s="7" t="s">
        <v>33</v>
      </c>
      <c r="S564" s="7" t="s">
        <v>34</v>
      </c>
      <c r="T564" s="7"/>
      <c r="U564" s="7" t="s">
        <v>35</v>
      </c>
      <c r="V564" s="9">
        <v>7000</v>
      </c>
      <c r="W564" s="9">
        <v>3018.4</v>
      </c>
      <c r="X564" s="9">
        <v>2787.4</v>
      </c>
      <c r="Y564" s="7">
        <v>0</v>
      </c>
      <c r="Z564" s="9">
        <v>1194.2</v>
      </c>
    </row>
    <row r="565" spans="1:26" ht="17.5" x14ac:dyDescent="0.35">
      <c r="A565" s="7" t="s">
        <v>27</v>
      </c>
      <c r="B565" s="7" t="s">
        <v>28</v>
      </c>
      <c r="C565" s="7" t="s">
        <v>48</v>
      </c>
      <c r="D565" s="7" t="s">
        <v>56</v>
      </c>
      <c r="E565" s="7" t="s">
        <v>29</v>
      </c>
      <c r="F565" s="7" t="s">
        <v>113</v>
      </c>
      <c r="G565" s="7">
        <v>2017</v>
      </c>
      <c r="H565" s="7" t="str">
        <f>CONCATENATE("14270116651")</f>
        <v>14270116651</v>
      </c>
      <c r="I565" s="7" t="s">
        <v>30</v>
      </c>
      <c r="J565" s="7" t="s">
        <v>31</v>
      </c>
      <c r="K565" s="7" t="str">
        <f>CONCATENATE("")</f>
        <v/>
      </c>
      <c r="L565" s="7" t="str">
        <f>CONCATENATE("21 21.1 2a")</f>
        <v>21 21.1 2a</v>
      </c>
      <c r="M565" s="7" t="str">
        <f>CONCATENATE("MNGGDU83T05D451P")</f>
        <v>MNGGDU83T05D451P</v>
      </c>
      <c r="N565" s="7" t="s">
        <v>669</v>
      </c>
      <c r="O565" s="7" t="s">
        <v>78</v>
      </c>
      <c r="P565" s="8">
        <v>44321</v>
      </c>
      <c r="Q565" s="7" t="s">
        <v>32</v>
      </c>
      <c r="R565" s="7" t="s">
        <v>33</v>
      </c>
      <c r="S565" s="7" t="s">
        <v>34</v>
      </c>
      <c r="T565" s="7"/>
      <c r="U565" s="7" t="s">
        <v>35</v>
      </c>
      <c r="V565" s="9">
        <v>7000</v>
      </c>
      <c r="W565" s="9">
        <v>3018.4</v>
      </c>
      <c r="X565" s="9">
        <v>2787.4</v>
      </c>
      <c r="Y565" s="7">
        <v>0</v>
      </c>
      <c r="Z565" s="9">
        <v>1194.2</v>
      </c>
    </row>
    <row r="566" spans="1:26" x14ac:dyDescent="0.35">
      <c r="A566" s="7" t="s">
        <v>27</v>
      </c>
      <c r="B566" s="7" t="s">
        <v>28</v>
      </c>
      <c r="C566" s="7" t="s">
        <v>48</v>
      </c>
      <c r="D566" s="7" t="s">
        <v>59</v>
      </c>
      <c r="E566" s="7" t="s">
        <v>43</v>
      </c>
      <c r="F566" s="7" t="s">
        <v>43</v>
      </c>
      <c r="G566" s="7">
        <v>2017</v>
      </c>
      <c r="H566" s="7" t="str">
        <f>CONCATENATE("14270127278")</f>
        <v>14270127278</v>
      </c>
      <c r="I566" s="7" t="s">
        <v>30</v>
      </c>
      <c r="J566" s="7" t="s">
        <v>31</v>
      </c>
      <c r="K566" s="7" t="str">
        <f>CONCATENATE("")</f>
        <v/>
      </c>
      <c r="L566" s="7" t="str">
        <f>CONCATENATE("8 8.6 5c")</f>
        <v>8 8.6 5c</v>
      </c>
      <c r="M566" s="7" t="str">
        <f>CONCATENATE("CCCFNC65A18I287O")</f>
        <v>CCCFNC65A18I287O</v>
      </c>
      <c r="N566" s="7" t="s">
        <v>493</v>
      </c>
      <c r="O566" s="7" t="s">
        <v>670</v>
      </c>
      <c r="P566" s="8">
        <v>44321</v>
      </c>
      <c r="Q566" s="7" t="s">
        <v>32</v>
      </c>
      <c r="R566" s="7" t="s">
        <v>45</v>
      </c>
      <c r="S566" s="7" t="s">
        <v>34</v>
      </c>
      <c r="T566" s="7"/>
      <c r="U566" s="7" t="s">
        <v>35</v>
      </c>
      <c r="V566" s="9">
        <v>38500</v>
      </c>
      <c r="W566" s="9">
        <v>16601.2</v>
      </c>
      <c r="X566" s="9">
        <v>15330.7</v>
      </c>
      <c r="Y566" s="7">
        <v>0</v>
      </c>
      <c r="Z566" s="9">
        <v>6568.1</v>
      </c>
    </row>
    <row r="567" spans="1:26" x14ac:dyDescent="0.35">
      <c r="A567" s="7" t="s">
        <v>27</v>
      </c>
      <c r="B567" s="7" t="s">
        <v>28</v>
      </c>
      <c r="C567" s="7" t="s">
        <v>48</v>
      </c>
      <c r="D567" s="7" t="s">
        <v>59</v>
      </c>
      <c r="E567" s="7" t="s">
        <v>43</v>
      </c>
      <c r="F567" s="7" t="s">
        <v>43</v>
      </c>
      <c r="G567" s="7">
        <v>2017</v>
      </c>
      <c r="H567" s="7" t="str">
        <f>CONCATENATE("14270117824")</f>
        <v>14270117824</v>
      </c>
      <c r="I567" s="7" t="s">
        <v>30</v>
      </c>
      <c r="J567" s="7" t="s">
        <v>31</v>
      </c>
      <c r="K567" s="7" t="str">
        <f>CONCATENATE("")</f>
        <v/>
      </c>
      <c r="L567" s="7" t="str">
        <f>CONCATENATE("21 21.1 2a")</f>
        <v>21 21.1 2a</v>
      </c>
      <c r="M567" s="7" t="str">
        <f>CONCATENATE("DAILCA73S47G479I")</f>
        <v>DAILCA73S47G479I</v>
      </c>
      <c r="N567" s="7" t="s">
        <v>671</v>
      </c>
      <c r="O567" s="7" t="s">
        <v>660</v>
      </c>
      <c r="P567" s="8">
        <v>44321</v>
      </c>
      <c r="Q567" s="7" t="s">
        <v>32</v>
      </c>
      <c r="R567" s="7" t="s">
        <v>33</v>
      </c>
      <c r="S567" s="7" t="s">
        <v>34</v>
      </c>
      <c r="T567" s="7"/>
      <c r="U567" s="7" t="s">
        <v>35</v>
      </c>
      <c r="V567" s="9">
        <v>7000</v>
      </c>
      <c r="W567" s="9">
        <v>3018.4</v>
      </c>
      <c r="X567" s="9">
        <v>2787.4</v>
      </c>
      <c r="Y567" s="7">
        <v>0</v>
      </c>
      <c r="Z567" s="9">
        <v>1194.2</v>
      </c>
    </row>
    <row r="568" spans="1:26" x14ac:dyDescent="0.35">
      <c r="A568" s="7" t="s">
        <v>27</v>
      </c>
      <c r="B568" s="7" t="s">
        <v>28</v>
      </c>
      <c r="C568" s="7" t="s">
        <v>48</v>
      </c>
      <c r="D568" s="7" t="s">
        <v>59</v>
      </c>
      <c r="E568" s="7" t="s">
        <v>40</v>
      </c>
      <c r="F568" s="7" t="s">
        <v>199</v>
      </c>
      <c r="G568" s="7">
        <v>2017</v>
      </c>
      <c r="H568" s="7" t="str">
        <f>CONCATENATE("14270117659")</f>
        <v>14270117659</v>
      </c>
      <c r="I568" s="7" t="s">
        <v>30</v>
      </c>
      <c r="J568" s="7" t="s">
        <v>31</v>
      </c>
      <c r="K568" s="7" t="str">
        <f>CONCATENATE("")</f>
        <v/>
      </c>
      <c r="L568" s="7" t="str">
        <f>CONCATENATE("21 21.1 2a")</f>
        <v>21 21.1 2a</v>
      </c>
      <c r="M568" s="7" t="str">
        <f>CONCATENATE("MDRLGU59A23I459U")</f>
        <v>MDRLGU59A23I459U</v>
      </c>
      <c r="N568" s="7" t="s">
        <v>672</v>
      </c>
      <c r="O568" s="7" t="s">
        <v>660</v>
      </c>
      <c r="P568" s="8">
        <v>44321</v>
      </c>
      <c r="Q568" s="7" t="s">
        <v>32</v>
      </c>
      <c r="R568" s="7" t="s">
        <v>33</v>
      </c>
      <c r="S568" s="7" t="s">
        <v>34</v>
      </c>
      <c r="T568" s="7"/>
      <c r="U568" s="7" t="s">
        <v>35</v>
      </c>
      <c r="V568" s="9">
        <v>2711.48</v>
      </c>
      <c r="W568" s="9">
        <v>1169.19</v>
      </c>
      <c r="X568" s="9">
        <v>1079.71</v>
      </c>
      <c r="Y568" s="7">
        <v>0</v>
      </c>
      <c r="Z568" s="7">
        <v>462.58</v>
      </c>
    </row>
    <row r="569" spans="1:26" x14ac:dyDescent="0.35">
      <c r="A569" s="7" t="s">
        <v>27</v>
      </c>
      <c r="B569" s="7" t="s">
        <v>28</v>
      </c>
      <c r="C569" s="7" t="s">
        <v>48</v>
      </c>
      <c r="D569" s="7" t="s">
        <v>49</v>
      </c>
      <c r="E569" s="7" t="s">
        <v>43</v>
      </c>
      <c r="F569" s="7" t="s">
        <v>43</v>
      </c>
      <c r="G569" s="7">
        <v>2017</v>
      </c>
      <c r="H569" s="7" t="str">
        <f>CONCATENATE("14270117758")</f>
        <v>14270117758</v>
      </c>
      <c r="I569" s="7" t="s">
        <v>30</v>
      </c>
      <c r="J569" s="7" t="s">
        <v>31</v>
      </c>
      <c r="K569" s="7" t="str">
        <f>CONCATENATE("")</f>
        <v/>
      </c>
      <c r="L569" s="7" t="str">
        <f>CONCATENATE("21 21.1 2a")</f>
        <v>21 21.1 2a</v>
      </c>
      <c r="M569" s="7" t="str">
        <f>CONCATENATE("02353760446")</f>
        <v>02353760446</v>
      </c>
      <c r="N569" s="7" t="s">
        <v>673</v>
      </c>
      <c r="O569" s="7" t="s">
        <v>660</v>
      </c>
      <c r="P569" s="8">
        <v>44321</v>
      </c>
      <c r="Q569" s="7" t="s">
        <v>32</v>
      </c>
      <c r="R569" s="7" t="s">
        <v>33</v>
      </c>
      <c r="S569" s="7" t="s">
        <v>34</v>
      </c>
      <c r="T569" s="7"/>
      <c r="U569" s="7" t="s">
        <v>35</v>
      </c>
      <c r="V569" s="9">
        <v>1000</v>
      </c>
      <c r="W569" s="7">
        <v>431.2</v>
      </c>
      <c r="X569" s="7">
        <v>398.2</v>
      </c>
      <c r="Y569" s="7">
        <v>0</v>
      </c>
      <c r="Z569" s="7">
        <v>170.6</v>
      </c>
    </row>
    <row r="570" spans="1:26" x14ac:dyDescent="0.35">
      <c r="A570" s="7" t="s">
        <v>27</v>
      </c>
      <c r="B570" s="7" t="s">
        <v>28</v>
      </c>
      <c r="C570" s="7" t="s">
        <v>48</v>
      </c>
      <c r="D570" s="7" t="s">
        <v>62</v>
      </c>
      <c r="E570" s="7" t="s">
        <v>43</v>
      </c>
      <c r="F570" s="7" t="s">
        <v>43</v>
      </c>
      <c r="G570" s="7">
        <v>2017</v>
      </c>
      <c r="H570" s="7" t="str">
        <f>CONCATENATE("14270117899")</f>
        <v>14270117899</v>
      </c>
      <c r="I570" s="7" t="s">
        <v>30</v>
      </c>
      <c r="J570" s="7" t="s">
        <v>31</v>
      </c>
      <c r="K570" s="7" t="str">
        <f>CONCATENATE("")</f>
        <v/>
      </c>
      <c r="L570" s="7" t="str">
        <f>CONCATENATE("21 21.1 2a")</f>
        <v>21 21.1 2a</v>
      </c>
      <c r="M570" s="7" t="str">
        <f>CONCATENATE("GRDDVD94T08A271V")</f>
        <v>GRDDVD94T08A271V</v>
      </c>
      <c r="N570" s="7" t="s">
        <v>674</v>
      </c>
      <c r="O570" s="7" t="s">
        <v>660</v>
      </c>
      <c r="P570" s="8">
        <v>44321</v>
      </c>
      <c r="Q570" s="7" t="s">
        <v>32</v>
      </c>
      <c r="R570" s="7" t="s">
        <v>33</v>
      </c>
      <c r="S570" s="7" t="s">
        <v>34</v>
      </c>
      <c r="T570" s="7"/>
      <c r="U570" s="7" t="s">
        <v>35</v>
      </c>
      <c r="V570" s="9">
        <v>4626.54</v>
      </c>
      <c r="W570" s="9">
        <v>1994.96</v>
      </c>
      <c r="X570" s="9">
        <v>1842.29</v>
      </c>
      <c r="Y570" s="7">
        <v>0</v>
      </c>
      <c r="Z570" s="7">
        <v>789.29</v>
      </c>
    </row>
    <row r="571" spans="1:26" x14ac:dyDescent="0.35">
      <c r="A571" s="7" t="s">
        <v>27</v>
      </c>
      <c r="B571" s="7" t="s">
        <v>28</v>
      </c>
      <c r="C571" s="7" t="s">
        <v>48</v>
      </c>
      <c r="D571" s="7" t="s">
        <v>56</v>
      </c>
      <c r="E571" s="7" t="s">
        <v>40</v>
      </c>
      <c r="F571" s="7" t="s">
        <v>272</v>
      </c>
      <c r="G571" s="7">
        <v>2017</v>
      </c>
      <c r="H571" s="7" t="str">
        <f>CONCATENATE("14270121735")</f>
        <v>14270121735</v>
      </c>
      <c r="I571" s="7" t="s">
        <v>30</v>
      </c>
      <c r="J571" s="7" t="s">
        <v>31</v>
      </c>
      <c r="K571" s="7" t="str">
        <f>CONCATENATE("")</f>
        <v/>
      </c>
      <c r="L571" s="7" t="str">
        <f>CONCATENATE("21 21.1 2a")</f>
        <v>21 21.1 2a</v>
      </c>
      <c r="M571" s="7" t="str">
        <f>CONCATENATE("JYTMHR82C02Z209F")</f>
        <v>JYTMHR82C02Z209F</v>
      </c>
      <c r="N571" s="7" t="s">
        <v>675</v>
      </c>
      <c r="O571" s="7" t="s">
        <v>660</v>
      </c>
      <c r="P571" s="8">
        <v>44321</v>
      </c>
      <c r="Q571" s="7" t="s">
        <v>32</v>
      </c>
      <c r="R571" s="7" t="s">
        <v>33</v>
      </c>
      <c r="S571" s="7" t="s">
        <v>34</v>
      </c>
      <c r="T571" s="7"/>
      <c r="U571" s="7" t="s">
        <v>35</v>
      </c>
      <c r="V571" s="9">
        <v>7000</v>
      </c>
      <c r="W571" s="9">
        <v>3018.4</v>
      </c>
      <c r="X571" s="9">
        <v>2787.4</v>
      </c>
      <c r="Y571" s="7">
        <v>0</v>
      </c>
      <c r="Z571" s="9">
        <v>1194.2</v>
      </c>
    </row>
    <row r="572" spans="1:26" x14ac:dyDescent="0.35">
      <c r="A572" s="7" t="s">
        <v>27</v>
      </c>
      <c r="B572" s="7" t="s">
        <v>28</v>
      </c>
      <c r="C572" s="7" t="s">
        <v>48</v>
      </c>
      <c r="D572" s="7" t="s">
        <v>49</v>
      </c>
      <c r="E572" s="7" t="s">
        <v>29</v>
      </c>
      <c r="F572" s="7" t="s">
        <v>76</v>
      </c>
      <c r="G572" s="7">
        <v>2017</v>
      </c>
      <c r="H572" s="7" t="str">
        <f>CONCATENATE("14270117998")</f>
        <v>14270117998</v>
      </c>
      <c r="I572" s="7" t="s">
        <v>30</v>
      </c>
      <c r="J572" s="7" t="s">
        <v>31</v>
      </c>
      <c r="K572" s="7" t="str">
        <f>CONCATENATE("")</f>
        <v/>
      </c>
      <c r="L572" s="7" t="str">
        <f>CONCATENATE("21 21.1 2a")</f>
        <v>21 21.1 2a</v>
      </c>
      <c r="M572" s="7" t="str">
        <f>CONCATENATE("LBCBGT46M64Z112U")</f>
        <v>LBCBGT46M64Z112U</v>
      </c>
      <c r="N572" s="7" t="s">
        <v>676</v>
      </c>
      <c r="O572" s="7" t="s">
        <v>660</v>
      </c>
      <c r="P572" s="8">
        <v>44321</v>
      </c>
      <c r="Q572" s="7" t="s">
        <v>32</v>
      </c>
      <c r="R572" s="7" t="s">
        <v>33</v>
      </c>
      <c r="S572" s="7" t="s">
        <v>34</v>
      </c>
      <c r="T572" s="7"/>
      <c r="U572" s="7" t="s">
        <v>35</v>
      </c>
      <c r="V572" s="9">
        <v>5861.9</v>
      </c>
      <c r="W572" s="9">
        <v>2527.65</v>
      </c>
      <c r="X572" s="9">
        <v>2334.21</v>
      </c>
      <c r="Y572" s="7">
        <v>0</v>
      </c>
      <c r="Z572" s="9">
        <v>1000.04</v>
      </c>
    </row>
    <row r="573" spans="1:26" x14ac:dyDescent="0.35">
      <c r="A573" s="7" t="s">
        <v>27</v>
      </c>
      <c r="B573" s="7" t="s">
        <v>28</v>
      </c>
      <c r="C573" s="7" t="s">
        <v>48</v>
      </c>
      <c r="D573" s="7" t="s">
        <v>62</v>
      </c>
      <c r="E573" s="7" t="s">
        <v>29</v>
      </c>
      <c r="F573" s="7" t="s">
        <v>216</v>
      </c>
      <c r="G573" s="7">
        <v>2017</v>
      </c>
      <c r="H573" s="7" t="str">
        <f>CONCATENATE("14270118079")</f>
        <v>14270118079</v>
      </c>
      <c r="I573" s="7" t="s">
        <v>30</v>
      </c>
      <c r="J573" s="7" t="s">
        <v>31</v>
      </c>
      <c r="K573" s="7" t="str">
        <f>CONCATENATE("")</f>
        <v/>
      </c>
      <c r="L573" s="7" t="str">
        <f>CONCATENATE("21 21.1 2a")</f>
        <v>21 21.1 2a</v>
      </c>
      <c r="M573" s="7" t="str">
        <f>CONCATENATE("MRCCHR80R45C770R")</f>
        <v>MRCCHR80R45C770R</v>
      </c>
      <c r="N573" s="7" t="s">
        <v>677</v>
      </c>
      <c r="O573" s="7" t="s">
        <v>660</v>
      </c>
      <c r="P573" s="8">
        <v>44321</v>
      </c>
      <c r="Q573" s="7" t="s">
        <v>32</v>
      </c>
      <c r="R573" s="7" t="s">
        <v>33</v>
      </c>
      <c r="S573" s="7" t="s">
        <v>34</v>
      </c>
      <c r="T573" s="7"/>
      <c r="U573" s="7" t="s">
        <v>35</v>
      </c>
      <c r="V573" s="9">
        <v>7000</v>
      </c>
      <c r="W573" s="9">
        <v>3018.4</v>
      </c>
      <c r="X573" s="9">
        <v>2787.4</v>
      </c>
      <c r="Y573" s="7">
        <v>0</v>
      </c>
      <c r="Z573" s="9">
        <v>1194.2</v>
      </c>
    </row>
    <row r="574" spans="1:26" x14ac:dyDescent="0.35">
      <c r="A574" s="7" t="s">
        <v>27</v>
      </c>
      <c r="B574" s="7" t="s">
        <v>28</v>
      </c>
      <c r="C574" s="7" t="s">
        <v>48</v>
      </c>
      <c r="D574" s="7" t="s">
        <v>56</v>
      </c>
      <c r="E574" s="7" t="s">
        <v>43</v>
      </c>
      <c r="F574" s="7" t="s">
        <v>43</v>
      </c>
      <c r="G574" s="7">
        <v>2017</v>
      </c>
      <c r="H574" s="7" t="str">
        <f>CONCATENATE("14270125850")</f>
        <v>14270125850</v>
      </c>
      <c r="I574" s="7" t="s">
        <v>30</v>
      </c>
      <c r="J574" s="7" t="s">
        <v>31</v>
      </c>
      <c r="K574" s="7" t="str">
        <f>CONCATENATE("")</f>
        <v/>
      </c>
      <c r="L574" s="7" t="str">
        <f>CONCATENATE("21 21.1 2a")</f>
        <v>21 21.1 2a</v>
      </c>
      <c r="M574" s="7" t="str">
        <f>CONCATENATE("02195020421")</f>
        <v>02195020421</v>
      </c>
      <c r="N574" s="7" t="s">
        <v>678</v>
      </c>
      <c r="O574" s="7" t="s">
        <v>660</v>
      </c>
      <c r="P574" s="8">
        <v>44321</v>
      </c>
      <c r="Q574" s="7" t="s">
        <v>32</v>
      </c>
      <c r="R574" s="7" t="s">
        <v>33</v>
      </c>
      <c r="S574" s="7" t="s">
        <v>34</v>
      </c>
      <c r="T574" s="7"/>
      <c r="U574" s="7" t="s">
        <v>35</v>
      </c>
      <c r="V574" s="9">
        <v>7000</v>
      </c>
      <c r="W574" s="9">
        <v>3018.4</v>
      </c>
      <c r="X574" s="9">
        <v>2787.4</v>
      </c>
      <c r="Y574" s="7">
        <v>0</v>
      </c>
      <c r="Z574" s="9">
        <v>1194.2</v>
      </c>
    </row>
    <row r="575" spans="1:26" x14ac:dyDescent="0.35">
      <c r="A575" s="7" t="s">
        <v>27</v>
      </c>
      <c r="B575" s="7" t="s">
        <v>28</v>
      </c>
      <c r="C575" s="7" t="s">
        <v>48</v>
      </c>
      <c r="D575" s="7" t="s">
        <v>62</v>
      </c>
      <c r="E575" s="7" t="s">
        <v>43</v>
      </c>
      <c r="F575" s="7" t="s">
        <v>43</v>
      </c>
      <c r="G575" s="7">
        <v>2017</v>
      </c>
      <c r="H575" s="7" t="str">
        <f>CONCATENATE("14270117808")</f>
        <v>14270117808</v>
      </c>
      <c r="I575" s="7" t="s">
        <v>30</v>
      </c>
      <c r="J575" s="7" t="s">
        <v>31</v>
      </c>
      <c r="K575" s="7" t="str">
        <f>CONCATENATE("")</f>
        <v/>
      </c>
      <c r="L575" s="7" t="str">
        <f>CONCATENATE("21 21.1 2a")</f>
        <v>21 21.1 2a</v>
      </c>
      <c r="M575" s="7" t="str">
        <f>CONCATENATE("PRFGLC68M10E783U")</f>
        <v>PRFGLC68M10E783U</v>
      </c>
      <c r="N575" s="7" t="s">
        <v>679</v>
      </c>
      <c r="O575" s="7" t="s">
        <v>660</v>
      </c>
      <c r="P575" s="8">
        <v>44321</v>
      </c>
      <c r="Q575" s="7" t="s">
        <v>32</v>
      </c>
      <c r="R575" s="7" t="s">
        <v>33</v>
      </c>
      <c r="S575" s="7" t="s">
        <v>34</v>
      </c>
      <c r="T575" s="7"/>
      <c r="U575" s="7" t="s">
        <v>35</v>
      </c>
      <c r="V575" s="9">
        <v>7000</v>
      </c>
      <c r="W575" s="9">
        <v>3018.4</v>
      </c>
      <c r="X575" s="9">
        <v>2787.4</v>
      </c>
      <c r="Y575" s="7">
        <v>0</v>
      </c>
      <c r="Z575" s="9">
        <v>1194.2</v>
      </c>
    </row>
    <row r="576" spans="1:26" x14ac:dyDescent="0.35">
      <c r="A576" s="7" t="s">
        <v>27</v>
      </c>
      <c r="B576" s="7" t="s">
        <v>28</v>
      </c>
      <c r="C576" s="7" t="s">
        <v>48</v>
      </c>
      <c r="D576" s="7" t="s">
        <v>62</v>
      </c>
      <c r="E576" s="7" t="s">
        <v>29</v>
      </c>
      <c r="F576" s="7" t="s">
        <v>86</v>
      </c>
      <c r="G576" s="7">
        <v>2017</v>
      </c>
      <c r="H576" s="7" t="str">
        <f>CONCATENATE("14270117923")</f>
        <v>14270117923</v>
      </c>
      <c r="I576" s="7" t="s">
        <v>30</v>
      </c>
      <c r="J576" s="7" t="s">
        <v>31</v>
      </c>
      <c r="K576" s="7" t="str">
        <f>CONCATENATE("")</f>
        <v/>
      </c>
      <c r="L576" s="7" t="str">
        <f>CONCATENATE("21 21.1 2a")</f>
        <v>21 21.1 2a</v>
      </c>
      <c r="M576" s="7" t="str">
        <f>CONCATENATE("TGNGRG85C24E388I")</f>
        <v>TGNGRG85C24E388I</v>
      </c>
      <c r="N576" s="7" t="s">
        <v>680</v>
      </c>
      <c r="O576" s="7" t="s">
        <v>660</v>
      </c>
      <c r="P576" s="8">
        <v>44321</v>
      </c>
      <c r="Q576" s="7" t="s">
        <v>32</v>
      </c>
      <c r="R576" s="7" t="s">
        <v>33</v>
      </c>
      <c r="S576" s="7" t="s">
        <v>34</v>
      </c>
      <c r="T576" s="7"/>
      <c r="U576" s="7" t="s">
        <v>35</v>
      </c>
      <c r="V576" s="9">
        <v>4393</v>
      </c>
      <c r="W576" s="9">
        <v>1894.26</v>
      </c>
      <c r="X576" s="9">
        <v>1749.29</v>
      </c>
      <c r="Y576" s="7">
        <v>0</v>
      </c>
      <c r="Z576" s="7">
        <v>749.45</v>
      </c>
    </row>
    <row r="577" spans="1:26" x14ac:dyDescent="0.35">
      <c r="A577" s="7" t="s">
        <v>27</v>
      </c>
      <c r="B577" s="7" t="s">
        <v>28</v>
      </c>
      <c r="C577" s="7" t="s">
        <v>48</v>
      </c>
      <c r="D577" s="7" t="s">
        <v>59</v>
      </c>
      <c r="E577" s="7" t="s">
        <v>44</v>
      </c>
      <c r="F577" s="7" t="s">
        <v>178</v>
      </c>
      <c r="G577" s="7">
        <v>2017</v>
      </c>
      <c r="H577" s="7" t="str">
        <f>CONCATENATE("14270118012")</f>
        <v>14270118012</v>
      </c>
      <c r="I577" s="7" t="s">
        <v>30</v>
      </c>
      <c r="J577" s="7" t="s">
        <v>31</v>
      </c>
      <c r="K577" s="7" t="str">
        <f>CONCATENATE("")</f>
        <v/>
      </c>
      <c r="L577" s="7" t="str">
        <f>CONCATENATE("21 21.1 2a")</f>
        <v>21 21.1 2a</v>
      </c>
      <c r="M577" s="7" t="str">
        <f>CONCATENATE("02099510410")</f>
        <v>02099510410</v>
      </c>
      <c r="N577" s="7" t="s">
        <v>681</v>
      </c>
      <c r="O577" s="7" t="s">
        <v>660</v>
      </c>
      <c r="P577" s="8">
        <v>44321</v>
      </c>
      <c r="Q577" s="7" t="s">
        <v>32</v>
      </c>
      <c r="R577" s="7" t="s">
        <v>33</v>
      </c>
      <c r="S577" s="7" t="s">
        <v>34</v>
      </c>
      <c r="T577" s="7"/>
      <c r="U577" s="7" t="s">
        <v>35</v>
      </c>
      <c r="V577" s="9">
        <v>7000</v>
      </c>
      <c r="W577" s="9">
        <v>3018.4</v>
      </c>
      <c r="X577" s="9">
        <v>2787.4</v>
      </c>
      <c r="Y577" s="7">
        <v>0</v>
      </c>
      <c r="Z577" s="9">
        <v>1194.2</v>
      </c>
    </row>
    <row r="578" spans="1:26" x14ac:dyDescent="0.35">
      <c r="A578" s="7" t="s">
        <v>27</v>
      </c>
      <c r="B578" s="7" t="s">
        <v>28</v>
      </c>
      <c r="C578" s="7" t="s">
        <v>48</v>
      </c>
      <c r="D578" s="7" t="s">
        <v>56</v>
      </c>
      <c r="E578" s="7" t="s">
        <v>43</v>
      </c>
      <c r="F578" s="7" t="s">
        <v>43</v>
      </c>
      <c r="G578" s="7">
        <v>2017</v>
      </c>
      <c r="H578" s="7" t="str">
        <f>CONCATENATE("14270117634")</f>
        <v>14270117634</v>
      </c>
      <c r="I578" s="7" t="s">
        <v>30</v>
      </c>
      <c r="J578" s="7" t="s">
        <v>31</v>
      </c>
      <c r="K578" s="7" t="str">
        <f>CONCATENATE("")</f>
        <v/>
      </c>
      <c r="L578" s="7" t="str">
        <f>CONCATENATE("21 21.1 2a")</f>
        <v>21 21.1 2a</v>
      </c>
      <c r="M578" s="7" t="str">
        <f>CONCATENATE("ZMPSVN64S53L746N")</f>
        <v>ZMPSVN64S53L746N</v>
      </c>
      <c r="N578" s="7" t="s">
        <v>682</v>
      </c>
      <c r="O578" s="7" t="s">
        <v>660</v>
      </c>
      <c r="P578" s="8">
        <v>44321</v>
      </c>
      <c r="Q578" s="7" t="s">
        <v>32</v>
      </c>
      <c r="R578" s="7" t="s">
        <v>33</v>
      </c>
      <c r="S578" s="7" t="s">
        <v>34</v>
      </c>
      <c r="T578" s="7"/>
      <c r="U578" s="7" t="s">
        <v>35</v>
      </c>
      <c r="V578" s="9">
        <v>7000</v>
      </c>
      <c r="W578" s="9">
        <v>3018.4</v>
      </c>
      <c r="X578" s="9">
        <v>2787.4</v>
      </c>
      <c r="Y578" s="7">
        <v>0</v>
      </c>
      <c r="Z578" s="9">
        <v>1194.2</v>
      </c>
    </row>
    <row r="579" spans="1:26" x14ac:dyDescent="0.35">
      <c r="A579" s="7" t="s">
        <v>27</v>
      </c>
      <c r="B579" s="7" t="s">
        <v>28</v>
      </c>
      <c r="C579" s="7" t="s">
        <v>48</v>
      </c>
      <c r="D579" s="7" t="s">
        <v>59</v>
      </c>
      <c r="E579" s="7" t="s">
        <v>44</v>
      </c>
      <c r="F579" s="7" t="s">
        <v>178</v>
      </c>
      <c r="G579" s="7">
        <v>2017</v>
      </c>
      <c r="H579" s="7" t="str">
        <f>CONCATENATE("14270117840")</f>
        <v>14270117840</v>
      </c>
      <c r="I579" s="7" t="s">
        <v>30</v>
      </c>
      <c r="J579" s="7" t="s">
        <v>31</v>
      </c>
      <c r="K579" s="7" t="str">
        <f>CONCATENATE("")</f>
        <v/>
      </c>
      <c r="L579" s="7" t="str">
        <f>CONCATENATE("21 21.1 2a")</f>
        <v>21 21.1 2a</v>
      </c>
      <c r="M579" s="7" t="str">
        <f>CONCATENATE("VNCRRT81H44D488F")</f>
        <v>VNCRRT81H44D488F</v>
      </c>
      <c r="N579" s="7" t="s">
        <v>683</v>
      </c>
      <c r="O579" s="7" t="s">
        <v>660</v>
      </c>
      <c r="P579" s="8">
        <v>44321</v>
      </c>
      <c r="Q579" s="7" t="s">
        <v>32</v>
      </c>
      <c r="R579" s="7" t="s">
        <v>33</v>
      </c>
      <c r="S579" s="7" t="s">
        <v>34</v>
      </c>
      <c r="T579" s="7"/>
      <c r="U579" s="7" t="s">
        <v>35</v>
      </c>
      <c r="V579" s="9">
        <v>1000</v>
      </c>
      <c r="W579" s="7">
        <v>431.2</v>
      </c>
      <c r="X579" s="7">
        <v>398.2</v>
      </c>
      <c r="Y579" s="7">
        <v>0</v>
      </c>
      <c r="Z579" s="7">
        <v>170.6</v>
      </c>
    </row>
    <row r="580" spans="1:26" x14ac:dyDescent="0.35">
      <c r="A580" s="7" t="s">
        <v>27</v>
      </c>
      <c r="B580" s="7" t="s">
        <v>28</v>
      </c>
      <c r="C580" s="7" t="s">
        <v>48</v>
      </c>
      <c r="D580" s="7" t="s">
        <v>56</v>
      </c>
      <c r="E580" s="7" t="s">
        <v>29</v>
      </c>
      <c r="F580" s="7" t="s">
        <v>82</v>
      </c>
      <c r="G580" s="7">
        <v>2017</v>
      </c>
      <c r="H580" s="7" t="str">
        <f>CONCATENATE("14270117865")</f>
        <v>14270117865</v>
      </c>
      <c r="I580" s="7" t="s">
        <v>30</v>
      </c>
      <c r="J580" s="7" t="s">
        <v>31</v>
      </c>
      <c r="K580" s="7" t="str">
        <f>CONCATENATE("")</f>
        <v/>
      </c>
      <c r="L580" s="7" t="str">
        <f>CONCATENATE("21 21.1 2a")</f>
        <v>21 21.1 2a</v>
      </c>
      <c r="M580" s="7" t="str">
        <f>CONCATENATE("CRTGCR59A23G003G")</f>
        <v>CRTGCR59A23G003G</v>
      </c>
      <c r="N580" s="7" t="s">
        <v>684</v>
      </c>
      <c r="O580" s="7" t="s">
        <v>660</v>
      </c>
      <c r="P580" s="8">
        <v>44321</v>
      </c>
      <c r="Q580" s="7" t="s">
        <v>32</v>
      </c>
      <c r="R580" s="7" t="s">
        <v>33</v>
      </c>
      <c r="S580" s="7" t="s">
        <v>34</v>
      </c>
      <c r="T580" s="7"/>
      <c r="U580" s="7" t="s">
        <v>35</v>
      </c>
      <c r="V580" s="9">
        <v>7000</v>
      </c>
      <c r="W580" s="9">
        <v>3018.4</v>
      </c>
      <c r="X580" s="9">
        <v>2787.4</v>
      </c>
      <c r="Y580" s="7">
        <v>0</v>
      </c>
      <c r="Z580" s="9">
        <v>1194.2</v>
      </c>
    </row>
    <row r="581" spans="1:26" x14ac:dyDescent="0.35">
      <c r="A581" s="7" t="s">
        <v>27</v>
      </c>
      <c r="B581" s="7" t="s">
        <v>28</v>
      </c>
      <c r="C581" s="7" t="s">
        <v>48</v>
      </c>
      <c r="D581" s="7" t="s">
        <v>49</v>
      </c>
      <c r="E581" s="7" t="s">
        <v>37</v>
      </c>
      <c r="F581" s="7" t="s">
        <v>93</v>
      </c>
      <c r="G581" s="7">
        <v>2017</v>
      </c>
      <c r="H581" s="7" t="str">
        <f>CONCATENATE("14270118111")</f>
        <v>14270118111</v>
      </c>
      <c r="I581" s="7" t="s">
        <v>30</v>
      </c>
      <c r="J581" s="7" t="s">
        <v>31</v>
      </c>
      <c r="K581" s="7" t="str">
        <f>CONCATENATE("")</f>
        <v/>
      </c>
      <c r="L581" s="7" t="str">
        <f>CONCATENATE("21 21.1 2a")</f>
        <v>21 21.1 2a</v>
      </c>
      <c r="M581" s="7" t="str">
        <f>CONCATENATE("GRGCLD78E46L103X")</f>
        <v>GRGCLD78E46L103X</v>
      </c>
      <c r="N581" s="7" t="s">
        <v>685</v>
      </c>
      <c r="O581" s="7" t="s">
        <v>660</v>
      </c>
      <c r="P581" s="8">
        <v>44321</v>
      </c>
      <c r="Q581" s="7" t="s">
        <v>32</v>
      </c>
      <c r="R581" s="7" t="s">
        <v>33</v>
      </c>
      <c r="S581" s="7" t="s">
        <v>34</v>
      </c>
      <c r="T581" s="7"/>
      <c r="U581" s="7" t="s">
        <v>35</v>
      </c>
      <c r="V581" s="9">
        <v>7000</v>
      </c>
      <c r="W581" s="9">
        <v>3018.4</v>
      </c>
      <c r="X581" s="9">
        <v>2787.4</v>
      </c>
      <c r="Y581" s="7">
        <v>0</v>
      </c>
      <c r="Z581" s="9">
        <v>1194.2</v>
      </c>
    </row>
    <row r="582" spans="1:26" x14ac:dyDescent="0.35">
      <c r="A582" s="7" t="s">
        <v>27</v>
      </c>
      <c r="B582" s="7" t="s">
        <v>28</v>
      </c>
      <c r="C582" s="7" t="s">
        <v>48</v>
      </c>
      <c r="D582" s="7" t="s">
        <v>62</v>
      </c>
      <c r="E582" s="7" t="s">
        <v>29</v>
      </c>
      <c r="F582" s="7" t="s">
        <v>86</v>
      </c>
      <c r="G582" s="7">
        <v>2017</v>
      </c>
      <c r="H582" s="7" t="str">
        <f>CONCATENATE("14270117964")</f>
        <v>14270117964</v>
      </c>
      <c r="I582" s="7" t="s">
        <v>30</v>
      </c>
      <c r="J582" s="7" t="s">
        <v>31</v>
      </c>
      <c r="K582" s="7" t="str">
        <f>CONCATENATE("")</f>
        <v/>
      </c>
      <c r="L582" s="7" t="str">
        <f>CONCATENATE("21 21.1 2a")</f>
        <v>21 21.1 2a</v>
      </c>
      <c r="M582" s="7" t="str">
        <f>CONCATENATE("BLLLSS71S21C704M")</f>
        <v>BLLLSS71S21C704M</v>
      </c>
      <c r="N582" s="7" t="s">
        <v>686</v>
      </c>
      <c r="O582" s="7" t="s">
        <v>660</v>
      </c>
      <c r="P582" s="8">
        <v>44321</v>
      </c>
      <c r="Q582" s="7" t="s">
        <v>32</v>
      </c>
      <c r="R582" s="7" t="s">
        <v>33</v>
      </c>
      <c r="S582" s="7" t="s">
        <v>34</v>
      </c>
      <c r="T582" s="7"/>
      <c r="U582" s="7" t="s">
        <v>35</v>
      </c>
      <c r="V582" s="9">
        <v>7000</v>
      </c>
      <c r="W582" s="9">
        <v>3018.4</v>
      </c>
      <c r="X582" s="9">
        <v>2787.4</v>
      </c>
      <c r="Y582" s="7">
        <v>0</v>
      </c>
      <c r="Z582" s="9">
        <v>1194.2</v>
      </c>
    </row>
    <row r="583" spans="1:26" x14ac:dyDescent="0.35">
      <c r="A583" s="7" t="s">
        <v>27</v>
      </c>
      <c r="B583" s="7" t="s">
        <v>28</v>
      </c>
      <c r="C583" s="7" t="s">
        <v>48</v>
      </c>
      <c r="D583" s="7" t="s">
        <v>62</v>
      </c>
      <c r="E583" s="7" t="s">
        <v>43</v>
      </c>
      <c r="F583" s="7" t="s">
        <v>43</v>
      </c>
      <c r="G583" s="7">
        <v>2017</v>
      </c>
      <c r="H583" s="7" t="str">
        <f>CONCATENATE("14270118228")</f>
        <v>14270118228</v>
      </c>
      <c r="I583" s="7" t="s">
        <v>30</v>
      </c>
      <c r="J583" s="7" t="s">
        <v>31</v>
      </c>
      <c r="K583" s="7" t="str">
        <f>CONCATENATE("")</f>
        <v/>
      </c>
      <c r="L583" s="7" t="str">
        <f>CONCATENATE("21 21.1 2a")</f>
        <v>21 21.1 2a</v>
      </c>
      <c r="M583" s="7" t="str">
        <f>CONCATENATE("BNFSFN90E15I156M")</f>
        <v>BNFSFN90E15I156M</v>
      </c>
      <c r="N583" s="7" t="s">
        <v>687</v>
      </c>
      <c r="O583" s="7" t="s">
        <v>660</v>
      </c>
      <c r="P583" s="8">
        <v>44321</v>
      </c>
      <c r="Q583" s="7" t="s">
        <v>32</v>
      </c>
      <c r="R583" s="7" t="s">
        <v>33</v>
      </c>
      <c r="S583" s="7" t="s">
        <v>34</v>
      </c>
      <c r="T583" s="7"/>
      <c r="U583" s="7" t="s">
        <v>35</v>
      </c>
      <c r="V583" s="9">
        <v>7000</v>
      </c>
      <c r="W583" s="9">
        <v>3018.4</v>
      </c>
      <c r="X583" s="9">
        <v>2787.4</v>
      </c>
      <c r="Y583" s="7">
        <v>0</v>
      </c>
      <c r="Z583" s="9">
        <v>1194.2</v>
      </c>
    </row>
    <row r="584" spans="1:26" x14ac:dyDescent="0.35">
      <c r="A584" s="7" t="s">
        <v>27</v>
      </c>
      <c r="B584" s="7" t="s">
        <v>28</v>
      </c>
      <c r="C584" s="7" t="s">
        <v>48</v>
      </c>
      <c r="D584" s="7" t="s">
        <v>56</v>
      </c>
      <c r="E584" s="7" t="s">
        <v>40</v>
      </c>
      <c r="F584" s="7" t="s">
        <v>272</v>
      </c>
      <c r="G584" s="7">
        <v>2017</v>
      </c>
      <c r="H584" s="7" t="str">
        <f>CONCATENATE("14270117790")</f>
        <v>14270117790</v>
      </c>
      <c r="I584" s="7" t="s">
        <v>30</v>
      </c>
      <c r="J584" s="7" t="s">
        <v>31</v>
      </c>
      <c r="K584" s="7" t="str">
        <f>CONCATENATE("")</f>
        <v/>
      </c>
      <c r="L584" s="7" t="str">
        <f>CONCATENATE("21 21.1 2a")</f>
        <v>21 21.1 2a</v>
      </c>
      <c r="M584" s="7" t="str">
        <f>CONCATENATE("CLACLD78D68L219R")</f>
        <v>CLACLD78D68L219R</v>
      </c>
      <c r="N584" s="7" t="s">
        <v>688</v>
      </c>
      <c r="O584" s="7" t="s">
        <v>660</v>
      </c>
      <c r="P584" s="8">
        <v>44321</v>
      </c>
      <c r="Q584" s="7" t="s">
        <v>32</v>
      </c>
      <c r="R584" s="7" t="s">
        <v>33</v>
      </c>
      <c r="S584" s="7" t="s">
        <v>34</v>
      </c>
      <c r="T584" s="7"/>
      <c r="U584" s="7" t="s">
        <v>35</v>
      </c>
      <c r="V584" s="9">
        <v>5203.25</v>
      </c>
      <c r="W584" s="9">
        <v>2243.64</v>
      </c>
      <c r="X584" s="9">
        <v>2071.9299999999998</v>
      </c>
      <c r="Y584" s="7">
        <v>0</v>
      </c>
      <c r="Z584" s="7">
        <v>887.68</v>
      </c>
    </row>
    <row r="585" spans="1:26" x14ac:dyDescent="0.35">
      <c r="A585" s="7" t="s">
        <v>27</v>
      </c>
      <c r="B585" s="7" t="s">
        <v>28</v>
      </c>
      <c r="C585" s="7" t="s">
        <v>48</v>
      </c>
      <c r="D585" s="7" t="s">
        <v>62</v>
      </c>
      <c r="E585" s="7" t="s">
        <v>29</v>
      </c>
      <c r="F585" s="7" t="s">
        <v>86</v>
      </c>
      <c r="G585" s="7">
        <v>2017</v>
      </c>
      <c r="H585" s="7" t="str">
        <f>CONCATENATE("14270117675")</f>
        <v>14270117675</v>
      </c>
      <c r="I585" s="7" t="s">
        <v>30</v>
      </c>
      <c r="J585" s="7" t="s">
        <v>31</v>
      </c>
      <c r="K585" s="7" t="str">
        <f>CONCATENATE("")</f>
        <v/>
      </c>
      <c r="L585" s="7" t="str">
        <f>CONCATENATE("21 21.1 2a")</f>
        <v>21 21.1 2a</v>
      </c>
      <c r="M585" s="7" t="str">
        <f>CONCATENATE("CHRLRA62S07L366U")</f>
        <v>CHRLRA62S07L366U</v>
      </c>
      <c r="N585" s="7" t="s">
        <v>689</v>
      </c>
      <c r="O585" s="7" t="s">
        <v>660</v>
      </c>
      <c r="P585" s="8">
        <v>44321</v>
      </c>
      <c r="Q585" s="7" t="s">
        <v>32</v>
      </c>
      <c r="R585" s="7" t="s">
        <v>33</v>
      </c>
      <c r="S585" s="7" t="s">
        <v>34</v>
      </c>
      <c r="T585" s="7"/>
      <c r="U585" s="7" t="s">
        <v>35</v>
      </c>
      <c r="V585" s="9">
        <v>7000</v>
      </c>
      <c r="W585" s="9">
        <v>3018.4</v>
      </c>
      <c r="X585" s="9">
        <v>2787.4</v>
      </c>
      <c r="Y585" s="7">
        <v>0</v>
      </c>
      <c r="Z585" s="9">
        <v>1194.2</v>
      </c>
    </row>
    <row r="586" spans="1:26" x14ac:dyDescent="0.35">
      <c r="A586" s="7" t="s">
        <v>27</v>
      </c>
      <c r="B586" s="7" t="s">
        <v>28</v>
      </c>
      <c r="C586" s="7" t="s">
        <v>48</v>
      </c>
      <c r="D586" s="7" t="s">
        <v>56</v>
      </c>
      <c r="E586" s="7" t="s">
        <v>44</v>
      </c>
      <c r="F586" s="7" t="s">
        <v>178</v>
      </c>
      <c r="G586" s="7">
        <v>2017</v>
      </c>
      <c r="H586" s="7" t="str">
        <f>CONCATENATE("14270117774")</f>
        <v>14270117774</v>
      </c>
      <c r="I586" s="7" t="s">
        <v>30</v>
      </c>
      <c r="J586" s="7" t="s">
        <v>31</v>
      </c>
      <c r="K586" s="7" t="str">
        <f>CONCATENATE("")</f>
        <v/>
      </c>
      <c r="L586" s="7" t="str">
        <f>CONCATENATE("21 21.1 2a")</f>
        <v>21 21.1 2a</v>
      </c>
      <c r="M586" s="7" t="str">
        <f>CONCATENATE("DTTCRD72M28D211Q")</f>
        <v>DTTCRD72M28D211Q</v>
      </c>
      <c r="N586" s="7" t="s">
        <v>690</v>
      </c>
      <c r="O586" s="7" t="s">
        <v>660</v>
      </c>
      <c r="P586" s="8">
        <v>44321</v>
      </c>
      <c r="Q586" s="7" t="s">
        <v>32</v>
      </c>
      <c r="R586" s="7" t="s">
        <v>33</v>
      </c>
      <c r="S586" s="7" t="s">
        <v>34</v>
      </c>
      <c r="T586" s="7"/>
      <c r="U586" s="7" t="s">
        <v>35</v>
      </c>
      <c r="V586" s="9">
        <v>3989.71</v>
      </c>
      <c r="W586" s="9">
        <v>1720.36</v>
      </c>
      <c r="X586" s="9">
        <v>1588.7</v>
      </c>
      <c r="Y586" s="7">
        <v>0</v>
      </c>
      <c r="Z586" s="7">
        <v>680.65</v>
      </c>
    </row>
    <row r="587" spans="1:26" x14ac:dyDescent="0.35">
      <c r="A587" s="7" t="s">
        <v>27</v>
      </c>
      <c r="B587" s="7" t="s">
        <v>28</v>
      </c>
      <c r="C587" s="7" t="s">
        <v>48</v>
      </c>
      <c r="D587" s="7" t="s">
        <v>49</v>
      </c>
      <c r="E587" s="7" t="s">
        <v>43</v>
      </c>
      <c r="F587" s="7" t="s">
        <v>43</v>
      </c>
      <c r="G587" s="7">
        <v>2017</v>
      </c>
      <c r="H587" s="7" t="str">
        <f>CONCATENATE("14270117584")</f>
        <v>14270117584</v>
      </c>
      <c r="I587" s="7" t="s">
        <v>30</v>
      </c>
      <c r="J587" s="7" t="s">
        <v>31</v>
      </c>
      <c r="K587" s="7" t="str">
        <f>CONCATENATE("")</f>
        <v/>
      </c>
      <c r="L587" s="7" t="str">
        <f>CONCATENATE("21 21.1 2a")</f>
        <v>21 21.1 2a</v>
      </c>
      <c r="M587" s="7" t="str">
        <f>CONCATENATE("01985370442")</f>
        <v>01985370442</v>
      </c>
      <c r="N587" s="7" t="s">
        <v>691</v>
      </c>
      <c r="O587" s="7" t="s">
        <v>660</v>
      </c>
      <c r="P587" s="8">
        <v>44321</v>
      </c>
      <c r="Q587" s="7" t="s">
        <v>32</v>
      </c>
      <c r="R587" s="7" t="s">
        <v>33</v>
      </c>
      <c r="S587" s="7" t="s">
        <v>34</v>
      </c>
      <c r="T587" s="7"/>
      <c r="U587" s="7" t="s">
        <v>35</v>
      </c>
      <c r="V587" s="9">
        <v>7000</v>
      </c>
      <c r="W587" s="9">
        <v>3018.4</v>
      </c>
      <c r="X587" s="9">
        <v>2787.4</v>
      </c>
      <c r="Y587" s="7">
        <v>0</v>
      </c>
      <c r="Z587" s="9">
        <v>1194.2</v>
      </c>
    </row>
    <row r="588" spans="1:26" x14ac:dyDescent="0.35">
      <c r="A588" s="7" t="s">
        <v>27</v>
      </c>
      <c r="B588" s="7" t="s">
        <v>28</v>
      </c>
      <c r="C588" s="7" t="s">
        <v>48</v>
      </c>
      <c r="D588" s="7" t="s">
        <v>49</v>
      </c>
      <c r="E588" s="7" t="s">
        <v>29</v>
      </c>
      <c r="F588" s="7" t="s">
        <v>138</v>
      </c>
      <c r="G588" s="7">
        <v>2017</v>
      </c>
      <c r="H588" s="7" t="str">
        <f>CONCATENATE("14270118095")</f>
        <v>14270118095</v>
      </c>
      <c r="I588" s="7" t="s">
        <v>30</v>
      </c>
      <c r="J588" s="7" t="s">
        <v>31</v>
      </c>
      <c r="K588" s="7" t="str">
        <f>CONCATENATE("")</f>
        <v/>
      </c>
      <c r="L588" s="7" t="str">
        <f>CONCATENATE("21 21.1 2a")</f>
        <v>21 21.1 2a</v>
      </c>
      <c r="M588" s="7" t="str">
        <f>CONCATENATE("VLLRSO35B43C321Y")</f>
        <v>VLLRSO35B43C321Y</v>
      </c>
      <c r="N588" s="7" t="s">
        <v>692</v>
      </c>
      <c r="O588" s="7" t="s">
        <v>660</v>
      </c>
      <c r="P588" s="8">
        <v>44321</v>
      </c>
      <c r="Q588" s="7" t="s">
        <v>32</v>
      </c>
      <c r="R588" s="7" t="s">
        <v>33</v>
      </c>
      <c r="S588" s="7" t="s">
        <v>34</v>
      </c>
      <c r="T588" s="7"/>
      <c r="U588" s="7" t="s">
        <v>35</v>
      </c>
      <c r="V588" s="9">
        <v>4060.3</v>
      </c>
      <c r="W588" s="9">
        <v>1750.8</v>
      </c>
      <c r="X588" s="9">
        <v>1616.81</v>
      </c>
      <c r="Y588" s="7">
        <v>0</v>
      </c>
      <c r="Z588" s="7">
        <v>692.69</v>
      </c>
    </row>
    <row r="589" spans="1:26" ht="17.5" x14ac:dyDescent="0.35">
      <c r="A589" s="7" t="s">
        <v>27</v>
      </c>
      <c r="B589" s="7" t="s">
        <v>28</v>
      </c>
      <c r="C589" s="7" t="s">
        <v>48</v>
      </c>
      <c r="D589" s="7" t="s">
        <v>62</v>
      </c>
      <c r="E589" s="7" t="s">
        <v>43</v>
      </c>
      <c r="F589" s="7" t="s">
        <v>43</v>
      </c>
      <c r="G589" s="7">
        <v>2017</v>
      </c>
      <c r="H589" s="7" t="str">
        <f>CONCATENATE("14270117980")</f>
        <v>14270117980</v>
      </c>
      <c r="I589" s="7" t="s">
        <v>30</v>
      </c>
      <c r="J589" s="7" t="s">
        <v>31</v>
      </c>
      <c r="K589" s="7" t="str">
        <f>CONCATENATE("")</f>
        <v/>
      </c>
      <c r="L589" s="7" t="str">
        <f>CONCATENATE("21 21.1 2a")</f>
        <v>21 21.1 2a</v>
      </c>
      <c r="M589" s="7" t="str">
        <f>CONCATENATE("DLMMKN77M56Z127N")</f>
        <v>DLMMKN77M56Z127N</v>
      </c>
      <c r="N589" s="7" t="s">
        <v>693</v>
      </c>
      <c r="O589" s="7" t="s">
        <v>660</v>
      </c>
      <c r="P589" s="8">
        <v>44321</v>
      </c>
      <c r="Q589" s="7" t="s">
        <v>32</v>
      </c>
      <c r="R589" s="7" t="s">
        <v>33</v>
      </c>
      <c r="S589" s="7" t="s">
        <v>34</v>
      </c>
      <c r="T589" s="7"/>
      <c r="U589" s="7" t="s">
        <v>35</v>
      </c>
      <c r="V589" s="9">
        <v>7000</v>
      </c>
      <c r="W589" s="9">
        <v>3018.4</v>
      </c>
      <c r="X589" s="9">
        <v>2787.4</v>
      </c>
      <c r="Y589" s="7">
        <v>0</v>
      </c>
      <c r="Z589" s="9">
        <v>1194.2</v>
      </c>
    </row>
    <row r="590" spans="1:26" x14ac:dyDescent="0.35">
      <c r="A590" s="7" t="s">
        <v>27</v>
      </c>
      <c r="B590" s="7" t="s">
        <v>28</v>
      </c>
      <c r="C590" s="7" t="s">
        <v>48</v>
      </c>
      <c r="D590" s="7" t="s">
        <v>49</v>
      </c>
      <c r="E590" s="7" t="s">
        <v>43</v>
      </c>
      <c r="F590" s="7" t="s">
        <v>43</v>
      </c>
      <c r="G590" s="7">
        <v>2017</v>
      </c>
      <c r="H590" s="7" t="str">
        <f>CONCATENATE("14270118103")</f>
        <v>14270118103</v>
      </c>
      <c r="I590" s="7" t="s">
        <v>30</v>
      </c>
      <c r="J590" s="7" t="s">
        <v>31</v>
      </c>
      <c r="K590" s="7" t="str">
        <f>CONCATENATE("")</f>
        <v/>
      </c>
      <c r="L590" s="7" t="str">
        <f>CONCATENATE("21 21.1 2a")</f>
        <v>21 21.1 2a</v>
      </c>
      <c r="M590" s="7" t="str">
        <f>CONCATENATE("FRRMTT80S24D542U")</f>
        <v>FRRMTT80S24D542U</v>
      </c>
      <c r="N590" s="7" t="s">
        <v>694</v>
      </c>
      <c r="O590" s="7" t="s">
        <v>660</v>
      </c>
      <c r="P590" s="8">
        <v>44321</v>
      </c>
      <c r="Q590" s="7" t="s">
        <v>32</v>
      </c>
      <c r="R590" s="7" t="s">
        <v>33</v>
      </c>
      <c r="S590" s="7" t="s">
        <v>34</v>
      </c>
      <c r="T590" s="7"/>
      <c r="U590" s="7" t="s">
        <v>35</v>
      </c>
      <c r="V590" s="9">
        <v>7000</v>
      </c>
      <c r="W590" s="9">
        <v>3018.4</v>
      </c>
      <c r="X590" s="9">
        <v>2787.4</v>
      </c>
      <c r="Y590" s="7">
        <v>0</v>
      </c>
      <c r="Z590" s="9">
        <v>1194.2</v>
      </c>
    </row>
    <row r="591" spans="1:26" x14ac:dyDescent="0.35">
      <c r="A591" s="7" t="s">
        <v>27</v>
      </c>
      <c r="B591" s="7" t="s">
        <v>28</v>
      </c>
      <c r="C591" s="7" t="s">
        <v>48</v>
      </c>
      <c r="D591" s="7" t="s">
        <v>62</v>
      </c>
      <c r="E591" s="7" t="s">
        <v>29</v>
      </c>
      <c r="F591" s="7" t="s">
        <v>176</v>
      </c>
      <c r="G591" s="7">
        <v>2017</v>
      </c>
      <c r="H591" s="7" t="str">
        <f>CONCATENATE("14270117956")</f>
        <v>14270117956</v>
      </c>
      <c r="I591" s="7" t="s">
        <v>30</v>
      </c>
      <c r="J591" s="7" t="s">
        <v>31</v>
      </c>
      <c r="K591" s="7" t="str">
        <f>CONCATENATE("")</f>
        <v/>
      </c>
      <c r="L591" s="7" t="str">
        <f>CONCATENATE("21 21.1 2a")</f>
        <v>21 21.1 2a</v>
      </c>
      <c r="M591" s="7" t="str">
        <f>CONCATENATE("01674000433")</f>
        <v>01674000433</v>
      </c>
      <c r="N591" s="7" t="s">
        <v>695</v>
      </c>
      <c r="O591" s="7" t="s">
        <v>660</v>
      </c>
      <c r="P591" s="8">
        <v>44321</v>
      </c>
      <c r="Q591" s="7" t="s">
        <v>32</v>
      </c>
      <c r="R591" s="7" t="s">
        <v>33</v>
      </c>
      <c r="S591" s="7" t="s">
        <v>34</v>
      </c>
      <c r="T591" s="7"/>
      <c r="U591" s="7" t="s">
        <v>35</v>
      </c>
      <c r="V591" s="9">
        <v>7000</v>
      </c>
      <c r="W591" s="9">
        <v>3018.4</v>
      </c>
      <c r="X591" s="9">
        <v>2787.4</v>
      </c>
      <c r="Y591" s="7">
        <v>0</v>
      </c>
      <c r="Z591" s="9">
        <v>1194.2</v>
      </c>
    </row>
    <row r="592" spans="1:26" x14ac:dyDescent="0.35">
      <c r="A592" s="7" t="s">
        <v>27</v>
      </c>
      <c r="B592" s="7" t="s">
        <v>28</v>
      </c>
      <c r="C592" s="7" t="s">
        <v>48</v>
      </c>
      <c r="D592" s="7" t="s">
        <v>49</v>
      </c>
      <c r="E592" s="7" t="s">
        <v>29</v>
      </c>
      <c r="F592" s="7" t="s">
        <v>138</v>
      </c>
      <c r="G592" s="7">
        <v>2017</v>
      </c>
      <c r="H592" s="7" t="str">
        <f>CONCATENATE("14270117907")</f>
        <v>14270117907</v>
      </c>
      <c r="I592" s="7" t="s">
        <v>30</v>
      </c>
      <c r="J592" s="7" t="s">
        <v>31</v>
      </c>
      <c r="K592" s="7" t="str">
        <f>CONCATENATE("")</f>
        <v/>
      </c>
      <c r="L592" s="7" t="str">
        <f>CONCATENATE("21 21.1 2a")</f>
        <v>21 21.1 2a</v>
      </c>
      <c r="M592" s="7" t="str">
        <f>CONCATENATE("GMNPRI61L28F415R")</f>
        <v>GMNPRI61L28F415R</v>
      </c>
      <c r="N592" s="7" t="s">
        <v>696</v>
      </c>
      <c r="O592" s="7" t="s">
        <v>660</v>
      </c>
      <c r="P592" s="8">
        <v>44321</v>
      </c>
      <c r="Q592" s="7" t="s">
        <v>32</v>
      </c>
      <c r="R592" s="7" t="s">
        <v>33</v>
      </c>
      <c r="S592" s="7" t="s">
        <v>34</v>
      </c>
      <c r="T592" s="7"/>
      <c r="U592" s="7" t="s">
        <v>35</v>
      </c>
      <c r="V592" s="9">
        <v>3559.06</v>
      </c>
      <c r="W592" s="9">
        <v>1534.67</v>
      </c>
      <c r="X592" s="9">
        <v>1417.22</v>
      </c>
      <c r="Y592" s="7">
        <v>0</v>
      </c>
      <c r="Z592" s="7">
        <v>607.16999999999996</v>
      </c>
    </row>
    <row r="593" spans="1:26" x14ac:dyDescent="0.35">
      <c r="A593" s="7" t="s">
        <v>27</v>
      </c>
      <c r="B593" s="7" t="s">
        <v>28</v>
      </c>
      <c r="C593" s="7" t="s">
        <v>48</v>
      </c>
      <c r="D593" s="7" t="s">
        <v>49</v>
      </c>
      <c r="E593" s="7" t="s">
        <v>37</v>
      </c>
      <c r="F593" s="7" t="s">
        <v>93</v>
      </c>
      <c r="G593" s="7">
        <v>2017</v>
      </c>
      <c r="H593" s="7" t="str">
        <f>CONCATENATE("14270117832")</f>
        <v>14270117832</v>
      </c>
      <c r="I593" s="7" t="s">
        <v>30</v>
      </c>
      <c r="J593" s="7" t="s">
        <v>31</v>
      </c>
      <c r="K593" s="7" t="str">
        <f>CONCATENATE("")</f>
        <v/>
      </c>
      <c r="L593" s="7" t="str">
        <f>CONCATENATE("21 21.1 2a")</f>
        <v>21 21.1 2a</v>
      </c>
      <c r="M593" s="7" t="str">
        <f>CONCATENATE("STRDRN39L64D096W")</f>
        <v>STRDRN39L64D096W</v>
      </c>
      <c r="N593" s="7" t="s">
        <v>697</v>
      </c>
      <c r="O593" s="7" t="s">
        <v>660</v>
      </c>
      <c r="P593" s="8">
        <v>44321</v>
      </c>
      <c r="Q593" s="7" t="s">
        <v>32</v>
      </c>
      <c r="R593" s="7" t="s">
        <v>33</v>
      </c>
      <c r="S593" s="7" t="s">
        <v>34</v>
      </c>
      <c r="T593" s="7"/>
      <c r="U593" s="7" t="s">
        <v>35</v>
      </c>
      <c r="V593" s="9">
        <v>7000</v>
      </c>
      <c r="W593" s="9">
        <v>3018.4</v>
      </c>
      <c r="X593" s="9">
        <v>2787.4</v>
      </c>
      <c r="Y593" s="7">
        <v>0</v>
      </c>
      <c r="Z593" s="9">
        <v>1194.2</v>
      </c>
    </row>
    <row r="594" spans="1:26" x14ac:dyDescent="0.35">
      <c r="A594" s="7" t="s">
        <v>27</v>
      </c>
      <c r="B594" s="7" t="s">
        <v>28</v>
      </c>
      <c r="C594" s="7" t="s">
        <v>48</v>
      </c>
      <c r="D594" s="7" t="s">
        <v>59</v>
      </c>
      <c r="E594" s="7" t="s">
        <v>29</v>
      </c>
      <c r="F594" s="7" t="s">
        <v>371</v>
      </c>
      <c r="G594" s="7">
        <v>2017</v>
      </c>
      <c r="H594" s="7" t="str">
        <f>CONCATENATE("14270117592")</f>
        <v>14270117592</v>
      </c>
      <c r="I594" s="7" t="s">
        <v>30</v>
      </c>
      <c r="J594" s="7" t="s">
        <v>31</v>
      </c>
      <c r="K594" s="7" t="str">
        <f>CONCATENATE("")</f>
        <v/>
      </c>
      <c r="L594" s="7" t="str">
        <f>CONCATENATE("21 21.1 2a")</f>
        <v>21 21.1 2a</v>
      </c>
      <c r="M594" s="7" t="str">
        <f>CONCATENATE("GRRMSM69C15F135K")</f>
        <v>GRRMSM69C15F135K</v>
      </c>
      <c r="N594" s="7" t="s">
        <v>698</v>
      </c>
      <c r="O594" s="7" t="s">
        <v>660</v>
      </c>
      <c r="P594" s="8">
        <v>44321</v>
      </c>
      <c r="Q594" s="7" t="s">
        <v>32</v>
      </c>
      <c r="R594" s="7" t="s">
        <v>33</v>
      </c>
      <c r="S594" s="7" t="s">
        <v>34</v>
      </c>
      <c r="T594" s="7"/>
      <c r="U594" s="7" t="s">
        <v>35</v>
      </c>
      <c r="V594" s="9">
        <v>7000</v>
      </c>
      <c r="W594" s="9">
        <v>3018.4</v>
      </c>
      <c r="X594" s="9">
        <v>2787.4</v>
      </c>
      <c r="Y594" s="7">
        <v>0</v>
      </c>
      <c r="Z594" s="9">
        <v>1194.2</v>
      </c>
    </row>
    <row r="595" spans="1:26" x14ac:dyDescent="0.35">
      <c r="A595" s="7" t="s">
        <v>27</v>
      </c>
      <c r="B595" s="7" t="s">
        <v>28</v>
      </c>
      <c r="C595" s="7" t="s">
        <v>48</v>
      </c>
      <c r="D595" s="7" t="s">
        <v>56</v>
      </c>
      <c r="E595" s="7" t="s">
        <v>29</v>
      </c>
      <c r="F595" s="7" t="s">
        <v>128</v>
      </c>
      <c r="G595" s="7">
        <v>2017</v>
      </c>
      <c r="H595" s="7" t="str">
        <f>CONCATENATE("14270118053")</f>
        <v>14270118053</v>
      </c>
      <c r="I595" s="7" t="s">
        <v>30</v>
      </c>
      <c r="J595" s="7" t="s">
        <v>31</v>
      </c>
      <c r="K595" s="7" t="str">
        <f>CONCATENATE("")</f>
        <v/>
      </c>
      <c r="L595" s="7" t="str">
        <f>CONCATENATE("21 21.1 2a")</f>
        <v>21 21.1 2a</v>
      </c>
      <c r="M595" s="7" t="str">
        <f>CONCATENATE("GRRLDN60C45E388Q")</f>
        <v>GRRLDN60C45E388Q</v>
      </c>
      <c r="N595" s="7" t="s">
        <v>699</v>
      </c>
      <c r="O595" s="7" t="s">
        <v>660</v>
      </c>
      <c r="P595" s="8">
        <v>44321</v>
      </c>
      <c r="Q595" s="7" t="s">
        <v>32</v>
      </c>
      <c r="R595" s="7" t="s">
        <v>33</v>
      </c>
      <c r="S595" s="7" t="s">
        <v>34</v>
      </c>
      <c r="T595" s="7"/>
      <c r="U595" s="7" t="s">
        <v>35</v>
      </c>
      <c r="V595" s="9">
        <v>6579.92</v>
      </c>
      <c r="W595" s="9">
        <v>2837.26</v>
      </c>
      <c r="X595" s="9">
        <v>2620.12</v>
      </c>
      <c r="Y595" s="7">
        <v>0</v>
      </c>
      <c r="Z595" s="9">
        <v>1122.54</v>
      </c>
    </row>
    <row r="596" spans="1:26" x14ac:dyDescent="0.35">
      <c r="A596" s="7" t="s">
        <v>27</v>
      </c>
      <c r="B596" s="7" t="s">
        <v>28</v>
      </c>
      <c r="C596" s="7" t="s">
        <v>48</v>
      </c>
      <c r="D596" s="7" t="s">
        <v>56</v>
      </c>
      <c r="E596" s="7" t="s">
        <v>43</v>
      </c>
      <c r="F596" s="7" t="s">
        <v>43</v>
      </c>
      <c r="G596" s="7">
        <v>2017</v>
      </c>
      <c r="H596" s="7" t="str">
        <f>CONCATENATE("14270118236")</f>
        <v>14270118236</v>
      </c>
      <c r="I596" s="7" t="s">
        <v>30</v>
      </c>
      <c r="J596" s="7" t="s">
        <v>31</v>
      </c>
      <c r="K596" s="7" t="str">
        <f>CONCATENATE("")</f>
        <v/>
      </c>
      <c r="L596" s="7" t="str">
        <f>CONCATENATE("21 21.1 2a")</f>
        <v>21 21.1 2a</v>
      </c>
      <c r="M596" s="7" t="str">
        <f>CONCATENATE("KRSSFN78C42Z133T")</f>
        <v>KRSSFN78C42Z133T</v>
      </c>
      <c r="N596" s="7" t="s">
        <v>700</v>
      </c>
      <c r="O596" s="7" t="s">
        <v>660</v>
      </c>
      <c r="P596" s="8">
        <v>44321</v>
      </c>
      <c r="Q596" s="7" t="s">
        <v>32</v>
      </c>
      <c r="R596" s="7" t="s">
        <v>33</v>
      </c>
      <c r="S596" s="7" t="s">
        <v>34</v>
      </c>
      <c r="T596" s="7"/>
      <c r="U596" s="7" t="s">
        <v>35</v>
      </c>
      <c r="V596" s="9">
        <v>1000</v>
      </c>
      <c r="W596" s="7">
        <v>431.2</v>
      </c>
      <c r="X596" s="7">
        <v>398.2</v>
      </c>
      <c r="Y596" s="7">
        <v>0</v>
      </c>
      <c r="Z596" s="7">
        <v>170.6</v>
      </c>
    </row>
    <row r="597" spans="1:26" x14ac:dyDescent="0.35">
      <c r="A597" s="7" t="s">
        <v>27</v>
      </c>
      <c r="B597" s="7" t="s">
        <v>28</v>
      </c>
      <c r="C597" s="7" t="s">
        <v>48</v>
      </c>
      <c r="D597" s="7" t="s">
        <v>62</v>
      </c>
      <c r="E597" s="7" t="s">
        <v>29</v>
      </c>
      <c r="F597" s="7" t="s">
        <v>176</v>
      </c>
      <c r="G597" s="7">
        <v>2017</v>
      </c>
      <c r="H597" s="7" t="str">
        <f>CONCATENATE("14270117766")</f>
        <v>14270117766</v>
      </c>
      <c r="I597" s="7" t="s">
        <v>30</v>
      </c>
      <c r="J597" s="7" t="s">
        <v>31</v>
      </c>
      <c r="K597" s="7" t="str">
        <f>CONCATENATE("")</f>
        <v/>
      </c>
      <c r="L597" s="7" t="str">
        <f>CONCATENATE("21 21.1 2a")</f>
        <v>21 21.1 2a</v>
      </c>
      <c r="M597" s="7" t="str">
        <f>CONCATENATE("LMBGLN62D26H876Y")</f>
        <v>LMBGLN62D26H876Y</v>
      </c>
      <c r="N597" s="7" t="s">
        <v>701</v>
      </c>
      <c r="O597" s="7" t="s">
        <v>660</v>
      </c>
      <c r="P597" s="8">
        <v>44321</v>
      </c>
      <c r="Q597" s="7" t="s">
        <v>32</v>
      </c>
      <c r="R597" s="7" t="s">
        <v>33</v>
      </c>
      <c r="S597" s="7" t="s">
        <v>34</v>
      </c>
      <c r="T597" s="7"/>
      <c r="U597" s="7" t="s">
        <v>35</v>
      </c>
      <c r="V597" s="9">
        <v>7000</v>
      </c>
      <c r="W597" s="9">
        <v>3018.4</v>
      </c>
      <c r="X597" s="9">
        <v>2787.4</v>
      </c>
      <c r="Y597" s="7">
        <v>0</v>
      </c>
      <c r="Z597" s="9">
        <v>1194.2</v>
      </c>
    </row>
    <row r="598" spans="1:26" x14ac:dyDescent="0.35">
      <c r="A598" s="7" t="s">
        <v>27</v>
      </c>
      <c r="B598" s="7" t="s">
        <v>28</v>
      </c>
      <c r="C598" s="7" t="s">
        <v>48</v>
      </c>
      <c r="D598" s="7" t="s">
        <v>59</v>
      </c>
      <c r="E598" s="7" t="s">
        <v>29</v>
      </c>
      <c r="F598" s="7" t="s">
        <v>371</v>
      </c>
      <c r="G598" s="7">
        <v>2017</v>
      </c>
      <c r="H598" s="7" t="str">
        <f>CONCATENATE("14270117972")</f>
        <v>14270117972</v>
      </c>
      <c r="I598" s="7" t="s">
        <v>30</v>
      </c>
      <c r="J598" s="7" t="s">
        <v>31</v>
      </c>
      <c r="K598" s="7" t="str">
        <f>CONCATENATE("")</f>
        <v/>
      </c>
      <c r="L598" s="7" t="str">
        <f>CONCATENATE("21 21.1 2a")</f>
        <v>21 21.1 2a</v>
      </c>
      <c r="M598" s="7" t="str">
        <f>CONCATENATE("LRGGPP55R17I459R")</f>
        <v>LRGGPP55R17I459R</v>
      </c>
      <c r="N598" s="7" t="s">
        <v>702</v>
      </c>
      <c r="O598" s="7" t="s">
        <v>660</v>
      </c>
      <c r="P598" s="8">
        <v>44321</v>
      </c>
      <c r="Q598" s="7" t="s">
        <v>32</v>
      </c>
      <c r="R598" s="7" t="s">
        <v>33</v>
      </c>
      <c r="S598" s="7" t="s">
        <v>34</v>
      </c>
      <c r="T598" s="7"/>
      <c r="U598" s="7" t="s">
        <v>35</v>
      </c>
      <c r="V598" s="9">
        <v>2501.13</v>
      </c>
      <c r="W598" s="9">
        <v>1078.49</v>
      </c>
      <c r="X598" s="7">
        <v>995.95</v>
      </c>
      <c r="Y598" s="7">
        <v>0</v>
      </c>
      <c r="Z598" s="7">
        <v>426.69</v>
      </c>
    </row>
    <row r="599" spans="1:26" x14ac:dyDescent="0.35">
      <c r="A599" s="7" t="s">
        <v>27</v>
      </c>
      <c r="B599" s="7" t="s">
        <v>28</v>
      </c>
      <c r="C599" s="7" t="s">
        <v>48</v>
      </c>
      <c r="D599" s="7" t="s">
        <v>56</v>
      </c>
      <c r="E599" s="7" t="s">
        <v>29</v>
      </c>
      <c r="F599" s="7" t="s">
        <v>82</v>
      </c>
      <c r="G599" s="7">
        <v>2017</v>
      </c>
      <c r="H599" s="7" t="str">
        <f>CONCATENATE("14270117683")</f>
        <v>14270117683</v>
      </c>
      <c r="I599" s="7" t="s">
        <v>30</v>
      </c>
      <c r="J599" s="7" t="s">
        <v>31</v>
      </c>
      <c r="K599" s="7" t="str">
        <f>CONCATENATE("")</f>
        <v/>
      </c>
      <c r="L599" s="7" t="str">
        <f>CONCATENATE("21 21.1 2a")</f>
        <v>21 21.1 2a</v>
      </c>
      <c r="M599" s="7" t="str">
        <f>CONCATENATE("LLLMHC64B22Z112D")</f>
        <v>LLLMHC64B22Z112D</v>
      </c>
      <c r="N599" s="7" t="s">
        <v>703</v>
      </c>
      <c r="O599" s="7" t="s">
        <v>660</v>
      </c>
      <c r="P599" s="8">
        <v>44321</v>
      </c>
      <c r="Q599" s="7" t="s">
        <v>32</v>
      </c>
      <c r="R599" s="7" t="s">
        <v>33</v>
      </c>
      <c r="S599" s="7" t="s">
        <v>34</v>
      </c>
      <c r="T599" s="7"/>
      <c r="U599" s="7" t="s">
        <v>35</v>
      </c>
      <c r="V599" s="9">
        <v>7000</v>
      </c>
      <c r="W599" s="9">
        <v>3018.4</v>
      </c>
      <c r="X599" s="9">
        <v>2787.4</v>
      </c>
      <c r="Y599" s="7">
        <v>0</v>
      </c>
      <c r="Z599" s="9">
        <v>1194.2</v>
      </c>
    </row>
    <row r="600" spans="1:26" x14ac:dyDescent="0.35">
      <c r="A600" s="7" t="s">
        <v>27</v>
      </c>
      <c r="B600" s="7" t="s">
        <v>28</v>
      </c>
      <c r="C600" s="7" t="s">
        <v>48</v>
      </c>
      <c r="D600" s="7" t="s">
        <v>49</v>
      </c>
      <c r="E600" s="7" t="s">
        <v>29</v>
      </c>
      <c r="F600" s="7" t="s">
        <v>76</v>
      </c>
      <c r="G600" s="7">
        <v>2017</v>
      </c>
      <c r="H600" s="7" t="str">
        <f>CONCATENATE("14270118038")</f>
        <v>14270118038</v>
      </c>
      <c r="I600" s="7" t="s">
        <v>30</v>
      </c>
      <c r="J600" s="7" t="s">
        <v>31</v>
      </c>
      <c r="K600" s="7" t="str">
        <f>CONCATENATE("")</f>
        <v/>
      </c>
      <c r="L600" s="7" t="str">
        <f>CONCATENATE("21 21.1 2a")</f>
        <v>21 21.1 2a</v>
      </c>
      <c r="M600" s="7" t="str">
        <f>CONCATENATE("SCNBLD48B09E208E")</f>
        <v>SCNBLD48B09E208E</v>
      </c>
      <c r="N600" s="7" t="s">
        <v>704</v>
      </c>
      <c r="O600" s="7" t="s">
        <v>660</v>
      </c>
      <c r="P600" s="8">
        <v>44321</v>
      </c>
      <c r="Q600" s="7" t="s">
        <v>32</v>
      </c>
      <c r="R600" s="7" t="s">
        <v>33</v>
      </c>
      <c r="S600" s="7" t="s">
        <v>34</v>
      </c>
      <c r="T600" s="7"/>
      <c r="U600" s="7" t="s">
        <v>35</v>
      </c>
      <c r="V600" s="9">
        <v>4218.91</v>
      </c>
      <c r="W600" s="9">
        <v>1819.19</v>
      </c>
      <c r="X600" s="9">
        <v>1679.97</v>
      </c>
      <c r="Y600" s="7">
        <v>0</v>
      </c>
      <c r="Z600" s="7">
        <v>719.75</v>
      </c>
    </row>
    <row r="601" spans="1:26" x14ac:dyDescent="0.35">
      <c r="A601" s="7" t="s">
        <v>27</v>
      </c>
      <c r="B601" s="7" t="s">
        <v>28</v>
      </c>
      <c r="C601" s="7" t="s">
        <v>48</v>
      </c>
      <c r="D601" s="7" t="s">
        <v>62</v>
      </c>
      <c r="E601" s="7" t="s">
        <v>29</v>
      </c>
      <c r="F601" s="7" t="s">
        <v>176</v>
      </c>
      <c r="G601" s="7">
        <v>2017</v>
      </c>
      <c r="H601" s="7" t="str">
        <f>CONCATENATE("14270117667")</f>
        <v>14270117667</v>
      </c>
      <c r="I601" s="7" t="s">
        <v>30</v>
      </c>
      <c r="J601" s="7" t="s">
        <v>31</v>
      </c>
      <c r="K601" s="7" t="str">
        <f>CONCATENATE("")</f>
        <v/>
      </c>
      <c r="L601" s="7" t="str">
        <f>CONCATENATE("21 21.1 2a")</f>
        <v>21 21.1 2a</v>
      </c>
      <c r="M601" s="7" t="str">
        <f>CONCATENATE("MCCTZN72H58F454M")</f>
        <v>MCCTZN72H58F454M</v>
      </c>
      <c r="N601" s="7" t="s">
        <v>705</v>
      </c>
      <c r="O601" s="7" t="s">
        <v>660</v>
      </c>
      <c r="P601" s="8">
        <v>44321</v>
      </c>
      <c r="Q601" s="7" t="s">
        <v>32</v>
      </c>
      <c r="R601" s="7" t="s">
        <v>33</v>
      </c>
      <c r="S601" s="7" t="s">
        <v>34</v>
      </c>
      <c r="T601" s="7"/>
      <c r="U601" s="7" t="s">
        <v>35</v>
      </c>
      <c r="V601" s="9">
        <v>2530.6</v>
      </c>
      <c r="W601" s="9">
        <v>1091.19</v>
      </c>
      <c r="X601" s="9">
        <v>1007.68</v>
      </c>
      <c r="Y601" s="7">
        <v>0</v>
      </c>
      <c r="Z601" s="7">
        <v>431.73</v>
      </c>
    </row>
    <row r="602" spans="1:26" x14ac:dyDescent="0.35">
      <c r="A602" s="7" t="s">
        <v>27</v>
      </c>
      <c r="B602" s="7" t="s">
        <v>28</v>
      </c>
      <c r="C602" s="7" t="s">
        <v>48</v>
      </c>
      <c r="D602" s="7" t="s">
        <v>49</v>
      </c>
      <c r="E602" s="7" t="s">
        <v>43</v>
      </c>
      <c r="F602" s="7" t="s">
        <v>43</v>
      </c>
      <c r="G602" s="7">
        <v>2017</v>
      </c>
      <c r="H602" s="7" t="str">
        <f>CONCATENATE("14270117576")</f>
        <v>14270117576</v>
      </c>
      <c r="I602" s="7" t="s">
        <v>30</v>
      </c>
      <c r="J602" s="7" t="s">
        <v>31</v>
      </c>
      <c r="K602" s="7" t="str">
        <f>CONCATENATE("")</f>
        <v/>
      </c>
      <c r="L602" s="7" t="str">
        <f>CONCATENATE("21 21.1 2a")</f>
        <v>21 21.1 2a</v>
      </c>
      <c r="M602" s="7" t="str">
        <f>CONCATENATE("02364820445")</f>
        <v>02364820445</v>
      </c>
      <c r="N602" s="7" t="s">
        <v>706</v>
      </c>
      <c r="O602" s="7" t="s">
        <v>660</v>
      </c>
      <c r="P602" s="8">
        <v>44321</v>
      </c>
      <c r="Q602" s="7" t="s">
        <v>32</v>
      </c>
      <c r="R602" s="7" t="s">
        <v>33</v>
      </c>
      <c r="S602" s="7" t="s">
        <v>34</v>
      </c>
      <c r="T602" s="7"/>
      <c r="U602" s="7" t="s">
        <v>35</v>
      </c>
      <c r="V602" s="9">
        <v>7000</v>
      </c>
      <c r="W602" s="9">
        <v>3018.4</v>
      </c>
      <c r="X602" s="9">
        <v>2787.4</v>
      </c>
      <c r="Y602" s="7">
        <v>0</v>
      </c>
      <c r="Z602" s="9">
        <v>1194.2</v>
      </c>
    </row>
    <row r="603" spans="1:26" x14ac:dyDescent="0.35">
      <c r="A603" s="7" t="s">
        <v>27</v>
      </c>
      <c r="B603" s="7" t="s">
        <v>28</v>
      </c>
      <c r="C603" s="7" t="s">
        <v>48</v>
      </c>
      <c r="D603" s="7" t="s">
        <v>62</v>
      </c>
      <c r="E603" s="7" t="s">
        <v>29</v>
      </c>
      <c r="F603" s="7" t="s">
        <v>66</v>
      </c>
      <c r="G603" s="7">
        <v>2017</v>
      </c>
      <c r="H603" s="7" t="str">
        <f>CONCATENATE("14270117691")</f>
        <v>14270117691</v>
      </c>
      <c r="I603" s="7" t="s">
        <v>30</v>
      </c>
      <c r="J603" s="7" t="s">
        <v>31</v>
      </c>
      <c r="K603" s="7" t="str">
        <f>CONCATENATE("")</f>
        <v/>
      </c>
      <c r="L603" s="7" t="str">
        <f>CONCATENATE("21 21.1 2a")</f>
        <v>21 21.1 2a</v>
      </c>
      <c r="M603" s="7" t="str">
        <f>CONCATENATE("00735960437")</f>
        <v>00735960437</v>
      </c>
      <c r="N603" s="7" t="s">
        <v>707</v>
      </c>
      <c r="O603" s="7" t="s">
        <v>660</v>
      </c>
      <c r="P603" s="8">
        <v>44321</v>
      </c>
      <c r="Q603" s="7" t="s">
        <v>32</v>
      </c>
      <c r="R603" s="7" t="s">
        <v>33</v>
      </c>
      <c r="S603" s="7" t="s">
        <v>34</v>
      </c>
      <c r="T603" s="7"/>
      <c r="U603" s="7" t="s">
        <v>35</v>
      </c>
      <c r="V603" s="9">
        <v>7000</v>
      </c>
      <c r="W603" s="9">
        <v>3018.4</v>
      </c>
      <c r="X603" s="9">
        <v>2787.4</v>
      </c>
      <c r="Y603" s="7">
        <v>0</v>
      </c>
      <c r="Z603" s="9">
        <v>1194.2</v>
      </c>
    </row>
    <row r="604" spans="1:26" x14ac:dyDescent="0.35">
      <c r="A604" s="7" t="s">
        <v>27</v>
      </c>
      <c r="B604" s="7" t="s">
        <v>28</v>
      </c>
      <c r="C604" s="7" t="s">
        <v>48</v>
      </c>
      <c r="D604" s="7" t="s">
        <v>56</v>
      </c>
      <c r="E604" s="7" t="s">
        <v>29</v>
      </c>
      <c r="F604" s="7" t="s">
        <v>82</v>
      </c>
      <c r="G604" s="7">
        <v>2017</v>
      </c>
      <c r="H604" s="7" t="str">
        <f>CONCATENATE("14270118087")</f>
        <v>14270118087</v>
      </c>
      <c r="I604" s="7" t="s">
        <v>30</v>
      </c>
      <c r="J604" s="7" t="s">
        <v>31</v>
      </c>
      <c r="K604" s="7" t="str">
        <f>CONCATENATE("")</f>
        <v/>
      </c>
      <c r="L604" s="7" t="str">
        <f>CONCATENATE("21 21.1 2a")</f>
        <v>21 21.1 2a</v>
      </c>
      <c r="M604" s="7" t="str">
        <f>CONCATENATE("00971470422")</f>
        <v>00971470422</v>
      </c>
      <c r="N604" s="7" t="s">
        <v>708</v>
      </c>
      <c r="O604" s="7" t="s">
        <v>660</v>
      </c>
      <c r="P604" s="8">
        <v>44321</v>
      </c>
      <c r="Q604" s="7" t="s">
        <v>32</v>
      </c>
      <c r="R604" s="7" t="s">
        <v>33</v>
      </c>
      <c r="S604" s="7" t="s">
        <v>34</v>
      </c>
      <c r="T604" s="7"/>
      <c r="U604" s="7" t="s">
        <v>35</v>
      </c>
      <c r="V604" s="9">
        <v>5520.67</v>
      </c>
      <c r="W604" s="9">
        <v>2380.5100000000002</v>
      </c>
      <c r="X604" s="9">
        <v>2198.33</v>
      </c>
      <c r="Y604" s="7">
        <v>0</v>
      </c>
      <c r="Z604" s="7">
        <v>941.83</v>
      </c>
    </row>
    <row r="605" spans="1:26" x14ac:dyDescent="0.35">
      <c r="A605" s="7" t="s">
        <v>27</v>
      </c>
      <c r="B605" s="7" t="s">
        <v>28</v>
      </c>
      <c r="C605" s="7" t="s">
        <v>48</v>
      </c>
      <c r="D605" s="7" t="s">
        <v>49</v>
      </c>
      <c r="E605" s="7" t="s">
        <v>29</v>
      </c>
      <c r="F605" s="7" t="s">
        <v>104</v>
      </c>
      <c r="G605" s="7">
        <v>2017</v>
      </c>
      <c r="H605" s="7" t="str">
        <f>CONCATENATE("14270117931")</f>
        <v>14270117931</v>
      </c>
      <c r="I605" s="7" t="s">
        <v>30</v>
      </c>
      <c r="J605" s="7" t="s">
        <v>31</v>
      </c>
      <c r="K605" s="7" t="str">
        <f>CONCATENATE("")</f>
        <v/>
      </c>
      <c r="L605" s="7" t="str">
        <f>CONCATENATE("21 21.1 2a")</f>
        <v>21 21.1 2a</v>
      </c>
      <c r="M605" s="7" t="str">
        <f>CONCATENATE("PRDRLL55B46A462M")</f>
        <v>PRDRLL55B46A462M</v>
      </c>
      <c r="N605" s="7" t="s">
        <v>709</v>
      </c>
      <c r="O605" s="7" t="s">
        <v>660</v>
      </c>
      <c r="P605" s="8">
        <v>44321</v>
      </c>
      <c r="Q605" s="7" t="s">
        <v>32</v>
      </c>
      <c r="R605" s="7" t="s">
        <v>33</v>
      </c>
      <c r="S605" s="7" t="s">
        <v>34</v>
      </c>
      <c r="T605" s="7"/>
      <c r="U605" s="7" t="s">
        <v>35</v>
      </c>
      <c r="V605" s="9">
        <v>6033.92</v>
      </c>
      <c r="W605" s="9">
        <v>2601.83</v>
      </c>
      <c r="X605" s="9">
        <v>2402.71</v>
      </c>
      <c r="Y605" s="7">
        <v>0</v>
      </c>
      <c r="Z605" s="9">
        <v>1029.3800000000001</v>
      </c>
    </row>
    <row r="606" spans="1:26" x14ac:dyDescent="0.35">
      <c r="A606" s="7" t="s">
        <v>27</v>
      </c>
      <c r="B606" s="7" t="s">
        <v>28</v>
      </c>
      <c r="C606" s="7" t="s">
        <v>48</v>
      </c>
      <c r="D606" s="7" t="s">
        <v>56</v>
      </c>
      <c r="E606" s="7" t="s">
        <v>29</v>
      </c>
      <c r="F606" s="7" t="s">
        <v>82</v>
      </c>
      <c r="G606" s="7">
        <v>2017</v>
      </c>
      <c r="H606" s="7" t="str">
        <f>CONCATENATE("14270117568")</f>
        <v>14270117568</v>
      </c>
      <c r="I606" s="7" t="s">
        <v>30</v>
      </c>
      <c r="J606" s="7" t="s">
        <v>31</v>
      </c>
      <c r="K606" s="7" t="str">
        <f>CONCATENATE("")</f>
        <v/>
      </c>
      <c r="L606" s="7" t="str">
        <f>CONCATENATE("21 21.1 2a")</f>
        <v>21 21.1 2a</v>
      </c>
      <c r="M606" s="7" t="str">
        <f>CONCATENATE("PLNRFL66B43A271P")</f>
        <v>PLNRFL66B43A271P</v>
      </c>
      <c r="N606" s="7" t="s">
        <v>710</v>
      </c>
      <c r="O606" s="7" t="s">
        <v>660</v>
      </c>
      <c r="P606" s="8">
        <v>44321</v>
      </c>
      <c r="Q606" s="7" t="s">
        <v>32</v>
      </c>
      <c r="R606" s="7" t="s">
        <v>33</v>
      </c>
      <c r="S606" s="7" t="s">
        <v>34</v>
      </c>
      <c r="T606" s="7"/>
      <c r="U606" s="7" t="s">
        <v>35</v>
      </c>
      <c r="V606" s="9">
        <v>7000</v>
      </c>
      <c r="W606" s="9">
        <v>3018.4</v>
      </c>
      <c r="X606" s="9">
        <v>2787.4</v>
      </c>
      <c r="Y606" s="7">
        <v>0</v>
      </c>
      <c r="Z606" s="9">
        <v>1194.2</v>
      </c>
    </row>
    <row r="607" spans="1:26" x14ac:dyDescent="0.35">
      <c r="A607" s="7" t="s">
        <v>27</v>
      </c>
      <c r="B607" s="7" t="s">
        <v>28</v>
      </c>
      <c r="C607" s="7" t="s">
        <v>48</v>
      </c>
      <c r="D607" s="7" t="s">
        <v>56</v>
      </c>
      <c r="E607" s="7" t="s">
        <v>29</v>
      </c>
      <c r="F607" s="7" t="s">
        <v>152</v>
      </c>
      <c r="G607" s="7">
        <v>2017</v>
      </c>
      <c r="H607" s="7" t="str">
        <f>CONCATENATE("14270117881")</f>
        <v>14270117881</v>
      </c>
      <c r="I607" s="7" t="s">
        <v>30</v>
      </c>
      <c r="J607" s="7" t="s">
        <v>31</v>
      </c>
      <c r="K607" s="7" t="str">
        <f>CONCATENATE("")</f>
        <v/>
      </c>
      <c r="L607" s="7" t="str">
        <f>CONCATENATE("21 21.1 2a")</f>
        <v>21 21.1 2a</v>
      </c>
      <c r="M607" s="7" t="str">
        <f>CONCATENATE("RFFRLB63E69F978Y")</f>
        <v>RFFRLB63E69F978Y</v>
      </c>
      <c r="N607" s="7" t="s">
        <v>711</v>
      </c>
      <c r="O607" s="7" t="s">
        <v>660</v>
      </c>
      <c r="P607" s="8">
        <v>44321</v>
      </c>
      <c r="Q607" s="7" t="s">
        <v>32</v>
      </c>
      <c r="R607" s="7" t="s">
        <v>33</v>
      </c>
      <c r="S607" s="7" t="s">
        <v>34</v>
      </c>
      <c r="T607" s="7"/>
      <c r="U607" s="7" t="s">
        <v>35</v>
      </c>
      <c r="V607" s="9">
        <v>1000</v>
      </c>
      <c r="W607" s="7">
        <v>431.2</v>
      </c>
      <c r="X607" s="7">
        <v>398.2</v>
      </c>
      <c r="Y607" s="7">
        <v>0</v>
      </c>
      <c r="Z607" s="7">
        <v>170.6</v>
      </c>
    </row>
    <row r="608" spans="1:26" x14ac:dyDescent="0.35">
      <c r="A608" s="7" t="s">
        <v>27</v>
      </c>
      <c r="B608" s="7" t="s">
        <v>28</v>
      </c>
      <c r="C608" s="7" t="s">
        <v>48</v>
      </c>
      <c r="D608" s="7" t="s">
        <v>49</v>
      </c>
      <c r="E608" s="7" t="s">
        <v>40</v>
      </c>
      <c r="F608" s="7" t="s">
        <v>119</v>
      </c>
      <c r="G608" s="7">
        <v>2017</v>
      </c>
      <c r="H608" s="7" t="str">
        <f>CONCATENATE("14270117600")</f>
        <v>14270117600</v>
      </c>
      <c r="I608" s="7" t="s">
        <v>30</v>
      </c>
      <c r="J608" s="7" t="s">
        <v>31</v>
      </c>
      <c r="K608" s="7" t="str">
        <f>CONCATENATE("")</f>
        <v/>
      </c>
      <c r="L608" s="7" t="str">
        <f>CONCATENATE("21 21.1 2a")</f>
        <v>21 21.1 2a</v>
      </c>
      <c r="M608" s="7" t="str">
        <f>CONCATENATE("RCCMNT93E12H501V")</f>
        <v>RCCMNT93E12H501V</v>
      </c>
      <c r="N608" s="7" t="s">
        <v>712</v>
      </c>
      <c r="O608" s="7" t="s">
        <v>660</v>
      </c>
      <c r="P608" s="8">
        <v>44321</v>
      </c>
      <c r="Q608" s="7" t="s">
        <v>32</v>
      </c>
      <c r="R608" s="7" t="s">
        <v>33</v>
      </c>
      <c r="S608" s="7" t="s">
        <v>34</v>
      </c>
      <c r="T608" s="7"/>
      <c r="U608" s="7" t="s">
        <v>35</v>
      </c>
      <c r="V608" s="9">
        <v>1293.31</v>
      </c>
      <c r="W608" s="7">
        <v>557.67999999999995</v>
      </c>
      <c r="X608" s="7">
        <v>515</v>
      </c>
      <c r="Y608" s="7">
        <v>0</v>
      </c>
      <c r="Z608" s="7">
        <v>220.63</v>
      </c>
    </row>
    <row r="609" spans="1:26" x14ac:dyDescent="0.35">
      <c r="A609" s="7" t="s">
        <v>27</v>
      </c>
      <c r="B609" s="7" t="s">
        <v>28</v>
      </c>
      <c r="C609" s="7" t="s">
        <v>48</v>
      </c>
      <c r="D609" s="7" t="s">
        <v>49</v>
      </c>
      <c r="E609" s="7" t="s">
        <v>713</v>
      </c>
      <c r="F609" s="7" t="s">
        <v>714</v>
      </c>
      <c r="G609" s="7">
        <v>2017</v>
      </c>
      <c r="H609" s="7" t="str">
        <f>CONCATENATE("14270117816")</f>
        <v>14270117816</v>
      </c>
      <c r="I609" s="7" t="s">
        <v>30</v>
      </c>
      <c r="J609" s="7" t="s">
        <v>31</v>
      </c>
      <c r="K609" s="7" t="str">
        <f>CONCATENATE("")</f>
        <v/>
      </c>
      <c r="L609" s="7" t="str">
        <f>CONCATENATE("21 21.1 2a")</f>
        <v>21 21.1 2a</v>
      </c>
      <c r="M609" s="7" t="str">
        <f>CONCATENATE("SNTSRN75R65H501R")</f>
        <v>SNTSRN75R65H501R</v>
      </c>
      <c r="N609" s="7" t="s">
        <v>715</v>
      </c>
      <c r="O609" s="7" t="s">
        <v>660</v>
      </c>
      <c r="P609" s="8">
        <v>44321</v>
      </c>
      <c r="Q609" s="7" t="s">
        <v>32</v>
      </c>
      <c r="R609" s="7" t="s">
        <v>33</v>
      </c>
      <c r="S609" s="7" t="s">
        <v>34</v>
      </c>
      <c r="T609" s="7"/>
      <c r="U609" s="7" t="s">
        <v>35</v>
      </c>
      <c r="V609" s="9">
        <v>7000</v>
      </c>
      <c r="W609" s="9">
        <v>3018.4</v>
      </c>
      <c r="X609" s="9">
        <v>2787.4</v>
      </c>
      <c r="Y609" s="7">
        <v>0</v>
      </c>
      <c r="Z609" s="9">
        <v>1194.2</v>
      </c>
    </row>
    <row r="610" spans="1:26" ht="17.5" x14ac:dyDescent="0.35">
      <c r="A610" s="7" t="s">
        <v>27</v>
      </c>
      <c r="B610" s="7" t="s">
        <v>28</v>
      </c>
      <c r="C610" s="7" t="s">
        <v>48</v>
      </c>
      <c r="D610" s="7" t="s">
        <v>62</v>
      </c>
      <c r="E610" s="7" t="s">
        <v>29</v>
      </c>
      <c r="F610" s="7" t="s">
        <v>176</v>
      </c>
      <c r="G610" s="7">
        <v>2017</v>
      </c>
      <c r="H610" s="7" t="str">
        <f>CONCATENATE("14270117733")</f>
        <v>14270117733</v>
      </c>
      <c r="I610" s="7" t="s">
        <v>30</v>
      </c>
      <c r="J610" s="7" t="s">
        <v>31</v>
      </c>
      <c r="K610" s="7" t="str">
        <f>CONCATENATE("")</f>
        <v/>
      </c>
      <c r="L610" s="7" t="str">
        <f>CONCATENATE("21 21.1 2a")</f>
        <v>21 21.1 2a</v>
      </c>
      <c r="M610" s="7" t="str">
        <f>CONCATENATE("00789910437")</f>
        <v>00789910437</v>
      </c>
      <c r="N610" s="7" t="s">
        <v>716</v>
      </c>
      <c r="O610" s="7" t="s">
        <v>660</v>
      </c>
      <c r="P610" s="8">
        <v>44321</v>
      </c>
      <c r="Q610" s="7" t="s">
        <v>32</v>
      </c>
      <c r="R610" s="7" t="s">
        <v>33</v>
      </c>
      <c r="S610" s="7" t="s">
        <v>34</v>
      </c>
      <c r="T610" s="7"/>
      <c r="U610" s="7" t="s">
        <v>35</v>
      </c>
      <c r="V610" s="9">
        <v>7000</v>
      </c>
      <c r="W610" s="9">
        <v>3018.4</v>
      </c>
      <c r="X610" s="9">
        <v>2787.4</v>
      </c>
      <c r="Y610" s="7">
        <v>0</v>
      </c>
      <c r="Z610" s="9">
        <v>1194.2</v>
      </c>
    </row>
    <row r="611" spans="1:26" x14ac:dyDescent="0.35">
      <c r="A611" s="7" t="s">
        <v>27</v>
      </c>
      <c r="B611" s="7" t="s">
        <v>28</v>
      </c>
      <c r="C611" s="7" t="s">
        <v>48</v>
      </c>
      <c r="D611" s="7" t="s">
        <v>59</v>
      </c>
      <c r="E611" s="7" t="s">
        <v>29</v>
      </c>
      <c r="F611" s="7" t="s">
        <v>371</v>
      </c>
      <c r="G611" s="7">
        <v>2017</v>
      </c>
      <c r="H611" s="7" t="str">
        <f>CONCATENATE("14270117741")</f>
        <v>14270117741</v>
      </c>
      <c r="I611" s="7" t="s">
        <v>30</v>
      </c>
      <c r="J611" s="7" t="s">
        <v>31</v>
      </c>
      <c r="K611" s="7" t="str">
        <f>CONCATENATE("")</f>
        <v/>
      </c>
      <c r="L611" s="7" t="str">
        <f>CONCATENATE("21 21.1 2a")</f>
        <v>21 21.1 2a</v>
      </c>
      <c r="M611" s="7" t="str">
        <f>CONCATENATE("CCCGGN68P50I459R")</f>
        <v>CCCGGN68P50I459R</v>
      </c>
      <c r="N611" s="7" t="s">
        <v>717</v>
      </c>
      <c r="O611" s="7" t="s">
        <v>660</v>
      </c>
      <c r="P611" s="8">
        <v>44321</v>
      </c>
      <c r="Q611" s="7" t="s">
        <v>32</v>
      </c>
      <c r="R611" s="7" t="s">
        <v>33</v>
      </c>
      <c r="S611" s="7" t="s">
        <v>34</v>
      </c>
      <c r="T611" s="7"/>
      <c r="U611" s="7" t="s">
        <v>35</v>
      </c>
      <c r="V611" s="9">
        <v>3273.01</v>
      </c>
      <c r="W611" s="9">
        <v>1411.32</v>
      </c>
      <c r="X611" s="9">
        <v>1303.31</v>
      </c>
      <c r="Y611" s="7">
        <v>0</v>
      </c>
      <c r="Z611" s="7">
        <v>558.38</v>
      </c>
    </row>
    <row r="612" spans="1:26" x14ac:dyDescent="0.35">
      <c r="A612" s="7" t="s">
        <v>27</v>
      </c>
      <c r="B612" s="7" t="s">
        <v>28</v>
      </c>
      <c r="C612" s="7" t="s">
        <v>48</v>
      </c>
      <c r="D612" s="7" t="s">
        <v>59</v>
      </c>
      <c r="E612" s="7" t="s">
        <v>29</v>
      </c>
      <c r="F612" s="7" t="s">
        <v>225</v>
      </c>
      <c r="G612" s="7">
        <v>2017</v>
      </c>
      <c r="H612" s="7" t="str">
        <f>CONCATENATE("14270118244")</f>
        <v>14270118244</v>
      </c>
      <c r="I612" s="7" t="s">
        <v>30</v>
      </c>
      <c r="J612" s="7" t="s">
        <v>31</v>
      </c>
      <c r="K612" s="7" t="str">
        <f>CONCATENATE("")</f>
        <v/>
      </c>
      <c r="L612" s="7" t="str">
        <f>CONCATENATE("21 21.1 2a")</f>
        <v>21 21.1 2a</v>
      </c>
      <c r="M612" s="7" t="str">
        <f>CONCATENATE("BLLFPP70M21D007S")</f>
        <v>BLLFPP70M21D007S</v>
      </c>
      <c r="N612" s="7" t="s">
        <v>718</v>
      </c>
      <c r="O612" s="7" t="s">
        <v>660</v>
      </c>
      <c r="P612" s="8">
        <v>44321</v>
      </c>
      <c r="Q612" s="7" t="s">
        <v>32</v>
      </c>
      <c r="R612" s="7" t="s">
        <v>33</v>
      </c>
      <c r="S612" s="7" t="s">
        <v>34</v>
      </c>
      <c r="T612" s="7"/>
      <c r="U612" s="7" t="s">
        <v>35</v>
      </c>
      <c r="V612" s="9">
        <v>6221.79</v>
      </c>
      <c r="W612" s="9">
        <v>2682.84</v>
      </c>
      <c r="X612" s="9">
        <v>2477.52</v>
      </c>
      <c r="Y612" s="7">
        <v>0</v>
      </c>
      <c r="Z612" s="9">
        <v>1061.43</v>
      </c>
    </row>
    <row r="613" spans="1:26" x14ac:dyDescent="0.35">
      <c r="A613" s="7" t="s">
        <v>27</v>
      </c>
      <c r="B613" s="7" t="s">
        <v>28</v>
      </c>
      <c r="C613" s="7" t="s">
        <v>48</v>
      </c>
      <c r="D613" s="7" t="s">
        <v>62</v>
      </c>
      <c r="E613" s="7" t="s">
        <v>29</v>
      </c>
      <c r="F613" s="7" t="s">
        <v>719</v>
      </c>
      <c r="G613" s="7">
        <v>2017</v>
      </c>
      <c r="H613" s="7" t="str">
        <f>CONCATENATE("14270117618")</f>
        <v>14270117618</v>
      </c>
      <c r="I613" s="7" t="s">
        <v>30</v>
      </c>
      <c r="J613" s="7" t="s">
        <v>31</v>
      </c>
      <c r="K613" s="7" t="str">
        <f>CONCATENATE("")</f>
        <v/>
      </c>
      <c r="L613" s="7" t="str">
        <f>CONCATENATE("21 21.1 2a")</f>
        <v>21 21.1 2a</v>
      </c>
      <c r="M613" s="7" t="str">
        <f>CONCATENATE("00947250437")</f>
        <v>00947250437</v>
      </c>
      <c r="N613" s="7" t="s">
        <v>720</v>
      </c>
      <c r="O613" s="7" t="s">
        <v>660</v>
      </c>
      <c r="P613" s="8">
        <v>44321</v>
      </c>
      <c r="Q613" s="7" t="s">
        <v>32</v>
      </c>
      <c r="R613" s="7" t="s">
        <v>33</v>
      </c>
      <c r="S613" s="7" t="s">
        <v>34</v>
      </c>
      <c r="T613" s="7"/>
      <c r="U613" s="7" t="s">
        <v>35</v>
      </c>
      <c r="V613" s="9">
        <v>7000</v>
      </c>
      <c r="W613" s="9">
        <v>3018.4</v>
      </c>
      <c r="X613" s="9">
        <v>2787.4</v>
      </c>
      <c r="Y613" s="7">
        <v>0</v>
      </c>
      <c r="Z613" s="9">
        <v>1194.2</v>
      </c>
    </row>
    <row r="614" spans="1:26" x14ac:dyDescent="0.35">
      <c r="A614" s="7" t="s">
        <v>27</v>
      </c>
      <c r="B614" s="7" t="s">
        <v>28</v>
      </c>
      <c r="C614" s="7" t="s">
        <v>48</v>
      </c>
      <c r="D614" s="7" t="s">
        <v>59</v>
      </c>
      <c r="E614" s="7" t="s">
        <v>44</v>
      </c>
      <c r="F614" s="7" t="s">
        <v>178</v>
      </c>
      <c r="G614" s="7">
        <v>2017</v>
      </c>
      <c r="H614" s="7" t="str">
        <f>CONCATENATE("14270117857")</f>
        <v>14270117857</v>
      </c>
      <c r="I614" s="7" t="s">
        <v>30</v>
      </c>
      <c r="J614" s="7" t="s">
        <v>31</v>
      </c>
      <c r="K614" s="7" t="str">
        <f>CONCATENATE("")</f>
        <v/>
      </c>
      <c r="L614" s="7" t="str">
        <f>CONCATENATE("21 21.1 2a")</f>
        <v>21 21.1 2a</v>
      </c>
      <c r="M614" s="7" t="str">
        <f>CONCATENATE("MRLLSS67E47G453D")</f>
        <v>MRLLSS67E47G453D</v>
      </c>
      <c r="N614" s="7" t="s">
        <v>721</v>
      </c>
      <c r="O614" s="7" t="s">
        <v>660</v>
      </c>
      <c r="P614" s="8">
        <v>44321</v>
      </c>
      <c r="Q614" s="7" t="s">
        <v>32</v>
      </c>
      <c r="R614" s="7" t="s">
        <v>33</v>
      </c>
      <c r="S614" s="7" t="s">
        <v>34</v>
      </c>
      <c r="T614" s="7"/>
      <c r="U614" s="7" t="s">
        <v>35</v>
      </c>
      <c r="V614" s="9">
        <v>1731.95</v>
      </c>
      <c r="W614" s="7">
        <v>746.82</v>
      </c>
      <c r="X614" s="7">
        <v>689.66</v>
      </c>
      <c r="Y614" s="7">
        <v>0</v>
      </c>
      <c r="Z614" s="7">
        <v>295.47000000000003</v>
      </c>
    </row>
    <row r="615" spans="1:26" x14ac:dyDescent="0.35">
      <c r="A615" s="7" t="s">
        <v>27</v>
      </c>
      <c r="B615" s="7" t="s">
        <v>28</v>
      </c>
      <c r="C615" s="7" t="s">
        <v>48</v>
      </c>
      <c r="D615" s="7" t="s">
        <v>49</v>
      </c>
      <c r="E615" s="7" t="s">
        <v>29</v>
      </c>
      <c r="F615" s="7" t="s">
        <v>138</v>
      </c>
      <c r="G615" s="7">
        <v>2017</v>
      </c>
      <c r="H615" s="7" t="str">
        <f>CONCATENATE("14270118061")</f>
        <v>14270118061</v>
      </c>
      <c r="I615" s="7" t="s">
        <v>30</v>
      </c>
      <c r="J615" s="7" t="s">
        <v>31</v>
      </c>
      <c r="K615" s="7" t="str">
        <f>CONCATENATE("")</f>
        <v/>
      </c>
      <c r="L615" s="7" t="str">
        <f>CONCATENATE("21 21.1 2a")</f>
        <v>21 21.1 2a</v>
      </c>
      <c r="M615" s="7" t="str">
        <f>CONCATENATE("MSSGLN54E23B727N")</f>
        <v>MSSGLN54E23B727N</v>
      </c>
      <c r="N615" s="7" t="s">
        <v>722</v>
      </c>
      <c r="O615" s="7" t="s">
        <v>660</v>
      </c>
      <c r="P615" s="8">
        <v>44321</v>
      </c>
      <c r="Q615" s="7" t="s">
        <v>32</v>
      </c>
      <c r="R615" s="7" t="s">
        <v>33</v>
      </c>
      <c r="S615" s="7" t="s">
        <v>34</v>
      </c>
      <c r="T615" s="7"/>
      <c r="U615" s="7" t="s">
        <v>35</v>
      </c>
      <c r="V615" s="9">
        <v>7000</v>
      </c>
      <c r="W615" s="9">
        <v>3018.4</v>
      </c>
      <c r="X615" s="9">
        <v>2787.4</v>
      </c>
      <c r="Y615" s="7">
        <v>0</v>
      </c>
      <c r="Z615" s="9">
        <v>1194.2</v>
      </c>
    </row>
    <row r="616" spans="1:26" x14ac:dyDescent="0.35">
      <c r="A616" s="7" t="s">
        <v>27</v>
      </c>
      <c r="B616" s="7" t="s">
        <v>28</v>
      </c>
      <c r="C616" s="7" t="s">
        <v>48</v>
      </c>
      <c r="D616" s="7" t="s">
        <v>49</v>
      </c>
      <c r="E616" s="7" t="s">
        <v>40</v>
      </c>
      <c r="F616" s="7" t="s">
        <v>97</v>
      </c>
      <c r="G616" s="7">
        <v>2017</v>
      </c>
      <c r="H616" s="7" t="str">
        <f>CONCATENATE("14270117915")</f>
        <v>14270117915</v>
      </c>
      <c r="I616" s="7" t="s">
        <v>30</v>
      </c>
      <c r="J616" s="7" t="s">
        <v>31</v>
      </c>
      <c r="K616" s="7" t="str">
        <f>CONCATENATE("")</f>
        <v/>
      </c>
      <c r="L616" s="7" t="str">
        <f>CONCATENATE("21 21.1 2a")</f>
        <v>21 21.1 2a</v>
      </c>
      <c r="M616" s="7" t="str">
        <f>CONCATENATE("02257120440")</f>
        <v>02257120440</v>
      </c>
      <c r="N616" s="7" t="s">
        <v>723</v>
      </c>
      <c r="O616" s="7" t="s">
        <v>660</v>
      </c>
      <c r="P616" s="8">
        <v>44321</v>
      </c>
      <c r="Q616" s="7" t="s">
        <v>32</v>
      </c>
      <c r="R616" s="7" t="s">
        <v>33</v>
      </c>
      <c r="S616" s="7" t="s">
        <v>34</v>
      </c>
      <c r="T616" s="7"/>
      <c r="U616" s="7" t="s">
        <v>35</v>
      </c>
      <c r="V616" s="9">
        <v>6991.5</v>
      </c>
      <c r="W616" s="9">
        <v>3014.73</v>
      </c>
      <c r="X616" s="9">
        <v>2784.02</v>
      </c>
      <c r="Y616" s="7">
        <v>0</v>
      </c>
      <c r="Z616" s="9">
        <v>1192.75</v>
      </c>
    </row>
    <row r="617" spans="1:26" x14ac:dyDescent="0.35">
      <c r="A617" s="7" t="s">
        <v>27</v>
      </c>
      <c r="B617" s="7" t="s">
        <v>28</v>
      </c>
      <c r="C617" s="7" t="s">
        <v>48</v>
      </c>
      <c r="D617" s="7" t="s">
        <v>56</v>
      </c>
      <c r="E617" s="7" t="s">
        <v>47</v>
      </c>
      <c r="F617" s="7" t="s">
        <v>201</v>
      </c>
      <c r="G617" s="7">
        <v>2017</v>
      </c>
      <c r="H617" s="7" t="str">
        <f>CONCATENATE("14270117782")</f>
        <v>14270117782</v>
      </c>
      <c r="I617" s="7" t="s">
        <v>30</v>
      </c>
      <c r="J617" s="7" t="s">
        <v>31</v>
      </c>
      <c r="K617" s="7" t="str">
        <f>CONCATENATE("")</f>
        <v/>
      </c>
      <c r="L617" s="7" t="str">
        <f>CONCATENATE("21 21.1 2a")</f>
        <v>21 21.1 2a</v>
      </c>
      <c r="M617" s="7" t="str">
        <f>CONCATENATE("RBNMLR55P50B352D")</f>
        <v>RBNMLR55P50B352D</v>
      </c>
      <c r="N617" s="7" t="s">
        <v>724</v>
      </c>
      <c r="O617" s="7" t="s">
        <v>660</v>
      </c>
      <c r="P617" s="8">
        <v>44321</v>
      </c>
      <c r="Q617" s="7" t="s">
        <v>32</v>
      </c>
      <c r="R617" s="7" t="s">
        <v>33</v>
      </c>
      <c r="S617" s="7" t="s">
        <v>34</v>
      </c>
      <c r="T617" s="7"/>
      <c r="U617" s="7" t="s">
        <v>35</v>
      </c>
      <c r="V617" s="9">
        <v>7000</v>
      </c>
      <c r="W617" s="9">
        <v>3018.4</v>
      </c>
      <c r="X617" s="9">
        <v>2787.4</v>
      </c>
      <c r="Y617" s="7">
        <v>0</v>
      </c>
      <c r="Z617" s="9">
        <v>1194.2</v>
      </c>
    </row>
    <row r="618" spans="1:26" x14ac:dyDescent="0.35">
      <c r="A618" s="7" t="s">
        <v>27</v>
      </c>
      <c r="B618" s="7" t="s">
        <v>28</v>
      </c>
      <c r="C618" s="7" t="s">
        <v>48</v>
      </c>
      <c r="D618" s="7" t="s">
        <v>49</v>
      </c>
      <c r="E618" s="7" t="s">
        <v>43</v>
      </c>
      <c r="F618" s="7" t="s">
        <v>43</v>
      </c>
      <c r="G618" s="7">
        <v>2017</v>
      </c>
      <c r="H618" s="7" t="str">
        <f>CONCATENATE("14270117642")</f>
        <v>14270117642</v>
      </c>
      <c r="I618" s="7" t="s">
        <v>30</v>
      </c>
      <c r="J618" s="7" t="s">
        <v>31</v>
      </c>
      <c r="K618" s="7" t="str">
        <f>CONCATENATE("")</f>
        <v/>
      </c>
      <c r="L618" s="7" t="str">
        <f>CONCATENATE("21 21.1 2a")</f>
        <v>21 21.1 2a</v>
      </c>
      <c r="M618" s="7" t="str">
        <f>CONCATENATE("NCLPRZ58P64G920N")</f>
        <v>NCLPRZ58P64G920N</v>
      </c>
      <c r="N618" s="7" t="s">
        <v>725</v>
      </c>
      <c r="O618" s="7" t="s">
        <v>660</v>
      </c>
      <c r="P618" s="8">
        <v>44321</v>
      </c>
      <c r="Q618" s="7" t="s">
        <v>32</v>
      </c>
      <c r="R618" s="7" t="s">
        <v>33</v>
      </c>
      <c r="S618" s="7" t="s">
        <v>34</v>
      </c>
      <c r="T618" s="7"/>
      <c r="U618" s="7" t="s">
        <v>35</v>
      </c>
      <c r="V618" s="9">
        <v>1126.81</v>
      </c>
      <c r="W618" s="7">
        <v>485.88</v>
      </c>
      <c r="X618" s="7">
        <v>448.7</v>
      </c>
      <c r="Y618" s="7">
        <v>0</v>
      </c>
      <c r="Z618" s="7">
        <v>192.23</v>
      </c>
    </row>
    <row r="619" spans="1:26" x14ac:dyDescent="0.35">
      <c r="A619" s="7" t="s">
        <v>27</v>
      </c>
      <c r="B619" s="7" t="s">
        <v>28</v>
      </c>
      <c r="C619" s="7" t="s">
        <v>48</v>
      </c>
      <c r="D619" s="7" t="s">
        <v>49</v>
      </c>
      <c r="E619" s="7" t="s">
        <v>37</v>
      </c>
      <c r="F619" s="7" t="s">
        <v>93</v>
      </c>
      <c r="G619" s="7">
        <v>2017</v>
      </c>
      <c r="H619" s="7" t="str">
        <f>CONCATENATE("14270117709")</f>
        <v>14270117709</v>
      </c>
      <c r="I619" s="7" t="s">
        <v>30</v>
      </c>
      <c r="J619" s="7" t="s">
        <v>31</v>
      </c>
      <c r="K619" s="7" t="str">
        <f>CONCATENATE("")</f>
        <v/>
      </c>
      <c r="L619" s="7" t="str">
        <f>CONCATENATE("21 21.1 2a")</f>
        <v>21 21.1 2a</v>
      </c>
      <c r="M619" s="7" t="str">
        <f>CONCATENATE("PTRPLA57H30G920Q")</f>
        <v>PTRPLA57H30G920Q</v>
      </c>
      <c r="N619" s="7" t="s">
        <v>726</v>
      </c>
      <c r="O619" s="7" t="s">
        <v>660</v>
      </c>
      <c r="P619" s="8">
        <v>44321</v>
      </c>
      <c r="Q619" s="7" t="s">
        <v>32</v>
      </c>
      <c r="R619" s="7" t="s">
        <v>33</v>
      </c>
      <c r="S619" s="7" t="s">
        <v>34</v>
      </c>
      <c r="T619" s="7"/>
      <c r="U619" s="7" t="s">
        <v>35</v>
      </c>
      <c r="V619" s="9">
        <v>4633.7299999999996</v>
      </c>
      <c r="W619" s="9">
        <v>1998.06</v>
      </c>
      <c r="X619" s="9">
        <v>1845.15</v>
      </c>
      <c r="Y619" s="7">
        <v>0</v>
      </c>
      <c r="Z619" s="7">
        <v>790.52</v>
      </c>
    </row>
    <row r="620" spans="1:26" x14ac:dyDescent="0.35">
      <c r="A620" s="7" t="s">
        <v>27</v>
      </c>
      <c r="B620" s="7" t="s">
        <v>28</v>
      </c>
      <c r="C620" s="7" t="s">
        <v>48</v>
      </c>
      <c r="D620" s="7" t="s">
        <v>56</v>
      </c>
      <c r="E620" s="7" t="s">
        <v>29</v>
      </c>
      <c r="F620" s="7" t="s">
        <v>82</v>
      </c>
      <c r="G620" s="7">
        <v>2017</v>
      </c>
      <c r="H620" s="7" t="str">
        <f>CONCATENATE("14270117717")</f>
        <v>14270117717</v>
      </c>
      <c r="I620" s="7" t="s">
        <v>30</v>
      </c>
      <c r="J620" s="7" t="s">
        <v>31</v>
      </c>
      <c r="K620" s="7" t="str">
        <f>CONCATENATE("")</f>
        <v/>
      </c>
      <c r="L620" s="7" t="str">
        <f>CONCATENATE("21 21.1 2a")</f>
        <v>21 21.1 2a</v>
      </c>
      <c r="M620" s="7" t="str">
        <f>CONCATENATE("00758850424")</f>
        <v>00758850424</v>
      </c>
      <c r="N620" s="7" t="s">
        <v>727</v>
      </c>
      <c r="O620" s="7" t="s">
        <v>660</v>
      </c>
      <c r="P620" s="8">
        <v>44321</v>
      </c>
      <c r="Q620" s="7" t="s">
        <v>32</v>
      </c>
      <c r="R620" s="7" t="s">
        <v>33</v>
      </c>
      <c r="S620" s="7" t="s">
        <v>34</v>
      </c>
      <c r="T620" s="7"/>
      <c r="U620" s="7" t="s">
        <v>35</v>
      </c>
      <c r="V620" s="9">
        <v>7000</v>
      </c>
      <c r="W620" s="9">
        <v>3018.4</v>
      </c>
      <c r="X620" s="9">
        <v>2787.4</v>
      </c>
      <c r="Y620" s="7">
        <v>0</v>
      </c>
      <c r="Z620" s="9">
        <v>1194.2</v>
      </c>
    </row>
    <row r="621" spans="1:26" x14ac:dyDescent="0.35">
      <c r="A621" s="7" t="s">
        <v>27</v>
      </c>
      <c r="B621" s="7" t="s">
        <v>28</v>
      </c>
      <c r="C621" s="7" t="s">
        <v>48</v>
      </c>
      <c r="D621" s="7" t="s">
        <v>56</v>
      </c>
      <c r="E621" s="7" t="s">
        <v>29</v>
      </c>
      <c r="F621" s="7" t="s">
        <v>106</v>
      </c>
      <c r="G621" s="7">
        <v>2017</v>
      </c>
      <c r="H621" s="7" t="str">
        <f>CONCATENATE("14270118004")</f>
        <v>14270118004</v>
      </c>
      <c r="I621" s="7" t="s">
        <v>30</v>
      </c>
      <c r="J621" s="7" t="s">
        <v>31</v>
      </c>
      <c r="K621" s="7" t="str">
        <f>CONCATENATE("")</f>
        <v/>
      </c>
      <c r="L621" s="7" t="str">
        <f>CONCATENATE("21 21.1 2a")</f>
        <v>21 21.1 2a</v>
      </c>
      <c r="M621" s="7" t="str">
        <f>CONCATENATE("TGNGNN87C16E388I")</f>
        <v>TGNGNN87C16E388I</v>
      </c>
      <c r="N621" s="7" t="s">
        <v>728</v>
      </c>
      <c r="O621" s="7" t="s">
        <v>660</v>
      </c>
      <c r="P621" s="8">
        <v>44321</v>
      </c>
      <c r="Q621" s="7" t="s">
        <v>32</v>
      </c>
      <c r="R621" s="7" t="s">
        <v>33</v>
      </c>
      <c r="S621" s="7" t="s">
        <v>34</v>
      </c>
      <c r="T621" s="7"/>
      <c r="U621" s="7" t="s">
        <v>35</v>
      </c>
      <c r="V621" s="9">
        <v>7000</v>
      </c>
      <c r="W621" s="9">
        <v>3018.4</v>
      </c>
      <c r="X621" s="9">
        <v>2787.4</v>
      </c>
      <c r="Y621" s="7">
        <v>0</v>
      </c>
      <c r="Z621" s="9">
        <v>1194.2</v>
      </c>
    </row>
    <row r="622" spans="1:26" x14ac:dyDescent="0.35">
      <c r="A622" s="7" t="s">
        <v>27</v>
      </c>
      <c r="B622" s="7" t="s">
        <v>28</v>
      </c>
      <c r="C622" s="7" t="s">
        <v>48</v>
      </c>
      <c r="D622" s="7" t="s">
        <v>62</v>
      </c>
      <c r="E622" s="7" t="s">
        <v>43</v>
      </c>
      <c r="F622" s="7" t="s">
        <v>43</v>
      </c>
      <c r="G622" s="7">
        <v>2017</v>
      </c>
      <c r="H622" s="7" t="str">
        <f>CONCATENATE("04270233085")</f>
        <v>04270233085</v>
      </c>
      <c r="I622" s="7" t="s">
        <v>30</v>
      </c>
      <c r="J622" s="7" t="s">
        <v>31</v>
      </c>
      <c r="K622" s="7" t="str">
        <f>CONCATENATE("")</f>
        <v/>
      </c>
      <c r="L622" s="7" t="str">
        <f>CONCATENATE("6 6.4 2a")</f>
        <v>6 6.4 2a</v>
      </c>
      <c r="M622" s="7" t="str">
        <f>CONCATENATE("BRNFRC78P48H211M")</f>
        <v>BRNFRC78P48H211M</v>
      </c>
      <c r="N622" s="7" t="s">
        <v>729</v>
      </c>
      <c r="O622" s="7" t="s">
        <v>730</v>
      </c>
      <c r="P622" s="8">
        <v>44323</v>
      </c>
      <c r="Q622" s="7" t="s">
        <v>32</v>
      </c>
      <c r="R622" s="7" t="s">
        <v>45</v>
      </c>
      <c r="S622" s="7" t="s">
        <v>34</v>
      </c>
      <c r="T622" s="7"/>
      <c r="U622" s="7" t="s">
        <v>35</v>
      </c>
      <c r="V622" s="9">
        <v>45000</v>
      </c>
      <c r="W622" s="9">
        <v>19404</v>
      </c>
      <c r="X622" s="9">
        <v>17919</v>
      </c>
      <c r="Y622" s="7">
        <v>0</v>
      </c>
      <c r="Z622" s="9">
        <v>7677</v>
      </c>
    </row>
    <row r="623" spans="1:26" x14ac:dyDescent="0.35">
      <c r="A623" s="7" t="s">
        <v>27</v>
      </c>
      <c r="B623" s="7" t="s">
        <v>28</v>
      </c>
      <c r="C623" s="7" t="s">
        <v>48</v>
      </c>
      <c r="D623" s="7" t="s">
        <v>48</v>
      </c>
      <c r="E623" s="7" t="s">
        <v>43</v>
      </c>
      <c r="F623" s="7" t="s">
        <v>43</v>
      </c>
      <c r="G623" s="7">
        <v>2017</v>
      </c>
      <c r="H623" s="7" t="str">
        <f>CONCATENATE("14270133771")</f>
        <v>14270133771</v>
      </c>
      <c r="I623" s="7" t="s">
        <v>30</v>
      </c>
      <c r="J623" s="7" t="s">
        <v>31</v>
      </c>
      <c r="K623" s="7" t="str">
        <f>CONCATENATE("")</f>
        <v/>
      </c>
      <c r="L623" s="7" t="str">
        <f>CONCATENATE("19 19.2 6b")</f>
        <v>19 19.2 6b</v>
      </c>
      <c r="M623" s="7" t="str">
        <f>CONCATENATE("02681080418")</f>
        <v>02681080418</v>
      </c>
      <c r="N623" s="7" t="s">
        <v>731</v>
      </c>
      <c r="O623" s="7" t="s">
        <v>732</v>
      </c>
      <c r="P623" s="8">
        <v>44321</v>
      </c>
      <c r="Q623" s="7" t="s">
        <v>32</v>
      </c>
      <c r="R623" s="7" t="s">
        <v>45</v>
      </c>
      <c r="S623" s="7" t="s">
        <v>34</v>
      </c>
      <c r="T623" s="7"/>
      <c r="U623" s="7" t="s">
        <v>35</v>
      </c>
      <c r="V623" s="9">
        <v>25000</v>
      </c>
      <c r="W623" s="9">
        <v>10780</v>
      </c>
      <c r="X623" s="9">
        <v>9955</v>
      </c>
      <c r="Y623" s="7">
        <v>0</v>
      </c>
      <c r="Z623" s="9">
        <v>4265</v>
      </c>
    </row>
    <row r="624" spans="1:26" x14ac:dyDescent="0.35">
      <c r="A624" s="7" t="s">
        <v>27</v>
      </c>
      <c r="B624" s="7" t="s">
        <v>28</v>
      </c>
      <c r="C624" s="7" t="s">
        <v>48</v>
      </c>
      <c r="D624" s="7" t="s">
        <v>62</v>
      </c>
      <c r="E624" s="7" t="s">
        <v>29</v>
      </c>
      <c r="F624" s="7" t="s">
        <v>176</v>
      </c>
      <c r="G624" s="7">
        <v>2017</v>
      </c>
      <c r="H624" s="7" t="str">
        <f>CONCATENATE("14270133888")</f>
        <v>14270133888</v>
      </c>
      <c r="I624" s="7" t="s">
        <v>30</v>
      </c>
      <c r="J624" s="7" t="s">
        <v>31</v>
      </c>
      <c r="K624" s="7" t="str">
        <f>CONCATENATE("")</f>
        <v/>
      </c>
      <c r="L624" s="7" t="str">
        <f>CONCATENATE("6 6.1 2b")</f>
        <v>6 6.1 2b</v>
      </c>
      <c r="M624" s="7" t="str">
        <f>CONCATENATE("01909520437")</f>
        <v>01909520437</v>
      </c>
      <c r="N624" s="7" t="s">
        <v>645</v>
      </c>
      <c r="O624" s="7" t="s">
        <v>733</v>
      </c>
      <c r="P624" s="8">
        <v>44321</v>
      </c>
      <c r="Q624" s="7" t="s">
        <v>32</v>
      </c>
      <c r="R624" s="7" t="s">
        <v>33</v>
      </c>
      <c r="S624" s="7" t="s">
        <v>34</v>
      </c>
      <c r="T624" s="7"/>
      <c r="U624" s="7" t="s">
        <v>35</v>
      </c>
      <c r="V624" s="9">
        <v>12000</v>
      </c>
      <c r="W624" s="9">
        <v>5174.3999999999996</v>
      </c>
      <c r="X624" s="9">
        <v>4778.3999999999996</v>
      </c>
      <c r="Y624" s="7">
        <v>0</v>
      </c>
      <c r="Z624" s="9">
        <v>2047.2</v>
      </c>
    </row>
    <row r="625" spans="1:26" x14ac:dyDescent="0.35">
      <c r="A625" s="7" t="s">
        <v>27</v>
      </c>
      <c r="B625" s="7" t="s">
        <v>28</v>
      </c>
      <c r="C625" s="7" t="s">
        <v>48</v>
      </c>
      <c r="D625" s="7" t="s">
        <v>48</v>
      </c>
      <c r="E625" s="7" t="s">
        <v>43</v>
      </c>
      <c r="F625" s="7" t="s">
        <v>43</v>
      </c>
      <c r="G625" s="7">
        <v>2017</v>
      </c>
      <c r="H625" s="7" t="str">
        <f>CONCATENATE("14270133862")</f>
        <v>14270133862</v>
      </c>
      <c r="I625" s="7" t="s">
        <v>30</v>
      </c>
      <c r="J625" s="7" t="s">
        <v>31</v>
      </c>
      <c r="K625" s="7" t="str">
        <f>CONCATENATE("")</f>
        <v/>
      </c>
      <c r="L625" s="7" t="str">
        <f>CONCATENATE("19 19.2 6b")</f>
        <v>19 19.2 6b</v>
      </c>
      <c r="M625" s="7" t="str">
        <f>CONCATENATE("80000110439")</f>
        <v>80000110439</v>
      </c>
      <c r="N625" s="7" t="s">
        <v>734</v>
      </c>
      <c r="O625" s="7" t="s">
        <v>735</v>
      </c>
      <c r="P625" s="8">
        <v>44321</v>
      </c>
      <c r="Q625" s="7" t="s">
        <v>32</v>
      </c>
      <c r="R625" s="7" t="s">
        <v>45</v>
      </c>
      <c r="S625" s="7" t="s">
        <v>34</v>
      </c>
      <c r="T625" s="7"/>
      <c r="U625" s="7" t="s">
        <v>35</v>
      </c>
      <c r="V625" s="9">
        <v>33983.31</v>
      </c>
      <c r="W625" s="9">
        <v>14653.6</v>
      </c>
      <c r="X625" s="9">
        <v>13532.15</v>
      </c>
      <c r="Y625" s="7">
        <v>0</v>
      </c>
      <c r="Z625" s="9">
        <v>5797.56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3FC5A8023BE49846995DC55E203C1" ma:contentTypeVersion="7" ma:contentTypeDescription="Create a new document." ma:contentTypeScope="" ma:versionID="8a5266b454e96f386b6d41e2ed20a514">
  <xsd:schema xmlns:xsd="http://www.w3.org/2001/XMLSchema" xmlns:xs="http://www.w3.org/2001/XMLSchema" xmlns:p="http://schemas.microsoft.com/office/2006/metadata/properties" xmlns:ns3="4fc14afe-9df9-4cba-8aa4-680966ecc782" targetNamespace="http://schemas.microsoft.com/office/2006/metadata/properties" ma:root="true" ma:fieldsID="b64aec89db63335c91cef771e8d8815c" ns3:_="">
    <xsd:import namespace="4fc14afe-9df9-4cba-8aa4-680966ecc7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14afe-9df9-4cba-8aa4-680966ecc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0B6B53-B0FF-41B4-AA67-AA65B7B0B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14afe-9df9-4cba-8aa4-680966ecc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14A87-18D5-46E6-AD06-3E9B695EBC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8B4AF-9390-4D0C-BB5C-C7F754BCCFCD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131849</vt:lpwstr>
  </property>
  <property fmtid="{D5CDD505-2E9C-101B-9397-08002B2CF9AE}" pid="4" name="OptimizationTime">
    <vt:lpwstr>20210520_1857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2021-05-19T15:35:21Z</dcterms:created>
  <dcterms:modified xsi:type="dcterms:W3CDTF">2021-05-19T15:36:27Z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0x010100D843FC5A8023BE49846995DC55E203C1</vt:lpwstr>
  </property>
</Properties>
</file>