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ople.ey.com/personal/michele_ferrazzano_it_ey_com/Documents/Desktop/LAVORO/Invio decreti/Decreto n. 445/"/>
    </mc:Choice>
  </mc:AlternateContent>
  <xr:revisionPtr revIDLastSave="0" documentId="8_{96955E8E-AA01-4644-953D-FF6FCF69FE76}" xr6:coauthVersionLast="45" xr6:coauthVersionMax="45" xr10:uidLastSave="{00000000-0000-0000-0000-000000000000}"/>
  <bookViews>
    <workbookView xWindow="-110" yWindow="-110" windowWidth="19420" windowHeight="10420" xr2:uid="{0FA71166-3DC5-448B-A74B-5C388B3A70DD}"/>
  </bookViews>
  <sheets>
    <sheet name="Dettaglio_Domande_Pagabili_AGE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71" i="1" l="1"/>
  <c r="L271" i="1"/>
  <c r="K271" i="1"/>
  <c r="H271" i="1"/>
  <c r="M270" i="1"/>
  <c r="L270" i="1"/>
  <c r="K270" i="1"/>
  <c r="H270" i="1"/>
  <c r="M269" i="1"/>
  <c r="L269" i="1"/>
  <c r="K269" i="1"/>
  <c r="H269" i="1"/>
  <c r="M268" i="1"/>
  <c r="L268" i="1"/>
  <c r="K268" i="1"/>
  <c r="H268" i="1"/>
  <c r="M267" i="1"/>
  <c r="L267" i="1"/>
  <c r="K267" i="1"/>
  <c r="H267" i="1"/>
  <c r="M266" i="1"/>
  <c r="L266" i="1"/>
  <c r="K266" i="1"/>
  <c r="H266" i="1"/>
  <c r="M265" i="1"/>
  <c r="L265" i="1"/>
  <c r="K265" i="1"/>
  <c r="H265" i="1"/>
  <c r="M264" i="1"/>
  <c r="L264" i="1"/>
  <c r="K264" i="1"/>
  <c r="H264" i="1"/>
  <c r="M263" i="1"/>
  <c r="L263" i="1"/>
  <c r="K263" i="1"/>
  <c r="H263" i="1"/>
  <c r="M262" i="1"/>
  <c r="L262" i="1"/>
  <c r="K262" i="1"/>
  <c r="H262" i="1"/>
  <c r="M261" i="1"/>
  <c r="L261" i="1"/>
  <c r="K261" i="1"/>
  <c r="H261" i="1"/>
  <c r="M260" i="1"/>
  <c r="L260" i="1"/>
  <c r="K260" i="1"/>
  <c r="H260" i="1"/>
  <c r="M259" i="1"/>
  <c r="L259" i="1"/>
  <c r="K259" i="1"/>
  <c r="H259" i="1"/>
  <c r="M258" i="1"/>
  <c r="L258" i="1"/>
  <c r="K258" i="1"/>
  <c r="H258" i="1"/>
  <c r="M257" i="1"/>
  <c r="L257" i="1"/>
  <c r="K257" i="1"/>
  <c r="H257" i="1"/>
  <c r="M256" i="1"/>
  <c r="L256" i="1"/>
  <c r="K256" i="1"/>
  <c r="H256" i="1"/>
  <c r="M255" i="1"/>
  <c r="L255" i="1"/>
  <c r="K255" i="1"/>
  <c r="H255" i="1"/>
  <c r="M254" i="1"/>
  <c r="L254" i="1"/>
  <c r="K254" i="1"/>
  <c r="H254" i="1"/>
  <c r="M253" i="1"/>
  <c r="L253" i="1"/>
  <c r="K253" i="1"/>
  <c r="H253" i="1"/>
  <c r="M252" i="1"/>
  <c r="L252" i="1"/>
  <c r="K252" i="1"/>
  <c r="H252" i="1"/>
  <c r="M251" i="1"/>
  <c r="L251" i="1"/>
  <c r="K251" i="1"/>
  <c r="H251" i="1"/>
  <c r="M250" i="1"/>
  <c r="L250" i="1"/>
  <c r="K250" i="1"/>
  <c r="H250" i="1"/>
  <c r="M249" i="1"/>
  <c r="L249" i="1"/>
  <c r="K249" i="1"/>
  <c r="H249" i="1"/>
  <c r="M248" i="1"/>
  <c r="L248" i="1"/>
  <c r="K248" i="1"/>
  <c r="H248" i="1"/>
  <c r="M247" i="1"/>
  <c r="L247" i="1"/>
  <c r="K247" i="1"/>
  <c r="H247" i="1"/>
  <c r="M246" i="1"/>
  <c r="L246" i="1"/>
  <c r="K246" i="1"/>
  <c r="H246" i="1"/>
  <c r="M245" i="1"/>
  <c r="L245" i="1"/>
  <c r="K245" i="1"/>
  <c r="H245" i="1"/>
  <c r="M244" i="1"/>
  <c r="L244" i="1"/>
  <c r="K244" i="1"/>
  <c r="H244" i="1"/>
  <c r="M243" i="1"/>
  <c r="L243" i="1"/>
  <c r="K243" i="1"/>
  <c r="H243" i="1"/>
  <c r="M242" i="1"/>
  <c r="L242" i="1"/>
  <c r="K242" i="1"/>
  <c r="H242" i="1"/>
  <c r="M241" i="1"/>
  <c r="L241" i="1"/>
  <c r="K241" i="1"/>
  <c r="H241" i="1"/>
  <c r="M240" i="1"/>
  <c r="L240" i="1"/>
  <c r="K240" i="1"/>
  <c r="H240" i="1"/>
  <c r="M239" i="1"/>
  <c r="L239" i="1"/>
  <c r="K239" i="1"/>
  <c r="H239" i="1"/>
  <c r="M238" i="1"/>
  <c r="L238" i="1"/>
  <c r="K238" i="1"/>
  <c r="H238" i="1"/>
  <c r="M237" i="1"/>
  <c r="L237" i="1"/>
  <c r="K237" i="1"/>
  <c r="H237" i="1"/>
  <c r="M236" i="1"/>
  <c r="L236" i="1"/>
  <c r="K236" i="1"/>
  <c r="H236" i="1"/>
  <c r="M235" i="1"/>
  <c r="L235" i="1"/>
  <c r="K235" i="1"/>
  <c r="H235" i="1"/>
  <c r="M234" i="1"/>
  <c r="L234" i="1"/>
  <c r="K234" i="1"/>
  <c r="H234" i="1"/>
  <c r="M233" i="1"/>
  <c r="L233" i="1"/>
  <c r="K233" i="1"/>
  <c r="H233" i="1"/>
  <c r="M232" i="1"/>
  <c r="L232" i="1"/>
  <c r="K232" i="1"/>
  <c r="H232" i="1"/>
  <c r="M231" i="1"/>
  <c r="L231" i="1"/>
  <c r="K231" i="1"/>
  <c r="H231" i="1"/>
  <c r="M230" i="1"/>
  <c r="L230" i="1"/>
  <c r="K230" i="1"/>
  <c r="H230" i="1"/>
  <c r="M229" i="1"/>
  <c r="L229" i="1"/>
  <c r="K229" i="1"/>
  <c r="H229" i="1"/>
  <c r="M228" i="1"/>
  <c r="L228" i="1"/>
  <c r="K228" i="1"/>
  <c r="H228" i="1"/>
  <c r="M227" i="1"/>
  <c r="L227" i="1"/>
  <c r="K227" i="1"/>
  <c r="H227" i="1"/>
  <c r="M226" i="1"/>
  <c r="L226" i="1"/>
  <c r="K226" i="1"/>
  <c r="H226" i="1"/>
  <c r="M225" i="1"/>
  <c r="L225" i="1"/>
  <c r="K225" i="1"/>
  <c r="H225" i="1"/>
  <c r="M224" i="1"/>
  <c r="L224" i="1"/>
  <c r="K224" i="1"/>
  <c r="H224" i="1"/>
  <c r="M223" i="1"/>
  <c r="L223" i="1"/>
  <c r="K223" i="1"/>
  <c r="H223" i="1"/>
  <c r="M222" i="1"/>
  <c r="L222" i="1"/>
  <c r="K222" i="1"/>
  <c r="H222" i="1"/>
  <c r="M221" i="1"/>
  <c r="L221" i="1"/>
  <c r="K221" i="1"/>
  <c r="H221" i="1"/>
  <c r="M220" i="1"/>
  <c r="L220" i="1"/>
  <c r="K220" i="1"/>
  <c r="H220" i="1"/>
  <c r="M219" i="1"/>
  <c r="L219" i="1"/>
  <c r="K219" i="1"/>
  <c r="H219" i="1"/>
  <c r="M218" i="1"/>
  <c r="L218" i="1"/>
  <c r="K218" i="1"/>
  <c r="H218" i="1"/>
  <c r="M217" i="1"/>
  <c r="L217" i="1"/>
  <c r="K217" i="1"/>
  <c r="H217" i="1"/>
  <c r="M216" i="1"/>
  <c r="L216" i="1"/>
  <c r="K216" i="1"/>
  <c r="H216" i="1"/>
  <c r="M215" i="1"/>
  <c r="L215" i="1"/>
  <c r="K215" i="1"/>
  <c r="H215" i="1"/>
  <c r="M214" i="1"/>
  <c r="L214" i="1"/>
  <c r="K214" i="1"/>
  <c r="H214" i="1"/>
  <c r="M213" i="1"/>
  <c r="L213" i="1"/>
  <c r="K213" i="1"/>
  <c r="H213" i="1"/>
  <c r="M212" i="1"/>
  <c r="L212" i="1"/>
  <c r="K212" i="1"/>
  <c r="H212" i="1"/>
  <c r="M211" i="1"/>
  <c r="L211" i="1"/>
  <c r="K211" i="1"/>
  <c r="H211" i="1"/>
  <c r="M210" i="1"/>
  <c r="L210" i="1"/>
  <c r="K210" i="1"/>
  <c r="H210" i="1"/>
  <c r="M209" i="1"/>
  <c r="L209" i="1"/>
  <c r="K209" i="1"/>
  <c r="H209" i="1"/>
  <c r="M208" i="1"/>
  <c r="L208" i="1"/>
  <c r="K208" i="1"/>
  <c r="H208" i="1"/>
  <c r="M207" i="1"/>
  <c r="L207" i="1"/>
  <c r="K207" i="1"/>
  <c r="H207" i="1"/>
  <c r="M206" i="1"/>
  <c r="L206" i="1"/>
  <c r="K206" i="1"/>
  <c r="H206" i="1"/>
  <c r="M205" i="1"/>
  <c r="L205" i="1"/>
  <c r="K205" i="1"/>
  <c r="H205" i="1"/>
  <c r="M204" i="1"/>
  <c r="L204" i="1"/>
  <c r="K204" i="1"/>
  <c r="H204" i="1"/>
  <c r="M203" i="1"/>
  <c r="L203" i="1"/>
  <c r="K203" i="1"/>
  <c r="H203" i="1"/>
  <c r="M202" i="1"/>
  <c r="L202" i="1"/>
  <c r="K202" i="1"/>
  <c r="H202" i="1"/>
  <c r="M201" i="1"/>
  <c r="L201" i="1"/>
  <c r="K201" i="1"/>
  <c r="H201" i="1"/>
  <c r="M200" i="1"/>
  <c r="L200" i="1"/>
  <c r="K200" i="1"/>
  <c r="H200" i="1"/>
  <c r="M199" i="1"/>
  <c r="L199" i="1"/>
  <c r="K199" i="1"/>
  <c r="H199" i="1"/>
  <c r="M198" i="1"/>
  <c r="L198" i="1"/>
  <c r="K198" i="1"/>
  <c r="H198" i="1"/>
  <c r="M197" i="1"/>
  <c r="L197" i="1"/>
  <c r="K197" i="1"/>
  <c r="H197" i="1"/>
  <c r="M196" i="1"/>
  <c r="L196" i="1"/>
  <c r="K196" i="1"/>
  <c r="H196" i="1"/>
  <c r="M195" i="1"/>
  <c r="L195" i="1"/>
  <c r="K195" i="1"/>
  <c r="H195" i="1"/>
  <c r="M194" i="1"/>
  <c r="L194" i="1"/>
  <c r="K194" i="1"/>
  <c r="H194" i="1"/>
  <c r="M193" i="1"/>
  <c r="L193" i="1"/>
  <c r="K193" i="1"/>
  <c r="H193" i="1"/>
  <c r="M192" i="1"/>
  <c r="L192" i="1"/>
  <c r="K192" i="1"/>
  <c r="H192" i="1"/>
  <c r="M191" i="1"/>
  <c r="L191" i="1"/>
  <c r="K191" i="1"/>
  <c r="H191" i="1"/>
  <c r="M190" i="1"/>
  <c r="L190" i="1"/>
  <c r="K190" i="1"/>
  <c r="H190" i="1"/>
  <c r="M189" i="1"/>
  <c r="L189" i="1"/>
  <c r="K189" i="1"/>
  <c r="H189" i="1"/>
  <c r="M188" i="1"/>
  <c r="L188" i="1"/>
  <c r="K188" i="1"/>
  <c r="H188" i="1"/>
  <c r="M187" i="1"/>
  <c r="L187" i="1"/>
  <c r="K187" i="1"/>
  <c r="H187" i="1"/>
  <c r="M186" i="1"/>
  <c r="L186" i="1"/>
  <c r="K186" i="1"/>
  <c r="H186" i="1"/>
  <c r="M185" i="1"/>
  <c r="L185" i="1"/>
  <c r="K185" i="1"/>
  <c r="H185" i="1"/>
  <c r="M184" i="1"/>
  <c r="L184" i="1"/>
  <c r="K184" i="1"/>
  <c r="H184" i="1"/>
  <c r="M183" i="1"/>
  <c r="L183" i="1"/>
  <c r="K183" i="1"/>
  <c r="H183" i="1"/>
  <c r="M182" i="1"/>
  <c r="L182" i="1"/>
  <c r="K182" i="1"/>
  <c r="H182" i="1"/>
  <c r="M181" i="1"/>
  <c r="L181" i="1"/>
  <c r="K181" i="1"/>
  <c r="H181" i="1"/>
  <c r="M180" i="1"/>
  <c r="L180" i="1"/>
  <c r="K180" i="1"/>
  <c r="H180" i="1"/>
  <c r="M179" i="1"/>
  <c r="L179" i="1"/>
  <c r="K179" i="1"/>
  <c r="H179" i="1"/>
  <c r="M178" i="1"/>
  <c r="L178" i="1"/>
  <c r="K178" i="1"/>
  <c r="H178" i="1"/>
  <c r="M177" i="1"/>
  <c r="L177" i="1"/>
  <c r="K177" i="1"/>
  <c r="H177" i="1"/>
  <c r="M176" i="1"/>
  <c r="L176" i="1"/>
  <c r="K176" i="1"/>
  <c r="H176" i="1"/>
  <c r="M175" i="1"/>
  <c r="L175" i="1"/>
  <c r="K175" i="1"/>
  <c r="H175" i="1"/>
  <c r="M174" i="1"/>
  <c r="L174" i="1"/>
  <c r="K174" i="1"/>
  <c r="H174" i="1"/>
  <c r="M173" i="1"/>
  <c r="L173" i="1"/>
  <c r="K173" i="1"/>
  <c r="H173" i="1"/>
  <c r="M172" i="1"/>
  <c r="L172" i="1"/>
  <c r="K172" i="1"/>
  <c r="H172" i="1"/>
  <c r="M171" i="1"/>
  <c r="L171" i="1"/>
  <c r="K171" i="1"/>
  <c r="H171" i="1"/>
  <c r="M170" i="1"/>
  <c r="L170" i="1"/>
  <c r="K170" i="1"/>
  <c r="H170" i="1"/>
  <c r="M169" i="1"/>
  <c r="L169" i="1"/>
  <c r="K169" i="1"/>
  <c r="H169" i="1"/>
  <c r="M168" i="1"/>
  <c r="L168" i="1"/>
  <c r="K168" i="1"/>
  <c r="H168" i="1"/>
  <c r="M167" i="1"/>
  <c r="L167" i="1"/>
  <c r="K167" i="1"/>
  <c r="H167" i="1"/>
  <c r="M166" i="1"/>
  <c r="L166" i="1"/>
  <c r="K166" i="1"/>
  <c r="H166" i="1"/>
  <c r="M165" i="1"/>
  <c r="L165" i="1"/>
  <c r="K165" i="1"/>
  <c r="H165" i="1"/>
  <c r="M164" i="1"/>
  <c r="L164" i="1"/>
  <c r="K164" i="1"/>
  <c r="H164" i="1"/>
  <c r="M163" i="1"/>
  <c r="L163" i="1"/>
  <c r="K163" i="1"/>
  <c r="H163" i="1"/>
  <c r="M162" i="1"/>
  <c r="L162" i="1"/>
  <c r="K162" i="1"/>
  <c r="H162" i="1"/>
  <c r="M161" i="1"/>
  <c r="L161" i="1"/>
  <c r="K161" i="1"/>
  <c r="H161" i="1"/>
  <c r="M160" i="1"/>
  <c r="L160" i="1"/>
  <c r="K160" i="1"/>
  <c r="H160" i="1"/>
  <c r="M159" i="1"/>
  <c r="L159" i="1"/>
  <c r="K159" i="1"/>
  <c r="H159" i="1"/>
  <c r="M158" i="1"/>
  <c r="L158" i="1"/>
  <c r="K158" i="1"/>
  <c r="H158" i="1"/>
  <c r="M157" i="1"/>
  <c r="L157" i="1"/>
  <c r="K157" i="1"/>
  <c r="H157" i="1"/>
  <c r="M156" i="1"/>
  <c r="L156" i="1"/>
  <c r="K156" i="1"/>
  <c r="H156" i="1"/>
  <c r="M155" i="1"/>
  <c r="L155" i="1"/>
  <c r="K155" i="1"/>
  <c r="H155" i="1"/>
  <c r="M154" i="1"/>
  <c r="L154" i="1"/>
  <c r="K154" i="1"/>
  <c r="H154" i="1"/>
  <c r="M153" i="1"/>
  <c r="L153" i="1"/>
  <c r="K153" i="1"/>
  <c r="H153" i="1"/>
  <c r="M152" i="1"/>
  <c r="L152" i="1"/>
  <c r="K152" i="1"/>
  <c r="H152" i="1"/>
  <c r="M151" i="1"/>
  <c r="L151" i="1"/>
  <c r="K151" i="1"/>
  <c r="H151" i="1"/>
  <c r="M150" i="1"/>
  <c r="L150" i="1"/>
  <c r="K150" i="1"/>
  <c r="H150" i="1"/>
  <c r="M149" i="1"/>
  <c r="L149" i="1"/>
  <c r="K149" i="1"/>
  <c r="H149" i="1"/>
  <c r="M148" i="1"/>
  <c r="L148" i="1"/>
  <c r="K148" i="1"/>
  <c r="H148" i="1"/>
  <c r="M147" i="1"/>
  <c r="L147" i="1"/>
  <c r="K147" i="1"/>
  <c r="H147" i="1"/>
  <c r="M146" i="1"/>
  <c r="L146" i="1"/>
  <c r="K146" i="1"/>
  <c r="H146" i="1"/>
  <c r="M145" i="1"/>
  <c r="L145" i="1"/>
  <c r="K145" i="1"/>
  <c r="H145" i="1"/>
  <c r="M144" i="1"/>
  <c r="L144" i="1"/>
  <c r="K144" i="1"/>
  <c r="H144" i="1"/>
  <c r="M143" i="1"/>
  <c r="L143" i="1"/>
  <c r="K143" i="1"/>
  <c r="H143" i="1"/>
  <c r="M142" i="1"/>
  <c r="L142" i="1"/>
  <c r="K142" i="1"/>
  <c r="H142" i="1"/>
  <c r="M141" i="1"/>
  <c r="L141" i="1"/>
  <c r="K141" i="1"/>
  <c r="H141" i="1"/>
  <c r="M140" i="1"/>
  <c r="L140" i="1"/>
  <c r="K140" i="1"/>
  <c r="H140" i="1"/>
  <c r="M139" i="1"/>
  <c r="L139" i="1"/>
  <c r="K139" i="1"/>
  <c r="H139" i="1"/>
  <c r="M138" i="1"/>
  <c r="L138" i="1"/>
  <c r="K138" i="1"/>
  <c r="H138" i="1"/>
  <c r="M137" i="1"/>
  <c r="L137" i="1"/>
  <c r="K137" i="1"/>
  <c r="H137" i="1"/>
  <c r="M136" i="1"/>
  <c r="L136" i="1"/>
  <c r="K136" i="1"/>
  <c r="H136" i="1"/>
  <c r="M135" i="1"/>
  <c r="L135" i="1"/>
  <c r="K135" i="1"/>
  <c r="H135" i="1"/>
  <c r="M134" i="1"/>
  <c r="L134" i="1"/>
  <c r="K134" i="1"/>
  <c r="H134" i="1"/>
  <c r="M133" i="1"/>
  <c r="L133" i="1"/>
  <c r="K133" i="1"/>
  <c r="H133" i="1"/>
  <c r="M132" i="1"/>
  <c r="L132" i="1"/>
  <c r="K132" i="1"/>
  <c r="H132" i="1"/>
  <c r="M131" i="1"/>
  <c r="L131" i="1"/>
  <c r="K131" i="1"/>
  <c r="H131" i="1"/>
  <c r="M130" i="1"/>
  <c r="L130" i="1"/>
  <c r="K130" i="1"/>
  <c r="H130" i="1"/>
  <c r="M129" i="1"/>
  <c r="L129" i="1"/>
  <c r="K129" i="1"/>
  <c r="H129" i="1"/>
  <c r="M128" i="1"/>
  <c r="L128" i="1"/>
  <c r="K128" i="1"/>
  <c r="H128" i="1"/>
  <c r="M127" i="1"/>
  <c r="L127" i="1"/>
  <c r="K127" i="1"/>
  <c r="H127" i="1"/>
  <c r="M126" i="1"/>
  <c r="L126" i="1"/>
  <c r="K126" i="1"/>
  <c r="H126" i="1"/>
  <c r="M125" i="1"/>
  <c r="L125" i="1"/>
  <c r="K125" i="1"/>
  <c r="H125" i="1"/>
  <c r="M124" i="1"/>
  <c r="L124" i="1"/>
  <c r="K124" i="1"/>
  <c r="H124" i="1"/>
  <c r="M123" i="1"/>
  <c r="L123" i="1"/>
  <c r="K123" i="1"/>
  <c r="H123" i="1"/>
  <c r="M122" i="1"/>
  <c r="L122" i="1"/>
  <c r="K122" i="1"/>
  <c r="H122" i="1"/>
  <c r="M121" i="1"/>
  <c r="L121" i="1"/>
  <c r="K121" i="1"/>
  <c r="H121" i="1"/>
  <c r="M120" i="1"/>
  <c r="L120" i="1"/>
  <c r="K120" i="1"/>
  <c r="H120" i="1"/>
  <c r="M119" i="1"/>
  <c r="L119" i="1"/>
  <c r="K119" i="1"/>
  <c r="H119" i="1"/>
  <c r="M118" i="1"/>
  <c r="L118" i="1"/>
  <c r="K118" i="1"/>
  <c r="H118" i="1"/>
  <c r="M117" i="1"/>
  <c r="L117" i="1"/>
  <c r="K117" i="1"/>
  <c r="H117" i="1"/>
  <c r="M116" i="1"/>
  <c r="L116" i="1"/>
  <c r="K116" i="1"/>
  <c r="H116" i="1"/>
  <c r="M115" i="1"/>
  <c r="L115" i="1"/>
  <c r="K115" i="1"/>
  <c r="H115" i="1"/>
  <c r="M114" i="1"/>
  <c r="L114" i="1"/>
  <c r="K114" i="1"/>
  <c r="H114" i="1"/>
  <c r="M113" i="1"/>
  <c r="L113" i="1"/>
  <c r="K113" i="1"/>
  <c r="H113" i="1"/>
  <c r="M112" i="1"/>
  <c r="L112" i="1"/>
  <c r="K112" i="1"/>
  <c r="H112" i="1"/>
  <c r="M111" i="1"/>
  <c r="L111" i="1"/>
  <c r="K111" i="1"/>
  <c r="H111" i="1"/>
  <c r="M110" i="1"/>
  <c r="L110" i="1"/>
  <c r="K110" i="1"/>
  <c r="H110" i="1"/>
  <c r="M109" i="1"/>
  <c r="L109" i="1"/>
  <c r="K109" i="1"/>
  <c r="H109" i="1"/>
  <c r="M108" i="1"/>
  <c r="L108" i="1"/>
  <c r="K108" i="1"/>
  <c r="H108" i="1"/>
  <c r="M107" i="1"/>
  <c r="L107" i="1"/>
  <c r="K107" i="1"/>
  <c r="H107" i="1"/>
  <c r="M106" i="1"/>
  <c r="L106" i="1"/>
  <c r="K106" i="1"/>
  <c r="H106" i="1"/>
  <c r="M105" i="1"/>
  <c r="L105" i="1"/>
  <c r="K105" i="1"/>
  <c r="H105" i="1"/>
  <c r="M104" i="1"/>
  <c r="L104" i="1"/>
  <c r="K104" i="1"/>
  <c r="H104" i="1"/>
  <c r="M103" i="1"/>
  <c r="L103" i="1"/>
  <c r="K103" i="1"/>
  <c r="H103" i="1"/>
  <c r="M102" i="1"/>
  <c r="L102" i="1"/>
  <c r="K102" i="1"/>
  <c r="H102" i="1"/>
  <c r="M101" i="1"/>
  <c r="L101" i="1"/>
  <c r="K101" i="1"/>
  <c r="H101" i="1"/>
  <c r="M100" i="1"/>
  <c r="L100" i="1"/>
  <c r="K100" i="1"/>
  <c r="H100" i="1"/>
  <c r="M99" i="1"/>
  <c r="L99" i="1"/>
  <c r="K99" i="1"/>
  <c r="H99" i="1"/>
  <c r="M98" i="1"/>
  <c r="L98" i="1"/>
  <c r="K98" i="1"/>
  <c r="H98" i="1"/>
  <c r="M97" i="1"/>
  <c r="L97" i="1"/>
  <c r="K97" i="1"/>
  <c r="H97" i="1"/>
  <c r="M96" i="1"/>
  <c r="L96" i="1"/>
  <c r="K96" i="1"/>
  <c r="H96" i="1"/>
  <c r="M95" i="1"/>
  <c r="L95" i="1"/>
  <c r="K95" i="1"/>
  <c r="H95" i="1"/>
  <c r="M94" i="1"/>
  <c r="L94" i="1"/>
  <c r="K94" i="1"/>
  <c r="H94" i="1"/>
  <c r="M93" i="1"/>
  <c r="L93" i="1"/>
  <c r="K93" i="1"/>
  <c r="H93" i="1"/>
  <c r="M92" i="1"/>
  <c r="L92" i="1"/>
  <c r="K92" i="1"/>
  <c r="H92" i="1"/>
  <c r="M91" i="1"/>
  <c r="L91" i="1"/>
  <c r="K91" i="1"/>
  <c r="H91" i="1"/>
  <c r="M90" i="1"/>
  <c r="L90" i="1"/>
  <c r="K90" i="1"/>
  <c r="H90" i="1"/>
  <c r="M89" i="1"/>
  <c r="L89" i="1"/>
  <c r="K89" i="1"/>
  <c r="H89" i="1"/>
  <c r="M88" i="1"/>
  <c r="L88" i="1"/>
  <c r="K88" i="1"/>
  <c r="H88" i="1"/>
  <c r="M87" i="1"/>
  <c r="L87" i="1"/>
  <c r="K87" i="1"/>
  <c r="H87" i="1"/>
  <c r="M86" i="1"/>
  <c r="L86" i="1"/>
  <c r="K86" i="1"/>
  <c r="H86" i="1"/>
  <c r="M85" i="1"/>
  <c r="L85" i="1"/>
  <c r="K85" i="1"/>
  <c r="H85" i="1"/>
  <c r="M84" i="1"/>
  <c r="L84" i="1"/>
  <c r="K84" i="1"/>
  <c r="H84" i="1"/>
  <c r="M83" i="1"/>
  <c r="L83" i="1"/>
  <c r="K83" i="1"/>
  <c r="H83" i="1"/>
  <c r="M82" i="1"/>
  <c r="L82" i="1"/>
  <c r="K82" i="1"/>
  <c r="H82" i="1"/>
  <c r="M81" i="1"/>
  <c r="L81" i="1"/>
  <c r="K81" i="1"/>
  <c r="H81" i="1"/>
  <c r="M80" i="1"/>
  <c r="L80" i="1"/>
  <c r="K80" i="1"/>
  <c r="H80" i="1"/>
  <c r="M79" i="1"/>
  <c r="L79" i="1"/>
  <c r="K79" i="1"/>
  <c r="H79" i="1"/>
  <c r="M78" i="1"/>
  <c r="L78" i="1"/>
  <c r="K78" i="1"/>
  <c r="H78" i="1"/>
  <c r="M77" i="1"/>
  <c r="L77" i="1"/>
  <c r="K77" i="1"/>
  <c r="H77" i="1"/>
  <c r="M76" i="1"/>
  <c r="L76" i="1"/>
  <c r="K76" i="1"/>
  <c r="H76" i="1"/>
  <c r="M75" i="1"/>
  <c r="L75" i="1"/>
  <c r="K75" i="1"/>
  <c r="H75" i="1"/>
  <c r="M74" i="1"/>
  <c r="L74" i="1"/>
  <c r="K74" i="1"/>
  <c r="H74" i="1"/>
  <c r="M73" i="1"/>
  <c r="L73" i="1"/>
  <c r="K73" i="1"/>
  <c r="H73" i="1"/>
  <c r="M72" i="1"/>
  <c r="L72" i="1"/>
  <c r="K72" i="1"/>
  <c r="H72" i="1"/>
  <c r="M71" i="1"/>
  <c r="L71" i="1"/>
  <c r="K71" i="1"/>
  <c r="H71" i="1"/>
  <c r="M70" i="1"/>
  <c r="L70" i="1"/>
  <c r="K70" i="1"/>
  <c r="H70" i="1"/>
  <c r="M69" i="1"/>
  <c r="L69" i="1"/>
  <c r="K69" i="1"/>
  <c r="H69" i="1"/>
  <c r="M68" i="1"/>
  <c r="L68" i="1"/>
  <c r="K68" i="1"/>
  <c r="H68" i="1"/>
  <c r="M67" i="1"/>
  <c r="L67" i="1"/>
  <c r="K67" i="1"/>
  <c r="H67" i="1"/>
  <c r="M66" i="1"/>
  <c r="L66" i="1"/>
  <c r="K66" i="1"/>
  <c r="H66" i="1"/>
  <c r="M65" i="1"/>
  <c r="L65" i="1"/>
  <c r="K65" i="1"/>
  <c r="H65" i="1"/>
  <c r="M64" i="1"/>
  <c r="L64" i="1"/>
  <c r="K64" i="1"/>
  <c r="H64" i="1"/>
  <c r="M63" i="1"/>
  <c r="L63" i="1"/>
  <c r="K63" i="1"/>
  <c r="H63" i="1"/>
  <c r="M62" i="1"/>
  <c r="L62" i="1"/>
  <c r="K62" i="1"/>
  <c r="H62" i="1"/>
  <c r="M61" i="1"/>
  <c r="L61" i="1"/>
  <c r="K61" i="1"/>
  <c r="H61" i="1"/>
  <c r="M60" i="1"/>
  <c r="L60" i="1"/>
  <c r="K60" i="1"/>
  <c r="H60" i="1"/>
  <c r="M59" i="1"/>
  <c r="L59" i="1"/>
  <c r="K59" i="1"/>
  <c r="H59" i="1"/>
  <c r="M58" i="1"/>
  <c r="L58" i="1"/>
  <c r="K58" i="1"/>
  <c r="H58" i="1"/>
  <c r="M57" i="1"/>
  <c r="L57" i="1"/>
  <c r="K57" i="1"/>
  <c r="H57" i="1"/>
  <c r="M56" i="1"/>
  <c r="L56" i="1"/>
  <c r="K56" i="1"/>
  <c r="H56" i="1"/>
  <c r="M55" i="1"/>
  <c r="L55" i="1"/>
  <c r="K55" i="1"/>
  <c r="H55" i="1"/>
  <c r="M54" i="1"/>
  <c r="L54" i="1"/>
  <c r="K54" i="1"/>
  <c r="H54" i="1"/>
  <c r="M53" i="1"/>
  <c r="L53" i="1"/>
  <c r="K53" i="1"/>
  <c r="H53" i="1"/>
  <c r="M52" i="1"/>
  <c r="L52" i="1"/>
  <c r="K52" i="1"/>
  <c r="H52" i="1"/>
  <c r="M51" i="1"/>
  <c r="L51" i="1"/>
  <c r="K51" i="1"/>
  <c r="H51" i="1"/>
  <c r="M50" i="1"/>
  <c r="L50" i="1"/>
  <c r="K50" i="1"/>
  <c r="H50" i="1"/>
  <c r="M49" i="1"/>
  <c r="L49" i="1"/>
  <c r="K49" i="1"/>
  <c r="H49" i="1"/>
  <c r="M48" i="1"/>
  <c r="L48" i="1"/>
  <c r="K48" i="1"/>
  <c r="H48" i="1"/>
  <c r="M47" i="1"/>
  <c r="L47" i="1"/>
  <c r="K47" i="1"/>
  <c r="H47" i="1"/>
  <c r="M46" i="1"/>
  <c r="L46" i="1"/>
  <c r="K46" i="1"/>
  <c r="H46" i="1"/>
  <c r="M45" i="1"/>
  <c r="L45" i="1"/>
  <c r="K45" i="1"/>
  <c r="H45" i="1"/>
  <c r="M44" i="1"/>
  <c r="L44" i="1"/>
  <c r="K44" i="1"/>
  <c r="H44" i="1"/>
  <c r="M43" i="1"/>
  <c r="L43" i="1"/>
  <c r="K43" i="1"/>
  <c r="H43" i="1"/>
  <c r="M42" i="1"/>
  <c r="L42" i="1"/>
  <c r="K42" i="1"/>
  <c r="H42" i="1"/>
  <c r="M41" i="1"/>
  <c r="L41" i="1"/>
  <c r="K41" i="1"/>
  <c r="H41" i="1"/>
  <c r="M40" i="1"/>
  <c r="L40" i="1"/>
  <c r="K40" i="1"/>
  <c r="H40" i="1"/>
  <c r="M39" i="1"/>
  <c r="L39" i="1"/>
  <c r="K39" i="1"/>
  <c r="H39" i="1"/>
  <c r="M38" i="1"/>
  <c r="L38" i="1"/>
  <c r="K38" i="1"/>
  <c r="H38" i="1"/>
  <c r="M37" i="1"/>
  <c r="L37" i="1"/>
  <c r="K37" i="1"/>
  <c r="H37" i="1"/>
  <c r="M36" i="1"/>
  <c r="L36" i="1"/>
  <c r="K36" i="1"/>
  <c r="H36" i="1"/>
  <c r="M35" i="1"/>
  <c r="L35" i="1"/>
  <c r="K35" i="1"/>
  <c r="H35" i="1"/>
  <c r="M34" i="1"/>
  <c r="L34" i="1"/>
  <c r="K34" i="1"/>
  <c r="H34" i="1"/>
  <c r="M33" i="1"/>
  <c r="L33" i="1"/>
  <c r="K33" i="1"/>
  <c r="H33" i="1"/>
  <c r="M32" i="1"/>
  <c r="L32" i="1"/>
  <c r="K32" i="1"/>
  <c r="H32" i="1"/>
  <c r="M31" i="1"/>
  <c r="L31" i="1"/>
  <c r="K31" i="1"/>
  <c r="H31" i="1"/>
  <c r="M30" i="1"/>
  <c r="L30" i="1"/>
  <c r="K30" i="1"/>
  <c r="H30" i="1"/>
  <c r="M29" i="1"/>
  <c r="L29" i="1"/>
  <c r="K29" i="1"/>
  <c r="H29" i="1"/>
  <c r="M28" i="1"/>
  <c r="L28" i="1"/>
  <c r="K28" i="1"/>
  <c r="H28" i="1"/>
  <c r="M27" i="1"/>
  <c r="L27" i="1"/>
  <c r="K27" i="1"/>
  <c r="H27" i="1"/>
  <c r="M26" i="1"/>
  <c r="L26" i="1"/>
  <c r="K26" i="1"/>
  <c r="H26" i="1"/>
  <c r="M25" i="1"/>
  <c r="L25" i="1"/>
  <c r="K25" i="1"/>
  <c r="H25" i="1"/>
  <c r="M24" i="1"/>
  <c r="L24" i="1"/>
  <c r="K24" i="1"/>
  <c r="H24" i="1"/>
  <c r="M23" i="1"/>
  <c r="L23" i="1"/>
  <c r="K23" i="1"/>
  <c r="H23" i="1"/>
  <c r="M22" i="1"/>
  <c r="L22" i="1"/>
  <c r="K22" i="1"/>
  <c r="H22" i="1"/>
  <c r="M21" i="1"/>
  <c r="L21" i="1"/>
  <c r="K21" i="1"/>
  <c r="H21" i="1"/>
  <c r="M20" i="1"/>
  <c r="L20" i="1"/>
  <c r="K20" i="1"/>
  <c r="H20" i="1"/>
  <c r="M19" i="1"/>
  <c r="L19" i="1"/>
  <c r="K19" i="1"/>
  <c r="H19" i="1"/>
  <c r="M18" i="1"/>
  <c r="L18" i="1"/>
  <c r="K18" i="1"/>
  <c r="H18" i="1"/>
  <c r="M17" i="1"/>
  <c r="L17" i="1"/>
  <c r="K17" i="1"/>
  <c r="H17" i="1"/>
  <c r="M16" i="1"/>
  <c r="L16" i="1"/>
  <c r="K16" i="1"/>
  <c r="H16" i="1"/>
  <c r="M15" i="1"/>
  <c r="L15" i="1"/>
  <c r="K15" i="1"/>
  <c r="H15" i="1"/>
  <c r="M14" i="1"/>
  <c r="L14" i="1"/>
  <c r="K14" i="1"/>
  <c r="H14" i="1"/>
  <c r="M13" i="1"/>
  <c r="L13" i="1"/>
  <c r="K13" i="1"/>
  <c r="H13" i="1"/>
  <c r="M12" i="1"/>
  <c r="L12" i="1"/>
  <c r="K12" i="1"/>
  <c r="H12" i="1"/>
  <c r="M11" i="1"/>
  <c r="L11" i="1"/>
  <c r="K11" i="1"/>
  <c r="H11" i="1"/>
  <c r="M10" i="1"/>
  <c r="L10" i="1"/>
  <c r="K10" i="1"/>
  <c r="H10" i="1"/>
  <c r="M9" i="1"/>
  <c r="L9" i="1"/>
  <c r="K9" i="1"/>
  <c r="H9" i="1"/>
  <c r="M8" i="1"/>
  <c r="L8" i="1"/>
  <c r="K8" i="1"/>
  <c r="H8" i="1"/>
  <c r="M7" i="1"/>
  <c r="L7" i="1"/>
  <c r="K7" i="1"/>
  <c r="H7" i="1"/>
  <c r="M6" i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<sst xmlns="http://schemas.openxmlformats.org/spreadsheetml/2006/main" count="3779" uniqueCount="362">
  <si>
    <t>Dettaglio Domande Pagabili Decreto 445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</si>
  <si>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</si>
  <si>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</si>
  <si>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</si>
  <si>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</si>
  <si>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</si>
  <si>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</si>
  <si>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</si>
  <si>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</si>
  <si>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</si>
  <si>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</si>
  <si>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</si>
  <si>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</si>
  <si>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</si>
  <si>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</si>
  <si>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</si>
  <si>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</si>
  <si>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</si>
  <si>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</si>
  <si>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</si>
  <si>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</si>
  <si>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Tipologia di Strumento Finanziario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</si>
  <si>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</si>
  <si>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</si>
  <si>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</si>
  <si>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</si>
  <si>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</si>
  <si>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</si>
  <si>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Strutturali</t>
  </si>
  <si>
    <t>CAA-CAF AGRI S.R.L.</t>
  </si>
  <si>
    <t>NO</t>
  </si>
  <si>
    <t>Nuova Programmazione</t>
  </si>
  <si>
    <t>In Liquidazione</t>
  </si>
  <si>
    <t>Saldo</t>
  </si>
  <si>
    <t>Co-Finanziato</t>
  </si>
  <si>
    <t>Ordinario</t>
  </si>
  <si>
    <t>IN PROPRIO</t>
  </si>
  <si>
    <t>SAL</t>
  </si>
  <si>
    <t>Misure a Superficie</t>
  </si>
  <si>
    <t>CAA Coldiretti srl</t>
  </si>
  <si>
    <t>SI</t>
  </si>
  <si>
    <t>CAA CIA srl</t>
  </si>
  <si>
    <t>CAA Confagricoltura srl</t>
  </si>
  <si>
    <t>CAA UNICAA srl</t>
  </si>
  <si>
    <t>CAA LiberiAgricoltori srl già CAA AGCI srl</t>
  </si>
  <si>
    <t>CAA Liberi Professionisti srl</t>
  </si>
  <si>
    <t>MARCHE</t>
  </si>
  <si>
    <t>SERV. DEC. AGRICOLTURA E ALIM. - MACERATA</t>
  </si>
  <si>
    <t>AZIENDA MEI MARCO E C.SOCIETA'AGRICOLA</t>
  </si>
  <si>
    <t>AGEA.ASR.2021.0458838</t>
  </si>
  <si>
    <t>CAA Coldiretti - MACERATA - 017</t>
  </si>
  <si>
    <t>AURELI MACCARIO</t>
  </si>
  <si>
    <t>SERV. DEC. AGRICOLTURA E ALIMENTAZIONE - PESARO</t>
  </si>
  <si>
    <t>AZIENDA AGRICOLA MOCHI - S.S. SOCIETA' AGRICOLA</t>
  </si>
  <si>
    <t>CAA Coldiretti - MACERATA - 010</t>
  </si>
  <si>
    <t>CALAMANTE MARIA</t>
  </si>
  <si>
    <t>CAA Coldiretti - PESARO E URBINO - 013</t>
  </si>
  <si>
    <t>CALVANI LAURA</t>
  </si>
  <si>
    <t>CAA CIA - MACERATA - 001</t>
  </si>
  <si>
    <t>CINGOLANI FRANCO</t>
  </si>
  <si>
    <t>CALIENDI FRANCESCO</t>
  </si>
  <si>
    <t>CAA Coldiretti - MACERATA - 007</t>
  </si>
  <si>
    <t>CIANCONI ALBERTO</t>
  </si>
  <si>
    <t>CAA UNICAA - ASCOLI PICENO - 004</t>
  </si>
  <si>
    <t>SOC.AGR.TERRA DI MONDO SRL</t>
  </si>
  <si>
    <t>AGEA.ASR.2021.0517595</t>
  </si>
  <si>
    <t>CAA LiberiAgricoltori - MACERATA - 003</t>
  </si>
  <si>
    <t>CARAFFA POMPONIO</t>
  </si>
  <si>
    <t>COPPONI LORENZO</t>
  </si>
  <si>
    <t>FABBRIZI PAOLO</t>
  </si>
  <si>
    <t>CAA Coldiretti - MACERATA - 002</t>
  </si>
  <si>
    <t>GAMBINI LUIGI</t>
  </si>
  <si>
    <t>SERV. DEC. AGRICOLTURA E ALIMENTAZIONE - ANCONA</t>
  </si>
  <si>
    <t>CAA Coldiretti - ANCONA - 002</t>
  </si>
  <si>
    <t>LOIA NATALE</t>
  </si>
  <si>
    <t>MAGGI LUIGI</t>
  </si>
  <si>
    <t>MARCHIONNI MAURIZIO</t>
  </si>
  <si>
    <t>MARIOTTI SEVERINO</t>
  </si>
  <si>
    <t>MARZIALETTI FRANCESCO</t>
  </si>
  <si>
    <t>MESCHINI ANGELO</t>
  </si>
  <si>
    <t>MILIOZZI G. E MENECOZZI M. SOC. SEMPLICE AGRICOLA</t>
  </si>
  <si>
    <t>MISICI FAUSTO</t>
  </si>
  <si>
    <t>NARDI MAURIZIO</t>
  </si>
  <si>
    <t>CAA CAF AGRI - MACERATA - 223</t>
  </si>
  <si>
    <t>NOVELLI PIERINO</t>
  </si>
  <si>
    <t>PALOMBI TONINO</t>
  </si>
  <si>
    <t>CAA Coldiretti - MACERATA - 018</t>
  </si>
  <si>
    <t>PERUGINI BERNARDINO</t>
  </si>
  <si>
    <t>CAA CAF AGRI - ANCONA - 225</t>
  </si>
  <si>
    <t>PIERSIGILLI SAURO</t>
  </si>
  <si>
    <t>POETA FRANCESCO</t>
  </si>
  <si>
    <t>GIACOBBI LUIGI</t>
  </si>
  <si>
    <t>SERV. DEC. AGRICOLTURA E ALIM. -ASCOLI PICENO</t>
  </si>
  <si>
    <t>IMPRESA VERDE MARCHE SRL</t>
  </si>
  <si>
    <t>AGEA.ASR.2021.0524614</t>
  </si>
  <si>
    <t>CAA CIA - PESARO E URBINO - 008</t>
  </si>
  <si>
    <t>AGOSTINI DOMENICA</t>
  </si>
  <si>
    <t>CAA LiberiAgricoltori - PESARO E URBINO - 002</t>
  </si>
  <si>
    <t>AMBROSIO ARCANGELO</t>
  </si>
  <si>
    <t>AMICI BARTOLOMEO</t>
  </si>
  <si>
    <t>CAA LiberiAgricoltori - MACERATA - 002</t>
  </si>
  <si>
    <t>CONFORTI DIEGO E SANDRO S.S. AGRICOLA</t>
  </si>
  <si>
    <t>BARBONI FABIO</t>
  </si>
  <si>
    <t>CAA Coldiretti - ANCONA - 005</t>
  </si>
  <si>
    <t>BREGA ALFIO</t>
  </si>
  <si>
    <t>CRISPICIANI SARA</t>
  </si>
  <si>
    <t>CALIENDI ENRICO</t>
  </si>
  <si>
    <t>PEYRON BERNARDINO ENRICO MARIA</t>
  </si>
  <si>
    <t>SOCIETA' AGRICOLA PALANCA IVANO E LORENZOTTI TIZIANA &amp; C. S.S.</t>
  </si>
  <si>
    <t>CARDONA FEDERICO</t>
  </si>
  <si>
    <t>SOCIETA' AGRICOLA MANASSE GIANCARLO &amp; ORLANDO S.S.</t>
  </si>
  <si>
    <t>CAA Coldiretti - ANCONA - 003</t>
  </si>
  <si>
    <t>CARTUCCIA ENRICO</t>
  </si>
  <si>
    <t>CASTIGNANI LUCIANO</t>
  </si>
  <si>
    <t>CICCIOLI MATTEO</t>
  </si>
  <si>
    <t>SOCIETA' AGRICOLA BONIFAZI ALBERTO &amp; C. S.S.</t>
  </si>
  <si>
    <t>SOCIETA' AGRICOLA CAPPUCCINI S.S.</t>
  </si>
  <si>
    <t>AGEA.ASR.2021.0456986</t>
  </si>
  <si>
    <t>ANTONELLI PAOLA</t>
  </si>
  <si>
    <t>CARSETTI PASQUALE</t>
  </si>
  <si>
    <t>CASTIGNANI CRISTINA</t>
  </si>
  <si>
    <t>CESARI FORTUNATO</t>
  </si>
  <si>
    <t>CONESTA' MARCO</t>
  </si>
  <si>
    <t>CAA Confagricoltura - PESARO E URBINO - 001</t>
  </si>
  <si>
    <t>AMICI ALESSANDRO</t>
  </si>
  <si>
    <t>SOCIETA' AGRICOLA RIVELLI SOCIETA' SEMPLICE</t>
  </si>
  <si>
    <t>SBARDELLATI LAMBERTO</t>
  </si>
  <si>
    <t>FRATTARI SABRINA</t>
  </si>
  <si>
    <t>CAA Coldiretti - ANCONA - 004</t>
  </si>
  <si>
    <t>MICCI GILBERTO</t>
  </si>
  <si>
    <t>MORETTI STEFANIA</t>
  </si>
  <si>
    <t>POETA MASSIMO</t>
  </si>
  <si>
    <t>ROSSETTI MAURIZIO</t>
  </si>
  <si>
    <t>CAA Copagri srl</t>
  </si>
  <si>
    <t>CAA Copagri - MACERATA - 501</t>
  </si>
  <si>
    <t>SABBATINI MAURIZIO</t>
  </si>
  <si>
    <t>SOCIETA' AGRICOLA BIO DI NUCCELLI BARBARA E SERENA S.R.L.</t>
  </si>
  <si>
    <t>SOCIETA' AGRICOLA F.LLI MARCHIANNI DI MARCHIANNI CRISTINA &amp; C. S.S.</t>
  </si>
  <si>
    <t>SOCIETA' AGRICOLA GRANDONI MAURIZIO E C. S.S.</t>
  </si>
  <si>
    <t>SOCIETA' AGRICOLA PACCUSSE DI PACCUSSE VALENTINO &amp; DINO S.S.</t>
  </si>
  <si>
    <t>SOCIETA' COOPERATIVA AGRICOLA CASA AIALE A R.L.</t>
  </si>
  <si>
    <t>CAA UNICAA - ANCONA - 003</t>
  </si>
  <si>
    <t>SPALLACCI MARCO</t>
  </si>
  <si>
    <t>TORRETTI LUIGI</t>
  </si>
  <si>
    <t>CAA Coldiretti - MACERATA - 008</t>
  </si>
  <si>
    <t>COCILOVA GIOVANNI</t>
  </si>
  <si>
    <t>SOCIETA' AGRICOLA GIANNINI SIMONE &amp; C. S.S.</t>
  </si>
  <si>
    <t>DEZI ENNIO</t>
  </si>
  <si>
    <t>FATTORI NANDO</t>
  </si>
  <si>
    <t>MASSACCESI DELIO</t>
  </si>
  <si>
    <t>SOCIETA' AGRICOLA BIAGGI MIRKO E C . S.S</t>
  </si>
  <si>
    <t>RICOTTINI GIAN CARLO</t>
  </si>
  <si>
    <t>SOCIETA' AGRICOLA GIROLAMI STEFANIA E SONIA S.S.</t>
  </si>
  <si>
    <t>STAFFOLANI NICOLA</t>
  </si>
  <si>
    <t>STRADA PAOLO</t>
  </si>
  <si>
    <t>VALERIANI LINO</t>
  </si>
  <si>
    <t>TURCHI RENZO</t>
  </si>
  <si>
    <t>NITISOR DUMITRU</t>
  </si>
  <si>
    <t>FARNETI LUIGI</t>
  </si>
  <si>
    <t>MAURIZI LUIGINO</t>
  </si>
  <si>
    <t>CAA CIA - PESARO E URBINO - 002</t>
  </si>
  <si>
    <t>RASCHINI LORENZO</t>
  </si>
  <si>
    <t>SCARDALA MARIA</t>
  </si>
  <si>
    <t>SOCIETA AGRICOLA CONFORTI GIULIANO E GIORDANO S.S.</t>
  </si>
  <si>
    <t>SOCIETA' AGRICOLA ABC DI GUERRA S.S.</t>
  </si>
  <si>
    <t>GIORGI STEFANO</t>
  </si>
  <si>
    <t>POLIDORI FRANCO</t>
  </si>
  <si>
    <t>CAA CIA - ASCOLI PICENO - 001</t>
  </si>
  <si>
    <t>LEONARDI RITA</t>
  </si>
  <si>
    <t>MARINELLI MARIO</t>
  </si>
  <si>
    <t>SEBASTIANELLI GILBERTO</t>
  </si>
  <si>
    <t>DOMINICI RITA</t>
  </si>
  <si>
    <t>FEDELI EZIO</t>
  </si>
  <si>
    <t>SOCIETA' AGRICOLA EREDI GINORETTI VENANZO S.S.</t>
  </si>
  <si>
    <t>FLAMMA LUCIA</t>
  </si>
  <si>
    <t>FORTI FABIO</t>
  </si>
  <si>
    <t>ZAFFERENATI ELVEZIO</t>
  </si>
  <si>
    <t>GAGLIARDI RENZO</t>
  </si>
  <si>
    <t>GATTI PAOLO</t>
  </si>
  <si>
    <t>LE STROPPIGLIOSE SOCIETA' AGRICOLA SEMPLICE</t>
  </si>
  <si>
    <t>CAA LiberiAgricoltori - PESARO E URBINO - 001</t>
  </si>
  <si>
    <t>SAVINI GIULIA MARCELLA</t>
  </si>
  <si>
    <t>MOSCETTI NULLI EMILIANO</t>
  </si>
  <si>
    <t>PAZZAGLINI PAOLO</t>
  </si>
  <si>
    <t>CAA Liberi Prof.- PESARO E URBINO - 001</t>
  </si>
  <si>
    <t>PACI FLAVIO</t>
  </si>
  <si>
    <t>SOCIETA' AGRICOLA BASTIA S.R.L.</t>
  </si>
  <si>
    <t>ZAFFERENATI BIANCA MARIA</t>
  </si>
  <si>
    <t>CAA Coldiretti - PESARO E URBINO - 004</t>
  </si>
  <si>
    <t>LARGHETTI GIUSEPPE</t>
  </si>
  <si>
    <t>LUCARINI GRAZIELLA</t>
  </si>
  <si>
    <t>MAGGI NAZZARENO</t>
  </si>
  <si>
    <t>MAURIZI GIAN MARIO</t>
  </si>
  <si>
    <t>PIGOTTI EMO</t>
  </si>
  <si>
    <t>STEFANELLI GERMANO</t>
  </si>
  <si>
    <t>"SOCIETA' AGRICOLA SEMPLICE DI NABISSI GRAZIANO E GIACOMO"</t>
  </si>
  <si>
    <t>CAA Coldiretti - PESARO E URBINO - 001</t>
  </si>
  <si>
    <t>BARTOLINI DANIELA</t>
  </si>
  <si>
    <t>AGEA.ASR.2021.0507262</t>
  </si>
  <si>
    <t>CAA Coldiretti - ASCOLI PICENO - 030</t>
  </si>
  <si>
    <t>SI BIO DI PREMICI SILVIA E ALEANDRI VINCENZO SOCIETA' SEMPLICE AGRICOL</t>
  </si>
  <si>
    <t>AGEA.ASR.2021.0512257</t>
  </si>
  <si>
    <t>AGEA.ASR.2021.0456997</t>
  </si>
  <si>
    <t>SCOLASTICI RAIMONDO</t>
  </si>
  <si>
    <t>CAA LiberiAgricoltori - MACERATA - 005</t>
  </si>
  <si>
    <t>DELLA MORA DAVID</t>
  </si>
  <si>
    <t>BERRIA BARBARA</t>
  </si>
  <si>
    <t>ANGELI MIRKO</t>
  </si>
  <si>
    <t>DI MATTIA SABATINO</t>
  </si>
  <si>
    <t>CAA CAF AGRI - ASCOLI PICENO - 222</t>
  </si>
  <si>
    <t>GIONNI LUCA</t>
  </si>
  <si>
    <t>AGEA.ASR.2021.0517607</t>
  </si>
  <si>
    <t>AGEA.ASR.2021.0517613</t>
  </si>
  <si>
    <t>DE ANGELIS PIETRO</t>
  </si>
  <si>
    <t>AGEA.ASR.2021.0517706</t>
  </si>
  <si>
    <t>ENTE REGIONE MARCHE</t>
  </si>
  <si>
    <t>AGEA.ASR.2021.0524629</t>
  </si>
  <si>
    <t>CAA Coldiretti - ASCOLI PICENO - 010</t>
  </si>
  <si>
    <t>DI CARLO DANIELE</t>
  </si>
  <si>
    <t>AGEA.ASR.2021.0383263</t>
  </si>
  <si>
    <t>CAA LiberiAgricoltori - MACERATA - 004</t>
  </si>
  <si>
    <t>RINOMATA AZIENDA BIOLOGICA IMPRENDITORI LIBERTI SIMONE E GIANPIETRO SO</t>
  </si>
  <si>
    <t>CAA Coldiretti - MACERATA - 009</t>
  </si>
  <si>
    <t>CRUCIANI ALBERTO</t>
  </si>
  <si>
    <t>NARDI FRANCO</t>
  </si>
  <si>
    <t>BETTI DAVID</t>
  </si>
  <si>
    <t>FARRONI MANUEL</t>
  </si>
  <si>
    <t>PALAZZETTI GIOVANNA</t>
  </si>
  <si>
    <t>CAA CAF AGRI - MACERATA - 226</t>
  </si>
  <si>
    <t>PRINCIPI EMANUELE</t>
  </si>
  <si>
    <t>CAA Coldiretti - ASCOLI PICENO - 040</t>
  </si>
  <si>
    <t>SPINELLI FABIO</t>
  </si>
  <si>
    <t>CAA UNICAA - ASCOLI PICENO - 003</t>
  </si>
  <si>
    <t>VITALI ROSITA</t>
  </si>
  <si>
    <t>BORA GIUSEPPE</t>
  </si>
  <si>
    <t>GENTILETTI TANIA</t>
  </si>
  <si>
    <t>CAA LiberiAgricoltori - MACERATA - 001</t>
  </si>
  <si>
    <t>BODART DIANE YVES M P M G</t>
  </si>
  <si>
    <t>MOSCONI GIUSEPPE</t>
  </si>
  <si>
    <t>CERVIGNI GILDO</t>
  </si>
  <si>
    <t>CAPONI FRANCO</t>
  </si>
  <si>
    <t>AMICI MARIA GIUSEPPINA</t>
  </si>
  <si>
    <t>PIERMATTEI JURI</t>
  </si>
  <si>
    <t>AGROFORESTALE IL ROCCOLO S.A.S. DI SIMONE SALTA</t>
  </si>
  <si>
    <t>CENTIONI SILVIO</t>
  </si>
  <si>
    <t>SOCIETA' AGRICOLA IL TESORO DEI SIBILLINI DI TIDEI MAURO E MARICA S.S.</t>
  </si>
  <si>
    <t>EREDI CONTIGIANI PIERDOMENICO DI CONTIGIANI MARCO, ELISA E PACIONI LIA</t>
  </si>
  <si>
    <t>ANIBALDI CINZIA</t>
  </si>
  <si>
    <t>CAA Confagricoltura - MACERATA - 001</t>
  </si>
  <si>
    <t>CONGIONTI AUGUSTO</t>
  </si>
  <si>
    <t>ZAGAGLINI PIERALBERTO</t>
  </si>
  <si>
    <t>MALGRANDE MARCO</t>
  </si>
  <si>
    <t>VALOTA STEFANO</t>
  </si>
  <si>
    <t>MARTELLI DAVIDE</t>
  </si>
  <si>
    <t>CAA CAF AGRI - MACERATA - 227</t>
  </si>
  <si>
    <t>VINCENZETTI SIMONA</t>
  </si>
  <si>
    <t>SOCIETA AGRICOLA IL MORO S.S.</t>
  </si>
  <si>
    <t>PIANTONI GABRIELE</t>
  </si>
  <si>
    <t>TROBBIANI GIULIANO</t>
  </si>
  <si>
    <t>CONFORTI NOVELLO</t>
  </si>
  <si>
    <t>CAA Coldiretti - PESARO E URBINO - 007</t>
  </si>
  <si>
    <t>FILIPPUCCI MICHELE ARCANGELO</t>
  </si>
  <si>
    <t>RINOZZI AURELIO</t>
  </si>
  <si>
    <t>CAA CIA - PESARO E URBINO - 001</t>
  </si>
  <si>
    <t>BAILETTI EDI</t>
  </si>
  <si>
    <t>AGEA.ASR.2021.0462509</t>
  </si>
  <si>
    <t>CAA CAF AGRI - PESARO E URBINO - 221</t>
  </si>
  <si>
    <t>BARONCIANI LUCIANO</t>
  </si>
  <si>
    <t>BARONCIANI MARINO</t>
  </si>
  <si>
    <t>CAA CIA - PESARO E URBINO - 006</t>
  </si>
  <si>
    <t>RENZI ELSO</t>
  </si>
  <si>
    <t>FERRI SAURO</t>
  </si>
  <si>
    <t>BENEDETTI GABRIELE</t>
  </si>
  <si>
    <t>CAA CIA - ANCONA - 005</t>
  </si>
  <si>
    <t>AGRICOLA TELLUS</t>
  </si>
  <si>
    <t>AZIENDA AGROFORESTALE FONTEZOPPA DI PIERO LUZI &amp; C. SOCIETA' AGRI</t>
  </si>
  <si>
    <t>NATALIZI ROBERTO</t>
  </si>
  <si>
    <t>SANTI LAURINI LAURA</t>
  </si>
  <si>
    <t>IL SALICE FIORITO DI PAOLA E FRANCESCO SOCIETA' AGRICOLA S. S.</t>
  </si>
  <si>
    <t>RAMADORI MARIO</t>
  </si>
  <si>
    <t>SAVINI GIORGIO</t>
  </si>
  <si>
    <t>IONNI SILVERIO OTTAVIO</t>
  </si>
  <si>
    <t>SOCIETA' AGRICOLA MONSIGNORI S.S.</t>
  </si>
  <si>
    <t>D'ERASMO GIOVANNI</t>
  </si>
  <si>
    <t>BORRI MAURIZIO</t>
  </si>
  <si>
    <t>BENVENUTI DIEGO</t>
  </si>
  <si>
    <t>CASTIGLIONI LAVINIA</t>
  </si>
  <si>
    <t>CAPPONI MATTEO</t>
  </si>
  <si>
    <t>JANSTA SVATOPLUK</t>
  </si>
  <si>
    <t>SOCIETA' AGRICOLA MAGNANI LEONARDO E AGOSTINO SS</t>
  </si>
  <si>
    <t>AGEA.ASR.2021.0517604</t>
  </si>
  <si>
    <t>BONGIOVANNI IGOR ALESSANDRO</t>
  </si>
  <si>
    <t>CAA Coldiretti - ASCOLI PICENO - 025</t>
  </si>
  <si>
    <t>BONIFAZI ADRIANO</t>
  </si>
  <si>
    <t>FATTOBENE SIMONE</t>
  </si>
  <si>
    <t>VISSANI GRAZIELLA</t>
  </si>
  <si>
    <t>NUCCELLI FIORELLA</t>
  </si>
  <si>
    <t>LEARDINI EUGENIO</t>
  </si>
  <si>
    <t>VITALI ASCENZA</t>
  </si>
  <si>
    <t>AGRICOLA CHRISTIAN</t>
  </si>
  <si>
    <t>MORETTI SIMONE</t>
  </si>
  <si>
    <t>SOCIETA' AGRICOLA PACIAROTTI LEONARDO E C. SOCIETA' SEMPLICE</t>
  </si>
  <si>
    <t>CAA UNICAA - PESARO E URBINO - 003</t>
  </si>
  <si>
    <t>MARTELLI ZENO</t>
  </si>
  <si>
    <t>ORTENZI FRANCESCO</t>
  </si>
  <si>
    <t>PISELLI ELISA</t>
  </si>
  <si>
    <t>TRAGNI GABRINA</t>
  </si>
  <si>
    <t>RIDOLFI GABRIELE</t>
  </si>
  <si>
    <t>TOGNI GIORGIO</t>
  </si>
  <si>
    <t>SOCIETA' AGRICOLA FRATELLI APPIGNANESI SOCIETA' SEMPLICE</t>
  </si>
  <si>
    <t>PASSACANTANDO ANDREA</t>
  </si>
  <si>
    <t>SOCIETA' AGRICOLA CAPPELLETTI GIULIANO E BERNARDI ROBERTO S.S.</t>
  </si>
  <si>
    <t>COMPAGNUCCI EMILIANO</t>
  </si>
  <si>
    <t>IL COLLE DELLE SPIGHE SOCIETA' AGRICOLA SEMPLICE</t>
  </si>
  <si>
    <t>RIETI RENATO</t>
  </si>
  <si>
    <t>MARCHIONNI ENZO</t>
  </si>
  <si>
    <t>SOCIETA' AGRICOLA TERRE DELLA SERRA S.A.S. DI LUCIA LUCCERINI</t>
  </si>
  <si>
    <t>CAA Coldiretti - FERMO - 001</t>
  </si>
  <si>
    <t>SOCIETA' BIO AGRICOLA MIA S.R.L.C.R.</t>
  </si>
  <si>
    <t>LORENZI SILVANO</t>
  </si>
  <si>
    <t>MANCINI RENATO</t>
  </si>
  <si>
    <t>MAROTTA MARGHERITA</t>
  </si>
  <si>
    <t>SOC.AGRICOLA SCLAVI M.F.G. S.S.</t>
  </si>
  <si>
    <t>SOCIETA' AGRICOLA LA MORLA DI TALOCCHI SIMONETTA &amp; C. S.A.S.</t>
  </si>
  <si>
    <t>SOCIETA' AGRICOLA BECCERICA DI BECCERICA MARCO, OTTAVIO E C. S.S.</t>
  </si>
  <si>
    <t>CRUCIANI LAURA</t>
  </si>
  <si>
    <t>PODERI DE MARTE DEI F.LLI CAPANNELLI MARINO E ROBERTO S.S.- SOCIE TA'</t>
  </si>
  <si>
    <t>ALEANDRI EMILIO</t>
  </si>
  <si>
    <t>DILETTI GIOVANNI</t>
  </si>
  <si>
    <t>SOCIETA' AGRICOLA SABBATINI S.S.</t>
  </si>
  <si>
    <t>MELANDRI FEDERICO CHABLIS</t>
  </si>
  <si>
    <t>NICOLINI SAURO</t>
  </si>
  <si>
    <t>CAA Coldiretti - PESARO E URBINO - 010</t>
  </si>
  <si>
    <t>SOCIETA'AGRICOLA FEDUZI GIANCARLO &amp; C SS</t>
  </si>
  <si>
    <t>CAA Coldiretti - PESARO E URBINO - 008</t>
  </si>
  <si>
    <t>PERELLA GERMANA</t>
  </si>
  <si>
    <t>SEBASTIANI JOHNNY</t>
  </si>
  <si>
    <t>DI RUSCIO CLAUDIO</t>
  </si>
  <si>
    <t>AGEA.ASR.2021.0463484</t>
  </si>
  <si>
    <t>GENTILI FERNANDO</t>
  </si>
  <si>
    <t>ROSSI LUANA</t>
  </si>
  <si>
    <t>SOCIETA' AGRICOLA E FORESTALE BELVEDERE SOCIETA' SEMPLICE</t>
  </si>
  <si>
    <t>CAA CIA - PESARO E URBINO - 007</t>
  </si>
  <si>
    <t>TRIONFETTI DANIELE</t>
  </si>
  <si>
    <t>CAA CIA - ANCONA - 006</t>
  </si>
  <si>
    <t>VICARI SOCIETA' SEMPLICE AGRICOLA DI VICARI NAZZARENO, VICO E VALENTIN</t>
  </si>
  <si>
    <t>ZAMPONI GIOVANNI</t>
  </si>
  <si>
    <t>BENIGNI ALESSIA</t>
  </si>
  <si>
    <t>AGEA.ASR.2021.0517651</t>
  </si>
  <si>
    <t>MARIANI YURI</t>
  </si>
  <si>
    <t>CASTELBARCO ALBANI VISCONTI SIMONETTA CLEMENTE</t>
  </si>
  <si>
    <t>VALLE VERDE SOCIETA' AGRICOLA SEMPLICE</t>
  </si>
  <si>
    <t>AZIENDA AGRICOLA FORLANI MILVA &amp; BILANCINI CLAUDIO SOCIETA' AGRICOLA S</t>
  </si>
  <si>
    <t>DAMIA PACIARINI VALERIO</t>
  </si>
  <si>
    <t>BRAPRI SRLS</t>
  </si>
  <si>
    <t>AGEA.ASR.2021.0462150</t>
  </si>
  <si>
    <t>AGEA.ASR.2021.0517643</t>
  </si>
  <si>
    <t>AGEA.ASR.2021.0508310</t>
  </si>
  <si>
    <t>ACCIARRESI IVANA</t>
  </si>
  <si>
    <t>CAA CIA - ANCONA - 002</t>
  </si>
  <si>
    <t>PICCINI SILVANO</t>
  </si>
  <si>
    <t>AGEA.ASR.2021.0070785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</si>
</sst>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14" fontId="2" fillId="0" borderId="6" xfId="0" applyNumberFormat="1" applyFont="1" applyBorder="1" applyAlignment="1">
      <alignment wrapText="1"/>
    </xf>
    <xf numFmtId="4" fontId="2" fillId="0" borderId="6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65DF1-7438-44C4-B9C0-7F99E81E3E34}">
  <dimension ref="A1:Z271"/>
  <sheetViews>
    <sheetView showGridLines="0" tabSelected="1" workbookViewId="0">
      <selection activeCell="E274" sqref="E274"/>
    </sheetView>
  </sheetViews>
  <sheetFormatPr defaultRowHeight="14.5" x14ac:dyDescent="0.35"/>
  <cols>
    <col min="1" max="1" width="9.81640625" bestFit="1" customWidth="1"/>
    <col min="2" max="2" width="10.26953125" bestFit="1" customWidth="1"/>
    <col min="3" max="3" width="11.54296875" bestFit="1" customWidth="1"/>
    <col min="4" max="4" width="27.54296875" bestFit="1" customWidth="1"/>
    <col min="5" max="5" width="20.36328125" bestFit="1" customWidth="1"/>
    <col min="6" max="6" width="26.7265625" bestFit="1" customWidth="1"/>
    <col min="7" max="7" width="5.36328125" bestFit="1" customWidth="1"/>
    <col min="8" max="8" width="8.08984375" bestFit="1" customWidth="1"/>
    <col min="9" max="9" width="13.36328125" bestFit="1" customWidth="1"/>
    <col min="10" max="10" width="12.7265625" bestFit="1" customWidth="1"/>
    <col min="11" max="12" width="10.7265625" bestFit="1" customWidth="1"/>
    <col min="13" max="13" width="10.08984375" bestFit="1" customWidth="1"/>
    <col min="14" max="14" width="34.90625" bestFit="1" customWidth="1"/>
    <col min="15" max="15" width="11.81640625" bestFit="1" customWidth="1"/>
    <col min="16" max="16" width="14.453125" bestFit="1" customWidth="1"/>
    <col min="17" max="17" width="10.26953125" bestFit="1" customWidth="1"/>
    <col min="18" max="18" width="11.1796875" bestFit="1" customWidth="1"/>
    <col min="19" max="19" width="12.81640625" bestFit="1" customWidth="1"/>
    <col min="20" max="20" width="3.08984375" bestFit="1" customWidth="1"/>
    <col min="21" max="21" width="16.08984375" bestFit="1" customWidth="1"/>
    <col min="22" max="22" width="11.54296875" bestFit="1" customWidth="1"/>
    <col min="23" max="23" width="15.453125" bestFit="1" customWidth="1"/>
    <col min="24" max="25" width="17.08984375" bestFit="1" customWidth="1"/>
    <col min="26" max="26" width="21.26953125" bestFit="1" customWidth="1"/>
  </cols>
  <sheetData>
    <row r="1" spans="1:26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4"/>
    </row>
    <row r="2" spans="1:26" x14ac:dyDescent="0.3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  <c r="Z2" s="5"/>
    </row>
    <row r="3" spans="1:26" x14ac:dyDescent="0.3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  <c r="T3" s="6" t="s">
        <v>20</v>
      </c>
      <c r="U3" s="6" t="s">
        <v>21</v>
      </c>
      <c r="V3" s="6" t="s">
        <v>22</v>
      </c>
      <c r="W3" s="6" t="s">
        <v>23</v>
      </c>
      <c r="X3" s="6" t="s">
        <v>24</v>
      </c>
      <c r="Y3" s="6" t="s">
        <v>25</v>
      </c>
      <c r="Z3" s="6" t="s">
        <v>26</v>
      </c>
    </row>
    <row r="4" spans="1:26" x14ac:dyDescent="0.35">
      <c r="A4" s="7" t="s">
        <v>27</v>
      </c>
      <c r="B4" s="7" t="s">
        <v>28</v>
      </c>
      <c r="C4" s="7" t="s">
        <v>46</v>
      </c>
      <c r="D4" s="7" t="s">
        <v>47</v>
      </c>
      <c r="E4" s="7" t="s">
        <v>36</v>
      </c>
      <c r="F4" s="7" t="s">
        <v>36</v>
      </c>
      <c r="G4" s="7">
        <v>2017</v>
      </c>
      <c r="H4" s="7" t="str">
        <f>CONCATENATE("14270104319")</f>
        <v>14270104319</v>
      </c>
      <c r="I4" s="7" t="s">
        <v>30</v>
      </c>
      <c r="J4" s="7" t="s">
        <v>31</v>
      </c>
      <c r="K4" s="7" t="str">
        <f>CONCATENATE("")</f>
        <v/>
      </c>
      <c r="L4" s="7" t="str">
        <f>CONCATENATE("21 21.1 2a")</f>
        <v>21 21.1 2a</v>
      </c>
      <c r="M4" s="7" t="str">
        <f>CONCATENATE("00395380439")</f>
        <v>00395380439</v>
      </c>
      <c r="N4" s="7" t="s">
        <v>48</v>
      </c>
      <c r="O4" s="7" t="s">
        <v>49</v>
      </c>
      <c r="P4" s="8">
        <v>44305</v>
      </c>
      <c r="Q4" s="7" t="s">
        <v>32</v>
      </c>
      <c r="R4" s="7" t="s">
        <v>33</v>
      </c>
      <c r="S4" s="7" t="s">
        <v>34</v>
      </c>
      <c r="T4" s="7"/>
      <c r="U4" s="7" t="s">
        <v>35</v>
      </c>
      <c r="V4" s="9">
        <v>7000</v>
      </c>
      <c r="W4" s="9">
        <v>3018.4</v>
      </c>
      <c r="X4" s="9">
        <v>2787.4</v>
      </c>
      <c r="Y4" s="7">
        <v>0</v>
      </c>
      <c r="Z4" s="9">
        <v>1194.2</v>
      </c>
    </row>
    <row r="5" spans="1:26" x14ac:dyDescent="0.35">
      <c r="A5" s="7" t="s">
        <v>27</v>
      </c>
      <c r="B5" s="7" t="s">
        <v>28</v>
      </c>
      <c r="C5" s="7" t="s">
        <v>46</v>
      </c>
      <c r="D5" s="7" t="s">
        <v>47</v>
      </c>
      <c r="E5" s="7" t="s">
        <v>39</v>
      </c>
      <c r="F5" s="7" t="s">
        <v>50</v>
      </c>
      <c r="G5" s="7">
        <v>2017</v>
      </c>
      <c r="H5" s="7" t="str">
        <f>CONCATENATE("14270103899")</f>
        <v>14270103899</v>
      </c>
      <c r="I5" s="7" t="s">
        <v>30</v>
      </c>
      <c r="J5" s="7" t="s">
        <v>31</v>
      </c>
      <c r="K5" s="7" t="str">
        <f>CONCATENATE("")</f>
        <v/>
      </c>
      <c r="L5" s="7" t="str">
        <f>CONCATENATE("21 21.1 2a")</f>
        <v>21 21.1 2a</v>
      </c>
      <c r="M5" s="7" t="str">
        <f>CONCATENATE("RLAMCR50S10G637S")</f>
        <v>RLAMCR50S10G637S</v>
      </c>
      <c r="N5" s="7" t="s">
        <v>51</v>
      </c>
      <c r="O5" s="7" t="s">
        <v>49</v>
      </c>
      <c r="P5" s="8">
        <v>44305</v>
      </c>
      <c r="Q5" s="7" t="s">
        <v>32</v>
      </c>
      <c r="R5" s="7" t="s">
        <v>33</v>
      </c>
      <c r="S5" s="7" t="s">
        <v>34</v>
      </c>
      <c r="T5" s="7"/>
      <c r="U5" s="7" t="s">
        <v>35</v>
      </c>
      <c r="V5" s="9">
        <v>2625</v>
      </c>
      <c r="W5" s="9">
        <v>1131.9000000000001</v>
      </c>
      <c r="X5" s="9">
        <v>1045.28</v>
      </c>
      <c r="Y5" s="7">
        <v>0</v>
      </c>
      <c r="Z5" s="7">
        <v>447.82</v>
      </c>
    </row>
    <row r="6" spans="1:26" x14ac:dyDescent="0.35">
      <c r="A6" s="7" t="s">
        <v>27</v>
      </c>
      <c r="B6" s="7" t="s">
        <v>28</v>
      </c>
      <c r="C6" s="7" t="s">
        <v>46</v>
      </c>
      <c r="D6" s="7" t="s">
        <v>52</v>
      </c>
      <c r="E6" s="7" t="s">
        <v>36</v>
      </c>
      <c r="F6" s="7" t="s">
        <v>36</v>
      </c>
      <c r="G6" s="7">
        <v>2017</v>
      </c>
      <c r="H6" s="7" t="str">
        <f>CONCATENATE("14270103915")</f>
        <v>14270103915</v>
      </c>
      <c r="I6" s="7" t="s">
        <v>30</v>
      </c>
      <c r="J6" s="7" t="s">
        <v>31</v>
      </c>
      <c r="K6" s="7" t="str">
        <f>CONCATENATE("")</f>
        <v/>
      </c>
      <c r="L6" s="7" t="str">
        <f>CONCATENATE("21 21.1 2a")</f>
        <v>21 21.1 2a</v>
      </c>
      <c r="M6" s="7" t="str">
        <f>CONCATENATE("02585740414")</f>
        <v>02585740414</v>
      </c>
      <c r="N6" s="7" t="s">
        <v>53</v>
      </c>
      <c r="O6" s="7" t="s">
        <v>49</v>
      </c>
      <c r="P6" s="8">
        <v>44305</v>
      </c>
      <c r="Q6" s="7" t="s">
        <v>32</v>
      </c>
      <c r="R6" s="7" t="s">
        <v>33</v>
      </c>
      <c r="S6" s="7" t="s">
        <v>34</v>
      </c>
      <c r="T6" s="7"/>
      <c r="U6" s="7" t="s">
        <v>35</v>
      </c>
      <c r="V6" s="9">
        <v>6720</v>
      </c>
      <c r="W6" s="9">
        <v>2897.66</v>
      </c>
      <c r="X6" s="9">
        <v>2675.9</v>
      </c>
      <c r="Y6" s="7">
        <v>0</v>
      </c>
      <c r="Z6" s="9">
        <v>1146.44</v>
      </c>
    </row>
    <row r="7" spans="1:26" ht="17.5" x14ac:dyDescent="0.35">
      <c r="A7" s="7" t="s">
        <v>27</v>
      </c>
      <c r="B7" s="7" t="s">
        <v>28</v>
      </c>
      <c r="C7" s="7" t="s">
        <v>46</v>
      </c>
      <c r="D7" s="7" t="s">
        <v>47</v>
      </c>
      <c r="E7" s="7" t="s">
        <v>39</v>
      </c>
      <c r="F7" s="7" t="s">
        <v>54</v>
      </c>
      <c r="G7" s="7">
        <v>2017</v>
      </c>
      <c r="H7" s="7" t="str">
        <f>CONCATENATE("14270103980")</f>
        <v>14270103980</v>
      </c>
      <c r="I7" s="7" t="s">
        <v>30</v>
      </c>
      <c r="J7" s="7" t="s">
        <v>31</v>
      </c>
      <c r="K7" s="7" t="str">
        <f>CONCATENATE("")</f>
        <v/>
      </c>
      <c r="L7" s="7" t="str">
        <f>CONCATENATE("21 21.1 2a")</f>
        <v>21 21.1 2a</v>
      </c>
      <c r="M7" s="7" t="str">
        <f>CONCATENATE("CLMMRA59A41L366Q")</f>
        <v>CLMMRA59A41L366Q</v>
      </c>
      <c r="N7" s="7" t="s">
        <v>55</v>
      </c>
      <c r="O7" s="7" t="s">
        <v>49</v>
      </c>
      <c r="P7" s="8">
        <v>44305</v>
      </c>
      <c r="Q7" s="7" t="s">
        <v>32</v>
      </c>
      <c r="R7" s="7" t="s">
        <v>33</v>
      </c>
      <c r="S7" s="7" t="s">
        <v>34</v>
      </c>
      <c r="T7" s="7"/>
      <c r="U7" s="7" t="s">
        <v>35</v>
      </c>
      <c r="V7" s="9">
        <v>1575</v>
      </c>
      <c r="W7" s="7">
        <v>679.14</v>
      </c>
      <c r="X7" s="7">
        <v>627.16999999999996</v>
      </c>
      <c r="Y7" s="7">
        <v>0</v>
      </c>
      <c r="Z7" s="7">
        <v>268.69</v>
      </c>
    </row>
    <row r="8" spans="1:26" x14ac:dyDescent="0.35">
      <c r="A8" s="7" t="s">
        <v>27</v>
      </c>
      <c r="B8" s="7" t="s">
        <v>28</v>
      </c>
      <c r="C8" s="7" t="s">
        <v>46</v>
      </c>
      <c r="D8" s="7" t="s">
        <v>52</v>
      </c>
      <c r="E8" s="7" t="s">
        <v>39</v>
      </c>
      <c r="F8" s="7" t="s">
        <v>56</v>
      </c>
      <c r="G8" s="7">
        <v>2017</v>
      </c>
      <c r="H8" s="7" t="str">
        <f>CONCATENATE("14270104111")</f>
        <v>14270104111</v>
      </c>
      <c r="I8" s="7" t="s">
        <v>30</v>
      </c>
      <c r="J8" s="7" t="s">
        <v>31</v>
      </c>
      <c r="K8" s="7" t="str">
        <f>CONCATENATE("")</f>
        <v/>
      </c>
      <c r="L8" s="7" t="str">
        <f>CONCATENATE("21 21.1 2a")</f>
        <v>21 21.1 2a</v>
      </c>
      <c r="M8" s="7" t="str">
        <f>CONCATENATE("CLVLRA86B51D451O")</f>
        <v>CLVLRA86B51D451O</v>
      </c>
      <c r="N8" s="7" t="s">
        <v>57</v>
      </c>
      <c r="O8" s="7" t="s">
        <v>49</v>
      </c>
      <c r="P8" s="8">
        <v>44305</v>
      </c>
      <c r="Q8" s="7" t="s">
        <v>32</v>
      </c>
      <c r="R8" s="7" t="s">
        <v>33</v>
      </c>
      <c r="S8" s="7" t="s">
        <v>34</v>
      </c>
      <c r="T8" s="7"/>
      <c r="U8" s="7" t="s">
        <v>35</v>
      </c>
      <c r="V8" s="9">
        <v>2625</v>
      </c>
      <c r="W8" s="9">
        <v>1131.9000000000001</v>
      </c>
      <c r="X8" s="9">
        <v>1045.28</v>
      </c>
      <c r="Y8" s="7">
        <v>0</v>
      </c>
      <c r="Z8" s="7">
        <v>447.82</v>
      </c>
    </row>
    <row r="9" spans="1:26" x14ac:dyDescent="0.35">
      <c r="A9" s="7" t="s">
        <v>27</v>
      </c>
      <c r="B9" s="7" t="s">
        <v>28</v>
      </c>
      <c r="C9" s="7" t="s">
        <v>46</v>
      </c>
      <c r="D9" s="7" t="s">
        <v>47</v>
      </c>
      <c r="E9" s="7" t="s">
        <v>41</v>
      </c>
      <c r="F9" s="7" t="s">
        <v>58</v>
      </c>
      <c r="G9" s="7">
        <v>2017</v>
      </c>
      <c r="H9" s="7" t="str">
        <f>CONCATENATE("14270104814")</f>
        <v>14270104814</v>
      </c>
      <c r="I9" s="7" t="s">
        <v>30</v>
      </c>
      <c r="J9" s="7" t="s">
        <v>31</v>
      </c>
      <c r="K9" s="7" t="str">
        <f>CONCATENATE("")</f>
        <v/>
      </c>
      <c r="L9" s="7" t="str">
        <f>CONCATENATE("21 21.1 2a")</f>
        <v>21 21.1 2a</v>
      </c>
      <c r="M9" s="7" t="str">
        <f>CONCATENATE("CNGFNC64D02F051Y")</f>
        <v>CNGFNC64D02F051Y</v>
      </c>
      <c r="N9" s="7" t="s">
        <v>59</v>
      </c>
      <c r="O9" s="7" t="s">
        <v>49</v>
      </c>
      <c r="P9" s="8">
        <v>44305</v>
      </c>
      <c r="Q9" s="7" t="s">
        <v>32</v>
      </c>
      <c r="R9" s="7" t="s">
        <v>33</v>
      </c>
      <c r="S9" s="7" t="s">
        <v>34</v>
      </c>
      <c r="T9" s="7"/>
      <c r="U9" s="7" t="s">
        <v>35</v>
      </c>
      <c r="V9" s="9">
        <v>2100</v>
      </c>
      <c r="W9" s="7">
        <v>905.52</v>
      </c>
      <c r="X9" s="7">
        <v>836.22</v>
      </c>
      <c r="Y9" s="7">
        <v>0</v>
      </c>
      <c r="Z9" s="7">
        <v>358.26</v>
      </c>
    </row>
    <row r="10" spans="1:26" x14ac:dyDescent="0.35">
      <c r="A10" s="7" t="s">
        <v>27</v>
      </c>
      <c r="B10" s="7" t="s">
        <v>28</v>
      </c>
      <c r="C10" s="7" t="s">
        <v>46</v>
      </c>
      <c r="D10" s="7" t="s">
        <v>52</v>
      </c>
      <c r="E10" s="7" t="s">
        <v>36</v>
      </c>
      <c r="F10" s="7" t="s">
        <v>36</v>
      </c>
      <c r="G10" s="7">
        <v>2017</v>
      </c>
      <c r="H10" s="7" t="str">
        <f>CONCATENATE("14270104277")</f>
        <v>14270104277</v>
      </c>
      <c r="I10" s="7" t="s">
        <v>30</v>
      </c>
      <c r="J10" s="7" t="s">
        <v>31</v>
      </c>
      <c r="K10" s="7" t="str">
        <f>CONCATENATE("")</f>
        <v/>
      </c>
      <c r="L10" s="7" t="str">
        <f>CONCATENATE("21 21.1 2a")</f>
        <v>21 21.1 2a</v>
      </c>
      <c r="M10" s="7" t="str">
        <f>CONCATENATE("CLNFNC53R07B816K")</f>
        <v>CLNFNC53R07B816K</v>
      </c>
      <c r="N10" s="7" t="s">
        <v>60</v>
      </c>
      <c r="O10" s="7" t="s">
        <v>49</v>
      </c>
      <c r="P10" s="8">
        <v>44305</v>
      </c>
      <c r="Q10" s="7" t="s">
        <v>32</v>
      </c>
      <c r="R10" s="7" t="s">
        <v>33</v>
      </c>
      <c r="S10" s="7" t="s">
        <v>34</v>
      </c>
      <c r="T10" s="7"/>
      <c r="U10" s="7" t="s">
        <v>35</v>
      </c>
      <c r="V10" s="9">
        <v>1050</v>
      </c>
      <c r="W10" s="7">
        <v>452.76</v>
      </c>
      <c r="X10" s="7">
        <v>418.11</v>
      </c>
      <c r="Y10" s="7">
        <v>0</v>
      </c>
      <c r="Z10" s="7">
        <v>179.13</v>
      </c>
    </row>
    <row r="11" spans="1:26" x14ac:dyDescent="0.35">
      <c r="A11" s="7" t="s">
        <v>27</v>
      </c>
      <c r="B11" s="7" t="s">
        <v>28</v>
      </c>
      <c r="C11" s="7" t="s">
        <v>46</v>
      </c>
      <c r="D11" s="7" t="s">
        <v>47</v>
      </c>
      <c r="E11" s="7" t="s">
        <v>39</v>
      </c>
      <c r="F11" s="7" t="s">
        <v>61</v>
      </c>
      <c r="G11" s="7">
        <v>2017</v>
      </c>
      <c r="H11" s="7" t="str">
        <f>CONCATENATE("14270103816")</f>
        <v>14270103816</v>
      </c>
      <c r="I11" s="7" t="s">
        <v>30</v>
      </c>
      <c r="J11" s="7" t="s">
        <v>31</v>
      </c>
      <c r="K11" s="7" t="str">
        <f>CONCATENATE("")</f>
        <v/>
      </c>
      <c r="L11" s="7" t="str">
        <f>CONCATENATE("21 21.1 2a")</f>
        <v>21 21.1 2a</v>
      </c>
      <c r="M11" s="7" t="str">
        <f>CONCATENATE("CNCLRT54D19B474D")</f>
        <v>CNCLRT54D19B474D</v>
      </c>
      <c r="N11" s="7" t="s">
        <v>62</v>
      </c>
      <c r="O11" s="7" t="s">
        <v>49</v>
      </c>
      <c r="P11" s="8">
        <v>44305</v>
      </c>
      <c r="Q11" s="7" t="s">
        <v>32</v>
      </c>
      <c r="R11" s="7" t="s">
        <v>33</v>
      </c>
      <c r="S11" s="7" t="s">
        <v>34</v>
      </c>
      <c r="T11" s="7"/>
      <c r="U11" s="7" t="s">
        <v>35</v>
      </c>
      <c r="V11" s="9">
        <v>1560</v>
      </c>
      <c r="W11" s="7">
        <v>672.67</v>
      </c>
      <c r="X11" s="7">
        <v>621.19000000000005</v>
      </c>
      <c r="Y11" s="7">
        <v>0</v>
      </c>
      <c r="Z11" s="7">
        <v>266.14</v>
      </c>
    </row>
    <row r="12" spans="1:26" x14ac:dyDescent="0.35">
      <c r="A12" s="7" t="s">
        <v>27</v>
      </c>
      <c r="B12" s="7" t="s">
        <v>28</v>
      </c>
      <c r="C12" s="7" t="s">
        <v>46</v>
      </c>
      <c r="D12" s="7" t="s">
        <v>47</v>
      </c>
      <c r="E12" s="7" t="s">
        <v>43</v>
      </c>
      <c r="F12" s="7" t="s">
        <v>63</v>
      </c>
      <c r="G12" s="7">
        <v>2017</v>
      </c>
      <c r="H12" s="7" t="str">
        <f>CONCATENATE("04270232947")</f>
        <v>04270232947</v>
      </c>
      <c r="I12" s="7" t="s">
        <v>30</v>
      </c>
      <c r="J12" s="7" t="s">
        <v>31</v>
      </c>
      <c r="K12" s="7" t="str">
        <f>CONCATENATE("")</f>
        <v/>
      </c>
      <c r="L12" s="7" t="str">
        <f>CONCATENATE("6 6.4 2a")</f>
        <v>6 6.4 2a</v>
      </c>
      <c r="M12" s="7" t="str">
        <f>CONCATENATE("01588910438")</f>
        <v>01588910438</v>
      </c>
      <c r="N12" s="7" t="s">
        <v>64</v>
      </c>
      <c r="O12" s="7" t="s">
        <v>65</v>
      </c>
      <c r="P12" s="8">
        <v>44305</v>
      </c>
      <c r="Q12" s="7" t="s">
        <v>32</v>
      </c>
      <c r="R12" s="7" t="s">
        <v>33</v>
      </c>
      <c r="S12" s="7" t="s">
        <v>34</v>
      </c>
      <c r="T12" s="7"/>
      <c r="U12" s="7" t="s">
        <v>35</v>
      </c>
      <c r="V12" s="9">
        <v>194000</v>
      </c>
      <c r="W12" s="9">
        <v>83652.800000000003</v>
      </c>
      <c r="X12" s="9">
        <v>77250.8</v>
      </c>
      <c r="Y12" s="7">
        <v>0</v>
      </c>
      <c r="Z12" s="9">
        <v>33096.400000000001</v>
      </c>
    </row>
    <row r="13" spans="1:26" x14ac:dyDescent="0.35">
      <c r="A13" s="7" t="s">
        <v>27</v>
      </c>
      <c r="B13" s="7" t="s">
        <v>28</v>
      </c>
      <c r="C13" s="7" t="s">
        <v>46</v>
      </c>
      <c r="D13" s="7" t="s">
        <v>47</v>
      </c>
      <c r="E13" s="7" t="s">
        <v>44</v>
      </c>
      <c r="F13" s="7" t="s">
        <v>66</v>
      </c>
      <c r="G13" s="7">
        <v>2017</v>
      </c>
      <c r="H13" s="7" t="str">
        <f>CONCATENATE("14270103824")</f>
        <v>14270103824</v>
      </c>
      <c r="I13" s="7" t="s">
        <v>30</v>
      </c>
      <c r="J13" s="7" t="s">
        <v>31</v>
      </c>
      <c r="K13" s="7" t="str">
        <f>CONCATENATE("")</f>
        <v/>
      </c>
      <c r="L13" s="7" t="str">
        <f>CONCATENATE("21 21.1 2a")</f>
        <v>21 21.1 2a</v>
      </c>
      <c r="M13" s="7" t="str">
        <f>CONCATENATE("CRFPPN66A10M078Z")</f>
        <v>CRFPPN66A10M078Z</v>
      </c>
      <c r="N13" s="7" t="s">
        <v>67</v>
      </c>
      <c r="O13" s="7" t="s">
        <v>49</v>
      </c>
      <c r="P13" s="8">
        <v>44305</v>
      </c>
      <c r="Q13" s="7" t="s">
        <v>32</v>
      </c>
      <c r="R13" s="7" t="s">
        <v>33</v>
      </c>
      <c r="S13" s="7" t="s">
        <v>34</v>
      </c>
      <c r="T13" s="7"/>
      <c r="U13" s="7" t="s">
        <v>35</v>
      </c>
      <c r="V13" s="9">
        <v>1680</v>
      </c>
      <c r="W13" s="7">
        <v>724.42</v>
      </c>
      <c r="X13" s="7">
        <v>668.98</v>
      </c>
      <c r="Y13" s="7">
        <v>0</v>
      </c>
      <c r="Z13" s="7">
        <v>286.60000000000002</v>
      </c>
    </row>
    <row r="14" spans="1:26" x14ac:dyDescent="0.35">
      <c r="A14" s="7" t="s">
        <v>27</v>
      </c>
      <c r="B14" s="7" t="s">
        <v>28</v>
      </c>
      <c r="C14" s="7" t="s">
        <v>46</v>
      </c>
      <c r="D14" s="7" t="s">
        <v>47</v>
      </c>
      <c r="E14" s="7" t="s">
        <v>39</v>
      </c>
      <c r="F14" s="7" t="s">
        <v>50</v>
      </c>
      <c r="G14" s="7">
        <v>2017</v>
      </c>
      <c r="H14" s="7" t="str">
        <f>CONCATENATE("14270104723")</f>
        <v>14270104723</v>
      </c>
      <c r="I14" s="7" t="s">
        <v>30</v>
      </c>
      <c r="J14" s="7" t="s">
        <v>31</v>
      </c>
      <c r="K14" s="7" t="str">
        <f>CONCATENATE("")</f>
        <v/>
      </c>
      <c r="L14" s="7" t="str">
        <f>CONCATENATE("21 21.1 2a")</f>
        <v>21 21.1 2a</v>
      </c>
      <c r="M14" s="7" t="str">
        <f>CONCATENATE("CPPLNZ48L08B474P")</f>
        <v>CPPLNZ48L08B474P</v>
      </c>
      <c r="N14" s="7" t="s">
        <v>68</v>
      </c>
      <c r="O14" s="7" t="s">
        <v>49</v>
      </c>
      <c r="P14" s="8">
        <v>44305</v>
      </c>
      <c r="Q14" s="7" t="s">
        <v>32</v>
      </c>
      <c r="R14" s="7" t="s">
        <v>33</v>
      </c>
      <c r="S14" s="7" t="s">
        <v>34</v>
      </c>
      <c r="T14" s="7"/>
      <c r="U14" s="7" t="s">
        <v>35</v>
      </c>
      <c r="V14" s="9">
        <v>2625</v>
      </c>
      <c r="W14" s="9">
        <v>1131.9000000000001</v>
      </c>
      <c r="X14" s="9">
        <v>1045.28</v>
      </c>
      <c r="Y14" s="7">
        <v>0</v>
      </c>
      <c r="Z14" s="7">
        <v>447.82</v>
      </c>
    </row>
    <row r="15" spans="1:26" x14ac:dyDescent="0.35">
      <c r="A15" s="7" t="s">
        <v>27</v>
      </c>
      <c r="B15" s="7" t="s">
        <v>28</v>
      </c>
      <c r="C15" s="7" t="s">
        <v>46</v>
      </c>
      <c r="D15" s="7" t="s">
        <v>47</v>
      </c>
      <c r="E15" s="7" t="s">
        <v>36</v>
      </c>
      <c r="F15" s="7" t="s">
        <v>36</v>
      </c>
      <c r="G15" s="7">
        <v>2017</v>
      </c>
      <c r="H15" s="7" t="str">
        <f>CONCATENATE("14270104202")</f>
        <v>14270104202</v>
      </c>
      <c r="I15" s="7" t="s">
        <v>30</v>
      </c>
      <c r="J15" s="7" t="s">
        <v>31</v>
      </c>
      <c r="K15" s="7" t="str">
        <f>CONCATENATE("")</f>
        <v/>
      </c>
      <c r="L15" s="7" t="str">
        <f>CONCATENATE("21 21.1 2a")</f>
        <v>21 21.1 2a</v>
      </c>
      <c r="M15" s="7" t="str">
        <f>CONCATENATE("FBBPLA66R19B398Q")</f>
        <v>FBBPLA66R19B398Q</v>
      </c>
      <c r="N15" s="7" t="s">
        <v>69</v>
      </c>
      <c r="O15" s="7" t="s">
        <v>49</v>
      </c>
      <c r="P15" s="8">
        <v>44305</v>
      </c>
      <c r="Q15" s="7" t="s">
        <v>32</v>
      </c>
      <c r="R15" s="7" t="s">
        <v>33</v>
      </c>
      <c r="S15" s="7" t="s">
        <v>34</v>
      </c>
      <c r="T15" s="7"/>
      <c r="U15" s="7" t="s">
        <v>35</v>
      </c>
      <c r="V15" s="9">
        <v>3675</v>
      </c>
      <c r="W15" s="9">
        <v>1584.66</v>
      </c>
      <c r="X15" s="9">
        <v>1463.39</v>
      </c>
      <c r="Y15" s="7">
        <v>0</v>
      </c>
      <c r="Z15" s="7">
        <v>626.95000000000005</v>
      </c>
    </row>
    <row r="16" spans="1:26" ht="17.5" x14ac:dyDescent="0.35">
      <c r="A16" s="7" t="s">
        <v>27</v>
      </c>
      <c r="B16" s="7" t="s">
        <v>28</v>
      </c>
      <c r="C16" s="7" t="s">
        <v>46</v>
      </c>
      <c r="D16" s="7" t="s">
        <v>47</v>
      </c>
      <c r="E16" s="7" t="s">
        <v>39</v>
      </c>
      <c r="F16" s="7" t="s">
        <v>70</v>
      </c>
      <c r="G16" s="7">
        <v>2017</v>
      </c>
      <c r="H16" s="7" t="str">
        <f>CONCATENATE("14270104616")</f>
        <v>14270104616</v>
      </c>
      <c r="I16" s="7" t="s">
        <v>30</v>
      </c>
      <c r="J16" s="7" t="s">
        <v>31</v>
      </c>
      <c r="K16" s="7" t="str">
        <f>CONCATENATE("")</f>
        <v/>
      </c>
      <c r="L16" s="7" t="str">
        <f>CONCATENATE("21 21.1 2a")</f>
        <v>21 21.1 2a</v>
      </c>
      <c r="M16" s="7" t="str">
        <f>CONCATENATE("GMBLGU47B05C704A")</f>
        <v>GMBLGU47B05C704A</v>
      </c>
      <c r="N16" s="7" t="s">
        <v>71</v>
      </c>
      <c r="O16" s="7" t="s">
        <v>49</v>
      </c>
      <c r="P16" s="8">
        <v>44305</v>
      </c>
      <c r="Q16" s="7" t="s">
        <v>32</v>
      </c>
      <c r="R16" s="7" t="s">
        <v>33</v>
      </c>
      <c r="S16" s="7" t="s">
        <v>34</v>
      </c>
      <c r="T16" s="7"/>
      <c r="U16" s="7" t="s">
        <v>35</v>
      </c>
      <c r="V16" s="9">
        <v>1050</v>
      </c>
      <c r="W16" s="7">
        <v>452.76</v>
      </c>
      <c r="X16" s="7">
        <v>418.11</v>
      </c>
      <c r="Y16" s="7">
        <v>0</v>
      </c>
      <c r="Z16" s="7">
        <v>179.13</v>
      </c>
    </row>
    <row r="17" spans="1:26" x14ac:dyDescent="0.35">
      <c r="A17" s="7" t="s">
        <v>27</v>
      </c>
      <c r="B17" s="7" t="s">
        <v>28</v>
      </c>
      <c r="C17" s="7" t="s">
        <v>46</v>
      </c>
      <c r="D17" s="7" t="s">
        <v>72</v>
      </c>
      <c r="E17" s="7" t="s">
        <v>39</v>
      </c>
      <c r="F17" s="7" t="s">
        <v>73</v>
      </c>
      <c r="G17" s="7">
        <v>2017</v>
      </c>
      <c r="H17" s="7" t="str">
        <f>CONCATENATE("14270104343")</f>
        <v>14270104343</v>
      </c>
      <c r="I17" s="7" t="s">
        <v>30</v>
      </c>
      <c r="J17" s="7" t="s">
        <v>31</v>
      </c>
      <c r="K17" s="7" t="str">
        <f>CONCATENATE("")</f>
        <v/>
      </c>
      <c r="L17" s="7" t="str">
        <f>CONCATENATE("21 21.1 2a")</f>
        <v>21 21.1 2a</v>
      </c>
      <c r="M17" s="7" t="str">
        <f>CONCATENATE("LOINTL73T25D451L")</f>
        <v>LOINTL73T25D451L</v>
      </c>
      <c r="N17" s="7" t="s">
        <v>74</v>
      </c>
      <c r="O17" s="7" t="s">
        <v>49</v>
      </c>
      <c r="P17" s="8">
        <v>44305</v>
      </c>
      <c r="Q17" s="7" t="s">
        <v>32</v>
      </c>
      <c r="R17" s="7" t="s">
        <v>33</v>
      </c>
      <c r="S17" s="7" t="s">
        <v>34</v>
      </c>
      <c r="T17" s="7"/>
      <c r="U17" s="7" t="s">
        <v>35</v>
      </c>
      <c r="V17" s="9">
        <v>1050</v>
      </c>
      <c r="W17" s="7">
        <v>452.76</v>
      </c>
      <c r="X17" s="7">
        <v>418.11</v>
      </c>
      <c r="Y17" s="7">
        <v>0</v>
      </c>
      <c r="Z17" s="7">
        <v>179.13</v>
      </c>
    </row>
    <row r="18" spans="1:26" ht="17.5" x14ac:dyDescent="0.35">
      <c r="A18" s="7" t="s">
        <v>27</v>
      </c>
      <c r="B18" s="7" t="s">
        <v>28</v>
      </c>
      <c r="C18" s="7" t="s">
        <v>46</v>
      </c>
      <c r="D18" s="7" t="s">
        <v>47</v>
      </c>
      <c r="E18" s="7" t="s">
        <v>36</v>
      </c>
      <c r="F18" s="7" t="s">
        <v>36</v>
      </c>
      <c r="G18" s="7">
        <v>2017</v>
      </c>
      <c r="H18" s="7" t="str">
        <f>CONCATENATE("14270104400")</f>
        <v>14270104400</v>
      </c>
      <c r="I18" s="7" t="s">
        <v>30</v>
      </c>
      <c r="J18" s="7" t="s">
        <v>31</v>
      </c>
      <c r="K18" s="7" t="str">
        <f>CONCATENATE("")</f>
        <v/>
      </c>
      <c r="L18" s="7" t="str">
        <f>CONCATENATE("21 21.1 2a")</f>
        <v>21 21.1 2a</v>
      </c>
      <c r="M18" s="7" t="str">
        <f>CONCATENATE("MGGLGU63P30B474G")</f>
        <v>MGGLGU63P30B474G</v>
      </c>
      <c r="N18" s="7" t="s">
        <v>75</v>
      </c>
      <c r="O18" s="7" t="s">
        <v>49</v>
      </c>
      <c r="P18" s="8">
        <v>44305</v>
      </c>
      <c r="Q18" s="7" t="s">
        <v>32</v>
      </c>
      <c r="R18" s="7" t="s">
        <v>33</v>
      </c>
      <c r="S18" s="7" t="s">
        <v>34</v>
      </c>
      <c r="T18" s="7"/>
      <c r="U18" s="7" t="s">
        <v>35</v>
      </c>
      <c r="V18" s="9">
        <v>1680</v>
      </c>
      <c r="W18" s="7">
        <v>724.42</v>
      </c>
      <c r="X18" s="7">
        <v>668.98</v>
      </c>
      <c r="Y18" s="7">
        <v>0</v>
      </c>
      <c r="Z18" s="7">
        <v>286.60000000000002</v>
      </c>
    </row>
    <row r="19" spans="1:26" ht="17.5" x14ac:dyDescent="0.35">
      <c r="A19" s="7" t="s">
        <v>27</v>
      </c>
      <c r="B19" s="7" t="s">
        <v>28</v>
      </c>
      <c r="C19" s="7" t="s">
        <v>46</v>
      </c>
      <c r="D19" s="7" t="s">
        <v>47</v>
      </c>
      <c r="E19" s="7" t="s">
        <v>44</v>
      </c>
      <c r="F19" s="7" t="s">
        <v>66</v>
      </c>
      <c r="G19" s="7">
        <v>2017</v>
      </c>
      <c r="H19" s="7" t="str">
        <f>CONCATENATE("14270104376")</f>
        <v>14270104376</v>
      </c>
      <c r="I19" s="7" t="s">
        <v>30</v>
      </c>
      <c r="J19" s="7" t="s">
        <v>31</v>
      </c>
      <c r="K19" s="7" t="str">
        <f>CONCATENATE("")</f>
        <v/>
      </c>
      <c r="L19" s="7" t="str">
        <f>CONCATENATE("21 21.1 2a")</f>
        <v>21 21.1 2a</v>
      </c>
      <c r="M19" s="7" t="str">
        <f>CONCATENATE("MRCMRZ64P14E783X")</f>
        <v>MRCMRZ64P14E783X</v>
      </c>
      <c r="N19" s="7" t="s">
        <v>76</v>
      </c>
      <c r="O19" s="7" t="s">
        <v>49</v>
      </c>
      <c r="P19" s="8">
        <v>44305</v>
      </c>
      <c r="Q19" s="7" t="s">
        <v>32</v>
      </c>
      <c r="R19" s="7" t="s">
        <v>33</v>
      </c>
      <c r="S19" s="7" t="s">
        <v>34</v>
      </c>
      <c r="T19" s="7"/>
      <c r="U19" s="7" t="s">
        <v>35</v>
      </c>
      <c r="V19" s="9">
        <v>1260</v>
      </c>
      <c r="W19" s="7">
        <v>543.30999999999995</v>
      </c>
      <c r="X19" s="7">
        <v>501.73</v>
      </c>
      <c r="Y19" s="7">
        <v>0</v>
      </c>
      <c r="Z19" s="7">
        <v>214.96</v>
      </c>
    </row>
    <row r="20" spans="1:26" ht="17.5" x14ac:dyDescent="0.35">
      <c r="A20" s="7" t="s">
        <v>27</v>
      </c>
      <c r="B20" s="7" t="s">
        <v>28</v>
      </c>
      <c r="C20" s="7" t="s">
        <v>46</v>
      </c>
      <c r="D20" s="7" t="s">
        <v>47</v>
      </c>
      <c r="E20" s="7" t="s">
        <v>39</v>
      </c>
      <c r="F20" s="7" t="s">
        <v>50</v>
      </c>
      <c r="G20" s="7">
        <v>2017</v>
      </c>
      <c r="H20" s="7" t="str">
        <f>CONCATENATE("14270104046")</f>
        <v>14270104046</v>
      </c>
      <c r="I20" s="7" t="s">
        <v>30</v>
      </c>
      <c r="J20" s="7" t="s">
        <v>31</v>
      </c>
      <c r="K20" s="7" t="str">
        <f>CONCATENATE("")</f>
        <v/>
      </c>
      <c r="L20" s="7" t="str">
        <f>CONCATENATE("21 21.1 2a")</f>
        <v>21 21.1 2a</v>
      </c>
      <c r="M20" s="7" t="str">
        <f>CONCATENATE("MRTSRN52B11D853I")</f>
        <v>MRTSRN52B11D853I</v>
      </c>
      <c r="N20" s="7" t="s">
        <v>77</v>
      </c>
      <c r="O20" s="7" t="s">
        <v>49</v>
      </c>
      <c r="P20" s="8">
        <v>44305</v>
      </c>
      <c r="Q20" s="7" t="s">
        <v>32</v>
      </c>
      <c r="R20" s="7" t="s">
        <v>33</v>
      </c>
      <c r="S20" s="7" t="s">
        <v>34</v>
      </c>
      <c r="T20" s="7"/>
      <c r="U20" s="7" t="s">
        <v>35</v>
      </c>
      <c r="V20" s="9">
        <v>5520</v>
      </c>
      <c r="W20" s="9">
        <v>2380.2199999999998</v>
      </c>
      <c r="X20" s="9">
        <v>2198.06</v>
      </c>
      <c r="Y20" s="7">
        <v>0</v>
      </c>
      <c r="Z20" s="7">
        <v>941.72</v>
      </c>
    </row>
    <row r="21" spans="1:26" ht="17.5" x14ac:dyDescent="0.35">
      <c r="A21" s="7" t="s">
        <v>27</v>
      </c>
      <c r="B21" s="7" t="s">
        <v>28</v>
      </c>
      <c r="C21" s="7" t="s">
        <v>46</v>
      </c>
      <c r="D21" s="7" t="s">
        <v>47</v>
      </c>
      <c r="E21" s="7" t="s">
        <v>39</v>
      </c>
      <c r="F21" s="7" t="s">
        <v>61</v>
      </c>
      <c r="G21" s="7">
        <v>2017</v>
      </c>
      <c r="H21" s="7" t="str">
        <f>CONCATENATE("14270108781")</f>
        <v>14270108781</v>
      </c>
      <c r="I21" s="7" t="s">
        <v>30</v>
      </c>
      <c r="J21" s="7" t="s">
        <v>31</v>
      </c>
      <c r="K21" s="7" t="str">
        <f>CONCATENATE("")</f>
        <v/>
      </c>
      <c r="L21" s="7" t="str">
        <f>CONCATENATE("21 21.1 2a")</f>
        <v>21 21.1 2a</v>
      </c>
      <c r="M21" s="7" t="str">
        <f>CONCATENATE("MRZFNC54M08F622K")</f>
        <v>MRZFNC54M08F622K</v>
      </c>
      <c r="N21" s="7" t="s">
        <v>78</v>
      </c>
      <c r="O21" s="7" t="s">
        <v>49</v>
      </c>
      <c r="P21" s="8">
        <v>44305</v>
      </c>
      <c r="Q21" s="7" t="s">
        <v>32</v>
      </c>
      <c r="R21" s="7" t="s">
        <v>33</v>
      </c>
      <c r="S21" s="7" t="s">
        <v>34</v>
      </c>
      <c r="T21" s="7"/>
      <c r="U21" s="7" t="s">
        <v>35</v>
      </c>
      <c r="V21" s="9">
        <v>1260</v>
      </c>
      <c r="W21" s="7">
        <v>543.30999999999995</v>
      </c>
      <c r="X21" s="7">
        <v>501.73</v>
      </c>
      <c r="Y21" s="7">
        <v>0</v>
      </c>
      <c r="Z21" s="7">
        <v>214.96</v>
      </c>
    </row>
    <row r="22" spans="1:26" x14ac:dyDescent="0.35">
      <c r="A22" s="7" t="s">
        <v>27</v>
      </c>
      <c r="B22" s="7" t="s">
        <v>28</v>
      </c>
      <c r="C22" s="7" t="s">
        <v>46</v>
      </c>
      <c r="D22" s="7" t="s">
        <v>47</v>
      </c>
      <c r="E22" s="7" t="s">
        <v>36</v>
      </c>
      <c r="F22" s="7" t="s">
        <v>36</v>
      </c>
      <c r="G22" s="7">
        <v>2017</v>
      </c>
      <c r="H22" s="7" t="str">
        <f>CONCATENATE("14270104749")</f>
        <v>14270104749</v>
      </c>
      <c r="I22" s="7" t="s">
        <v>30</v>
      </c>
      <c r="J22" s="7" t="s">
        <v>31</v>
      </c>
      <c r="K22" s="7" t="str">
        <f>CONCATENATE("")</f>
        <v/>
      </c>
      <c r="L22" s="7" t="str">
        <f>CONCATENATE("21 21.1 2a")</f>
        <v>21 21.1 2a</v>
      </c>
      <c r="M22" s="7" t="str">
        <f>CONCATENATE("MSCNGL49E13B474L")</f>
        <v>MSCNGL49E13B474L</v>
      </c>
      <c r="N22" s="7" t="s">
        <v>79</v>
      </c>
      <c r="O22" s="7" t="s">
        <v>49</v>
      </c>
      <c r="P22" s="8">
        <v>44305</v>
      </c>
      <c r="Q22" s="7" t="s">
        <v>32</v>
      </c>
      <c r="R22" s="7" t="s">
        <v>33</v>
      </c>
      <c r="S22" s="7" t="s">
        <v>34</v>
      </c>
      <c r="T22" s="7"/>
      <c r="U22" s="7" t="s">
        <v>35</v>
      </c>
      <c r="V22" s="9">
        <v>1890</v>
      </c>
      <c r="W22" s="7">
        <v>814.97</v>
      </c>
      <c r="X22" s="7">
        <v>752.6</v>
      </c>
      <c r="Y22" s="7">
        <v>0</v>
      </c>
      <c r="Z22" s="7">
        <v>322.43</v>
      </c>
    </row>
    <row r="23" spans="1:26" x14ac:dyDescent="0.35">
      <c r="A23" s="7" t="s">
        <v>27</v>
      </c>
      <c r="B23" s="7" t="s">
        <v>28</v>
      </c>
      <c r="C23" s="7" t="s">
        <v>46</v>
      </c>
      <c r="D23" s="7" t="s">
        <v>47</v>
      </c>
      <c r="E23" s="7" t="s">
        <v>41</v>
      </c>
      <c r="F23" s="7" t="s">
        <v>58</v>
      </c>
      <c r="G23" s="7">
        <v>2017</v>
      </c>
      <c r="H23" s="7" t="str">
        <f>CONCATENATE("14270104020")</f>
        <v>14270104020</v>
      </c>
      <c r="I23" s="7" t="s">
        <v>30</v>
      </c>
      <c r="J23" s="7" t="s">
        <v>31</v>
      </c>
      <c r="K23" s="7" t="str">
        <f>CONCATENATE("")</f>
        <v/>
      </c>
      <c r="L23" s="7" t="str">
        <f>CONCATENATE("21 21.1 2a")</f>
        <v>21 21.1 2a</v>
      </c>
      <c r="M23" s="7" t="str">
        <f>CONCATENATE("01578910430")</f>
        <v>01578910430</v>
      </c>
      <c r="N23" s="7" t="s">
        <v>80</v>
      </c>
      <c r="O23" s="7" t="s">
        <v>49</v>
      </c>
      <c r="P23" s="8">
        <v>44305</v>
      </c>
      <c r="Q23" s="7" t="s">
        <v>32</v>
      </c>
      <c r="R23" s="7" t="s">
        <v>33</v>
      </c>
      <c r="S23" s="7" t="s">
        <v>34</v>
      </c>
      <c r="T23" s="7"/>
      <c r="U23" s="7" t="s">
        <v>35</v>
      </c>
      <c r="V23" s="9">
        <v>2100</v>
      </c>
      <c r="W23" s="7">
        <v>905.52</v>
      </c>
      <c r="X23" s="7">
        <v>836.22</v>
      </c>
      <c r="Y23" s="7">
        <v>0</v>
      </c>
      <c r="Z23" s="7">
        <v>358.26</v>
      </c>
    </row>
    <row r="24" spans="1:26" x14ac:dyDescent="0.35">
      <c r="A24" s="7" t="s">
        <v>27</v>
      </c>
      <c r="B24" s="7" t="s">
        <v>28</v>
      </c>
      <c r="C24" s="7" t="s">
        <v>46</v>
      </c>
      <c r="D24" s="7" t="s">
        <v>47</v>
      </c>
      <c r="E24" s="7" t="s">
        <v>36</v>
      </c>
      <c r="F24" s="7" t="s">
        <v>36</v>
      </c>
      <c r="G24" s="7">
        <v>2017</v>
      </c>
      <c r="H24" s="7" t="str">
        <f>CONCATENATE("14270104012")</f>
        <v>14270104012</v>
      </c>
      <c r="I24" s="7" t="s">
        <v>30</v>
      </c>
      <c r="J24" s="7" t="s">
        <v>31</v>
      </c>
      <c r="K24" s="7" t="str">
        <f>CONCATENATE("")</f>
        <v/>
      </c>
      <c r="L24" s="7" t="str">
        <f>CONCATENATE("21 21.1 2a")</f>
        <v>21 21.1 2a</v>
      </c>
      <c r="M24" s="7" t="str">
        <f>CONCATENATE("MSCFST76H30B474R")</f>
        <v>MSCFST76H30B474R</v>
      </c>
      <c r="N24" s="7" t="s">
        <v>81</v>
      </c>
      <c r="O24" s="7" t="s">
        <v>49</v>
      </c>
      <c r="P24" s="8">
        <v>44305</v>
      </c>
      <c r="Q24" s="7" t="s">
        <v>32</v>
      </c>
      <c r="R24" s="7" t="s">
        <v>33</v>
      </c>
      <c r="S24" s="7" t="s">
        <v>34</v>
      </c>
      <c r="T24" s="7"/>
      <c r="U24" s="7" t="s">
        <v>35</v>
      </c>
      <c r="V24" s="9">
        <v>7000</v>
      </c>
      <c r="W24" s="9">
        <v>3018.4</v>
      </c>
      <c r="X24" s="9">
        <v>2787.4</v>
      </c>
      <c r="Y24" s="7">
        <v>0</v>
      </c>
      <c r="Z24" s="9">
        <v>1194.2</v>
      </c>
    </row>
    <row r="25" spans="1:26" ht="17.5" x14ac:dyDescent="0.35">
      <c r="A25" s="7" t="s">
        <v>27</v>
      </c>
      <c r="B25" s="7" t="s">
        <v>28</v>
      </c>
      <c r="C25" s="7" t="s">
        <v>46</v>
      </c>
      <c r="D25" s="7" t="s">
        <v>47</v>
      </c>
      <c r="E25" s="7" t="s">
        <v>39</v>
      </c>
      <c r="F25" s="7" t="s">
        <v>61</v>
      </c>
      <c r="G25" s="7">
        <v>2017</v>
      </c>
      <c r="H25" s="7" t="str">
        <f>CONCATENATE("14270104434")</f>
        <v>14270104434</v>
      </c>
      <c r="I25" s="7" t="s">
        <v>30</v>
      </c>
      <c r="J25" s="7" t="s">
        <v>31</v>
      </c>
      <c r="K25" s="7" t="str">
        <f>CONCATENATE("")</f>
        <v/>
      </c>
      <c r="L25" s="7" t="str">
        <f>CONCATENATE("21 21.1 2a")</f>
        <v>21 21.1 2a</v>
      </c>
      <c r="M25" s="7" t="str">
        <f>CONCATENATE("NRDMRZ53B28L191Q")</f>
        <v>NRDMRZ53B28L191Q</v>
      </c>
      <c r="N25" s="7" t="s">
        <v>82</v>
      </c>
      <c r="O25" s="7" t="s">
        <v>49</v>
      </c>
      <c r="P25" s="8">
        <v>44305</v>
      </c>
      <c r="Q25" s="7" t="s">
        <v>32</v>
      </c>
      <c r="R25" s="7" t="s">
        <v>33</v>
      </c>
      <c r="S25" s="7" t="s">
        <v>34</v>
      </c>
      <c r="T25" s="7"/>
      <c r="U25" s="7" t="s">
        <v>35</v>
      </c>
      <c r="V25" s="9">
        <v>1575</v>
      </c>
      <c r="W25" s="7">
        <v>679.14</v>
      </c>
      <c r="X25" s="7">
        <v>627.16999999999996</v>
      </c>
      <c r="Y25" s="7">
        <v>0</v>
      </c>
      <c r="Z25" s="7">
        <v>268.69</v>
      </c>
    </row>
    <row r="26" spans="1:26" x14ac:dyDescent="0.35">
      <c r="A26" s="7" t="s">
        <v>27</v>
      </c>
      <c r="B26" s="7" t="s">
        <v>28</v>
      </c>
      <c r="C26" s="7" t="s">
        <v>46</v>
      </c>
      <c r="D26" s="7" t="s">
        <v>47</v>
      </c>
      <c r="E26" s="7" t="s">
        <v>29</v>
      </c>
      <c r="F26" s="7" t="s">
        <v>83</v>
      </c>
      <c r="G26" s="7">
        <v>2017</v>
      </c>
      <c r="H26" s="7" t="str">
        <f>CONCATENATE("14270104806")</f>
        <v>14270104806</v>
      </c>
      <c r="I26" s="7" t="s">
        <v>30</v>
      </c>
      <c r="J26" s="7" t="s">
        <v>31</v>
      </c>
      <c r="K26" s="7" t="str">
        <f>CONCATENATE("")</f>
        <v/>
      </c>
      <c r="L26" s="7" t="str">
        <f>CONCATENATE("21 21.1 2a")</f>
        <v>21 21.1 2a</v>
      </c>
      <c r="M26" s="7" t="str">
        <f>CONCATENATE("NVLPRN64L15A329S")</f>
        <v>NVLPRN64L15A329S</v>
      </c>
      <c r="N26" s="7" t="s">
        <v>84</v>
      </c>
      <c r="O26" s="7" t="s">
        <v>49</v>
      </c>
      <c r="P26" s="8">
        <v>44305</v>
      </c>
      <c r="Q26" s="7" t="s">
        <v>32</v>
      </c>
      <c r="R26" s="7" t="s">
        <v>33</v>
      </c>
      <c r="S26" s="7" t="s">
        <v>34</v>
      </c>
      <c r="T26" s="7"/>
      <c r="U26" s="7" t="s">
        <v>35</v>
      </c>
      <c r="V26" s="9">
        <v>1050</v>
      </c>
      <c r="W26" s="7">
        <v>452.76</v>
      </c>
      <c r="X26" s="7">
        <v>418.11</v>
      </c>
      <c r="Y26" s="7">
        <v>0</v>
      </c>
      <c r="Z26" s="7">
        <v>179.13</v>
      </c>
    </row>
    <row r="27" spans="1:26" ht="17.5" x14ac:dyDescent="0.35">
      <c r="A27" s="7" t="s">
        <v>27</v>
      </c>
      <c r="B27" s="7" t="s">
        <v>28</v>
      </c>
      <c r="C27" s="7" t="s">
        <v>46</v>
      </c>
      <c r="D27" s="7" t="s">
        <v>47</v>
      </c>
      <c r="E27" s="7" t="s">
        <v>39</v>
      </c>
      <c r="F27" s="7" t="s">
        <v>50</v>
      </c>
      <c r="G27" s="7">
        <v>2017</v>
      </c>
      <c r="H27" s="7" t="str">
        <f>CONCATENATE("14270104756")</f>
        <v>14270104756</v>
      </c>
      <c r="I27" s="7" t="s">
        <v>30</v>
      </c>
      <c r="J27" s="7" t="s">
        <v>31</v>
      </c>
      <c r="K27" s="7" t="str">
        <f>CONCATENATE("")</f>
        <v/>
      </c>
      <c r="L27" s="7" t="str">
        <f>CONCATENATE("21 21.1 2a")</f>
        <v>21 21.1 2a</v>
      </c>
      <c r="M27" s="7" t="str">
        <f>CONCATENATE("PLMTNN63D27G637N")</f>
        <v>PLMTNN63D27G637N</v>
      </c>
      <c r="N27" s="7" t="s">
        <v>85</v>
      </c>
      <c r="O27" s="7" t="s">
        <v>49</v>
      </c>
      <c r="P27" s="8">
        <v>44305</v>
      </c>
      <c r="Q27" s="7" t="s">
        <v>32</v>
      </c>
      <c r="R27" s="7" t="s">
        <v>33</v>
      </c>
      <c r="S27" s="7" t="s">
        <v>34</v>
      </c>
      <c r="T27" s="7"/>
      <c r="U27" s="7" t="s">
        <v>35</v>
      </c>
      <c r="V27" s="9">
        <v>1680</v>
      </c>
      <c r="W27" s="7">
        <v>724.42</v>
      </c>
      <c r="X27" s="7">
        <v>668.98</v>
      </c>
      <c r="Y27" s="7">
        <v>0</v>
      </c>
      <c r="Z27" s="7">
        <v>286.60000000000002</v>
      </c>
    </row>
    <row r="28" spans="1:26" x14ac:dyDescent="0.35">
      <c r="A28" s="7" t="s">
        <v>27</v>
      </c>
      <c r="B28" s="7" t="s">
        <v>28</v>
      </c>
      <c r="C28" s="7" t="s">
        <v>46</v>
      </c>
      <c r="D28" s="7" t="s">
        <v>47</v>
      </c>
      <c r="E28" s="7" t="s">
        <v>39</v>
      </c>
      <c r="F28" s="7" t="s">
        <v>86</v>
      </c>
      <c r="G28" s="7">
        <v>2017</v>
      </c>
      <c r="H28" s="7" t="str">
        <f>CONCATENATE("14270103964")</f>
        <v>14270103964</v>
      </c>
      <c r="I28" s="7" t="s">
        <v>30</v>
      </c>
      <c r="J28" s="7" t="s">
        <v>31</v>
      </c>
      <c r="K28" s="7" t="str">
        <f>CONCATENATE("")</f>
        <v/>
      </c>
      <c r="L28" s="7" t="str">
        <f>CONCATENATE("21 21.1 2a")</f>
        <v>21 21.1 2a</v>
      </c>
      <c r="M28" s="7" t="str">
        <f>CONCATENATE("PRGBNR38L17F482H")</f>
        <v>PRGBNR38L17F482H</v>
      </c>
      <c r="N28" s="7" t="s">
        <v>87</v>
      </c>
      <c r="O28" s="7" t="s">
        <v>49</v>
      </c>
      <c r="P28" s="8">
        <v>44305</v>
      </c>
      <c r="Q28" s="7" t="s">
        <v>32</v>
      </c>
      <c r="R28" s="7" t="s">
        <v>33</v>
      </c>
      <c r="S28" s="7" t="s">
        <v>34</v>
      </c>
      <c r="T28" s="7"/>
      <c r="U28" s="7" t="s">
        <v>35</v>
      </c>
      <c r="V28" s="9">
        <v>2700</v>
      </c>
      <c r="W28" s="9">
        <v>1164.24</v>
      </c>
      <c r="X28" s="9">
        <v>1075.1400000000001</v>
      </c>
      <c r="Y28" s="7">
        <v>0</v>
      </c>
      <c r="Z28" s="7">
        <v>460.62</v>
      </c>
    </row>
    <row r="29" spans="1:26" x14ac:dyDescent="0.35">
      <c r="A29" s="7" t="s">
        <v>27</v>
      </c>
      <c r="B29" s="7" t="s">
        <v>28</v>
      </c>
      <c r="C29" s="7" t="s">
        <v>46</v>
      </c>
      <c r="D29" s="7" t="s">
        <v>72</v>
      </c>
      <c r="E29" s="7" t="s">
        <v>29</v>
      </c>
      <c r="F29" s="7" t="s">
        <v>88</v>
      </c>
      <c r="G29" s="7">
        <v>2017</v>
      </c>
      <c r="H29" s="7" t="str">
        <f>CONCATENATE("14270108526")</f>
        <v>14270108526</v>
      </c>
      <c r="I29" s="7" t="s">
        <v>30</v>
      </c>
      <c r="J29" s="7" t="s">
        <v>31</v>
      </c>
      <c r="K29" s="7" t="str">
        <f>CONCATENATE("")</f>
        <v/>
      </c>
      <c r="L29" s="7" t="str">
        <f>CONCATENATE("21 21.1 2a")</f>
        <v>21 21.1 2a</v>
      </c>
      <c r="M29" s="7" t="str">
        <f>CONCATENATE("PRSSRA78A13I653X")</f>
        <v>PRSSRA78A13I653X</v>
      </c>
      <c r="N29" s="7" t="s">
        <v>89</v>
      </c>
      <c r="O29" s="7" t="s">
        <v>49</v>
      </c>
      <c r="P29" s="8">
        <v>44305</v>
      </c>
      <c r="Q29" s="7" t="s">
        <v>32</v>
      </c>
      <c r="R29" s="7" t="s">
        <v>33</v>
      </c>
      <c r="S29" s="7" t="s">
        <v>34</v>
      </c>
      <c r="T29" s="7"/>
      <c r="U29" s="7" t="s">
        <v>35</v>
      </c>
      <c r="V29" s="9">
        <v>3780</v>
      </c>
      <c r="W29" s="9">
        <v>1629.94</v>
      </c>
      <c r="X29" s="9">
        <v>1505.2</v>
      </c>
      <c r="Y29" s="7">
        <v>0</v>
      </c>
      <c r="Z29" s="7">
        <v>644.86</v>
      </c>
    </row>
    <row r="30" spans="1:26" x14ac:dyDescent="0.35">
      <c r="A30" s="7" t="s">
        <v>27</v>
      </c>
      <c r="B30" s="7" t="s">
        <v>28</v>
      </c>
      <c r="C30" s="7" t="s">
        <v>46</v>
      </c>
      <c r="D30" s="7" t="s">
        <v>72</v>
      </c>
      <c r="E30" s="7" t="s">
        <v>39</v>
      </c>
      <c r="F30" s="7" t="s">
        <v>73</v>
      </c>
      <c r="G30" s="7">
        <v>2017</v>
      </c>
      <c r="H30" s="7" t="str">
        <f>CONCATENATE("14270104780")</f>
        <v>14270104780</v>
      </c>
      <c r="I30" s="7" t="s">
        <v>30</v>
      </c>
      <c r="J30" s="7" t="s">
        <v>31</v>
      </c>
      <c r="K30" s="7" t="str">
        <f>CONCATENATE("")</f>
        <v/>
      </c>
      <c r="L30" s="7" t="str">
        <f>CONCATENATE("21 21.1 2a")</f>
        <v>21 21.1 2a</v>
      </c>
      <c r="M30" s="7" t="str">
        <f>CONCATENATE("PTOFNC50C24D451C")</f>
        <v>PTOFNC50C24D451C</v>
      </c>
      <c r="N30" s="7" t="s">
        <v>90</v>
      </c>
      <c r="O30" s="7" t="s">
        <v>49</v>
      </c>
      <c r="P30" s="8">
        <v>44305</v>
      </c>
      <c r="Q30" s="7" t="s">
        <v>32</v>
      </c>
      <c r="R30" s="7" t="s">
        <v>33</v>
      </c>
      <c r="S30" s="7" t="s">
        <v>34</v>
      </c>
      <c r="T30" s="7"/>
      <c r="U30" s="7" t="s">
        <v>35</v>
      </c>
      <c r="V30" s="9">
        <v>5775</v>
      </c>
      <c r="W30" s="9">
        <v>2490.1799999999998</v>
      </c>
      <c r="X30" s="9">
        <v>2299.61</v>
      </c>
      <c r="Y30" s="7">
        <v>0</v>
      </c>
      <c r="Z30" s="7">
        <v>985.21</v>
      </c>
    </row>
    <row r="31" spans="1:26" ht="17.5" x14ac:dyDescent="0.35">
      <c r="A31" s="7" t="s">
        <v>27</v>
      </c>
      <c r="B31" s="7" t="s">
        <v>28</v>
      </c>
      <c r="C31" s="7" t="s">
        <v>46</v>
      </c>
      <c r="D31" s="7" t="s">
        <v>47</v>
      </c>
      <c r="E31" s="7" t="s">
        <v>39</v>
      </c>
      <c r="F31" s="7" t="s">
        <v>50</v>
      </c>
      <c r="G31" s="7">
        <v>2017</v>
      </c>
      <c r="H31" s="7" t="str">
        <f>CONCATENATE("14270104483")</f>
        <v>14270104483</v>
      </c>
      <c r="I31" s="7" t="s">
        <v>30</v>
      </c>
      <c r="J31" s="7" t="s">
        <v>31</v>
      </c>
      <c r="K31" s="7" t="str">
        <f>CONCATENATE("")</f>
        <v/>
      </c>
      <c r="L31" s="7" t="str">
        <f>CONCATENATE("21 21.1 2a")</f>
        <v>21 21.1 2a</v>
      </c>
      <c r="M31" s="7" t="str">
        <f>CONCATENATE("GCBLGU33S23D564V")</f>
        <v>GCBLGU33S23D564V</v>
      </c>
      <c r="N31" s="7" t="s">
        <v>91</v>
      </c>
      <c r="O31" s="7" t="s">
        <v>49</v>
      </c>
      <c r="P31" s="8">
        <v>44305</v>
      </c>
      <c r="Q31" s="7" t="s">
        <v>32</v>
      </c>
      <c r="R31" s="7" t="s">
        <v>33</v>
      </c>
      <c r="S31" s="7" t="s">
        <v>34</v>
      </c>
      <c r="T31" s="7"/>
      <c r="U31" s="7" t="s">
        <v>35</v>
      </c>
      <c r="V31" s="9">
        <v>1260</v>
      </c>
      <c r="W31" s="7">
        <v>543.30999999999995</v>
      </c>
      <c r="X31" s="7">
        <v>501.73</v>
      </c>
      <c r="Y31" s="7">
        <v>0</v>
      </c>
      <c r="Z31" s="7">
        <v>214.96</v>
      </c>
    </row>
    <row r="32" spans="1:26" x14ac:dyDescent="0.35">
      <c r="A32" s="7" t="s">
        <v>27</v>
      </c>
      <c r="B32" s="7" t="s">
        <v>28</v>
      </c>
      <c r="C32" s="7" t="s">
        <v>46</v>
      </c>
      <c r="D32" s="7" t="s">
        <v>92</v>
      </c>
      <c r="E32" s="7" t="s">
        <v>36</v>
      </c>
      <c r="F32" s="7" t="s">
        <v>36</v>
      </c>
      <c r="G32" s="7">
        <v>2017</v>
      </c>
      <c r="H32" s="7" t="str">
        <f>CONCATENATE("14270109821")</f>
        <v>14270109821</v>
      </c>
      <c r="I32" s="7" t="s">
        <v>40</v>
      </c>
      <c r="J32" s="7" t="s">
        <v>31</v>
      </c>
      <c r="K32" s="7" t="str">
        <f>CONCATENATE("")</f>
        <v/>
      </c>
      <c r="L32" s="7" t="str">
        <f>CONCATENATE("1 1.1 2a")</f>
        <v>1 1.1 2a</v>
      </c>
      <c r="M32" s="7" t="str">
        <f>CONCATENATE("02051370423")</f>
        <v>02051370423</v>
      </c>
      <c r="N32" s="7" t="s">
        <v>93</v>
      </c>
      <c r="O32" s="7" t="s">
        <v>94</v>
      </c>
      <c r="P32" s="8">
        <v>44305</v>
      </c>
      <c r="Q32" s="7" t="s">
        <v>32</v>
      </c>
      <c r="R32" s="7" t="s">
        <v>33</v>
      </c>
      <c r="S32" s="7" t="s">
        <v>34</v>
      </c>
      <c r="T32" s="7"/>
      <c r="U32" s="7" t="s">
        <v>35</v>
      </c>
      <c r="V32" s="9">
        <v>5280</v>
      </c>
      <c r="W32" s="9">
        <v>2276.7399999999998</v>
      </c>
      <c r="X32" s="9">
        <v>2102.5</v>
      </c>
      <c r="Y32" s="7">
        <v>0</v>
      </c>
      <c r="Z32" s="7">
        <v>900.76</v>
      </c>
    </row>
    <row r="33" spans="1:26" x14ac:dyDescent="0.35">
      <c r="A33" s="7" t="s">
        <v>27</v>
      </c>
      <c r="B33" s="7" t="s">
        <v>28</v>
      </c>
      <c r="C33" s="7" t="s">
        <v>46</v>
      </c>
      <c r="D33" s="7" t="s">
        <v>52</v>
      </c>
      <c r="E33" s="7" t="s">
        <v>41</v>
      </c>
      <c r="F33" s="7" t="s">
        <v>95</v>
      </c>
      <c r="G33" s="7">
        <v>2017</v>
      </c>
      <c r="H33" s="7" t="str">
        <f>CONCATENATE("14270104426")</f>
        <v>14270104426</v>
      </c>
      <c r="I33" s="7" t="s">
        <v>30</v>
      </c>
      <c r="J33" s="7" t="s">
        <v>31</v>
      </c>
      <c r="K33" s="7" t="str">
        <f>CONCATENATE("")</f>
        <v/>
      </c>
      <c r="L33" s="7" t="str">
        <f>CONCATENATE("21 21.1 2a")</f>
        <v>21 21.1 2a</v>
      </c>
      <c r="M33" s="7" t="str">
        <f>CONCATENATE("GSTDNC44E47G551J")</f>
        <v>GSTDNC44E47G551J</v>
      </c>
      <c r="N33" s="7" t="s">
        <v>96</v>
      </c>
      <c r="O33" s="7" t="s">
        <v>49</v>
      </c>
      <c r="P33" s="8">
        <v>44305</v>
      </c>
      <c r="Q33" s="7" t="s">
        <v>32</v>
      </c>
      <c r="R33" s="7" t="s">
        <v>33</v>
      </c>
      <c r="S33" s="7" t="s">
        <v>34</v>
      </c>
      <c r="T33" s="7"/>
      <c r="U33" s="7" t="s">
        <v>35</v>
      </c>
      <c r="V33" s="9">
        <v>1575</v>
      </c>
      <c r="W33" s="7">
        <v>679.14</v>
      </c>
      <c r="X33" s="7">
        <v>627.16999999999996</v>
      </c>
      <c r="Y33" s="7">
        <v>0</v>
      </c>
      <c r="Z33" s="7">
        <v>268.69</v>
      </c>
    </row>
    <row r="34" spans="1:26" ht="17.5" x14ac:dyDescent="0.35">
      <c r="A34" s="7" t="s">
        <v>27</v>
      </c>
      <c r="B34" s="7" t="s">
        <v>28</v>
      </c>
      <c r="C34" s="7" t="s">
        <v>46</v>
      </c>
      <c r="D34" s="7" t="s">
        <v>52</v>
      </c>
      <c r="E34" s="7" t="s">
        <v>44</v>
      </c>
      <c r="F34" s="7" t="s">
        <v>97</v>
      </c>
      <c r="G34" s="7">
        <v>2017</v>
      </c>
      <c r="H34" s="7" t="str">
        <f>CONCATENATE("14270104541")</f>
        <v>14270104541</v>
      </c>
      <c r="I34" s="7" t="s">
        <v>30</v>
      </c>
      <c r="J34" s="7" t="s">
        <v>31</v>
      </c>
      <c r="K34" s="7" t="str">
        <f>CONCATENATE("")</f>
        <v/>
      </c>
      <c r="L34" s="7" t="str">
        <f>CONCATENATE("21 21.1 2a")</f>
        <v>21 21.1 2a</v>
      </c>
      <c r="M34" s="7" t="str">
        <f>CONCATENATE("MBRRNG69A28F839I")</f>
        <v>MBRRNG69A28F839I</v>
      </c>
      <c r="N34" s="7" t="s">
        <v>98</v>
      </c>
      <c r="O34" s="7" t="s">
        <v>49</v>
      </c>
      <c r="P34" s="8">
        <v>44305</v>
      </c>
      <c r="Q34" s="7" t="s">
        <v>32</v>
      </c>
      <c r="R34" s="7" t="s">
        <v>33</v>
      </c>
      <c r="S34" s="7" t="s">
        <v>34</v>
      </c>
      <c r="T34" s="7"/>
      <c r="U34" s="7" t="s">
        <v>35</v>
      </c>
      <c r="V34" s="9">
        <v>1260</v>
      </c>
      <c r="W34" s="7">
        <v>543.30999999999995</v>
      </c>
      <c r="X34" s="7">
        <v>501.73</v>
      </c>
      <c r="Y34" s="7">
        <v>0</v>
      </c>
      <c r="Z34" s="7">
        <v>214.96</v>
      </c>
    </row>
    <row r="35" spans="1:26" x14ac:dyDescent="0.35">
      <c r="A35" s="7" t="s">
        <v>27</v>
      </c>
      <c r="B35" s="7" t="s">
        <v>28</v>
      </c>
      <c r="C35" s="7" t="s">
        <v>46</v>
      </c>
      <c r="D35" s="7" t="s">
        <v>47</v>
      </c>
      <c r="E35" s="7" t="s">
        <v>39</v>
      </c>
      <c r="F35" s="7" t="s">
        <v>50</v>
      </c>
      <c r="G35" s="7">
        <v>2017</v>
      </c>
      <c r="H35" s="7" t="str">
        <f>CONCATENATE("14270104079")</f>
        <v>14270104079</v>
      </c>
      <c r="I35" s="7" t="s">
        <v>30</v>
      </c>
      <c r="J35" s="7" t="s">
        <v>31</v>
      </c>
      <c r="K35" s="7" t="str">
        <f>CONCATENATE("")</f>
        <v/>
      </c>
      <c r="L35" s="7" t="str">
        <f>CONCATENATE("21 21.1 2a")</f>
        <v>21 21.1 2a</v>
      </c>
      <c r="M35" s="7" t="str">
        <f>CONCATENATE("MCABTL65C04H501X")</f>
        <v>MCABTL65C04H501X</v>
      </c>
      <c r="N35" s="7" t="s">
        <v>99</v>
      </c>
      <c r="O35" s="7" t="s">
        <v>49</v>
      </c>
      <c r="P35" s="8">
        <v>44305</v>
      </c>
      <c r="Q35" s="7" t="s">
        <v>32</v>
      </c>
      <c r="R35" s="7" t="s">
        <v>33</v>
      </c>
      <c r="S35" s="7" t="s">
        <v>34</v>
      </c>
      <c r="T35" s="7"/>
      <c r="U35" s="7" t="s">
        <v>35</v>
      </c>
      <c r="V35" s="9">
        <v>2940</v>
      </c>
      <c r="W35" s="9">
        <v>1267.73</v>
      </c>
      <c r="X35" s="9">
        <v>1170.71</v>
      </c>
      <c r="Y35" s="7">
        <v>0</v>
      </c>
      <c r="Z35" s="7">
        <v>501.56</v>
      </c>
    </row>
    <row r="36" spans="1:26" x14ac:dyDescent="0.35">
      <c r="A36" s="7" t="s">
        <v>27</v>
      </c>
      <c r="B36" s="7" t="s">
        <v>28</v>
      </c>
      <c r="C36" s="7" t="s">
        <v>46</v>
      </c>
      <c r="D36" s="7" t="s">
        <v>47</v>
      </c>
      <c r="E36" s="7" t="s">
        <v>44</v>
      </c>
      <c r="F36" s="7" t="s">
        <v>100</v>
      </c>
      <c r="G36" s="7">
        <v>2017</v>
      </c>
      <c r="H36" s="7" t="str">
        <f>CONCATENATE("14270104228")</f>
        <v>14270104228</v>
      </c>
      <c r="I36" s="7" t="s">
        <v>30</v>
      </c>
      <c r="J36" s="7" t="s">
        <v>31</v>
      </c>
      <c r="K36" s="7" t="str">
        <f>CONCATENATE("")</f>
        <v/>
      </c>
      <c r="L36" s="7" t="str">
        <f>CONCATENATE("21 21.1 2a")</f>
        <v>21 21.1 2a</v>
      </c>
      <c r="M36" s="7" t="str">
        <f>CONCATENATE("01863750434")</f>
        <v>01863750434</v>
      </c>
      <c r="N36" s="7" t="s">
        <v>101</v>
      </c>
      <c r="O36" s="7" t="s">
        <v>49</v>
      </c>
      <c r="P36" s="8">
        <v>44305</v>
      </c>
      <c r="Q36" s="7" t="s">
        <v>32</v>
      </c>
      <c r="R36" s="7" t="s">
        <v>33</v>
      </c>
      <c r="S36" s="7" t="s">
        <v>34</v>
      </c>
      <c r="T36" s="7"/>
      <c r="U36" s="7" t="s">
        <v>35</v>
      </c>
      <c r="V36" s="9">
        <v>1320</v>
      </c>
      <c r="W36" s="7">
        <v>569.17999999999995</v>
      </c>
      <c r="X36" s="7">
        <v>525.62</v>
      </c>
      <c r="Y36" s="7">
        <v>0</v>
      </c>
      <c r="Z36" s="7">
        <v>225.2</v>
      </c>
    </row>
    <row r="37" spans="1:26" x14ac:dyDescent="0.35">
      <c r="A37" s="7" t="s">
        <v>27</v>
      </c>
      <c r="B37" s="7" t="s">
        <v>28</v>
      </c>
      <c r="C37" s="7" t="s">
        <v>46</v>
      </c>
      <c r="D37" s="7" t="s">
        <v>47</v>
      </c>
      <c r="E37" s="7" t="s">
        <v>44</v>
      </c>
      <c r="F37" s="7" t="s">
        <v>100</v>
      </c>
      <c r="G37" s="7">
        <v>2017</v>
      </c>
      <c r="H37" s="7" t="str">
        <f>CONCATENATE("14270104657")</f>
        <v>14270104657</v>
      </c>
      <c r="I37" s="7" t="s">
        <v>30</v>
      </c>
      <c r="J37" s="7" t="s">
        <v>31</v>
      </c>
      <c r="K37" s="7" t="str">
        <f>CONCATENATE("")</f>
        <v/>
      </c>
      <c r="L37" s="7" t="str">
        <f>CONCATENATE("21 21.1 2a")</f>
        <v>21 21.1 2a</v>
      </c>
      <c r="M37" s="7" t="str">
        <f>CONCATENATE("BRBFBA76E01B474C")</f>
        <v>BRBFBA76E01B474C</v>
      </c>
      <c r="N37" s="7" t="s">
        <v>102</v>
      </c>
      <c r="O37" s="7" t="s">
        <v>49</v>
      </c>
      <c r="P37" s="8">
        <v>44305</v>
      </c>
      <c r="Q37" s="7" t="s">
        <v>32</v>
      </c>
      <c r="R37" s="7" t="s">
        <v>33</v>
      </c>
      <c r="S37" s="7" t="s">
        <v>34</v>
      </c>
      <c r="T37" s="7"/>
      <c r="U37" s="7" t="s">
        <v>35</v>
      </c>
      <c r="V37" s="9">
        <v>4725</v>
      </c>
      <c r="W37" s="9">
        <v>2037.42</v>
      </c>
      <c r="X37" s="9">
        <v>1881.5</v>
      </c>
      <c r="Y37" s="7">
        <v>0</v>
      </c>
      <c r="Z37" s="7">
        <v>806.08</v>
      </c>
    </row>
    <row r="38" spans="1:26" x14ac:dyDescent="0.35">
      <c r="A38" s="7" t="s">
        <v>27</v>
      </c>
      <c r="B38" s="7" t="s">
        <v>28</v>
      </c>
      <c r="C38" s="7" t="s">
        <v>46</v>
      </c>
      <c r="D38" s="7" t="s">
        <v>72</v>
      </c>
      <c r="E38" s="7" t="s">
        <v>39</v>
      </c>
      <c r="F38" s="7" t="s">
        <v>103</v>
      </c>
      <c r="G38" s="7">
        <v>2017</v>
      </c>
      <c r="H38" s="7" t="str">
        <f>CONCATENATE("14270104384")</f>
        <v>14270104384</v>
      </c>
      <c r="I38" s="7" t="s">
        <v>30</v>
      </c>
      <c r="J38" s="7" t="s">
        <v>31</v>
      </c>
      <c r="K38" s="7" t="str">
        <f>CONCATENATE("")</f>
        <v/>
      </c>
      <c r="L38" s="7" t="str">
        <f>CONCATENATE("21 21.1 2a")</f>
        <v>21 21.1 2a</v>
      </c>
      <c r="M38" s="7" t="str">
        <f>CONCATENATE("BRGLFA62C10D965T")</f>
        <v>BRGLFA62C10D965T</v>
      </c>
      <c r="N38" s="7" t="s">
        <v>104</v>
      </c>
      <c r="O38" s="7" t="s">
        <v>49</v>
      </c>
      <c r="P38" s="8">
        <v>44305</v>
      </c>
      <c r="Q38" s="7" t="s">
        <v>32</v>
      </c>
      <c r="R38" s="7" t="s">
        <v>33</v>
      </c>
      <c r="S38" s="7" t="s">
        <v>34</v>
      </c>
      <c r="T38" s="7"/>
      <c r="U38" s="7" t="s">
        <v>35</v>
      </c>
      <c r="V38" s="9">
        <v>1575</v>
      </c>
      <c r="W38" s="7">
        <v>679.14</v>
      </c>
      <c r="X38" s="7">
        <v>627.16999999999996</v>
      </c>
      <c r="Y38" s="7">
        <v>0</v>
      </c>
      <c r="Z38" s="7">
        <v>268.69</v>
      </c>
    </row>
    <row r="39" spans="1:26" x14ac:dyDescent="0.35">
      <c r="A39" s="7" t="s">
        <v>27</v>
      </c>
      <c r="B39" s="7" t="s">
        <v>28</v>
      </c>
      <c r="C39" s="7" t="s">
        <v>46</v>
      </c>
      <c r="D39" s="7" t="s">
        <v>47</v>
      </c>
      <c r="E39" s="7" t="s">
        <v>39</v>
      </c>
      <c r="F39" s="7" t="s">
        <v>50</v>
      </c>
      <c r="G39" s="7">
        <v>2017</v>
      </c>
      <c r="H39" s="7" t="str">
        <f>CONCATENATE("14270103972")</f>
        <v>14270103972</v>
      </c>
      <c r="I39" s="7" t="s">
        <v>30</v>
      </c>
      <c r="J39" s="7" t="s">
        <v>31</v>
      </c>
      <c r="K39" s="7" t="str">
        <f>CONCATENATE("")</f>
        <v/>
      </c>
      <c r="L39" s="7" t="str">
        <f>CONCATENATE("21 21.1 2a")</f>
        <v>21 21.1 2a</v>
      </c>
      <c r="M39" s="7" t="str">
        <f>CONCATENATE("CRSSRA89H64B474Q")</f>
        <v>CRSSRA89H64B474Q</v>
      </c>
      <c r="N39" s="7" t="s">
        <v>105</v>
      </c>
      <c r="O39" s="7" t="s">
        <v>49</v>
      </c>
      <c r="P39" s="8">
        <v>44305</v>
      </c>
      <c r="Q39" s="7" t="s">
        <v>32</v>
      </c>
      <c r="R39" s="7" t="s">
        <v>33</v>
      </c>
      <c r="S39" s="7" t="s">
        <v>34</v>
      </c>
      <c r="T39" s="7"/>
      <c r="U39" s="7" t="s">
        <v>35</v>
      </c>
      <c r="V39" s="9">
        <v>1320</v>
      </c>
      <c r="W39" s="7">
        <v>569.17999999999995</v>
      </c>
      <c r="X39" s="7">
        <v>525.62</v>
      </c>
      <c r="Y39" s="7">
        <v>0</v>
      </c>
      <c r="Z39" s="7">
        <v>225.2</v>
      </c>
    </row>
    <row r="40" spans="1:26" x14ac:dyDescent="0.35">
      <c r="A40" s="7" t="s">
        <v>27</v>
      </c>
      <c r="B40" s="7" t="s">
        <v>28</v>
      </c>
      <c r="C40" s="7" t="s">
        <v>46</v>
      </c>
      <c r="D40" s="7" t="s">
        <v>52</v>
      </c>
      <c r="E40" s="7" t="s">
        <v>44</v>
      </c>
      <c r="F40" s="7" t="s">
        <v>97</v>
      </c>
      <c r="G40" s="7">
        <v>2017</v>
      </c>
      <c r="H40" s="7" t="str">
        <f>CONCATENATE("14270103931")</f>
        <v>14270103931</v>
      </c>
      <c r="I40" s="7" t="s">
        <v>30</v>
      </c>
      <c r="J40" s="7" t="s">
        <v>31</v>
      </c>
      <c r="K40" s="7" t="str">
        <f>CONCATENATE("")</f>
        <v/>
      </c>
      <c r="L40" s="7" t="str">
        <f>CONCATENATE("21 21.1 2a")</f>
        <v>21 21.1 2a</v>
      </c>
      <c r="M40" s="7" t="str">
        <f>CONCATENATE("CLNNRC83M16I459C")</f>
        <v>CLNNRC83M16I459C</v>
      </c>
      <c r="N40" s="7" t="s">
        <v>106</v>
      </c>
      <c r="O40" s="7" t="s">
        <v>49</v>
      </c>
      <c r="P40" s="8">
        <v>44305</v>
      </c>
      <c r="Q40" s="7" t="s">
        <v>32</v>
      </c>
      <c r="R40" s="7" t="s">
        <v>33</v>
      </c>
      <c r="S40" s="7" t="s">
        <v>34</v>
      </c>
      <c r="T40" s="7"/>
      <c r="U40" s="7" t="s">
        <v>35</v>
      </c>
      <c r="V40" s="9">
        <v>3150</v>
      </c>
      <c r="W40" s="9">
        <v>1358.28</v>
      </c>
      <c r="X40" s="9">
        <v>1254.33</v>
      </c>
      <c r="Y40" s="7">
        <v>0</v>
      </c>
      <c r="Z40" s="7">
        <v>537.39</v>
      </c>
    </row>
    <row r="41" spans="1:26" x14ac:dyDescent="0.35">
      <c r="A41" s="7" t="s">
        <v>27</v>
      </c>
      <c r="B41" s="7" t="s">
        <v>28</v>
      </c>
      <c r="C41" s="7" t="s">
        <v>46</v>
      </c>
      <c r="D41" s="7" t="s">
        <v>47</v>
      </c>
      <c r="E41" s="7" t="s">
        <v>39</v>
      </c>
      <c r="F41" s="7" t="s">
        <v>50</v>
      </c>
      <c r="G41" s="7">
        <v>2017</v>
      </c>
      <c r="H41" s="7" t="str">
        <f>CONCATENATE("14270103881")</f>
        <v>14270103881</v>
      </c>
      <c r="I41" s="7" t="s">
        <v>30</v>
      </c>
      <c r="J41" s="7" t="s">
        <v>31</v>
      </c>
      <c r="K41" s="7" t="str">
        <f>CONCATENATE("")</f>
        <v/>
      </c>
      <c r="L41" s="7" t="str">
        <f>CONCATENATE("21 21.1 2a")</f>
        <v>21 21.1 2a</v>
      </c>
      <c r="M41" s="7" t="str">
        <f>CONCATENATE("PYRBNR42D18L219T")</f>
        <v>PYRBNR42D18L219T</v>
      </c>
      <c r="N41" s="7" t="s">
        <v>107</v>
      </c>
      <c r="O41" s="7" t="s">
        <v>49</v>
      </c>
      <c r="P41" s="8">
        <v>44305</v>
      </c>
      <c r="Q41" s="7" t="s">
        <v>32</v>
      </c>
      <c r="R41" s="7" t="s">
        <v>33</v>
      </c>
      <c r="S41" s="7" t="s">
        <v>34</v>
      </c>
      <c r="T41" s="7"/>
      <c r="U41" s="7" t="s">
        <v>35</v>
      </c>
      <c r="V41" s="9">
        <v>5250</v>
      </c>
      <c r="W41" s="9">
        <v>2263.8000000000002</v>
      </c>
      <c r="X41" s="9">
        <v>2090.5500000000002</v>
      </c>
      <c r="Y41" s="7">
        <v>0</v>
      </c>
      <c r="Z41" s="7">
        <v>895.65</v>
      </c>
    </row>
    <row r="42" spans="1:26" x14ac:dyDescent="0.35">
      <c r="A42" s="7" t="s">
        <v>27</v>
      </c>
      <c r="B42" s="7" t="s">
        <v>28</v>
      </c>
      <c r="C42" s="7" t="s">
        <v>46</v>
      </c>
      <c r="D42" s="7" t="s">
        <v>47</v>
      </c>
      <c r="E42" s="7" t="s">
        <v>44</v>
      </c>
      <c r="F42" s="7" t="s">
        <v>100</v>
      </c>
      <c r="G42" s="7">
        <v>2017</v>
      </c>
      <c r="H42" s="7" t="str">
        <f>CONCATENATE("14270104129")</f>
        <v>14270104129</v>
      </c>
      <c r="I42" s="7" t="s">
        <v>30</v>
      </c>
      <c r="J42" s="7" t="s">
        <v>31</v>
      </c>
      <c r="K42" s="7" t="str">
        <f>CONCATENATE("")</f>
        <v/>
      </c>
      <c r="L42" s="7" t="str">
        <f>CONCATENATE("21 21.1 2a")</f>
        <v>21 21.1 2a</v>
      </c>
      <c r="M42" s="7" t="str">
        <f>CONCATENATE("01011100433")</f>
        <v>01011100433</v>
      </c>
      <c r="N42" s="7" t="s">
        <v>108</v>
      </c>
      <c r="O42" s="7" t="s">
        <v>49</v>
      </c>
      <c r="P42" s="8">
        <v>44305</v>
      </c>
      <c r="Q42" s="7" t="s">
        <v>32</v>
      </c>
      <c r="R42" s="7" t="s">
        <v>33</v>
      </c>
      <c r="S42" s="7" t="s">
        <v>34</v>
      </c>
      <c r="T42" s="7"/>
      <c r="U42" s="7" t="s">
        <v>35</v>
      </c>
      <c r="V42" s="9">
        <v>7000</v>
      </c>
      <c r="W42" s="9">
        <v>3018.4</v>
      </c>
      <c r="X42" s="9">
        <v>2787.4</v>
      </c>
      <c r="Y42" s="7">
        <v>0</v>
      </c>
      <c r="Z42" s="9">
        <v>1194.2</v>
      </c>
    </row>
    <row r="43" spans="1:26" x14ac:dyDescent="0.35">
      <c r="A43" s="7" t="s">
        <v>27</v>
      </c>
      <c r="B43" s="7" t="s">
        <v>28</v>
      </c>
      <c r="C43" s="7" t="s">
        <v>46</v>
      </c>
      <c r="D43" s="7" t="s">
        <v>47</v>
      </c>
      <c r="E43" s="7" t="s">
        <v>39</v>
      </c>
      <c r="F43" s="7" t="s">
        <v>50</v>
      </c>
      <c r="G43" s="7">
        <v>2017</v>
      </c>
      <c r="H43" s="7" t="str">
        <f>CONCATENATE("14270104178")</f>
        <v>14270104178</v>
      </c>
      <c r="I43" s="7" t="s">
        <v>30</v>
      </c>
      <c r="J43" s="7" t="s">
        <v>31</v>
      </c>
      <c r="K43" s="7" t="str">
        <f>CONCATENATE("")</f>
        <v/>
      </c>
      <c r="L43" s="7" t="str">
        <f>CONCATENATE("21 21.1 2a")</f>
        <v>21 21.1 2a</v>
      </c>
      <c r="M43" s="7" t="str">
        <f>CONCATENATE("CRDFRC84P23I156D")</f>
        <v>CRDFRC84P23I156D</v>
      </c>
      <c r="N43" s="7" t="s">
        <v>109</v>
      </c>
      <c r="O43" s="7" t="s">
        <v>49</v>
      </c>
      <c r="P43" s="8">
        <v>44305</v>
      </c>
      <c r="Q43" s="7" t="s">
        <v>32</v>
      </c>
      <c r="R43" s="7" t="s">
        <v>33</v>
      </c>
      <c r="S43" s="7" t="s">
        <v>34</v>
      </c>
      <c r="T43" s="7"/>
      <c r="U43" s="7" t="s">
        <v>35</v>
      </c>
      <c r="V43" s="9">
        <v>1575</v>
      </c>
      <c r="W43" s="7">
        <v>679.14</v>
      </c>
      <c r="X43" s="7">
        <v>627.16999999999996</v>
      </c>
      <c r="Y43" s="7">
        <v>0</v>
      </c>
      <c r="Z43" s="7">
        <v>268.69</v>
      </c>
    </row>
    <row r="44" spans="1:26" x14ac:dyDescent="0.35">
      <c r="A44" s="7" t="s">
        <v>27</v>
      </c>
      <c r="B44" s="7" t="s">
        <v>28</v>
      </c>
      <c r="C44" s="7" t="s">
        <v>46</v>
      </c>
      <c r="D44" s="7" t="s">
        <v>47</v>
      </c>
      <c r="E44" s="7" t="s">
        <v>39</v>
      </c>
      <c r="F44" s="7" t="s">
        <v>50</v>
      </c>
      <c r="G44" s="7">
        <v>2017</v>
      </c>
      <c r="H44" s="7" t="str">
        <f>CONCATENATE("14270104566")</f>
        <v>14270104566</v>
      </c>
      <c r="I44" s="7" t="s">
        <v>30</v>
      </c>
      <c r="J44" s="7" t="s">
        <v>31</v>
      </c>
      <c r="K44" s="7" t="str">
        <f>CONCATENATE("")</f>
        <v/>
      </c>
      <c r="L44" s="7" t="str">
        <f>CONCATENATE("21 21.1 2a")</f>
        <v>21 21.1 2a</v>
      </c>
      <c r="M44" s="7" t="str">
        <f>CONCATENATE("01345980435")</f>
        <v>01345980435</v>
      </c>
      <c r="N44" s="7" t="s">
        <v>110</v>
      </c>
      <c r="O44" s="7" t="s">
        <v>49</v>
      </c>
      <c r="P44" s="8">
        <v>44305</v>
      </c>
      <c r="Q44" s="7" t="s">
        <v>32</v>
      </c>
      <c r="R44" s="7" t="s">
        <v>33</v>
      </c>
      <c r="S44" s="7" t="s">
        <v>34</v>
      </c>
      <c r="T44" s="7"/>
      <c r="U44" s="7" t="s">
        <v>35</v>
      </c>
      <c r="V44" s="9">
        <v>1740</v>
      </c>
      <c r="W44" s="7">
        <v>750.29</v>
      </c>
      <c r="X44" s="7">
        <v>692.87</v>
      </c>
      <c r="Y44" s="7">
        <v>0</v>
      </c>
      <c r="Z44" s="7">
        <v>296.83999999999997</v>
      </c>
    </row>
    <row r="45" spans="1:26" x14ac:dyDescent="0.35">
      <c r="A45" s="7" t="s">
        <v>27</v>
      </c>
      <c r="B45" s="7" t="s">
        <v>28</v>
      </c>
      <c r="C45" s="7" t="s">
        <v>46</v>
      </c>
      <c r="D45" s="7" t="s">
        <v>72</v>
      </c>
      <c r="E45" s="7" t="s">
        <v>39</v>
      </c>
      <c r="F45" s="7" t="s">
        <v>111</v>
      </c>
      <c r="G45" s="7">
        <v>2017</v>
      </c>
      <c r="H45" s="7" t="str">
        <f>CONCATENATE("14270104491")</f>
        <v>14270104491</v>
      </c>
      <c r="I45" s="7" t="s">
        <v>30</v>
      </c>
      <c r="J45" s="7" t="s">
        <v>31</v>
      </c>
      <c r="K45" s="7" t="str">
        <f>CONCATENATE("")</f>
        <v/>
      </c>
      <c r="L45" s="7" t="str">
        <f>CONCATENATE("21 21.1 2a")</f>
        <v>21 21.1 2a</v>
      </c>
      <c r="M45" s="7" t="str">
        <f>CONCATENATE("CRTNRC64P10A271R")</f>
        <v>CRTNRC64P10A271R</v>
      </c>
      <c r="N45" s="7" t="s">
        <v>112</v>
      </c>
      <c r="O45" s="7" t="s">
        <v>49</v>
      </c>
      <c r="P45" s="8">
        <v>44305</v>
      </c>
      <c r="Q45" s="7" t="s">
        <v>32</v>
      </c>
      <c r="R45" s="7" t="s">
        <v>33</v>
      </c>
      <c r="S45" s="7" t="s">
        <v>34</v>
      </c>
      <c r="T45" s="7"/>
      <c r="U45" s="7" t="s">
        <v>35</v>
      </c>
      <c r="V45" s="9">
        <v>1575</v>
      </c>
      <c r="W45" s="7">
        <v>679.14</v>
      </c>
      <c r="X45" s="7">
        <v>627.16999999999996</v>
      </c>
      <c r="Y45" s="7">
        <v>0</v>
      </c>
      <c r="Z45" s="7">
        <v>268.69</v>
      </c>
    </row>
    <row r="46" spans="1:26" x14ac:dyDescent="0.35">
      <c r="A46" s="7" t="s">
        <v>27</v>
      </c>
      <c r="B46" s="7" t="s">
        <v>28</v>
      </c>
      <c r="C46" s="7" t="s">
        <v>46</v>
      </c>
      <c r="D46" s="7" t="s">
        <v>47</v>
      </c>
      <c r="E46" s="7" t="s">
        <v>39</v>
      </c>
      <c r="F46" s="7" t="s">
        <v>86</v>
      </c>
      <c r="G46" s="7">
        <v>2017</v>
      </c>
      <c r="H46" s="7" t="str">
        <f>CONCATENATE("14270104418")</f>
        <v>14270104418</v>
      </c>
      <c r="I46" s="7" t="s">
        <v>30</v>
      </c>
      <c r="J46" s="7" t="s">
        <v>31</v>
      </c>
      <c r="K46" s="7" t="str">
        <f>CONCATENATE("")</f>
        <v/>
      </c>
      <c r="L46" s="7" t="str">
        <f>CONCATENATE("21 21.1 2a")</f>
        <v>21 21.1 2a</v>
      </c>
      <c r="M46" s="7" t="str">
        <f>CONCATENATE("CSTLCN70T09C770P")</f>
        <v>CSTLCN70T09C770P</v>
      </c>
      <c r="N46" s="7" t="s">
        <v>113</v>
      </c>
      <c r="O46" s="7" t="s">
        <v>49</v>
      </c>
      <c r="P46" s="8">
        <v>44305</v>
      </c>
      <c r="Q46" s="7" t="s">
        <v>32</v>
      </c>
      <c r="R46" s="7" t="s">
        <v>33</v>
      </c>
      <c r="S46" s="7" t="s">
        <v>34</v>
      </c>
      <c r="T46" s="7"/>
      <c r="U46" s="7" t="s">
        <v>35</v>
      </c>
      <c r="V46" s="9">
        <v>5250</v>
      </c>
      <c r="W46" s="9">
        <v>2263.8000000000002</v>
      </c>
      <c r="X46" s="9">
        <v>2090.5500000000002</v>
      </c>
      <c r="Y46" s="7">
        <v>0</v>
      </c>
      <c r="Z46" s="7">
        <v>895.65</v>
      </c>
    </row>
    <row r="47" spans="1:26" x14ac:dyDescent="0.35">
      <c r="A47" s="7" t="s">
        <v>27</v>
      </c>
      <c r="B47" s="7" t="s">
        <v>28</v>
      </c>
      <c r="C47" s="7" t="s">
        <v>46</v>
      </c>
      <c r="D47" s="7" t="s">
        <v>47</v>
      </c>
      <c r="E47" s="7" t="s">
        <v>39</v>
      </c>
      <c r="F47" s="7" t="s">
        <v>86</v>
      </c>
      <c r="G47" s="7">
        <v>2017</v>
      </c>
      <c r="H47" s="7" t="str">
        <f>CONCATENATE("14270103782")</f>
        <v>14270103782</v>
      </c>
      <c r="I47" s="7" t="s">
        <v>30</v>
      </c>
      <c r="J47" s="7" t="s">
        <v>31</v>
      </c>
      <c r="K47" s="7" t="str">
        <f>CONCATENATE("")</f>
        <v/>
      </c>
      <c r="L47" s="7" t="str">
        <f>CONCATENATE("21 21.1 2a")</f>
        <v>21 21.1 2a</v>
      </c>
      <c r="M47" s="7" t="str">
        <f>CONCATENATE("CCCMTT82R24L191N")</f>
        <v>CCCMTT82R24L191N</v>
      </c>
      <c r="N47" s="7" t="s">
        <v>114</v>
      </c>
      <c r="O47" s="7" t="s">
        <v>49</v>
      </c>
      <c r="P47" s="8">
        <v>44305</v>
      </c>
      <c r="Q47" s="7" t="s">
        <v>32</v>
      </c>
      <c r="R47" s="7" t="s">
        <v>33</v>
      </c>
      <c r="S47" s="7" t="s">
        <v>34</v>
      </c>
      <c r="T47" s="7"/>
      <c r="U47" s="7" t="s">
        <v>35</v>
      </c>
      <c r="V47" s="9">
        <v>1260</v>
      </c>
      <c r="W47" s="7">
        <v>543.30999999999995</v>
      </c>
      <c r="X47" s="7">
        <v>501.73</v>
      </c>
      <c r="Y47" s="7">
        <v>0</v>
      </c>
      <c r="Z47" s="7">
        <v>214.96</v>
      </c>
    </row>
    <row r="48" spans="1:26" x14ac:dyDescent="0.35">
      <c r="A48" s="7" t="s">
        <v>27</v>
      </c>
      <c r="B48" s="7" t="s">
        <v>28</v>
      </c>
      <c r="C48" s="7" t="s">
        <v>46</v>
      </c>
      <c r="D48" s="7" t="s">
        <v>47</v>
      </c>
      <c r="E48" s="7" t="s">
        <v>39</v>
      </c>
      <c r="F48" s="7" t="s">
        <v>54</v>
      </c>
      <c r="G48" s="7">
        <v>2017</v>
      </c>
      <c r="H48" s="7" t="str">
        <f>CONCATENATE("14270103774")</f>
        <v>14270103774</v>
      </c>
      <c r="I48" s="7" t="s">
        <v>30</v>
      </c>
      <c r="J48" s="7" t="s">
        <v>31</v>
      </c>
      <c r="K48" s="7" t="str">
        <f>CONCATENATE("")</f>
        <v/>
      </c>
      <c r="L48" s="7" t="str">
        <f>CONCATENATE("21 21.1 2a")</f>
        <v>21 21.1 2a</v>
      </c>
      <c r="M48" s="7" t="str">
        <f>CONCATENATE("01283270435")</f>
        <v>01283270435</v>
      </c>
      <c r="N48" s="7" t="s">
        <v>115</v>
      </c>
      <c r="O48" s="7" t="s">
        <v>49</v>
      </c>
      <c r="P48" s="8">
        <v>44305</v>
      </c>
      <c r="Q48" s="7" t="s">
        <v>32</v>
      </c>
      <c r="R48" s="7" t="s">
        <v>33</v>
      </c>
      <c r="S48" s="7" t="s">
        <v>34</v>
      </c>
      <c r="T48" s="7"/>
      <c r="U48" s="7" t="s">
        <v>35</v>
      </c>
      <c r="V48" s="9">
        <v>6300</v>
      </c>
      <c r="W48" s="9">
        <v>2716.56</v>
      </c>
      <c r="X48" s="9">
        <v>2508.66</v>
      </c>
      <c r="Y48" s="7">
        <v>0</v>
      </c>
      <c r="Z48" s="9">
        <v>1074.78</v>
      </c>
    </row>
    <row r="49" spans="1:26" x14ac:dyDescent="0.35">
      <c r="A49" s="7" t="s">
        <v>27</v>
      </c>
      <c r="B49" s="7" t="s">
        <v>38</v>
      </c>
      <c r="C49" s="7" t="s">
        <v>46</v>
      </c>
      <c r="D49" s="7" t="s">
        <v>47</v>
      </c>
      <c r="E49" s="7" t="s">
        <v>44</v>
      </c>
      <c r="F49" s="7" t="s">
        <v>100</v>
      </c>
      <c r="G49" s="7">
        <v>2020</v>
      </c>
      <c r="H49" s="7" t="str">
        <f>CONCATENATE("04240231490")</f>
        <v>04240231490</v>
      </c>
      <c r="I49" s="7" t="s">
        <v>30</v>
      </c>
      <c r="J49" s="7" t="s">
        <v>31</v>
      </c>
      <c r="K49" s="7" t="str">
        <f>CONCATENATE("")</f>
        <v/>
      </c>
      <c r="L49" s="7" t="str">
        <f>CONCATENATE("10 10.1 4a")</f>
        <v>10 10.1 4a</v>
      </c>
      <c r="M49" s="7" t="str">
        <f>CONCATENATE("01944930435")</f>
        <v>01944930435</v>
      </c>
      <c r="N49" s="7" t="s">
        <v>116</v>
      </c>
      <c r="O49" s="7" t="s">
        <v>117</v>
      </c>
      <c r="P49" s="8">
        <v>44305</v>
      </c>
      <c r="Q49" s="7" t="s">
        <v>32</v>
      </c>
      <c r="R49" s="7" t="s">
        <v>33</v>
      </c>
      <c r="S49" s="7" t="s">
        <v>34</v>
      </c>
      <c r="T49" s="7"/>
      <c r="U49" s="7" t="s">
        <v>35</v>
      </c>
      <c r="V49" s="9">
        <v>1226.1199999999999</v>
      </c>
      <c r="W49" s="7">
        <v>528.70000000000005</v>
      </c>
      <c r="X49" s="7">
        <v>488.24</v>
      </c>
      <c r="Y49" s="7">
        <v>0</v>
      </c>
      <c r="Z49" s="7">
        <v>209.18</v>
      </c>
    </row>
    <row r="50" spans="1:26" x14ac:dyDescent="0.35">
      <c r="A50" s="7" t="s">
        <v>27</v>
      </c>
      <c r="B50" s="7" t="s">
        <v>28</v>
      </c>
      <c r="C50" s="7" t="s">
        <v>46</v>
      </c>
      <c r="D50" s="7" t="s">
        <v>47</v>
      </c>
      <c r="E50" s="7" t="s">
        <v>44</v>
      </c>
      <c r="F50" s="7" t="s">
        <v>100</v>
      </c>
      <c r="G50" s="7">
        <v>2017</v>
      </c>
      <c r="H50" s="7" t="str">
        <f>CONCATENATE("14270104210")</f>
        <v>14270104210</v>
      </c>
      <c r="I50" s="7" t="s">
        <v>30</v>
      </c>
      <c r="J50" s="7" t="s">
        <v>31</v>
      </c>
      <c r="K50" s="7" t="str">
        <f>CONCATENATE("")</f>
        <v/>
      </c>
      <c r="L50" s="7" t="str">
        <f>CONCATENATE("21 21.1 2a")</f>
        <v>21 21.1 2a</v>
      </c>
      <c r="M50" s="7" t="str">
        <f>CONCATENATE("NTNPLA66C61F051R")</f>
        <v>NTNPLA66C61F051R</v>
      </c>
      <c r="N50" s="7" t="s">
        <v>118</v>
      </c>
      <c r="O50" s="7" t="s">
        <v>49</v>
      </c>
      <c r="P50" s="8">
        <v>44305</v>
      </c>
      <c r="Q50" s="7" t="s">
        <v>32</v>
      </c>
      <c r="R50" s="7" t="s">
        <v>33</v>
      </c>
      <c r="S50" s="7" t="s">
        <v>34</v>
      </c>
      <c r="T50" s="7"/>
      <c r="U50" s="7" t="s">
        <v>35</v>
      </c>
      <c r="V50" s="9">
        <v>1260</v>
      </c>
      <c r="W50" s="7">
        <v>543.30999999999995</v>
      </c>
      <c r="X50" s="7">
        <v>501.73</v>
      </c>
      <c r="Y50" s="7">
        <v>0</v>
      </c>
      <c r="Z50" s="7">
        <v>214.96</v>
      </c>
    </row>
    <row r="51" spans="1:26" x14ac:dyDescent="0.35">
      <c r="A51" s="7" t="s">
        <v>27</v>
      </c>
      <c r="B51" s="7" t="s">
        <v>28</v>
      </c>
      <c r="C51" s="7" t="s">
        <v>46</v>
      </c>
      <c r="D51" s="7" t="s">
        <v>47</v>
      </c>
      <c r="E51" s="7" t="s">
        <v>39</v>
      </c>
      <c r="F51" s="7" t="s">
        <v>50</v>
      </c>
      <c r="G51" s="7">
        <v>2017</v>
      </c>
      <c r="H51" s="7" t="str">
        <f>CONCATENATE("14270104236")</f>
        <v>14270104236</v>
      </c>
      <c r="I51" s="7" t="s">
        <v>30</v>
      </c>
      <c r="J51" s="7" t="s">
        <v>31</v>
      </c>
      <c r="K51" s="7" t="str">
        <f>CONCATENATE("")</f>
        <v/>
      </c>
      <c r="L51" s="7" t="str">
        <f>CONCATENATE("21 21.1 2a")</f>
        <v>21 21.1 2a</v>
      </c>
      <c r="M51" s="7" t="str">
        <f>CONCATENATE("CRSPQL70B12F051W")</f>
        <v>CRSPQL70B12F051W</v>
      </c>
      <c r="N51" s="7" t="s">
        <v>119</v>
      </c>
      <c r="O51" s="7" t="s">
        <v>49</v>
      </c>
      <c r="P51" s="8">
        <v>44305</v>
      </c>
      <c r="Q51" s="7" t="s">
        <v>32</v>
      </c>
      <c r="R51" s="7" t="s">
        <v>33</v>
      </c>
      <c r="S51" s="7" t="s">
        <v>34</v>
      </c>
      <c r="T51" s="7"/>
      <c r="U51" s="7" t="s">
        <v>35</v>
      </c>
      <c r="V51" s="9">
        <v>1260</v>
      </c>
      <c r="W51" s="7">
        <v>543.30999999999995</v>
      </c>
      <c r="X51" s="7">
        <v>501.73</v>
      </c>
      <c r="Y51" s="7">
        <v>0</v>
      </c>
      <c r="Z51" s="7">
        <v>214.96</v>
      </c>
    </row>
    <row r="52" spans="1:26" x14ac:dyDescent="0.35">
      <c r="A52" s="7" t="s">
        <v>27</v>
      </c>
      <c r="B52" s="7" t="s">
        <v>28</v>
      </c>
      <c r="C52" s="7" t="s">
        <v>46</v>
      </c>
      <c r="D52" s="7" t="s">
        <v>47</v>
      </c>
      <c r="E52" s="7" t="s">
        <v>36</v>
      </c>
      <c r="F52" s="7" t="s">
        <v>36</v>
      </c>
      <c r="G52" s="7">
        <v>2017</v>
      </c>
      <c r="H52" s="7" t="str">
        <f>CONCATENATE("14270104251")</f>
        <v>14270104251</v>
      </c>
      <c r="I52" s="7" t="s">
        <v>30</v>
      </c>
      <c r="J52" s="7" t="s">
        <v>31</v>
      </c>
      <c r="K52" s="7" t="str">
        <f>CONCATENATE("")</f>
        <v/>
      </c>
      <c r="L52" s="7" t="str">
        <f>CONCATENATE("21 21.1 2a")</f>
        <v>21 21.1 2a</v>
      </c>
      <c r="M52" s="7" t="str">
        <f>CONCATENATE("CSTCST71H50E783R")</f>
        <v>CSTCST71H50E783R</v>
      </c>
      <c r="N52" s="7" t="s">
        <v>120</v>
      </c>
      <c r="O52" s="7" t="s">
        <v>49</v>
      </c>
      <c r="P52" s="8">
        <v>44305</v>
      </c>
      <c r="Q52" s="7" t="s">
        <v>32</v>
      </c>
      <c r="R52" s="7" t="s">
        <v>33</v>
      </c>
      <c r="S52" s="7" t="s">
        <v>34</v>
      </c>
      <c r="T52" s="7"/>
      <c r="U52" s="7" t="s">
        <v>35</v>
      </c>
      <c r="V52" s="9">
        <v>3150</v>
      </c>
      <c r="W52" s="9">
        <v>1358.28</v>
      </c>
      <c r="X52" s="9">
        <v>1254.33</v>
      </c>
      <c r="Y52" s="7">
        <v>0</v>
      </c>
      <c r="Z52" s="7">
        <v>537.39</v>
      </c>
    </row>
    <row r="53" spans="1:26" x14ac:dyDescent="0.35">
      <c r="A53" s="7" t="s">
        <v>27</v>
      </c>
      <c r="B53" s="7" t="s">
        <v>28</v>
      </c>
      <c r="C53" s="7" t="s">
        <v>46</v>
      </c>
      <c r="D53" s="7" t="s">
        <v>47</v>
      </c>
      <c r="E53" s="7" t="s">
        <v>39</v>
      </c>
      <c r="F53" s="7" t="s">
        <v>61</v>
      </c>
      <c r="G53" s="7">
        <v>2017</v>
      </c>
      <c r="H53" s="7" t="str">
        <f>CONCATENATE("14270104350")</f>
        <v>14270104350</v>
      </c>
      <c r="I53" s="7" t="s">
        <v>30</v>
      </c>
      <c r="J53" s="7" t="s">
        <v>31</v>
      </c>
      <c r="K53" s="7" t="str">
        <f>CONCATENATE("")</f>
        <v/>
      </c>
      <c r="L53" s="7" t="str">
        <f>CONCATENATE("21 21.1 2a")</f>
        <v>21 21.1 2a</v>
      </c>
      <c r="M53" s="7" t="str">
        <f>CONCATENATE("CSRFTN46C01F509S")</f>
        <v>CSRFTN46C01F509S</v>
      </c>
      <c r="N53" s="7" t="s">
        <v>121</v>
      </c>
      <c r="O53" s="7" t="s">
        <v>49</v>
      </c>
      <c r="P53" s="8">
        <v>44305</v>
      </c>
      <c r="Q53" s="7" t="s">
        <v>32</v>
      </c>
      <c r="R53" s="7" t="s">
        <v>33</v>
      </c>
      <c r="S53" s="7" t="s">
        <v>34</v>
      </c>
      <c r="T53" s="7"/>
      <c r="U53" s="7" t="s">
        <v>35</v>
      </c>
      <c r="V53" s="9">
        <v>2625</v>
      </c>
      <c r="W53" s="9">
        <v>1131.9000000000001</v>
      </c>
      <c r="X53" s="9">
        <v>1045.28</v>
      </c>
      <c r="Y53" s="7">
        <v>0</v>
      </c>
      <c r="Z53" s="7">
        <v>447.82</v>
      </c>
    </row>
    <row r="54" spans="1:26" ht="17.5" x14ac:dyDescent="0.35">
      <c r="A54" s="7" t="s">
        <v>27</v>
      </c>
      <c r="B54" s="7" t="s">
        <v>28</v>
      </c>
      <c r="C54" s="7" t="s">
        <v>46</v>
      </c>
      <c r="D54" s="7" t="s">
        <v>47</v>
      </c>
      <c r="E54" s="7" t="s">
        <v>41</v>
      </c>
      <c r="F54" s="7" t="s">
        <v>58</v>
      </c>
      <c r="G54" s="7">
        <v>2017</v>
      </c>
      <c r="H54" s="7" t="str">
        <f>CONCATENATE("14270104442")</f>
        <v>14270104442</v>
      </c>
      <c r="I54" s="7" t="s">
        <v>30</v>
      </c>
      <c r="J54" s="7" t="s">
        <v>31</v>
      </c>
      <c r="K54" s="7" t="str">
        <f>CONCATENATE("")</f>
        <v/>
      </c>
      <c r="L54" s="7" t="str">
        <f>CONCATENATE("21 21.1 2a")</f>
        <v>21 21.1 2a</v>
      </c>
      <c r="M54" s="7" t="str">
        <f>CONCATENATE("CNSMRC69A12C770G")</f>
        <v>CNSMRC69A12C770G</v>
      </c>
      <c r="N54" s="7" t="s">
        <v>122</v>
      </c>
      <c r="O54" s="7" t="s">
        <v>49</v>
      </c>
      <c r="P54" s="8">
        <v>44305</v>
      </c>
      <c r="Q54" s="7" t="s">
        <v>32</v>
      </c>
      <c r="R54" s="7" t="s">
        <v>33</v>
      </c>
      <c r="S54" s="7" t="s">
        <v>34</v>
      </c>
      <c r="T54" s="7"/>
      <c r="U54" s="7" t="s">
        <v>35</v>
      </c>
      <c r="V54" s="9">
        <v>5325</v>
      </c>
      <c r="W54" s="9">
        <v>2296.14</v>
      </c>
      <c r="X54" s="9">
        <v>2120.42</v>
      </c>
      <c r="Y54" s="7">
        <v>0</v>
      </c>
      <c r="Z54" s="7">
        <v>908.44</v>
      </c>
    </row>
    <row r="55" spans="1:26" x14ac:dyDescent="0.35">
      <c r="A55" s="7" t="s">
        <v>27</v>
      </c>
      <c r="B55" s="7" t="s">
        <v>38</v>
      </c>
      <c r="C55" s="7" t="s">
        <v>46</v>
      </c>
      <c r="D55" s="7" t="s">
        <v>52</v>
      </c>
      <c r="E55" s="7" t="s">
        <v>42</v>
      </c>
      <c r="F55" s="7" t="s">
        <v>123</v>
      </c>
      <c r="G55" s="7">
        <v>2020</v>
      </c>
      <c r="H55" s="7" t="str">
        <f>CONCATENATE("04240842957")</f>
        <v>04240842957</v>
      </c>
      <c r="I55" s="7" t="s">
        <v>30</v>
      </c>
      <c r="J55" s="7" t="s">
        <v>31</v>
      </c>
      <c r="K55" s="7" t="str">
        <f>CONCATENATE("")</f>
        <v/>
      </c>
      <c r="L55" s="7" t="str">
        <f>CONCATENATE("10 10.1 4a")</f>
        <v>10 10.1 4a</v>
      </c>
      <c r="M55" s="7" t="str">
        <f>CONCATENATE("02585740414")</f>
        <v>02585740414</v>
      </c>
      <c r="N55" s="7" t="s">
        <v>53</v>
      </c>
      <c r="O55" s="7" t="s">
        <v>117</v>
      </c>
      <c r="P55" s="8">
        <v>44305</v>
      </c>
      <c r="Q55" s="7" t="s">
        <v>32</v>
      </c>
      <c r="R55" s="7" t="s">
        <v>33</v>
      </c>
      <c r="S55" s="7" t="s">
        <v>34</v>
      </c>
      <c r="T55" s="7"/>
      <c r="U55" s="7" t="s">
        <v>35</v>
      </c>
      <c r="V55" s="9">
        <v>2431.0100000000002</v>
      </c>
      <c r="W55" s="9">
        <v>1048.25</v>
      </c>
      <c r="X55" s="7">
        <v>968.03</v>
      </c>
      <c r="Y55" s="7">
        <v>0</v>
      </c>
      <c r="Z55" s="7">
        <v>414.73</v>
      </c>
    </row>
    <row r="56" spans="1:26" ht="17.5" x14ac:dyDescent="0.35">
      <c r="A56" s="7" t="s">
        <v>27</v>
      </c>
      <c r="B56" s="7" t="s">
        <v>38</v>
      </c>
      <c r="C56" s="7" t="s">
        <v>46</v>
      </c>
      <c r="D56" s="7" t="s">
        <v>47</v>
      </c>
      <c r="E56" s="7" t="s">
        <v>39</v>
      </c>
      <c r="F56" s="7" t="s">
        <v>50</v>
      </c>
      <c r="G56" s="7">
        <v>2020</v>
      </c>
      <c r="H56" s="7" t="str">
        <f>CONCATENATE("04240191272")</f>
        <v>04240191272</v>
      </c>
      <c r="I56" s="7" t="s">
        <v>30</v>
      </c>
      <c r="J56" s="7" t="s">
        <v>31</v>
      </c>
      <c r="K56" s="7" t="str">
        <f>CONCATENATE("")</f>
        <v/>
      </c>
      <c r="L56" s="7" t="str">
        <f>CONCATENATE("10 10.1 4a")</f>
        <v>10 10.1 4a</v>
      </c>
      <c r="M56" s="7" t="str">
        <f>CONCATENATE("MCALSN96H01B474X")</f>
        <v>MCALSN96H01B474X</v>
      </c>
      <c r="N56" s="7" t="s">
        <v>124</v>
      </c>
      <c r="O56" s="7" t="s">
        <v>117</v>
      </c>
      <c r="P56" s="8">
        <v>44305</v>
      </c>
      <c r="Q56" s="7" t="s">
        <v>32</v>
      </c>
      <c r="R56" s="7" t="s">
        <v>33</v>
      </c>
      <c r="S56" s="7" t="s">
        <v>34</v>
      </c>
      <c r="T56" s="7"/>
      <c r="U56" s="7" t="s">
        <v>35</v>
      </c>
      <c r="V56" s="9">
        <v>14149.12</v>
      </c>
      <c r="W56" s="9">
        <v>6101.1</v>
      </c>
      <c r="X56" s="9">
        <v>5634.18</v>
      </c>
      <c r="Y56" s="7">
        <v>0</v>
      </c>
      <c r="Z56" s="9">
        <v>2413.84</v>
      </c>
    </row>
    <row r="57" spans="1:26" x14ac:dyDescent="0.35">
      <c r="A57" s="7" t="s">
        <v>27</v>
      </c>
      <c r="B57" s="7" t="s">
        <v>38</v>
      </c>
      <c r="C57" s="7" t="s">
        <v>46</v>
      </c>
      <c r="D57" s="7" t="s">
        <v>47</v>
      </c>
      <c r="E57" s="7" t="s">
        <v>39</v>
      </c>
      <c r="F57" s="7" t="s">
        <v>50</v>
      </c>
      <c r="G57" s="7">
        <v>2020</v>
      </c>
      <c r="H57" s="7" t="str">
        <f>CONCATENATE("04240952814")</f>
        <v>04240952814</v>
      </c>
      <c r="I57" s="7" t="s">
        <v>30</v>
      </c>
      <c r="J57" s="7" t="s">
        <v>31</v>
      </c>
      <c r="K57" s="7" t="str">
        <f>CONCATENATE("")</f>
        <v/>
      </c>
      <c r="L57" s="7" t="str">
        <f>CONCATENATE("10 10.1 4a")</f>
        <v>10 10.1 4a</v>
      </c>
      <c r="M57" s="7" t="str">
        <f>CONCATENATE("01988740435")</f>
        <v>01988740435</v>
      </c>
      <c r="N57" s="7" t="s">
        <v>125</v>
      </c>
      <c r="O57" s="7" t="s">
        <v>117</v>
      </c>
      <c r="P57" s="8">
        <v>44305</v>
      </c>
      <c r="Q57" s="7" t="s">
        <v>32</v>
      </c>
      <c r="R57" s="7" t="s">
        <v>33</v>
      </c>
      <c r="S57" s="7" t="s">
        <v>34</v>
      </c>
      <c r="T57" s="7"/>
      <c r="U57" s="7" t="s">
        <v>35</v>
      </c>
      <c r="V57" s="9">
        <v>12792.72</v>
      </c>
      <c r="W57" s="9">
        <v>5516.22</v>
      </c>
      <c r="X57" s="9">
        <v>5094.0600000000004</v>
      </c>
      <c r="Y57" s="7">
        <v>0</v>
      </c>
      <c r="Z57" s="9">
        <v>2182.44</v>
      </c>
    </row>
    <row r="58" spans="1:26" x14ac:dyDescent="0.35">
      <c r="A58" s="7" t="s">
        <v>27</v>
      </c>
      <c r="B58" s="7" t="s">
        <v>28</v>
      </c>
      <c r="C58" s="7" t="s">
        <v>46</v>
      </c>
      <c r="D58" s="7" t="s">
        <v>47</v>
      </c>
      <c r="E58" s="7" t="s">
        <v>39</v>
      </c>
      <c r="F58" s="7" t="s">
        <v>50</v>
      </c>
      <c r="G58" s="7">
        <v>2017</v>
      </c>
      <c r="H58" s="7" t="str">
        <f>CONCATENATE("14270104137")</f>
        <v>14270104137</v>
      </c>
      <c r="I58" s="7" t="s">
        <v>30</v>
      </c>
      <c r="J58" s="7" t="s">
        <v>31</v>
      </c>
      <c r="K58" s="7" t="str">
        <f>CONCATENATE("")</f>
        <v/>
      </c>
      <c r="L58" s="7" t="str">
        <f>CONCATENATE("21 21.1 2a")</f>
        <v>21 21.1 2a</v>
      </c>
      <c r="M58" s="7" t="str">
        <f>CONCATENATE("01988740435")</f>
        <v>01988740435</v>
      </c>
      <c r="N58" s="7" t="s">
        <v>125</v>
      </c>
      <c r="O58" s="7" t="s">
        <v>49</v>
      </c>
      <c r="P58" s="8">
        <v>44305</v>
      </c>
      <c r="Q58" s="7" t="s">
        <v>32</v>
      </c>
      <c r="R58" s="7" t="s">
        <v>33</v>
      </c>
      <c r="S58" s="7" t="s">
        <v>34</v>
      </c>
      <c r="T58" s="7"/>
      <c r="U58" s="7" t="s">
        <v>35</v>
      </c>
      <c r="V58" s="9">
        <v>5475</v>
      </c>
      <c r="W58" s="9">
        <v>2360.8200000000002</v>
      </c>
      <c r="X58" s="9">
        <v>2180.15</v>
      </c>
      <c r="Y58" s="7">
        <v>0</v>
      </c>
      <c r="Z58" s="7">
        <v>934.03</v>
      </c>
    </row>
    <row r="59" spans="1:26" x14ac:dyDescent="0.35">
      <c r="A59" s="7" t="s">
        <v>27</v>
      </c>
      <c r="B59" s="7" t="s">
        <v>38</v>
      </c>
      <c r="C59" s="7" t="s">
        <v>46</v>
      </c>
      <c r="D59" s="7" t="s">
        <v>47</v>
      </c>
      <c r="E59" s="7" t="s">
        <v>39</v>
      </c>
      <c r="F59" s="7" t="s">
        <v>50</v>
      </c>
      <c r="G59" s="7">
        <v>2020</v>
      </c>
      <c r="H59" s="7" t="str">
        <f>CONCATENATE("04240196958")</f>
        <v>04240196958</v>
      </c>
      <c r="I59" s="7" t="s">
        <v>30</v>
      </c>
      <c r="J59" s="7" t="s">
        <v>31</v>
      </c>
      <c r="K59" s="7" t="str">
        <f>CONCATENATE("")</f>
        <v/>
      </c>
      <c r="L59" s="7" t="str">
        <f>CONCATENATE("10 10.1 4a")</f>
        <v>10 10.1 4a</v>
      </c>
      <c r="M59" s="7" t="str">
        <f>CONCATENATE("SBRLBR49L31B474W")</f>
        <v>SBRLBR49L31B474W</v>
      </c>
      <c r="N59" s="7" t="s">
        <v>126</v>
      </c>
      <c r="O59" s="7" t="s">
        <v>117</v>
      </c>
      <c r="P59" s="8">
        <v>44305</v>
      </c>
      <c r="Q59" s="7" t="s">
        <v>32</v>
      </c>
      <c r="R59" s="7" t="s">
        <v>33</v>
      </c>
      <c r="S59" s="7" t="s">
        <v>34</v>
      </c>
      <c r="T59" s="7"/>
      <c r="U59" s="7" t="s">
        <v>35</v>
      </c>
      <c r="V59" s="9">
        <v>2378.86</v>
      </c>
      <c r="W59" s="9">
        <v>1025.76</v>
      </c>
      <c r="X59" s="7">
        <v>947.26</v>
      </c>
      <c r="Y59" s="7">
        <v>0</v>
      </c>
      <c r="Z59" s="7">
        <v>405.84</v>
      </c>
    </row>
    <row r="60" spans="1:26" x14ac:dyDescent="0.35">
      <c r="A60" s="7" t="s">
        <v>27</v>
      </c>
      <c r="B60" s="7" t="s">
        <v>28</v>
      </c>
      <c r="C60" s="7" t="s">
        <v>46</v>
      </c>
      <c r="D60" s="7" t="s">
        <v>47</v>
      </c>
      <c r="E60" s="7" t="s">
        <v>39</v>
      </c>
      <c r="F60" s="7" t="s">
        <v>61</v>
      </c>
      <c r="G60" s="7">
        <v>2017</v>
      </c>
      <c r="H60" s="7" t="str">
        <f>CONCATENATE("14270104160")</f>
        <v>14270104160</v>
      </c>
      <c r="I60" s="7" t="s">
        <v>30</v>
      </c>
      <c r="J60" s="7" t="s">
        <v>31</v>
      </c>
      <c r="K60" s="7" t="str">
        <f>CONCATENATE("")</f>
        <v/>
      </c>
      <c r="L60" s="7" t="str">
        <f>CONCATENATE("21 21.1 2a")</f>
        <v>21 21.1 2a</v>
      </c>
      <c r="M60" s="7" t="str">
        <f>CONCATENATE("FRTSRN65L70H501F")</f>
        <v>FRTSRN65L70H501F</v>
      </c>
      <c r="N60" s="7" t="s">
        <v>127</v>
      </c>
      <c r="O60" s="7" t="s">
        <v>49</v>
      </c>
      <c r="P60" s="8">
        <v>44305</v>
      </c>
      <c r="Q60" s="7" t="s">
        <v>32</v>
      </c>
      <c r="R60" s="7" t="s">
        <v>33</v>
      </c>
      <c r="S60" s="7" t="s">
        <v>34</v>
      </c>
      <c r="T60" s="7"/>
      <c r="U60" s="7" t="s">
        <v>35</v>
      </c>
      <c r="V60" s="9">
        <v>1260</v>
      </c>
      <c r="W60" s="7">
        <v>543.30999999999995</v>
      </c>
      <c r="X60" s="7">
        <v>501.73</v>
      </c>
      <c r="Y60" s="7">
        <v>0</v>
      </c>
      <c r="Z60" s="7">
        <v>214.96</v>
      </c>
    </row>
    <row r="61" spans="1:26" ht="17.5" x14ac:dyDescent="0.35">
      <c r="A61" s="7" t="s">
        <v>27</v>
      </c>
      <c r="B61" s="7" t="s">
        <v>28</v>
      </c>
      <c r="C61" s="7" t="s">
        <v>46</v>
      </c>
      <c r="D61" s="7" t="s">
        <v>72</v>
      </c>
      <c r="E61" s="7" t="s">
        <v>39</v>
      </c>
      <c r="F61" s="7" t="s">
        <v>128</v>
      </c>
      <c r="G61" s="7">
        <v>2017</v>
      </c>
      <c r="H61" s="7" t="str">
        <f>CONCATENATE("14270103758")</f>
        <v>14270103758</v>
      </c>
      <c r="I61" s="7" t="s">
        <v>30</v>
      </c>
      <c r="J61" s="7" t="s">
        <v>31</v>
      </c>
      <c r="K61" s="7" t="str">
        <f>CONCATENATE("")</f>
        <v/>
      </c>
      <c r="L61" s="7" t="str">
        <f>CONCATENATE("21 21.1 2a")</f>
        <v>21 21.1 2a</v>
      </c>
      <c r="M61" s="7" t="str">
        <f>CONCATENATE("MCCGBR57R07D007K")</f>
        <v>MCCGBR57R07D007K</v>
      </c>
      <c r="N61" s="7" t="s">
        <v>129</v>
      </c>
      <c r="O61" s="7" t="s">
        <v>49</v>
      </c>
      <c r="P61" s="8">
        <v>44305</v>
      </c>
      <c r="Q61" s="7" t="s">
        <v>32</v>
      </c>
      <c r="R61" s="7" t="s">
        <v>33</v>
      </c>
      <c r="S61" s="7" t="s">
        <v>34</v>
      </c>
      <c r="T61" s="7"/>
      <c r="U61" s="7" t="s">
        <v>35</v>
      </c>
      <c r="V61" s="9">
        <v>4200</v>
      </c>
      <c r="W61" s="9">
        <v>1811.04</v>
      </c>
      <c r="X61" s="9">
        <v>1672.44</v>
      </c>
      <c r="Y61" s="7">
        <v>0</v>
      </c>
      <c r="Z61" s="7">
        <v>716.52</v>
      </c>
    </row>
    <row r="62" spans="1:26" ht="17.5" x14ac:dyDescent="0.35">
      <c r="A62" s="7" t="s">
        <v>27</v>
      </c>
      <c r="B62" s="7" t="s">
        <v>28</v>
      </c>
      <c r="C62" s="7" t="s">
        <v>46</v>
      </c>
      <c r="D62" s="7" t="s">
        <v>47</v>
      </c>
      <c r="E62" s="7" t="s">
        <v>39</v>
      </c>
      <c r="F62" s="7" t="s">
        <v>61</v>
      </c>
      <c r="G62" s="7">
        <v>2017</v>
      </c>
      <c r="H62" s="7" t="str">
        <f>CONCATENATE("14270104590")</f>
        <v>14270104590</v>
      </c>
      <c r="I62" s="7" t="s">
        <v>30</v>
      </c>
      <c r="J62" s="7" t="s">
        <v>31</v>
      </c>
      <c r="K62" s="7" t="str">
        <f>CONCATENATE("")</f>
        <v/>
      </c>
      <c r="L62" s="7" t="str">
        <f>CONCATENATE("21 21.1 2a")</f>
        <v>21 21.1 2a</v>
      </c>
      <c r="M62" s="7" t="str">
        <f>CONCATENATE("MRTSFN69L58D542O")</f>
        <v>MRTSFN69L58D542O</v>
      </c>
      <c r="N62" s="7" t="s">
        <v>130</v>
      </c>
      <c r="O62" s="7" t="s">
        <v>49</v>
      </c>
      <c r="P62" s="8">
        <v>44305</v>
      </c>
      <c r="Q62" s="7" t="s">
        <v>32</v>
      </c>
      <c r="R62" s="7" t="s">
        <v>33</v>
      </c>
      <c r="S62" s="7" t="s">
        <v>34</v>
      </c>
      <c r="T62" s="7"/>
      <c r="U62" s="7" t="s">
        <v>35</v>
      </c>
      <c r="V62" s="9">
        <v>2520</v>
      </c>
      <c r="W62" s="9">
        <v>1086.6199999999999</v>
      </c>
      <c r="X62" s="9">
        <v>1003.46</v>
      </c>
      <c r="Y62" s="7">
        <v>0</v>
      </c>
      <c r="Z62" s="7">
        <v>429.92</v>
      </c>
    </row>
    <row r="63" spans="1:26" ht="17.5" x14ac:dyDescent="0.35">
      <c r="A63" s="7" t="s">
        <v>27</v>
      </c>
      <c r="B63" s="7" t="s">
        <v>28</v>
      </c>
      <c r="C63" s="7" t="s">
        <v>46</v>
      </c>
      <c r="D63" s="7" t="s">
        <v>72</v>
      </c>
      <c r="E63" s="7" t="s">
        <v>39</v>
      </c>
      <c r="F63" s="7" t="s">
        <v>73</v>
      </c>
      <c r="G63" s="7">
        <v>2017</v>
      </c>
      <c r="H63" s="7" t="str">
        <f>CONCATENATE("14270108534")</f>
        <v>14270108534</v>
      </c>
      <c r="I63" s="7" t="s">
        <v>30</v>
      </c>
      <c r="J63" s="7" t="s">
        <v>31</v>
      </c>
      <c r="K63" s="7" t="str">
        <f>CONCATENATE("")</f>
        <v/>
      </c>
      <c r="L63" s="7" t="str">
        <f>CONCATENATE("21 21.1 2a")</f>
        <v>21 21.1 2a</v>
      </c>
      <c r="M63" s="7" t="str">
        <f>CONCATENATE("PTOMSM79H14D451J")</f>
        <v>PTOMSM79H14D451J</v>
      </c>
      <c r="N63" s="7" t="s">
        <v>131</v>
      </c>
      <c r="O63" s="7" t="s">
        <v>49</v>
      </c>
      <c r="P63" s="8">
        <v>44305</v>
      </c>
      <c r="Q63" s="7" t="s">
        <v>32</v>
      </c>
      <c r="R63" s="7" t="s">
        <v>33</v>
      </c>
      <c r="S63" s="7" t="s">
        <v>34</v>
      </c>
      <c r="T63" s="7"/>
      <c r="U63" s="7" t="s">
        <v>35</v>
      </c>
      <c r="V63" s="9">
        <v>2100</v>
      </c>
      <c r="W63" s="7">
        <v>905.52</v>
      </c>
      <c r="X63" s="7">
        <v>836.22</v>
      </c>
      <c r="Y63" s="7">
        <v>0</v>
      </c>
      <c r="Z63" s="7">
        <v>358.26</v>
      </c>
    </row>
    <row r="64" spans="1:26" x14ac:dyDescent="0.35">
      <c r="A64" s="7" t="s">
        <v>27</v>
      </c>
      <c r="B64" s="7" t="s">
        <v>28</v>
      </c>
      <c r="C64" s="7" t="s">
        <v>46</v>
      </c>
      <c r="D64" s="7" t="s">
        <v>47</v>
      </c>
      <c r="E64" s="7" t="s">
        <v>41</v>
      </c>
      <c r="F64" s="7" t="s">
        <v>58</v>
      </c>
      <c r="G64" s="7">
        <v>2017</v>
      </c>
      <c r="H64" s="7" t="str">
        <f>CONCATENATE("14270104475")</f>
        <v>14270104475</v>
      </c>
      <c r="I64" s="7" t="s">
        <v>30</v>
      </c>
      <c r="J64" s="7" t="s">
        <v>31</v>
      </c>
      <c r="K64" s="7" t="str">
        <f>CONCATENATE("")</f>
        <v/>
      </c>
      <c r="L64" s="7" t="str">
        <f>CONCATENATE("21 21.1 2a")</f>
        <v>21 21.1 2a</v>
      </c>
      <c r="M64" s="7" t="str">
        <f>CONCATENATE("RSSMRZ74T09E388V")</f>
        <v>RSSMRZ74T09E388V</v>
      </c>
      <c r="N64" s="7" t="s">
        <v>132</v>
      </c>
      <c r="O64" s="7" t="s">
        <v>49</v>
      </c>
      <c r="P64" s="8">
        <v>44305</v>
      </c>
      <c r="Q64" s="7" t="s">
        <v>32</v>
      </c>
      <c r="R64" s="7" t="s">
        <v>33</v>
      </c>
      <c r="S64" s="7" t="s">
        <v>34</v>
      </c>
      <c r="T64" s="7"/>
      <c r="U64" s="7" t="s">
        <v>35</v>
      </c>
      <c r="V64" s="9">
        <v>2100</v>
      </c>
      <c r="W64" s="7">
        <v>905.52</v>
      </c>
      <c r="X64" s="7">
        <v>836.22</v>
      </c>
      <c r="Y64" s="7">
        <v>0</v>
      </c>
      <c r="Z64" s="7">
        <v>358.26</v>
      </c>
    </row>
    <row r="65" spans="1:26" ht="17.5" x14ac:dyDescent="0.35">
      <c r="A65" s="7" t="s">
        <v>27</v>
      </c>
      <c r="B65" s="7" t="s">
        <v>28</v>
      </c>
      <c r="C65" s="7" t="s">
        <v>46</v>
      </c>
      <c r="D65" s="7" t="s">
        <v>47</v>
      </c>
      <c r="E65" s="7" t="s">
        <v>133</v>
      </c>
      <c r="F65" s="7" t="s">
        <v>134</v>
      </c>
      <c r="G65" s="7">
        <v>2017</v>
      </c>
      <c r="H65" s="7" t="str">
        <f>CONCATENATE("14270104525")</f>
        <v>14270104525</v>
      </c>
      <c r="I65" s="7" t="s">
        <v>30</v>
      </c>
      <c r="J65" s="7" t="s">
        <v>31</v>
      </c>
      <c r="K65" s="7" t="str">
        <f>CONCATENATE("")</f>
        <v/>
      </c>
      <c r="L65" s="7" t="str">
        <f>CONCATENATE("21 21.1 2a")</f>
        <v>21 21.1 2a</v>
      </c>
      <c r="M65" s="7" t="str">
        <f>CONCATENATE("SBBMRZ58R08M078P")</f>
        <v>SBBMRZ58R08M078P</v>
      </c>
      <c r="N65" s="7" t="s">
        <v>135</v>
      </c>
      <c r="O65" s="7" t="s">
        <v>49</v>
      </c>
      <c r="P65" s="8">
        <v>44305</v>
      </c>
      <c r="Q65" s="7" t="s">
        <v>32</v>
      </c>
      <c r="R65" s="7" t="s">
        <v>33</v>
      </c>
      <c r="S65" s="7" t="s">
        <v>34</v>
      </c>
      <c r="T65" s="7"/>
      <c r="U65" s="7" t="s">
        <v>35</v>
      </c>
      <c r="V65" s="9">
        <v>3465</v>
      </c>
      <c r="W65" s="9">
        <v>1494.11</v>
      </c>
      <c r="X65" s="9">
        <v>1379.76</v>
      </c>
      <c r="Y65" s="7">
        <v>0</v>
      </c>
      <c r="Z65" s="7">
        <v>591.13</v>
      </c>
    </row>
    <row r="66" spans="1:26" x14ac:dyDescent="0.35">
      <c r="A66" s="7" t="s">
        <v>27</v>
      </c>
      <c r="B66" s="7" t="s">
        <v>28</v>
      </c>
      <c r="C66" s="7" t="s">
        <v>46</v>
      </c>
      <c r="D66" s="7" t="s">
        <v>47</v>
      </c>
      <c r="E66" s="7" t="s">
        <v>36</v>
      </c>
      <c r="F66" s="7" t="s">
        <v>36</v>
      </c>
      <c r="G66" s="7">
        <v>2017</v>
      </c>
      <c r="H66" s="7" t="str">
        <f>CONCATENATE("14270104301")</f>
        <v>14270104301</v>
      </c>
      <c r="I66" s="7" t="s">
        <v>30</v>
      </c>
      <c r="J66" s="7" t="s">
        <v>31</v>
      </c>
      <c r="K66" s="7" t="str">
        <f>CONCATENATE("")</f>
        <v/>
      </c>
      <c r="L66" s="7" t="str">
        <f>CONCATENATE("21 21.1 2a")</f>
        <v>21 21.1 2a</v>
      </c>
      <c r="M66" s="7" t="str">
        <f>CONCATENATE("01916370438")</f>
        <v>01916370438</v>
      </c>
      <c r="N66" s="7" t="s">
        <v>136</v>
      </c>
      <c r="O66" s="7" t="s">
        <v>49</v>
      </c>
      <c r="P66" s="8">
        <v>44305</v>
      </c>
      <c r="Q66" s="7" t="s">
        <v>32</v>
      </c>
      <c r="R66" s="7" t="s">
        <v>33</v>
      </c>
      <c r="S66" s="7" t="s">
        <v>34</v>
      </c>
      <c r="T66" s="7"/>
      <c r="U66" s="7" t="s">
        <v>35</v>
      </c>
      <c r="V66" s="9">
        <v>5670</v>
      </c>
      <c r="W66" s="9">
        <v>2444.9</v>
      </c>
      <c r="X66" s="9">
        <v>2257.79</v>
      </c>
      <c r="Y66" s="7">
        <v>0</v>
      </c>
      <c r="Z66" s="7">
        <v>967.31</v>
      </c>
    </row>
    <row r="67" spans="1:26" ht="17.5" x14ac:dyDescent="0.35">
      <c r="A67" s="7" t="s">
        <v>27</v>
      </c>
      <c r="B67" s="7" t="s">
        <v>28</v>
      </c>
      <c r="C67" s="7" t="s">
        <v>46</v>
      </c>
      <c r="D67" s="7" t="s">
        <v>47</v>
      </c>
      <c r="E67" s="7" t="s">
        <v>39</v>
      </c>
      <c r="F67" s="7" t="s">
        <v>54</v>
      </c>
      <c r="G67" s="7">
        <v>2017</v>
      </c>
      <c r="H67" s="7" t="str">
        <f>CONCATENATE("14270104731")</f>
        <v>14270104731</v>
      </c>
      <c r="I67" s="7" t="s">
        <v>30</v>
      </c>
      <c r="J67" s="7" t="s">
        <v>31</v>
      </c>
      <c r="K67" s="7" t="str">
        <f>CONCATENATE("")</f>
        <v/>
      </c>
      <c r="L67" s="7" t="str">
        <f>CONCATENATE("21 21.1 2a")</f>
        <v>21 21.1 2a</v>
      </c>
      <c r="M67" s="7" t="str">
        <f>CONCATENATE("01957630435")</f>
        <v>01957630435</v>
      </c>
      <c r="N67" s="7" t="s">
        <v>137</v>
      </c>
      <c r="O67" s="7" t="s">
        <v>49</v>
      </c>
      <c r="P67" s="8">
        <v>44305</v>
      </c>
      <c r="Q67" s="7" t="s">
        <v>32</v>
      </c>
      <c r="R67" s="7" t="s">
        <v>33</v>
      </c>
      <c r="S67" s="7" t="s">
        <v>34</v>
      </c>
      <c r="T67" s="7"/>
      <c r="U67" s="7" t="s">
        <v>35</v>
      </c>
      <c r="V67" s="9">
        <v>1650</v>
      </c>
      <c r="W67" s="7">
        <v>711.48</v>
      </c>
      <c r="X67" s="7">
        <v>657.03</v>
      </c>
      <c r="Y67" s="7">
        <v>0</v>
      </c>
      <c r="Z67" s="7">
        <v>281.49</v>
      </c>
    </row>
    <row r="68" spans="1:26" x14ac:dyDescent="0.35">
      <c r="A68" s="7" t="s">
        <v>27</v>
      </c>
      <c r="B68" s="7" t="s">
        <v>28</v>
      </c>
      <c r="C68" s="7" t="s">
        <v>46</v>
      </c>
      <c r="D68" s="7" t="s">
        <v>47</v>
      </c>
      <c r="E68" s="7" t="s">
        <v>36</v>
      </c>
      <c r="F68" s="7" t="s">
        <v>36</v>
      </c>
      <c r="G68" s="7">
        <v>2017</v>
      </c>
      <c r="H68" s="7" t="str">
        <f>CONCATENATE("14270104145")</f>
        <v>14270104145</v>
      </c>
      <c r="I68" s="7" t="s">
        <v>30</v>
      </c>
      <c r="J68" s="7" t="s">
        <v>31</v>
      </c>
      <c r="K68" s="7" t="str">
        <f>CONCATENATE("")</f>
        <v/>
      </c>
      <c r="L68" s="7" t="str">
        <f>CONCATENATE("21 21.1 2a")</f>
        <v>21 21.1 2a</v>
      </c>
      <c r="M68" s="7" t="str">
        <f>CONCATENATE("01945810438")</f>
        <v>01945810438</v>
      </c>
      <c r="N68" s="7" t="s">
        <v>138</v>
      </c>
      <c r="O68" s="7" t="s">
        <v>49</v>
      </c>
      <c r="P68" s="8">
        <v>44305</v>
      </c>
      <c r="Q68" s="7" t="s">
        <v>32</v>
      </c>
      <c r="R68" s="7" t="s">
        <v>33</v>
      </c>
      <c r="S68" s="7" t="s">
        <v>34</v>
      </c>
      <c r="T68" s="7"/>
      <c r="U68" s="7" t="s">
        <v>35</v>
      </c>
      <c r="V68" s="9">
        <v>2580</v>
      </c>
      <c r="W68" s="9">
        <v>1112.5</v>
      </c>
      <c r="X68" s="9">
        <v>1027.3599999999999</v>
      </c>
      <c r="Y68" s="7">
        <v>0</v>
      </c>
      <c r="Z68" s="7">
        <v>440.14</v>
      </c>
    </row>
    <row r="69" spans="1:26" x14ac:dyDescent="0.35">
      <c r="A69" s="7" t="s">
        <v>27</v>
      </c>
      <c r="B69" s="7" t="s">
        <v>28</v>
      </c>
      <c r="C69" s="7" t="s">
        <v>46</v>
      </c>
      <c r="D69" s="7" t="s">
        <v>47</v>
      </c>
      <c r="E69" s="7" t="s">
        <v>39</v>
      </c>
      <c r="F69" s="7" t="s">
        <v>70</v>
      </c>
      <c r="G69" s="7">
        <v>2017</v>
      </c>
      <c r="H69" s="7" t="str">
        <f>CONCATENATE("14270108518")</f>
        <v>14270108518</v>
      </c>
      <c r="I69" s="7" t="s">
        <v>30</v>
      </c>
      <c r="J69" s="7" t="s">
        <v>31</v>
      </c>
      <c r="K69" s="7" t="str">
        <f>CONCATENATE("")</f>
        <v/>
      </c>
      <c r="L69" s="7" t="str">
        <f>CONCATENATE("21 21.1 2a")</f>
        <v>21 21.1 2a</v>
      </c>
      <c r="M69" s="7" t="str">
        <f>CONCATENATE("01711320430")</f>
        <v>01711320430</v>
      </c>
      <c r="N69" s="7" t="s">
        <v>139</v>
      </c>
      <c r="O69" s="7" t="s">
        <v>49</v>
      </c>
      <c r="P69" s="8">
        <v>44305</v>
      </c>
      <c r="Q69" s="7" t="s">
        <v>32</v>
      </c>
      <c r="R69" s="7" t="s">
        <v>33</v>
      </c>
      <c r="S69" s="7" t="s">
        <v>34</v>
      </c>
      <c r="T69" s="7"/>
      <c r="U69" s="7" t="s">
        <v>35</v>
      </c>
      <c r="V69" s="9">
        <v>2520</v>
      </c>
      <c r="W69" s="9">
        <v>1086.6199999999999</v>
      </c>
      <c r="X69" s="9">
        <v>1003.46</v>
      </c>
      <c r="Y69" s="7">
        <v>0</v>
      </c>
      <c r="Z69" s="7">
        <v>429.92</v>
      </c>
    </row>
    <row r="70" spans="1:26" x14ac:dyDescent="0.35">
      <c r="A70" s="7" t="s">
        <v>27</v>
      </c>
      <c r="B70" s="7" t="s">
        <v>28</v>
      </c>
      <c r="C70" s="7" t="s">
        <v>46</v>
      </c>
      <c r="D70" s="7" t="s">
        <v>52</v>
      </c>
      <c r="E70" s="7" t="s">
        <v>36</v>
      </c>
      <c r="F70" s="7" t="s">
        <v>36</v>
      </c>
      <c r="G70" s="7">
        <v>2017</v>
      </c>
      <c r="H70" s="7" t="str">
        <f>CONCATENATE("14270104152")</f>
        <v>14270104152</v>
      </c>
      <c r="I70" s="7" t="s">
        <v>30</v>
      </c>
      <c r="J70" s="7" t="s">
        <v>31</v>
      </c>
      <c r="K70" s="7" t="str">
        <f>CONCATENATE("")</f>
        <v/>
      </c>
      <c r="L70" s="7" t="str">
        <f>CONCATENATE("21 21.1 2a")</f>
        <v>21 21.1 2a</v>
      </c>
      <c r="M70" s="7" t="str">
        <f>CONCATENATE("02742860428")</f>
        <v>02742860428</v>
      </c>
      <c r="N70" s="7" t="s">
        <v>140</v>
      </c>
      <c r="O70" s="7" t="s">
        <v>49</v>
      </c>
      <c r="P70" s="8">
        <v>44305</v>
      </c>
      <c r="Q70" s="7" t="s">
        <v>32</v>
      </c>
      <c r="R70" s="7" t="s">
        <v>33</v>
      </c>
      <c r="S70" s="7" t="s">
        <v>34</v>
      </c>
      <c r="T70" s="7"/>
      <c r="U70" s="7" t="s">
        <v>35</v>
      </c>
      <c r="V70" s="9">
        <v>1650</v>
      </c>
      <c r="W70" s="7">
        <v>711.48</v>
      </c>
      <c r="X70" s="7">
        <v>657.03</v>
      </c>
      <c r="Y70" s="7">
        <v>0</v>
      </c>
      <c r="Z70" s="7">
        <v>281.49</v>
      </c>
    </row>
    <row r="71" spans="1:26" ht="17.5" x14ac:dyDescent="0.35">
      <c r="A71" s="7" t="s">
        <v>27</v>
      </c>
      <c r="B71" s="7" t="s">
        <v>28</v>
      </c>
      <c r="C71" s="7" t="s">
        <v>46</v>
      </c>
      <c r="D71" s="7" t="s">
        <v>72</v>
      </c>
      <c r="E71" s="7" t="s">
        <v>43</v>
      </c>
      <c r="F71" s="7" t="s">
        <v>141</v>
      </c>
      <c r="G71" s="7">
        <v>2017</v>
      </c>
      <c r="H71" s="7" t="str">
        <f>CONCATENATE("14270103949")</f>
        <v>14270103949</v>
      </c>
      <c r="I71" s="7" t="s">
        <v>30</v>
      </c>
      <c r="J71" s="7" t="s">
        <v>31</v>
      </c>
      <c r="K71" s="7" t="str">
        <f>CONCATENATE("")</f>
        <v/>
      </c>
      <c r="L71" s="7" t="str">
        <f>CONCATENATE("21 21.1 2a")</f>
        <v>21 21.1 2a</v>
      </c>
      <c r="M71" s="7" t="str">
        <f>CONCATENATE("SPLMRC66H16D488Q")</f>
        <v>SPLMRC66H16D488Q</v>
      </c>
      <c r="N71" s="7" t="s">
        <v>142</v>
      </c>
      <c r="O71" s="7" t="s">
        <v>49</v>
      </c>
      <c r="P71" s="8">
        <v>44305</v>
      </c>
      <c r="Q71" s="7" t="s">
        <v>32</v>
      </c>
      <c r="R71" s="7" t="s">
        <v>33</v>
      </c>
      <c r="S71" s="7" t="s">
        <v>34</v>
      </c>
      <c r="T71" s="7"/>
      <c r="U71" s="7" t="s">
        <v>35</v>
      </c>
      <c r="V71" s="9">
        <v>2520</v>
      </c>
      <c r="W71" s="9">
        <v>1086.6199999999999</v>
      </c>
      <c r="X71" s="9">
        <v>1003.46</v>
      </c>
      <c r="Y71" s="7">
        <v>0</v>
      </c>
      <c r="Z71" s="7">
        <v>429.92</v>
      </c>
    </row>
    <row r="72" spans="1:26" ht="17.5" x14ac:dyDescent="0.35">
      <c r="A72" s="7" t="s">
        <v>27</v>
      </c>
      <c r="B72" s="7" t="s">
        <v>28</v>
      </c>
      <c r="C72" s="7" t="s">
        <v>46</v>
      </c>
      <c r="D72" s="7" t="s">
        <v>72</v>
      </c>
      <c r="E72" s="7" t="s">
        <v>39</v>
      </c>
      <c r="F72" s="7" t="s">
        <v>103</v>
      </c>
      <c r="G72" s="7">
        <v>2017</v>
      </c>
      <c r="H72" s="7" t="str">
        <f>CONCATENATE("14270104285")</f>
        <v>14270104285</v>
      </c>
      <c r="I72" s="7" t="s">
        <v>30</v>
      </c>
      <c r="J72" s="7" t="s">
        <v>31</v>
      </c>
      <c r="K72" s="7" t="str">
        <f>CONCATENATE("")</f>
        <v/>
      </c>
      <c r="L72" s="7" t="str">
        <f>CONCATENATE("21 21.1 2a")</f>
        <v>21 21.1 2a</v>
      </c>
      <c r="M72" s="7" t="str">
        <f>CONCATENATE("TRRLGU95M30E388P")</f>
        <v>TRRLGU95M30E388P</v>
      </c>
      <c r="N72" s="7" t="s">
        <v>143</v>
      </c>
      <c r="O72" s="7" t="s">
        <v>49</v>
      </c>
      <c r="P72" s="8">
        <v>44305</v>
      </c>
      <c r="Q72" s="7" t="s">
        <v>32</v>
      </c>
      <c r="R72" s="7" t="s">
        <v>33</v>
      </c>
      <c r="S72" s="7" t="s">
        <v>34</v>
      </c>
      <c r="T72" s="7"/>
      <c r="U72" s="7" t="s">
        <v>35</v>
      </c>
      <c r="V72" s="9">
        <v>1320</v>
      </c>
      <c r="W72" s="7">
        <v>569.17999999999995</v>
      </c>
      <c r="X72" s="7">
        <v>525.62</v>
      </c>
      <c r="Y72" s="7">
        <v>0</v>
      </c>
      <c r="Z72" s="7">
        <v>225.2</v>
      </c>
    </row>
    <row r="73" spans="1:26" x14ac:dyDescent="0.35">
      <c r="A73" s="7" t="s">
        <v>27</v>
      </c>
      <c r="B73" s="7" t="s">
        <v>28</v>
      </c>
      <c r="C73" s="7" t="s">
        <v>46</v>
      </c>
      <c r="D73" s="7" t="s">
        <v>47</v>
      </c>
      <c r="E73" s="7" t="s">
        <v>39</v>
      </c>
      <c r="F73" s="7" t="s">
        <v>144</v>
      </c>
      <c r="G73" s="7">
        <v>2017</v>
      </c>
      <c r="H73" s="7" t="str">
        <f>CONCATENATE("14270104772")</f>
        <v>14270104772</v>
      </c>
      <c r="I73" s="7" t="s">
        <v>30</v>
      </c>
      <c r="J73" s="7" t="s">
        <v>31</v>
      </c>
      <c r="K73" s="7" t="str">
        <f>CONCATENATE("")</f>
        <v/>
      </c>
      <c r="L73" s="7" t="str">
        <f>CONCATENATE("21 21.1 2a")</f>
        <v>21 21.1 2a</v>
      </c>
      <c r="M73" s="7" t="str">
        <f>CONCATENATE("CCLGNN42C21C704S")</f>
        <v>CCLGNN42C21C704S</v>
      </c>
      <c r="N73" s="7" t="s">
        <v>145</v>
      </c>
      <c r="O73" s="7" t="s">
        <v>49</v>
      </c>
      <c r="P73" s="8">
        <v>44305</v>
      </c>
      <c r="Q73" s="7" t="s">
        <v>32</v>
      </c>
      <c r="R73" s="7" t="s">
        <v>33</v>
      </c>
      <c r="S73" s="7" t="s">
        <v>34</v>
      </c>
      <c r="T73" s="7"/>
      <c r="U73" s="7" t="s">
        <v>35</v>
      </c>
      <c r="V73" s="9">
        <v>3150</v>
      </c>
      <c r="W73" s="9">
        <v>1358.28</v>
      </c>
      <c r="X73" s="9">
        <v>1254.33</v>
      </c>
      <c r="Y73" s="7">
        <v>0</v>
      </c>
      <c r="Z73" s="7">
        <v>537.39</v>
      </c>
    </row>
    <row r="74" spans="1:26" x14ac:dyDescent="0.35">
      <c r="A74" s="7" t="s">
        <v>27</v>
      </c>
      <c r="B74" s="7" t="s">
        <v>28</v>
      </c>
      <c r="C74" s="7" t="s">
        <v>46</v>
      </c>
      <c r="D74" s="7" t="s">
        <v>47</v>
      </c>
      <c r="E74" s="7" t="s">
        <v>44</v>
      </c>
      <c r="F74" s="7" t="s">
        <v>66</v>
      </c>
      <c r="G74" s="7">
        <v>2017</v>
      </c>
      <c r="H74" s="7" t="str">
        <f>CONCATENATE("14270104053")</f>
        <v>14270104053</v>
      </c>
      <c r="I74" s="7" t="s">
        <v>30</v>
      </c>
      <c r="J74" s="7" t="s">
        <v>31</v>
      </c>
      <c r="K74" s="7" t="str">
        <f>CONCATENATE("")</f>
        <v/>
      </c>
      <c r="L74" s="7" t="str">
        <f>CONCATENATE("21 21.1 2a")</f>
        <v>21 21.1 2a</v>
      </c>
      <c r="M74" s="7" t="str">
        <f>CONCATENATE("00614490431")</f>
        <v>00614490431</v>
      </c>
      <c r="N74" s="7" t="s">
        <v>146</v>
      </c>
      <c r="O74" s="7" t="s">
        <v>49</v>
      </c>
      <c r="P74" s="8">
        <v>44305</v>
      </c>
      <c r="Q74" s="7" t="s">
        <v>32</v>
      </c>
      <c r="R74" s="7" t="s">
        <v>33</v>
      </c>
      <c r="S74" s="7" t="s">
        <v>34</v>
      </c>
      <c r="T74" s="7"/>
      <c r="U74" s="7" t="s">
        <v>35</v>
      </c>
      <c r="V74" s="9">
        <v>1050</v>
      </c>
      <c r="W74" s="7">
        <v>452.76</v>
      </c>
      <c r="X74" s="7">
        <v>418.11</v>
      </c>
      <c r="Y74" s="7">
        <v>0</v>
      </c>
      <c r="Z74" s="7">
        <v>179.13</v>
      </c>
    </row>
    <row r="75" spans="1:26" x14ac:dyDescent="0.35">
      <c r="A75" s="7" t="s">
        <v>27</v>
      </c>
      <c r="B75" s="7" t="s">
        <v>28</v>
      </c>
      <c r="C75" s="7" t="s">
        <v>46</v>
      </c>
      <c r="D75" s="7" t="s">
        <v>47</v>
      </c>
      <c r="E75" s="7" t="s">
        <v>39</v>
      </c>
      <c r="F75" s="7" t="s">
        <v>61</v>
      </c>
      <c r="G75" s="7">
        <v>2017</v>
      </c>
      <c r="H75" s="7" t="str">
        <f>CONCATENATE("14270104368")</f>
        <v>14270104368</v>
      </c>
      <c r="I75" s="7" t="s">
        <v>30</v>
      </c>
      <c r="J75" s="7" t="s">
        <v>31</v>
      </c>
      <c r="K75" s="7" t="str">
        <f>CONCATENATE("")</f>
        <v/>
      </c>
      <c r="L75" s="7" t="str">
        <f>CONCATENATE("21 21.1 2a")</f>
        <v>21 21.1 2a</v>
      </c>
      <c r="M75" s="7" t="str">
        <f>CONCATENATE("DZENNE50S02E228I")</f>
        <v>DZENNE50S02E228I</v>
      </c>
      <c r="N75" s="7" t="s">
        <v>147</v>
      </c>
      <c r="O75" s="7" t="s">
        <v>49</v>
      </c>
      <c r="P75" s="8">
        <v>44305</v>
      </c>
      <c r="Q75" s="7" t="s">
        <v>32</v>
      </c>
      <c r="R75" s="7" t="s">
        <v>33</v>
      </c>
      <c r="S75" s="7" t="s">
        <v>34</v>
      </c>
      <c r="T75" s="7"/>
      <c r="U75" s="7" t="s">
        <v>35</v>
      </c>
      <c r="V75" s="9">
        <v>1050</v>
      </c>
      <c r="W75" s="7">
        <v>452.76</v>
      </c>
      <c r="X75" s="7">
        <v>418.11</v>
      </c>
      <c r="Y75" s="7">
        <v>0</v>
      </c>
      <c r="Z75" s="7">
        <v>179.13</v>
      </c>
    </row>
    <row r="76" spans="1:26" x14ac:dyDescent="0.35">
      <c r="A76" s="7" t="s">
        <v>27</v>
      </c>
      <c r="B76" s="7" t="s">
        <v>28</v>
      </c>
      <c r="C76" s="7" t="s">
        <v>46</v>
      </c>
      <c r="D76" s="7" t="s">
        <v>47</v>
      </c>
      <c r="E76" s="7" t="s">
        <v>36</v>
      </c>
      <c r="F76" s="7" t="s">
        <v>36</v>
      </c>
      <c r="G76" s="7">
        <v>2017</v>
      </c>
      <c r="H76" s="7" t="str">
        <f>CONCATENATE("14270104640")</f>
        <v>14270104640</v>
      </c>
      <c r="I76" s="7" t="s">
        <v>30</v>
      </c>
      <c r="J76" s="7" t="s">
        <v>31</v>
      </c>
      <c r="K76" s="7" t="str">
        <f>CONCATENATE("")</f>
        <v/>
      </c>
      <c r="L76" s="7" t="str">
        <f>CONCATENATE("21 21.1 2a")</f>
        <v>21 21.1 2a</v>
      </c>
      <c r="M76" s="7" t="str">
        <f>CONCATENATE("FTTNND63T11C704N")</f>
        <v>FTTNND63T11C704N</v>
      </c>
      <c r="N76" s="7" t="s">
        <v>148</v>
      </c>
      <c r="O76" s="7" t="s">
        <v>49</v>
      </c>
      <c r="P76" s="8">
        <v>44305</v>
      </c>
      <c r="Q76" s="7" t="s">
        <v>32</v>
      </c>
      <c r="R76" s="7" t="s">
        <v>33</v>
      </c>
      <c r="S76" s="7" t="s">
        <v>34</v>
      </c>
      <c r="T76" s="7"/>
      <c r="U76" s="7" t="s">
        <v>35</v>
      </c>
      <c r="V76" s="9">
        <v>4275</v>
      </c>
      <c r="W76" s="9">
        <v>1843.38</v>
      </c>
      <c r="X76" s="9">
        <v>1702.31</v>
      </c>
      <c r="Y76" s="7">
        <v>0</v>
      </c>
      <c r="Z76" s="7">
        <v>729.31</v>
      </c>
    </row>
    <row r="77" spans="1:26" ht="17.5" x14ac:dyDescent="0.35">
      <c r="A77" s="7" t="s">
        <v>27</v>
      </c>
      <c r="B77" s="7" t="s">
        <v>28</v>
      </c>
      <c r="C77" s="7" t="s">
        <v>46</v>
      </c>
      <c r="D77" s="7" t="s">
        <v>72</v>
      </c>
      <c r="E77" s="7" t="s">
        <v>39</v>
      </c>
      <c r="F77" s="7" t="s">
        <v>103</v>
      </c>
      <c r="G77" s="7">
        <v>2017</v>
      </c>
      <c r="H77" s="7" t="str">
        <f>CONCATENATE("14270104665")</f>
        <v>14270104665</v>
      </c>
      <c r="I77" s="7" t="s">
        <v>30</v>
      </c>
      <c r="J77" s="7" t="s">
        <v>31</v>
      </c>
      <c r="K77" s="7" t="str">
        <f>CONCATENATE("")</f>
        <v/>
      </c>
      <c r="L77" s="7" t="str">
        <f>CONCATENATE("21 21.1 2a")</f>
        <v>21 21.1 2a</v>
      </c>
      <c r="M77" s="7" t="str">
        <f>CONCATENATE("MSSDLE56H10A366V")</f>
        <v>MSSDLE56H10A366V</v>
      </c>
      <c r="N77" s="7" t="s">
        <v>149</v>
      </c>
      <c r="O77" s="7" t="s">
        <v>49</v>
      </c>
      <c r="P77" s="8">
        <v>44305</v>
      </c>
      <c r="Q77" s="7" t="s">
        <v>32</v>
      </c>
      <c r="R77" s="7" t="s">
        <v>33</v>
      </c>
      <c r="S77" s="7" t="s">
        <v>34</v>
      </c>
      <c r="T77" s="7"/>
      <c r="U77" s="7" t="s">
        <v>35</v>
      </c>
      <c r="V77" s="9">
        <v>2100</v>
      </c>
      <c r="W77" s="7">
        <v>905.52</v>
      </c>
      <c r="X77" s="7">
        <v>836.22</v>
      </c>
      <c r="Y77" s="7">
        <v>0</v>
      </c>
      <c r="Z77" s="7">
        <v>358.26</v>
      </c>
    </row>
    <row r="78" spans="1:26" x14ac:dyDescent="0.35">
      <c r="A78" s="7" t="s">
        <v>27</v>
      </c>
      <c r="B78" s="7" t="s">
        <v>28</v>
      </c>
      <c r="C78" s="7" t="s">
        <v>46</v>
      </c>
      <c r="D78" s="7" t="s">
        <v>47</v>
      </c>
      <c r="E78" s="7" t="s">
        <v>39</v>
      </c>
      <c r="F78" s="7" t="s">
        <v>61</v>
      </c>
      <c r="G78" s="7">
        <v>2017</v>
      </c>
      <c r="H78" s="7" t="str">
        <f>CONCATENATE("14270103790")</f>
        <v>14270103790</v>
      </c>
      <c r="I78" s="7" t="s">
        <v>30</v>
      </c>
      <c r="J78" s="7" t="s">
        <v>31</v>
      </c>
      <c r="K78" s="7" t="str">
        <f>CONCATENATE("")</f>
        <v/>
      </c>
      <c r="L78" s="7" t="str">
        <f>CONCATENATE("21 21.1 2a")</f>
        <v>21 21.1 2a</v>
      </c>
      <c r="M78" s="7" t="str">
        <f>CONCATENATE("00832420434")</f>
        <v>00832420434</v>
      </c>
      <c r="N78" s="7" t="s">
        <v>150</v>
      </c>
      <c r="O78" s="7" t="s">
        <v>49</v>
      </c>
      <c r="P78" s="8">
        <v>44305</v>
      </c>
      <c r="Q78" s="7" t="s">
        <v>32</v>
      </c>
      <c r="R78" s="7" t="s">
        <v>33</v>
      </c>
      <c r="S78" s="7" t="s">
        <v>34</v>
      </c>
      <c r="T78" s="7"/>
      <c r="U78" s="7" t="s">
        <v>35</v>
      </c>
      <c r="V78" s="9">
        <v>1260</v>
      </c>
      <c r="W78" s="7">
        <v>543.30999999999995</v>
      </c>
      <c r="X78" s="7">
        <v>501.73</v>
      </c>
      <c r="Y78" s="7">
        <v>0</v>
      </c>
      <c r="Z78" s="7">
        <v>214.96</v>
      </c>
    </row>
    <row r="79" spans="1:26" ht="17.5" x14ac:dyDescent="0.35">
      <c r="A79" s="7" t="s">
        <v>27</v>
      </c>
      <c r="B79" s="7" t="s">
        <v>28</v>
      </c>
      <c r="C79" s="7" t="s">
        <v>46</v>
      </c>
      <c r="D79" s="7" t="s">
        <v>47</v>
      </c>
      <c r="E79" s="7" t="s">
        <v>39</v>
      </c>
      <c r="F79" s="7" t="s">
        <v>50</v>
      </c>
      <c r="G79" s="7">
        <v>2017</v>
      </c>
      <c r="H79" s="7" t="str">
        <f>CONCATENATE("14270104327")</f>
        <v>14270104327</v>
      </c>
      <c r="I79" s="7" t="s">
        <v>30</v>
      </c>
      <c r="J79" s="7" t="s">
        <v>31</v>
      </c>
      <c r="K79" s="7" t="str">
        <f>CONCATENATE("")</f>
        <v/>
      </c>
      <c r="L79" s="7" t="str">
        <f>CONCATENATE("21 21.1 2a")</f>
        <v>21 21.1 2a</v>
      </c>
      <c r="M79" s="7" t="str">
        <f>CONCATENATE("RCTGCR61M28B474D")</f>
        <v>RCTGCR61M28B474D</v>
      </c>
      <c r="N79" s="7" t="s">
        <v>151</v>
      </c>
      <c r="O79" s="7" t="s">
        <v>49</v>
      </c>
      <c r="P79" s="8">
        <v>44305</v>
      </c>
      <c r="Q79" s="7" t="s">
        <v>32</v>
      </c>
      <c r="R79" s="7" t="s">
        <v>33</v>
      </c>
      <c r="S79" s="7" t="s">
        <v>34</v>
      </c>
      <c r="T79" s="7"/>
      <c r="U79" s="7" t="s">
        <v>35</v>
      </c>
      <c r="V79" s="9">
        <v>1050</v>
      </c>
      <c r="W79" s="7">
        <v>452.76</v>
      </c>
      <c r="X79" s="7">
        <v>418.11</v>
      </c>
      <c r="Y79" s="7">
        <v>0</v>
      </c>
      <c r="Z79" s="7">
        <v>179.13</v>
      </c>
    </row>
    <row r="80" spans="1:26" x14ac:dyDescent="0.35">
      <c r="A80" s="7" t="s">
        <v>27</v>
      </c>
      <c r="B80" s="7" t="s">
        <v>28</v>
      </c>
      <c r="C80" s="7" t="s">
        <v>46</v>
      </c>
      <c r="D80" s="7" t="s">
        <v>47</v>
      </c>
      <c r="E80" s="7" t="s">
        <v>39</v>
      </c>
      <c r="F80" s="7" t="s">
        <v>50</v>
      </c>
      <c r="G80" s="7">
        <v>2017</v>
      </c>
      <c r="H80" s="7" t="str">
        <f>CONCATENATE("14270104269")</f>
        <v>14270104269</v>
      </c>
      <c r="I80" s="7" t="s">
        <v>30</v>
      </c>
      <c r="J80" s="7" t="s">
        <v>31</v>
      </c>
      <c r="K80" s="7" t="str">
        <f>CONCATENATE("")</f>
        <v/>
      </c>
      <c r="L80" s="7" t="str">
        <f>CONCATENATE("21 21.1 2a")</f>
        <v>21 21.1 2a</v>
      </c>
      <c r="M80" s="7" t="str">
        <f>CONCATENATE("01297880435")</f>
        <v>01297880435</v>
      </c>
      <c r="N80" s="7" t="s">
        <v>152</v>
      </c>
      <c r="O80" s="7" t="s">
        <v>49</v>
      </c>
      <c r="P80" s="8">
        <v>44305</v>
      </c>
      <c r="Q80" s="7" t="s">
        <v>32</v>
      </c>
      <c r="R80" s="7" t="s">
        <v>33</v>
      </c>
      <c r="S80" s="7" t="s">
        <v>34</v>
      </c>
      <c r="T80" s="7"/>
      <c r="U80" s="7" t="s">
        <v>35</v>
      </c>
      <c r="V80" s="9">
        <v>1575</v>
      </c>
      <c r="W80" s="7">
        <v>679.14</v>
      </c>
      <c r="X80" s="7">
        <v>627.16999999999996</v>
      </c>
      <c r="Y80" s="7">
        <v>0</v>
      </c>
      <c r="Z80" s="7">
        <v>268.69</v>
      </c>
    </row>
    <row r="81" spans="1:26" x14ac:dyDescent="0.35">
      <c r="A81" s="7" t="s">
        <v>27</v>
      </c>
      <c r="B81" s="7" t="s">
        <v>28</v>
      </c>
      <c r="C81" s="7" t="s">
        <v>46</v>
      </c>
      <c r="D81" s="7" t="s">
        <v>47</v>
      </c>
      <c r="E81" s="7" t="s">
        <v>39</v>
      </c>
      <c r="F81" s="7" t="s">
        <v>50</v>
      </c>
      <c r="G81" s="7">
        <v>2017</v>
      </c>
      <c r="H81" s="7" t="str">
        <f>CONCATENATE("14270104459")</f>
        <v>14270104459</v>
      </c>
      <c r="I81" s="7" t="s">
        <v>30</v>
      </c>
      <c r="J81" s="7" t="s">
        <v>31</v>
      </c>
      <c r="K81" s="7" t="str">
        <f>CONCATENATE("")</f>
        <v/>
      </c>
      <c r="L81" s="7" t="str">
        <f>CONCATENATE("21 21.1 2a")</f>
        <v>21 21.1 2a</v>
      </c>
      <c r="M81" s="7" t="str">
        <f>CONCATENATE("STFNCL55C28B474N")</f>
        <v>STFNCL55C28B474N</v>
      </c>
      <c r="N81" s="7" t="s">
        <v>153</v>
      </c>
      <c r="O81" s="7" t="s">
        <v>49</v>
      </c>
      <c r="P81" s="8">
        <v>44305</v>
      </c>
      <c r="Q81" s="7" t="s">
        <v>32</v>
      </c>
      <c r="R81" s="7" t="s">
        <v>33</v>
      </c>
      <c r="S81" s="7" t="s">
        <v>34</v>
      </c>
      <c r="T81" s="7"/>
      <c r="U81" s="7" t="s">
        <v>35</v>
      </c>
      <c r="V81" s="9">
        <v>1050</v>
      </c>
      <c r="W81" s="7">
        <v>452.76</v>
      </c>
      <c r="X81" s="7">
        <v>418.11</v>
      </c>
      <c r="Y81" s="7">
        <v>0</v>
      </c>
      <c r="Z81" s="7">
        <v>179.13</v>
      </c>
    </row>
    <row r="82" spans="1:26" x14ac:dyDescent="0.35">
      <c r="A82" s="7" t="s">
        <v>27</v>
      </c>
      <c r="B82" s="7" t="s">
        <v>28</v>
      </c>
      <c r="C82" s="7" t="s">
        <v>46</v>
      </c>
      <c r="D82" s="7" t="s">
        <v>47</v>
      </c>
      <c r="E82" s="7" t="s">
        <v>39</v>
      </c>
      <c r="F82" s="7" t="s">
        <v>50</v>
      </c>
      <c r="G82" s="7">
        <v>2017</v>
      </c>
      <c r="H82" s="7" t="str">
        <f>CONCATENATE("14270104533")</f>
        <v>14270104533</v>
      </c>
      <c r="I82" s="7" t="s">
        <v>30</v>
      </c>
      <c r="J82" s="7" t="s">
        <v>31</v>
      </c>
      <c r="K82" s="7" t="str">
        <f>CONCATENATE("")</f>
        <v/>
      </c>
      <c r="L82" s="7" t="str">
        <f>CONCATENATE("21 21.1 2a")</f>
        <v>21 21.1 2a</v>
      </c>
      <c r="M82" s="7" t="str">
        <f>CONCATENATE("STRPLA73L17B474W")</f>
        <v>STRPLA73L17B474W</v>
      </c>
      <c r="N82" s="7" t="s">
        <v>154</v>
      </c>
      <c r="O82" s="7" t="s">
        <v>49</v>
      </c>
      <c r="P82" s="8">
        <v>44305</v>
      </c>
      <c r="Q82" s="7" t="s">
        <v>32</v>
      </c>
      <c r="R82" s="7" t="s">
        <v>33</v>
      </c>
      <c r="S82" s="7" t="s">
        <v>34</v>
      </c>
      <c r="T82" s="7"/>
      <c r="U82" s="7" t="s">
        <v>35</v>
      </c>
      <c r="V82" s="9">
        <v>1740</v>
      </c>
      <c r="W82" s="7">
        <v>750.29</v>
      </c>
      <c r="X82" s="7">
        <v>692.87</v>
      </c>
      <c r="Y82" s="7">
        <v>0</v>
      </c>
      <c r="Z82" s="7">
        <v>296.83999999999997</v>
      </c>
    </row>
    <row r="83" spans="1:26" x14ac:dyDescent="0.35">
      <c r="A83" s="7" t="s">
        <v>27</v>
      </c>
      <c r="B83" s="7" t="s">
        <v>28</v>
      </c>
      <c r="C83" s="7" t="s">
        <v>46</v>
      </c>
      <c r="D83" s="7" t="s">
        <v>47</v>
      </c>
      <c r="E83" s="7" t="s">
        <v>39</v>
      </c>
      <c r="F83" s="7" t="s">
        <v>50</v>
      </c>
      <c r="G83" s="7">
        <v>2017</v>
      </c>
      <c r="H83" s="7" t="str">
        <f>CONCATENATE("14270103873")</f>
        <v>14270103873</v>
      </c>
      <c r="I83" s="7" t="s">
        <v>30</v>
      </c>
      <c r="J83" s="7" t="s">
        <v>31</v>
      </c>
      <c r="K83" s="7" t="str">
        <f>CONCATENATE("")</f>
        <v/>
      </c>
      <c r="L83" s="7" t="str">
        <f>CONCATENATE("21 21.1 2a")</f>
        <v>21 21.1 2a</v>
      </c>
      <c r="M83" s="7" t="str">
        <f>CONCATENATE("VLRLNI75B15B474A")</f>
        <v>VLRLNI75B15B474A</v>
      </c>
      <c r="N83" s="7" t="s">
        <v>155</v>
      </c>
      <c r="O83" s="7" t="s">
        <v>49</v>
      </c>
      <c r="P83" s="8">
        <v>44305</v>
      </c>
      <c r="Q83" s="7" t="s">
        <v>32</v>
      </c>
      <c r="R83" s="7" t="s">
        <v>33</v>
      </c>
      <c r="S83" s="7" t="s">
        <v>34</v>
      </c>
      <c r="T83" s="7"/>
      <c r="U83" s="7" t="s">
        <v>35</v>
      </c>
      <c r="V83" s="9">
        <v>2520</v>
      </c>
      <c r="W83" s="9">
        <v>1086.6199999999999</v>
      </c>
      <c r="X83" s="9">
        <v>1003.46</v>
      </c>
      <c r="Y83" s="7">
        <v>0</v>
      </c>
      <c r="Z83" s="7">
        <v>429.92</v>
      </c>
    </row>
    <row r="84" spans="1:26" x14ac:dyDescent="0.35">
      <c r="A84" s="7" t="s">
        <v>27</v>
      </c>
      <c r="B84" s="7" t="s">
        <v>28</v>
      </c>
      <c r="C84" s="7" t="s">
        <v>46</v>
      </c>
      <c r="D84" s="7" t="s">
        <v>47</v>
      </c>
      <c r="E84" s="7" t="s">
        <v>39</v>
      </c>
      <c r="F84" s="7" t="s">
        <v>144</v>
      </c>
      <c r="G84" s="7">
        <v>2017</v>
      </c>
      <c r="H84" s="7" t="str">
        <f>CONCATENATE("14270104087")</f>
        <v>14270104087</v>
      </c>
      <c r="I84" s="7" t="s">
        <v>30</v>
      </c>
      <c r="J84" s="7" t="s">
        <v>31</v>
      </c>
      <c r="K84" s="7" t="str">
        <f>CONCATENATE("")</f>
        <v/>
      </c>
      <c r="L84" s="7" t="str">
        <f>CONCATENATE("21 21.1 2a")</f>
        <v>21 21.1 2a</v>
      </c>
      <c r="M84" s="7" t="str">
        <f>CONCATENATE("TRCRNZ68E17I156U")</f>
        <v>TRCRNZ68E17I156U</v>
      </c>
      <c r="N84" s="7" t="s">
        <v>156</v>
      </c>
      <c r="O84" s="7" t="s">
        <v>49</v>
      </c>
      <c r="P84" s="8">
        <v>44305</v>
      </c>
      <c r="Q84" s="7" t="s">
        <v>32</v>
      </c>
      <c r="R84" s="7" t="s">
        <v>33</v>
      </c>
      <c r="S84" s="7" t="s">
        <v>34</v>
      </c>
      <c r="T84" s="7"/>
      <c r="U84" s="7" t="s">
        <v>35</v>
      </c>
      <c r="V84" s="9">
        <v>4800</v>
      </c>
      <c r="W84" s="9">
        <v>2069.7600000000002</v>
      </c>
      <c r="X84" s="9">
        <v>1911.36</v>
      </c>
      <c r="Y84" s="7">
        <v>0</v>
      </c>
      <c r="Z84" s="7">
        <v>818.88</v>
      </c>
    </row>
    <row r="85" spans="1:26" x14ac:dyDescent="0.35">
      <c r="A85" s="7" t="s">
        <v>27</v>
      </c>
      <c r="B85" s="7" t="s">
        <v>28</v>
      </c>
      <c r="C85" s="7" t="s">
        <v>46</v>
      </c>
      <c r="D85" s="7" t="s">
        <v>47</v>
      </c>
      <c r="E85" s="7" t="s">
        <v>39</v>
      </c>
      <c r="F85" s="7" t="s">
        <v>50</v>
      </c>
      <c r="G85" s="7">
        <v>2017</v>
      </c>
      <c r="H85" s="7" t="str">
        <f>CONCATENATE("14270103766")</f>
        <v>14270103766</v>
      </c>
      <c r="I85" s="7" t="s">
        <v>30</v>
      </c>
      <c r="J85" s="7" t="s">
        <v>31</v>
      </c>
      <c r="K85" s="7" t="str">
        <f>CONCATENATE("")</f>
        <v/>
      </c>
      <c r="L85" s="7" t="str">
        <f>CONCATENATE("21 21.1 2a")</f>
        <v>21 21.1 2a</v>
      </c>
      <c r="M85" s="7" t="str">
        <f>CONCATENATE("NTSDTR78R26Z129B")</f>
        <v>NTSDTR78R26Z129B</v>
      </c>
      <c r="N85" s="7" t="s">
        <v>157</v>
      </c>
      <c r="O85" s="7" t="s">
        <v>49</v>
      </c>
      <c r="P85" s="8">
        <v>44305</v>
      </c>
      <c r="Q85" s="7" t="s">
        <v>32</v>
      </c>
      <c r="R85" s="7" t="s">
        <v>33</v>
      </c>
      <c r="S85" s="7" t="s">
        <v>34</v>
      </c>
      <c r="T85" s="7"/>
      <c r="U85" s="7" t="s">
        <v>35</v>
      </c>
      <c r="V85" s="9">
        <v>4200</v>
      </c>
      <c r="W85" s="9">
        <v>1811.04</v>
      </c>
      <c r="X85" s="9">
        <v>1672.44</v>
      </c>
      <c r="Y85" s="7">
        <v>0</v>
      </c>
      <c r="Z85" s="7">
        <v>716.52</v>
      </c>
    </row>
    <row r="86" spans="1:26" x14ac:dyDescent="0.35">
      <c r="A86" s="7" t="s">
        <v>27</v>
      </c>
      <c r="B86" s="7" t="s">
        <v>28</v>
      </c>
      <c r="C86" s="7" t="s">
        <v>46</v>
      </c>
      <c r="D86" s="7" t="s">
        <v>72</v>
      </c>
      <c r="E86" s="7" t="s">
        <v>39</v>
      </c>
      <c r="F86" s="7" t="s">
        <v>73</v>
      </c>
      <c r="G86" s="7">
        <v>2017</v>
      </c>
      <c r="H86" s="7" t="str">
        <f>CONCATENATE("14270103857")</f>
        <v>14270103857</v>
      </c>
      <c r="I86" s="7" t="s">
        <v>30</v>
      </c>
      <c r="J86" s="7" t="s">
        <v>31</v>
      </c>
      <c r="K86" s="7" t="str">
        <f>CONCATENATE("")</f>
        <v/>
      </c>
      <c r="L86" s="7" t="str">
        <f>CONCATENATE("21 21.1 2a")</f>
        <v>21 21.1 2a</v>
      </c>
      <c r="M86" s="7" t="str">
        <f>CONCATENATE("FRNLGU38L10G478C")</f>
        <v>FRNLGU38L10G478C</v>
      </c>
      <c r="N86" s="7" t="s">
        <v>158</v>
      </c>
      <c r="O86" s="7" t="s">
        <v>49</v>
      </c>
      <c r="P86" s="8">
        <v>44305</v>
      </c>
      <c r="Q86" s="7" t="s">
        <v>32</v>
      </c>
      <c r="R86" s="7" t="s">
        <v>33</v>
      </c>
      <c r="S86" s="7" t="s">
        <v>34</v>
      </c>
      <c r="T86" s="7"/>
      <c r="U86" s="7" t="s">
        <v>35</v>
      </c>
      <c r="V86" s="9">
        <v>7000</v>
      </c>
      <c r="W86" s="9">
        <v>3018.4</v>
      </c>
      <c r="X86" s="9">
        <v>2787.4</v>
      </c>
      <c r="Y86" s="7">
        <v>0</v>
      </c>
      <c r="Z86" s="9">
        <v>1194.2</v>
      </c>
    </row>
    <row r="87" spans="1:26" x14ac:dyDescent="0.35">
      <c r="A87" s="7" t="s">
        <v>27</v>
      </c>
      <c r="B87" s="7" t="s">
        <v>28</v>
      </c>
      <c r="C87" s="7" t="s">
        <v>46</v>
      </c>
      <c r="D87" s="7" t="s">
        <v>47</v>
      </c>
      <c r="E87" s="7" t="s">
        <v>39</v>
      </c>
      <c r="F87" s="7" t="s">
        <v>61</v>
      </c>
      <c r="G87" s="7">
        <v>2017</v>
      </c>
      <c r="H87" s="7" t="str">
        <f>CONCATENATE("14270104517")</f>
        <v>14270104517</v>
      </c>
      <c r="I87" s="7" t="s">
        <v>30</v>
      </c>
      <c r="J87" s="7" t="s">
        <v>31</v>
      </c>
      <c r="K87" s="7" t="str">
        <f>CONCATENATE("")</f>
        <v/>
      </c>
      <c r="L87" s="7" t="str">
        <f>CONCATENATE("21 21.1 2a")</f>
        <v>21 21.1 2a</v>
      </c>
      <c r="M87" s="7" t="str">
        <f>CONCATENATE("MRZLGN75A18L191E")</f>
        <v>MRZLGN75A18L191E</v>
      </c>
      <c r="N87" s="7" t="s">
        <v>159</v>
      </c>
      <c r="O87" s="7" t="s">
        <v>49</v>
      </c>
      <c r="P87" s="8">
        <v>44305</v>
      </c>
      <c r="Q87" s="7" t="s">
        <v>32</v>
      </c>
      <c r="R87" s="7" t="s">
        <v>33</v>
      </c>
      <c r="S87" s="7" t="s">
        <v>34</v>
      </c>
      <c r="T87" s="7"/>
      <c r="U87" s="7" t="s">
        <v>35</v>
      </c>
      <c r="V87" s="9">
        <v>2175</v>
      </c>
      <c r="W87" s="7">
        <v>937.86</v>
      </c>
      <c r="X87" s="7">
        <v>866.09</v>
      </c>
      <c r="Y87" s="7">
        <v>0</v>
      </c>
      <c r="Z87" s="7">
        <v>371.05</v>
      </c>
    </row>
    <row r="88" spans="1:26" x14ac:dyDescent="0.35">
      <c r="A88" s="7" t="s">
        <v>27</v>
      </c>
      <c r="B88" s="7" t="s">
        <v>28</v>
      </c>
      <c r="C88" s="7" t="s">
        <v>46</v>
      </c>
      <c r="D88" s="7" t="s">
        <v>52</v>
      </c>
      <c r="E88" s="7" t="s">
        <v>41</v>
      </c>
      <c r="F88" s="7" t="s">
        <v>160</v>
      </c>
      <c r="G88" s="7">
        <v>2017</v>
      </c>
      <c r="H88" s="7" t="str">
        <f>CONCATENATE("14270104673")</f>
        <v>14270104673</v>
      </c>
      <c r="I88" s="7" t="s">
        <v>30</v>
      </c>
      <c r="J88" s="7" t="s">
        <v>31</v>
      </c>
      <c r="K88" s="7" t="str">
        <f>CONCATENATE("")</f>
        <v/>
      </c>
      <c r="L88" s="7" t="str">
        <f>CONCATENATE("21 21.1 2a")</f>
        <v>21 21.1 2a</v>
      </c>
      <c r="M88" s="7" t="str">
        <f>CONCATENATE("RSCLNZ67E25F715N")</f>
        <v>RSCLNZ67E25F715N</v>
      </c>
      <c r="N88" s="7" t="s">
        <v>161</v>
      </c>
      <c r="O88" s="7" t="s">
        <v>49</v>
      </c>
      <c r="P88" s="8">
        <v>44305</v>
      </c>
      <c r="Q88" s="7" t="s">
        <v>32</v>
      </c>
      <c r="R88" s="7" t="s">
        <v>33</v>
      </c>
      <c r="S88" s="7" t="s">
        <v>34</v>
      </c>
      <c r="T88" s="7"/>
      <c r="U88" s="7" t="s">
        <v>35</v>
      </c>
      <c r="V88" s="9">
        <v>4875</v>
      </c>
      <c r="W88" s="9">
        <v>2102.1</v>
      </c>
      <c r="X88" s="9">
        <v>1941.23</v>
      </c>
      <c r="Y88" s="7">
        <v>0</v>
      </c>
      <c r="Z88" s="7">
        <v>831.67</v>
      </c>
    </row>
    <row r="89" spans="1:26" x14ac:dyDescent="0.35">
      <c r="A89" s="7" t="s">
        <v>27</v>
      </c>
      <c r="B89" s="7" t="s">
        <v>28</v>
      </c>
      <c r="C89" s="7" t="s">
        <v>46</v>
      </c>
      <c r="D89" s="7" t="s">
        <v>47</v>
      </c>
      <c r="E89" s="7" t="s">
        <v>44</v>
      </c>
      <c r="F89" s="7" t="s">
        <v>100</v>
      </c>
      <c r="G89" s="7">
        <v>2017</v>
      </c>
      <c r="H89" s="7" t="str">
        <f>CONCATENATE("14270104467")</f>
        <v>14270104467</v>
      </c>
      <c r="I89" s="7" t="s">
        <v>30</v>
      </c>
      <c r="J89" s="7" t="s">
        <v>31</v>
      </c>
      <c r="K89" s="7" t="str">
        <f>CONCATENATE("")</f>
        <v/>
      </c>
      <c r="L89" s="7" t="str">
        <f>CONCATENATE("21 21.1 2a")</f>
        <v>21 21.1 2a</v>
      </c>
      <c r="M89" s="7" t="str">
        <f>CONCATENATE("SCRMRA30B56C203F")</f>
        <v>SCRMRA30B56C203F</v>
      </c>
      <c r="N89" s="7" t="s">
        <v>162</v>
      </c>
      <c r="O89" s="7" t="s">
        <v>49</v>
      </c>
      <c r="P89" s="8">
        <v>44305</v>
      </c>
      <c r="Q89" s="7" t="s">
        <v>32</v>
      </c>
      <c r="R89" s="7" t="s">
        <v>33</v>
      </c>
      <c r="S89" s="7" t="s">
        <v>34</v>
      </c>
      <c r="T89" s="7"/>
      <c r="U89" s="7" t="s">
        <v>35</v>
      </c>
      <c r="V89" s="9">
        <v>5850</v>
      </c>
      <c r="W89" s="9">
        <v>2522.52</v>
      </c>
      <c r="X89" s="9">
        <v>2329.4699999999998</v>
      </c>
      <c r="Y89" s="7">
        <v>0</v>
      </c>
      <c r="Z89" s="7">
        <v>998.01</v>
      </c>
    </row>
    <row r="90" spans="1:26" x14ac:dyDescent="0.35">
      <c r="A90" s="7" t="s">
        <v>27</v>
      </c>
      <c r="B90" s="7" t="s">
        <v>28</v>
      </c>
      <c r="C90" s="7" t="s">
        <v>46</v>
      </c>
      <c r="D90" s="7" t="s">
        <v>47</v>
      </c>
      <c r="E90" s="7" t="s">
        <v>44</v>
      </c>
      <c r="F90" s="7" t="s">
        <v>100</v>
      </c>
      <c r="G90" s="7">
        <v>2017</v>
      </c>
      <c r="H90" s="7" t="str">
        <f>CONCATENATE("14270103741")</f>
        <v>14270103741</v>
      </c>
      <c r="I90" s="7" t="s">
        <v>30</v>
      </c>
      <c r="J90" s="7" t="s">
        <v>31</v>
      </c>
      <c r="K90" s="7" t="str">
        <f>CONCATENATE("")</f>
        <v/>
      </c>
      <c r="L90" s="7" t="str">
        <f>CONCATENATE("21 21.1 2a")</f>
        <v>21 21.1 2a</v>
      </c>
      <c r="M90" s="7" t="str">
        <f>CONCATENATE("02003040439")</f>
        <v>02003040439</v>
      </c>
      <c r="N90" s="7" t="s">
        <v>163</v>
      </c>
      <c r="O90" s="7" t="s">
        <v>49</v>
      </c>
      <c r="P90" s="8">
        <v>44305</v>
      </c>
      <c r="Q90" s="7" t="s">
        <v>32</v>
      </c>
      <c r="R90" s="7" t="s">
        <v>33</v>
      </c>
      <c r="S90" s="7" t="s">
        <v>34</v>
      </c>
      <c r="T90" s="7"/>
      <c r="U90" s="7" t="s">
        <v>35</v>
      </c>
      <c r="V90" s="9">
        <v>7000</v>
      </c>
      <c r="W90" s="9">
        <v>3018.4</v>
      </c>
      <c r="X90" s="9">
        <v>2787.4</v>
      </c>
      <c r="Y90" s="7">
        <v>0</v>
      </c>
      <c r="Z90" s="9">
        <v>1194.2</v>
      </c>
    </row>
    <row r="91" spans="1:26" x14ac:dyDescent="0.35">
      <c r="A91" s="7" t="s">
        <v>27</v>
      </c>
      <c r="B91" s="7" t="s">
        <v>28</v>
      </c>
      <c r="C91" s="7" t="s">
        <v>46</v>
      </c>
      <c r="D91" s="7" t="s">
        <v>52</v>
      </c>
      <c r="E91" s="7" t="s">
        <v>44</v>
      </c>
      <c r="F91" s="7" t="s">
        <v>97</v>
      </c>
      <c r="G91" s="7">
        <v>2017</v>
      </c>
      <c r="H91" s="7" t="str">
        <f>CONCATENATE("14270104681")</f>
        <v>14270104681</v>
      </c>
      <c r="I91" s="7" t="s">
        <v>30</v>
      </c>
      <c r="J91" s="7" t="s">
        <v>31</v>
      </c>
      <c r="K91" s="7" t="str">
        <f>CONCATENATE("")</f>
        <v/>
      </c>
      <c r="L91" s="7" t="str">
        <f>CONCATENATE("21 21.1 2a")</f>
        <v>21 21.1 2a</v>
      </c>
      <c r="M91" s="7" t="str">
        <f>CONCATENATE("02600130419")</f>
        <v>02600130419</v>
      </c>
      <c r="N91" s="7" t="s">
        <v>164</v>
      </c>
      <c r="O91" s="7" t="s">
        <v>49</v>
      </c>
      <c r="P91" s="8">
        <v>44305</v>
      </c>
      <c r="Q91" s="7" t="s">
        <v>32</v>
      </c>
      <c r="R91" s="7" t="s">
        <v>33</v>
      </c>
      <c r="S91" s="7" t="s">
        <v>34</v>
      </c>
      <c r="T91" s="7"/>
      <c r="U91" s="7" t="s">
        <v>35</v>
      </c>
      <c r="V91" s="9">
        <v>2100</v>
      </c>
      <c r="W91" s="7">
        <v>905.52</v>
      </c>
      <c r="X91" s="7">
        <v>836.22</v>
      </c>
      <c r="Y91" s="7">
        <v>0</v>
      </c>
      <c r="Z91" s="7">
        <v>358.26</v>
      </c>
    </row>
    <row r="92" spans="1:26" x14ac:dyDescent="0.35">
      <c r="A92" s="7" t="s">
        <v>27</v>
      </c>
      <c r="B92" s="7" t="s">
        <v>28</v>
      </c>
      <c r="C92" s="7" t="s">
        <v>46</v>
      </c>
      <c r="D92" s="7" t="s">
        <v>72</v>
      </c>
      <c r="E92" s="7" t="s">
        <v>36</v>
      </c>
      <c r="F92" s="7" t="s">
        <v>36</v>
      </c>
      <c r="G92" s="7">
        <v>2017</v>
      </c>
      <c r="H92" s="7" t="str">
        <f>CONCATENATE("14270104764")</f>
        <v>14270104764</v>
      </c>
      <c r="I92" s="7" t="s">
        <v>30</v>
      </c>
      <c r="J92" s="7" t="s">
        <v>31</v>
      </c>
      <c r="K92" s="7" t="str">
        <f>CONCATENATE("")</f>
        <v/>
      </c>
      <c r="L92" s="7" t="str">
        <f>CONCATENATE("21 21.1 2a")</f>
        <v>21 21.1 2a</v>
      </c>
      <c r="M92" s="7" t="str">
        <f>CONCATENATE("GRGSFN70S12A271I")</f>
        <v>GRGSFN70S12A271I</v>
      </c>
      <c r="N92" s="7" t="s">
        <v>165</v>
      </c>
      <c r="O92" s="7" t="s">
        <v>49</v>
      </c>
      <c r="P92" s="8">
        <v>44305</v>
      </c>
      <c r="Q92" s="7" t="s">
        <v>32</v>
      </c>
      <c r="R92" s="7" t="s">
        <v>33</v>
      </c>
      <c r="S92" s="7" t="s">
        <v>34</v>
      </c>
      <c r="T92" s="7"/>
      <c r="U92" s="7" t="s">
        <v>35</v>
      </c>
      <c r="V92" s="9">
        <v>3750</v>
      </c>
      <c r="W92" s="9">
        <v>1617</v>
      </c>
      <c r="X92" s="9">
        <v>1493.25</v>
      </c>
      <c r="Y92" s="7">
        <v>0</v>
      </c>
      <c r="Z92" s="7">
        <v>639.75</v>
      </c>
    </row>
    <row r="93" spans="1:26" x14ac:dyDescent="0.35">
      <c r="A93" s="7" t="s">
        <v>27</v>
      </c>
      <c r="B93" s="7" t="s">
        <v>28</v>
      </c>
      <c r="C93" s="7" t="s">
        <v>46</v>
      </c>
      <c r="D93" s="7" t="s">
        <v>47</v>
      </c>
      <c r="E93" s="7" t="s">
        <v>39</v>
      </c>
      <c r="F93" s="7" t="s">
        <v>50</v>
      </c>
      <c r="G93" s="7">
        <v>2017</v>
      </c>
      <c r="H93" s="7" t="str">
        <f>CONCATENATE("14270104798")</f>
        <v>14270104798</v>
      </c>
      <c r="I93" s="7" t="s">
        <v>30</v>
      </c>
      <c r="J93" s="7" t="s">
        <v>31</v>
      </c>
      <c r="K93" s="7" t="str">
        <f>CONCATENATE("")</f>
        <v/>
      </c>
      <c r="L93" s="7" t="str">
        <f>CONCATENATE("21 21.1 2a")</f>
        <v>21 21.1 2a</v>
      </c>
      <c r="M93" s="7" t="str">
        <f>CONCATENATE("PLDFNC39T15I569K")</f>
        <v>PLDFNC39T15I569K</v>
      </c>
      <c r="N93" s="7" t="s">
        <v>166</v>
      </c>
      <c r="O93" s="7" t="s">
        <v>49</v>
      </c>
      <c r="P93" s="8">
        <v>44305</v>
      </c>
      <c r="Q93" s="7" t="s">
        <v>32</v>
      </c>
      <c r="R93" s="7" t="s">
        <v>33</v>
      </c>
      <c r="S93" s="7" t="s">
        <v>34</v>
      </c>
      <c r="T93" s="7"/>
      <c r="U93" s="7" t="s">
        <v>35</v>
      </c>
      <c r="V93" s="9">
        <v>1050</v>
      </c>
      <c r="W93" s="7">
        <v>452.76</v>
      </c>
      <c r="X93" s="7">
        <v>418.11</v>
      </c>
      <c r="Y93" s="7">
        <v>0</v>
      </c>
      <c r="Z93" s="7">
        <v>179.13</v>
      </c>
    </row>
    <row r="94" spans="1:26" x14ac:dyDescent="0.35">
      <c r="A94" s="7" t="s">
        <v>27</v>
      </c>
      <c r="B94" s="7" t="s">
        <v>28</v>
      </c>
      <c r="C94" s="7" t="s">
        <v>46</v>
      </c>
      <c r="D94" s="7" t="s">
        <v>47</v>
      </c>
      <c r="E94" s="7" t="s">
        <v>41</v>
      </c>
      <c r="F94" s="7" t="s">
        <v>167</v>
      </c>
      <c r="G94" s="7">
        <v>2017</v>
      </c>
      <c r="H94" s="7" t="str">
        <f>CONCATENATE("14270104095")</f>
        <v>14270104095</v>
      </c>
      <c r="I94" s="7" t="s">
        <v>30</v>
      </c>
      <c r="J94" s="7" t="s">
        <v>31</v>
      </c>
      <c r="K94" s="7" t="str">
        <f>CONCATENATE("")</f>
        <v/>
      </c>
      <c r="L94" s="7" t="str">
        <f>CONCATENATE("21 21.1 2a")</f>
        <v>21 21.1 2a</v>
      </c>
      <c r="M94" s="7" t="str">
        <f>CONCATENATE("LNRRTI52R55F570B")</f>
        <v>LNRRTI52R55F570B</v>
      </c>
      <c r="N94" s="7" t="s">
        <v>168</v>
      </c>
      <c r="O94" s="7" t="s">
        <v>49</v>
      </c>
      <c r="P94" s="8">
        <v>44305</v>
      </c>
      <c r="Q94" s="7" t="s">
        <v>32</v>
      </c>
      <c r="R94" s="7" t="s">
        <v>33</v>
      </c>
      <c r="S94" s="7" t="s">
        <v>34</v>
      </c>
      <c r="T94" s="7"/>
      <c r="U94" s="7" t="s">
        <v>35</v>
      </c>
      <c r="V94" s="9">
        <v>2625</v>
      </c>
      <c r="W94" s="9">
        <v>1131.9000000000001</v>
      </c>
      <c r="X94" s="9">
        <v>1045.28</v>
      </c>
      <c r="Y94" s="7">
        <v>0</v>
      </c>
      <c r="Z94" s="7">
        <v>447.82</v>
      </c>
    </row>
    <row r="95" spans="1:26" ht="17.5" x14ac:dyDescent="0.35">
      <c r="A95" s="7" t="s">
        <v>27</v>
      </c>
      <c r="B95" s="7" t="s">
        <v>28</v>
      </c>
      <c r="C95" s="7" t="s">
        <v>46</v>
      </c>
      <c r="D95" s="7" t="s">
        <v>72</v>
      </c>
      <c r="E95" s="7" t="s">
        <v>39</v>
      </c>
      <c r="F95" s="7" t="s">
        <v>73</v>
      </c>
      <c r="G95" s="7">
        <v>2017</v>
      </c>
      <c r="H95" s="7" t="str">
        <f>CONCATENATE("14270104244")</f>
        <v>14270104244</v>
      </c>
      <c r="I95" s="7" t="s">
        <v>30</v>
      </c>
      <c r="J95" s="7" t="s">
        <v>31</v>
      </c>
      <c r="K95" s="7" t="str">
        <f>CONCATENATE("")</f>
        <v/>
      </c>
      <c r="L95" s="7" t="str">
        <f>CONCATENATE("21 21.1 2a")</f>
        <v>21 21.1 2a</v>
      </c>
      <c r="M95" s="7" t="str">
        <f>CONCATENATE("MRNMRA45R16I653S")</f>
        <v>MRNMRA45R16I653S</v>
      </c>
      <c r="N95" s="7" t="s">
        <v>169</v>
      </c>
      <c r="O95" s="7" t="s">
        <v>49</v>
      </c>
      <c r="P95" s="8">
        <v>44305</v>
      </c>
      <c r="Q95" s="7" t="s">
        <v>32</v>
      </c>
      <c r="R95" s="7" t="s">
        <v>33</v>
      </c>
      <c r="S95" s="7" t="s">
        <v>34</v>
      </c>
      <c r="T95" s="7"/>
      <c r="U95" s="7" t="s">
        <v>35</v>
      </c>
      <c r="V95" s="9">
        <v>1050</v>
      </c>
      <c r="W95" s="7">
        <v>452.76</v>
      </c>
      <c r="X95" s="7">
        <v>418.11</v>
      </c>
      <c r="Y95" s="7">
        <v>0</v>
      </c>
      <c r="Z95" s="7">
        <v>179.13</v>
      </c>
    </row>
    <row r="96" spans="1:26" ht="17.5" x14ac:dyDescent="0.35">
      <c r="A96" s="7" t="s">
        <v>27</v>
      </c>
      <c r="B96" s="7" t="s">
        <v>28</v>
      </c>
      <c r="C96" s="7" t="s">
        <v>46</v>
      </c>
      <c r="D96" s="7" t="s">
        <v>72</v>
      </c>
      <c r="E96" s="7" t="s">
        <v>39</v>
      </c>
      <c r="F96" s="7" t="s">
        <v>103</v>
      </c>
      <c r="G96" s="7">
        <v>2017</v>
      </c>
      <c r="H96" s="7" t="str">
        <f>CONCATENATE("14270104004")</f>
        <v>14270104004</v>
      </c>
      <c r="I96" s="7" t="s">
        <v>30</v>
      </c>
      <c r="J96" s="7" t="s">
        <v>31</v>
      </c>
      <c r="K96" s="7" t="str">
        <f>CONCATENATE("")</f>
        <v/>
      </c>
      <c r="L96" s="7" t="str">
        <f>CONCATENATE("21 21.1 2a")</f>
        <v>21 21.1 2a</v>
      </c>
      <c r="M96" s="7" t="str">
        <f>CONCATENATE("SBSGBR57S13A366M")</f>
        <v>SBSGBR57S13A366M</v>
      </c>
      <c r="N96" s="7" t="s">
        <v>170</v>
      </c>
      <c r="O96" s="7" t="s">
        <v>49</v>
      </c>
      <c r="P96" s="8">
        <v>44305</v>
      </c>
      <c r="Q96" s="7" t="s">
        <v>32</v>
      </c>
      <c r="R96" s="7" t="s">
        <v>33</v>
      </c>
      <c r="S96" s="7" t="s">
        <v>34</v>
      </c>
      <c r="T96" s="7"/>
      <c r="U96" s="7" t="s">
        <v>35</v>
      </c>
      <c r="V96" s="9">
        <v>1650</v>
      </c>
      <c r="W96" s="7">
        <v>711.48</v>
      </c>
      <c r="X96" s="7">
        <v>657.03</v>
      </c>
      <c r="Y96" s="7">
        <v>0</v>
      </c>
      <c r="Z96" s="7">
        <v>281.49</v>
      </c>
    </row>
    <row r="97" spans="1:26" x14ac:dyDescent="0.35">
      <c r="A97" s="7" t="s">
        <v>27</v>
      </c>
      <c r="B97" s="7" t="s">
        <v>28</v>
      </c>
      <c r="C97" s="7" t="s">
        <v>46</v>
      </c>
      <c r="D97" s="7" t="s">
        <v>47</v>
      </c>
      <c r="E97" s="7" t="s">
        <v>39</v>
      </c>
      <c r="F97" s="7" t="s">
        <v>50</v>
      </c>
      <c r="G97" s="7">
        <v>2017</v>
      </c>
      <c r="H97" s="7" t="str">
        <f>CONCATENATE("14270104632")</f>
        <v>14270104632</v>
      </c>
      <c r="I97" s="7" t="s">
        <v>30</v>
      </c>
      <c r="J97" s="7" t="s">
        <v>31</v>
      </c>
      <c r="K97" s="7" t="str">
        <f>CONCATENATE("")</f>
        <v/>
      </c>
      <c r="L97" s="7" t="str">
        <f>CONCATENATE("21 21.1 2a")</f>
        <v>21 21.1 2a</v>
      </c>
      <c r="M97" s="7" t="str">
        <f>CONCATENATE("DMNRTI46P66I569J")</f>
        <v>DMNRTI46P66I569J</v>
      </c>
      <c r="N97" s="7" t="s">
        <v>171</v>
      </c>
      <c r="O97" s="7" t="s">
        <v>49</v>
      </c>
      <c r="P97" s="8">
        <v>44305</v>
      </c>
      <c r="Q97" s="7" t="s">
        <v>32</v>
      </c>
      <c r="R97" s="7" t="s">
        <v>33</v>
      </c>
      <c r="S97" s="7" t="s">
        <v>34</v>
      </c>
      <c r="T97" s="7"/>
      <c r="U97" s="7" t="s">
        <v>35</v>
      </c>
      <c r="V97" s="9">
        <v>1260</v>
      </c>
      <c r="W97" s="7">
        <v>543.30999999999995</v>
      </c>
      <c r="X97" s="7">
        <v>501.73</v>
      </c>
      <c r="Y97" s="7">
        <v>0</v>
      </c>
      <c r="Z97" s="7">
        <v>214.96</v>
      </c>
    </row>
    <row r="98" spans="1:26" x14ac:dyDescent="0.35">
      <c r="A98" s="7" t="s">
        <v>27</v>
      </c>
      <c r="B98" s="7" t="s">
        <v>28</v>
      </c>
      <c r="C98" s="7" t="s">
        <v>46</v>
      </c>
      <c r="D98" s="7" t="s">
        <v>47</v>
      </c>
      <c r="E98" s="7" t="s">
        <v>39</v>
      </c>
      <c r="F98" s="7" t="s">
        <v>50</v>
      </c>
      <c r="G98" s="7">
        <v>2017</v>
      </c>
      <c r="H98" s="7" t="str">
        <f>CONCATENATE("14270104293")</f>
        <v>14270104293</v>
      </c>
      <c r="I98" s="7" t="s">
        <v>30</v>
      </c>
      <c r="J98" s="7" t="s">
        <v>31</v>
      </c>
      <c r="K98" s="7" t="str">
        <f>CONCATENATE("")</f>
        <v/>
      </c>
      <c r="L98" s="7" t="str">
        <f>CONCATENATE("21 21.1 2a")</f>
        <v>21 21.1 2a</v>
      </c>
      <c r="M98" s="7" t="str">
        <f>CONCATENATE("FDLZEI48B19I661A")</f>
        <v>FDLZEI48B19I661A</v>
      </c>
      <c r="N98" s="7" t="s">
        <v>172</v>
      </c>
      <c r="O98" s="7" t="s">
        <v>49</v>
      </c>
      <c r="P98" s="8">
        <v>44305</v>
      </c>
      <c r="Q98" s="7" t="s">
        <v>32</v>
      </c>
      <c r="R98" s="7" t="s">
        <v>33</v>
      </c>
      <c r="S98" s="7" t="s">
        <v>34</v>
      </c>
      <c r="T98" s="7"/>
      <c r="U98" s="7" t="s">
        <v>35</v>
      </c>
      <c r="V98" s="9">
        <v>1680</v>
      </c>
      <c r="W98" s="7">
        <v>724.42</v>
      </c>
      <c r="X98" s="7">
        <v>668.98</v>
      </c>
      <c r="Y98" s="7">
        <v>0</v>
      </c>
      <c r="Z98" s="7">
        <v>286.60000000000002</v>
      </c>
    </row>
    <row r="99" spans="1:26" x14ac:dyDescent="0.35">
      <c r="A99" s="7" t="s">
        <v>27</v>
      </c>
      <c r="B99" s="7" t="s">
        <v>28</v>
      </c>
      <c r="C99" s="7" t="s">
        <v>46</v>
      </c>
      <c r="D99" s="7" t="s">
        <v>47</v>
      </c>
      <c r="E99" s="7" t="s">
        <v>44</v>
      </c>
      <c r="F99" s="7" t="s">
        <v>100</v>
      </c>
      <c r="G99" s="7">
        <v>2017</v>
      </c>
      <c r="H99" s="7" t="str">
        <f>CONCATENATE("14270103956")</f>
        <v>14270103956</v>
      </c>
      <c r="I99" s="7" t="s">
        <v>30</v>
      </c>
      <c r="J99" s="7" t="s">
        <v>31</v>
      </c>
      <c r="K99" s="7" t="str">
        <f>CONCATENATE("")</f>
        <v/>
      </c>
      <c r="L99" s="7" t="str">
        <f>CONCATENATE("21 21.1 2a")</f>
        <v>21 21.1 2a</v>
      </c>
      <c r="M99" s="7" t="str">
        <f>CONCATENATE("01781710437")</f>
        <v>01781710437</v>
      </c>
      <c r="N99" s="7" t="s">
        <v>173</v>
      </c>
      <c r="O99" s="7" t="s">
        <v>49</v>
      </c>
      <c r="P99" s="8">
        <v>44305</v>
      </c>
      <c r="Q99" s="7" t="s">
        <v>32</v>
      </c>
      <c r="R99" s="7" t="s">
        <v>33</v>
      </c>
      <c r="S99" s="7" t="s">
        <v>34</v>
      </c>
      <c r="T99" s="7"/>
      <c r="U99" s="7" t="s">
        <v>35</v>
      </c>
      <c r="V99" s="9">
        <v>2520</v>
      </c>
      <c r="W99" s="9">
        <v>1086.6199999999999</v>
      </c>
      <c r="X99" s="9">
        <v>1003.46</v>
      </c>
      <c r="Y99" s="7">
        <v>0</v>
      </c>
      <c r="Z99" s="7">
        <v>429.92</v>
      </c>
    </row>
    <row r="100" spans="1:26" x14ac:dyDescent="0.35">
      <c r="A100" s="7" t="s">
        <v>27</v>
      </c>
      <c r="B100" s="7" t="s">
        <v>28</v>
      </c>
      <c r="C100" s="7" t="s">
        <v>46</v>
      </c>
      <c r="D100" s="7" t="s">
        <v>52</v>
      </c>
      <c r="E100" s="7" t="s">
        <v>44</v>
      </c>
      <c r="F100" s="7" t="s">
        <v>97</v>
      </c>
      <c r="G100" s="7">
        <v>2017</v>
      </c>
      <c r="H100" s="7" t="str">
        <f>CONCATENATE("14270103923")</f>
        <v>14270103923</v>
      </c>
      <c r="I100" s="7" t="s">
        <v>30</v>
      </c>
      <c r="J100" s="7" t="s">
        <v>31</v>
      </c>
      <c r="K100" s="7" t="str">
        <f>CONCATENATE("")</f>
        <v/>
      </c>
      <c r="L100" s="7" t="str">
        <f>CONCATENATE("21 21.1 2a")</f>
        <v>21 21.1 2a</v>
      </c>
      <c r="M100" s="7" t="str">
        <f>CONCATENATE("FLMLCU74B57D749K")</f>
        <v>FLMLCU74B57D749K</v>
      </c>
      <c r="N100" s="7" t="s">
        <v>174</v>
      </c>
      <c r="O100" s="7" t="s">
        <v>49</v>
      </c>
      <c r="P100" s="8">
        <v>44305</v>
      </c>
      <c r="Q100" s="7" t="s">
        <v>32</v>
      </c>
      <c r="R100" s="7" t="s">
        <v>33</v>
      </c>
      <c r="S100" s="7" t="s">
        <v>34</v>
      </c>
      <c r="T100" s="7"/>
      <c r="U100" s="7" t="s">
        <v>35</v>
      </c>
      <c r="V100" s="9">
        <v>4725</v>
      </c>
      <c r="W100" s="9">
        <v>2037.42</v>
      </c>
      <c r="X100" s="9">
        <v>1881.5</v>
      </c>
      <c r="Y100" s="7">
        <v>0</v>
      </c>
      <c r="Z100" s="7">
        <v>806.08</v>
      </c>
    </row>
    <row r="101" spans="1:26" x14ac:dyDescent="0.35">
      <c r="A101" s="7" t="s">
        <v>27</v>
      </c>
      <c r="B101" s="7" t="s">
        <v>28</v>
      </c>
      <c r="C101" s="7" t="s">
        <v>46</v>
      </c>
      <c r="D101" s="7" t="s">
        <v>47</v>
      </c>
      <c r="E101" s="7" t="s">
        <v>39</v>
      </c>
      <c r="F101" s="7" t="s">
        <v>61</v>
      </c>
      <c r="G101" s="7">
        <v>2017</v>
      </c>
      <c r="H101" s="7" t="str">
        <f>CONCATENATE("14270104061")</f>
        <v>14270104061</v>
      </c>
      <c r="I101" s="7" t="s">
        <v>30</v>
      </c>
      <c r="J101" s="7" t="s">
        <v>31</v>
      </c>
      <c r="K101" s="7" t="str">
        <f>CONCATENATE("")</f>
        <v/>
      </c>
      <c r="L101" s="7" t="str">
        <f>CONCATENATE("21 21.1 2a")</f>
        <v>21 21.1 2a</v>
      </c>
      <c r="M101" s="7" t="str">
        <f>CONCATENATE("FRTFBA66T16I436F")</f>
        <v>FRTFBA66T16I436F</v>
      </c>
      <c r="N101" s="7" t="s">
        <v>175</v>
      </c>
      <c r="O101" s="7" t="s">
        <v>49</v>
      </c>
      <c r="P101" s="8">
        <v>44305</v>
      </c>
      <c r="Q101" s="7" t="s">
        <v>32</v>
      </c>
      <c r="R101" s="7" t="s">
        <v>33</v>
      </c>
      <c r="S101" s="7" t="s">
        <v>34</v>
      </c>
      <c r="T101" s="7"/>
      <c r="U101" s="7" t="s">
        <v>35</v>
      </c>
      <c r="V101" s="9">
        <v>1050</v>
      </c>
      <c r="W101" s="7">
        <v>452.76</v>
      </c>
      <c r="X101" s="7">
        <v>418.11</v>
      </c>
      <c r="Y101" s="7">
        <v>0</v>
      </c>
      <c r="Z101" s="7">
        <v>179.13</v>
      </c>
    </row>
    <row r="102" spans="1:26" x14ac:dyDescent="0.35">
      <c r="A102" s="7" t="s">
        <v>27</v>
      </c>
      <c r="B102" s="7" t="s">
        <v>28</v>
      </c>
      <c r="C102" s="7" t="s">
        <v>46</v>
      </c>
      <c r="D102" s="7" t="s">
        <v>47</v>
      </c>
      <c r="E102" s="7" t="s">
        <v>44</v>
      </c>
      <c r="F102" s="7" t="s">
        <v>100</v>
      </c>
      <c r="G102" s="7">
        <v>2017</v>
      </c>
      <c r="H102" s="7" t="str">
        <f>CONCATENATE("14270104707")</f>
        <v>14270104707</v>
      </c>
      <c r="I102" s="7" t="s">
        <v>30</v>
      </c>
      <c r="J102" s="7" t="s">
        <v>31</v>
      </c>
      <c r="K102" s="7" t="str">
        <f>CONCATENATE("")</f>
        <v/>
      </c>
      <c r="L102" s="7" t="str">
        <f>CONCATENATE("21 21.1 2a")</f>
        <v>21 21.1 2a</v>
      </c>
      <c r="M102" s="7" t="str">
        <f>CONCATENATE("ZFFLVZ53A23G637Y")</f>
        <v>ZFFLVZ53A23G637Y</v>
      </c>
      <c r="N102" s="7" t="s">
        <v>176</v>
      </c>
      <c r="O102" s="7" t="s">
        <v>49</v>
      </c>
      <c r="P102" s="8">
        <v>44305</v>
      </c>
      <c r="Q102" s="7" t="s">
        <v>32</v>
      </c>
      <c r="R102" s="7" t="s">
        <v>33</v>
      </c>
      <c r="S102" s="7" t="s">
        <v>34</v>
      </c>
      <c r="T102" s="7"/>
      <c r="U102" s="7" t="s">
        <v>35</v>
      </c>
      <c r="V102" s="9">
        <v>1050</v>
      </c>
      <c r="W102" s="7">
        <v>452.76</v>
      </c>
      <c r="X102" s="7">
        <v>418.11</v>
      </c>
      <c r="Y102" s="7">
        <v>0</v>
      </c>
      <c r="Z102" s="7">
        <v>179.13</v>
      </c>
    </row>
    <row r="103" spans="1:26" x14ac:dyDescent="0.35">
      <c r="A103" s="7" t="s">
        <v>27</v>
      </c>
      <c r="B103" s="7" t="s">
        <v>28</v>
      </c>
      <c r="C103" s="7" t="s">
        <v>46</v>
      </c>
      <c r="D103" s="7" t="s">
        <v>47</v>
      </c>
      <c r="E103" s="7" t="s">
        <v>39</v>
      </c>
      <c r="F103" s="7" t="s">
        <v>50</v>
      </c>
      <c r="G103" s="7">
        <v>2017</v>
      </c>
      <c r="H103" s="7" t="str">
        <f>CONCATENATE("14270103865")</f>
        <v>14270103865</v>
      </c>
      <c r="I103" s="7" t="s">
        <v>30</v>
      </c>
      <c r="J103" s="7" t="s">
        <v>31</v>
      </c>
      <c r="K103" s="7" t="str">
        <f>CONCATENATE("")</f>
        <v/>
      </c>
      <c r="L103" s="7" t="str">
        <f>CONCATENATE("21 21.1 2a")</f>
        <v>21 21.1 2a</v>
      </c>
      <c r="M103" s="7" t="str">
        <f>CONCATENATE("GGLRNZ60L25I661U")</f>
        <v>GGLRNZ60L25I661U</v>
      </c>
      <c r="N103" s="7" t="s">
        <v>177</v>
      </c>
      <c r="O103" s="7" t="s">
        <v>49</v>
      </c>
      <c r="P103" s="8">
        <v>44305</v>
      </c>
      <c r="Q103" s="7" t="s">
        <v>32</v>
      </c>
      <c r="R103" s="7" t="s">
        <v>33</v>
      </c>
      <c r="S103" s="7" t="s">
        <v>34</v>
      </c>
      <c r="T103" s="7"/>
      <c r="U103" s="7" t="s">
        <v>35</v>
      </c>
      <c r="V103" s="9">
        <v>2625</v>
      </c>
      <c r="W103" s="9">
        <v>1131.9000000000001</v>
      </c>
      <c r="X103" s="9">
        <v>1045.28</v>
      </c>
      <c r="Y103" s="7">
        <v>0</v>
      </c>
      <c r="Z103" s="7">
        <v>447.82</v>
      </c>
    </row>
    <row r="104" spans="1:26" x14ac:dyDescent="0.35">
      <c r="A104" s="7" t="s">
        <v>27</v>
      </c>
      <c r="B104" s="7" t="s">
        <v>28</v>
      </c>
      <c r="C104" s="7" t="s">
        <v>46</v>
      </c>
      <c r="D104" s="7" t="s">
        <v>47</v>
      </c>
      <c r="E104" s="7" t="s">
        <v>39</v>
      </c>
      <c r="F104" s="7" t="s">
        <v>144</v>
      </c>
      <c r="G104" s="7">
        <v>2017</v>
      </c>
      <c r="H104" s="7" t="str">
        <f>CONCATENATE("14270104574")</f>
        <v>14270104574</v>
      </c>
      <c r="I104" s="7" t="s">
        <v>30</v>
      </c>
      <c r="J104" s="7" t="s">
        <v>31</v>
      </c>
      <c r="K104" s="7" t="str">
        <f>CONCATENATE("")</f>
        <v/>
      </c>
      <c r="L104" s="7" t="str">
        <f>CONCATENATE("21 21.1 2a")</f>
        <v>21 21.1 2a</v>
      </c>
      <c r="M104" s="7" t="str">
        <f>CONCATENATE("GTTPLA55T01I156X")</f>
        <v>GTTPLA55T01I156X</v>
      </c>
      <c r="N104" s="7" t="s">
        <v>178</v>
      </c>
      <c r="O104" s="7" t="s">
        <v>49</v>
      </c>
      <c r="P104" s="8">
        <v>44305</v>
      </c>
      <c r="Q104" s="7" t="s">
        <v>32</v>
      </c>
      <c r="R104" s="7" t="s">
        <v>33</v>
      </c>
      <c r="S104" s="7" t="s">
        <v>34</v>
      </c>
      <c r="T104" s="7"/>
      <c r="U104" s="7" t="s">
        <v>35</v>
      </c>
      <c r="V104" s="9">
        <v>2100</v>
      </c>
      <c r="W104" s="7">
        <v>905.52</v>
      </c>
      <c r="X104" s="7">
        <v>836.22</v>
      </c>
      <c r="Y104" s="7">
        <v>0</v>
      </c>
      <c r="Z104" s="7">
        <v>358.26</v>
      </c>
    </row>
    <row r="105" spans="1:26" x14ac:dyDescent="0.35">
      <c r="A105" s="7" t="s">
        <v>27</v>
      </c>
      <c r="B105" s="7" t="s">
        <v>28</v>
      </c>
      <c r="C105" s="7" t="s">
        <v>46</v>
      </c>
      <c r="D105" s="7" t="s">
        <v>47</v>
      </c>
      <c r="E105" s="7" t="s">
        <v>44</v>
      </c>
      <c r="F105" s="7" t="s">
        <v>100</v>
      </c>
      <c r="G105" s="7">
        <v>2017</v>
      </c>
      <c r="H105" s="7" t="str">
        <f>CONCATENATE("14270104699")</f>
        <v>14270104699</v>
      </c>
      <c r="I105" s="7" t="s">
        <v>30</v>
      </c>
      <c r="J105" s="7" t="s">
        <v>31</v>
      </c>
      <c r="K105" s="7" t="str">
        <f>CONCATENATE("")</f>
        <v/>
      </c>
      <c r="L105" s="7" t="str">
        <f>CONCATENATE("21 21.1 2a")</f>
        <v>21 21.1 2a</v>
      </c>
      <c r="M105" s="7" t="str">
        <f>CONCATENATE("01697690434")</f>
        <v>01697690434</v>
      </c>
      <c r="N105" s="7" t="s">
        <v>179</v>
      </c>
      <c r="O105" s="7" t="s">
        <v>49</v>
      </c>
      <c r="P105" s="8">
        <v>44305</v>
      </c>
      <c r="Q105" s="7" t="s">
        <v>32</v>
      </c>
      <c r="R105" s="7" t="s">
        <v>33</v>
      </c>
      <c r="S105" s="7" t="s">
        <v>34</v>
      </c>
      <c r="T105" s="7"/>
      <c r="U105" s="7" t="s">
        <v>35</v>
      </c>
      <c r="V105" s="9">
        <v>1050</v>
      </c>
      <c r="W105" s="7">
        <v>452.76</v>
      </c>
      <c r="X105" s="7">
        <v>418.11</v>
      </c>
      <c r="Y105" s="7">
        <v>0</v>
      </c>
      <c r="Z105" s="7">
        <v>179.13</v>
      </c>
    </row>
    <row r="106" spans="1:26" ht="17.5" x14ac:dyDescent="0.35">
      <c r="A106" s="7" t="s">
        <v>27</v>
      </c>
      <c r="B106" s="7" t="s">
        <v>28</v>
      </c>
      <c r="C106" s="7" t="s">
        <v>46</v>
      </c>
      <c r="D106" s="7" t="s">
        <v>52</v>
      </c>
      <c r="E106" s="7" t="s">
        <v>44</v>
      </c>
      <c r="F106" s="7" t="s">
        <v>180</v>
      </c>
      <c r="G106" s="7">
        <v>2017</v>
      </c>
      <c r="H106" s="7" t="str">
        <f>CONCATENATE("14270104186")</f>
        <v>14270104186</v>
      </c>
      <c r="I106" s="7" t="s">
        <v>30</v>
      </c>
      <c r="J106" s="7" t="s">
        <v>31</v>
      </c>
      <c r="K106" s="7" t="str">
        <f>CONCATENATE("")</f>
        <v/>
      </c>
      <c r="L106" s="7" t="str">
        <f>CONCATENATE("21 21.1 2a")</f>
        <v>21 21.1 2a</v>
      </c>
      <c r="M106" s="7" t="str">
        <f>CONCATENATE("SVNGMR73A65F205B")</f>
        <v>SVNGMR73A65F205B</v>
      </c>
      <c r="N106" s="7" t="s">
        <v>181</v>
      </c>
      <c r="O106" s="7" t="s">
        <v>49</v>
      </c>
      <c r="P106" s="8">
        <v>44305</v>
      </c>
      <c r="Q106" s="7" t="s">
        <v>32</v>
      </c>
      <c r="R106" s="7" t="s">
        <v>33</v>
      </c>
      <c r="S106" s="7" t="s">
        <v>34</v>
      </c>
      <c r="T106" s="7"/>
      <c r="U106" s="7" t="s">
        <v>35</v>
      </c>
      <c r="V106" s="9">
        <v>2940</v>
      </c>
      <c r="W106" s="9">
        <v>1267.73</v>
      </c>
      <c r="X106" s="9">
        <v>1170.71</v>
      </c>
      <c r="Y106" s="7">
        <v>0</v>
      </c>
      <c r="Z106" s="7">
        <v>501.56</v>
      </c>
    </row>
    <row r="107" spans="1:26" x14ac:dyDescent="0.35">
      <c r="A107" s="7" t="s">
        <v>27</v>
      </c>
      <c r="B107" s="7" t="s">
        <v>28</v>
      </c>
      <c r="C107" s="7" t="s">
        <v>46</v>
      </c>
      <c r="D107" s="7" t="s">
        <v>47</v>
      </c>
      <c r="E107" s="7" t="s">
        <v>44</v>
      </c>
      <c r="F107" s="7" t="s">
        <v>100</v>
      </c>
      <c r="G107" s="7">
        <v>2017</v>
      </c>
      <c r="H107" s="7" t="str">
        <f>CONCATENATE("14270104392")</f>
        <v>14270104392</v>
      </c>
      <c r="I107" s="7" t="s">
        <v>30</v>
      </c>
      <c r="J107" s="7" t="s">
        <v>31</v>
      </c>
      <c r="K107" s="7" t="str">
        <f>CONCATENATE("")</f>
        <v/>
      </c>
      <c r="L107" s="7" t="str">
        <f>CONCATENATE("21 21.1 2a")</f>
        <v>21 21.1 2a</v>
      </c>
      <c r="M107" s="7" t="str">
        <f>CONCATENATE("MSCMLN89C13L117K")</f>
        <v>MSCMLN89C13L117K</v>
      </c>
      <c r="N107" s="7" t="s">
        <v>182</v>
      </c>
      <c r="O107" s="7" t="s">
        <v>49</v>
      </c>
      <c r="P107" s="8">
        <v>44305</v>
      </c>
      <c r="Q107" s="7" t="s">
        <v>32</v>
      </c>
      <c r="R107" s="7" t="s">
        <v>33</v>
      </c>
      <c r="S107" s="7" t="s">
        <v>34</v>
      </c>
      <c r="T107" s="7"/>
      <c r="U107" s="7" t="s">
        <v>35</v>
      </c>
      <c r="V107" s="9">
        <v>2100</v>
      </c>
      <c r="W107" s="7">
        <v>905.52</v>
      </c>
      <c r="X107" s="7">
        <v>836.22</v>
      </c>
      <c r="Y107" s="7">
        <v>0</v>
      </c>
      <c r="Z107" s="7">
        <v>358.26</v>
      </c>
    </row>
    <row r="108" spans="1:26" x14ac:dyDescent="0.35">
      <c r="A108" s="7" t="s">
        <v>27</v>
      </c>
      <c r="B108" s="7" t="s">
        <v>28</v>
      </c>
      <c r="C108" s="7" t="s">
        <v>46</v>
      </c>
      <c r="D108" s="7" t="s">
        <v>47</v>
      </c>
      <c r="E108" s="7" t="s">
        <v>44</v>
      </c>
      <c r="F108" s="7" t="s">
        <v>66</v>
      </c>
      <c r="G108" s="7">
        <v>2017</v>
      </c>
      <c r="H108" s="7" t="str">
        <f>CONCATENATE("14270104509")</f>
        <v>14270104509</v>
      </c>
      <c r="I108" s="7" t="s">
        <v>30</v>
      </c>
      <c r="J108" s="7" t="s">
        <v>31</v>
      </c>
      <c r="K108" s="7" t="str">
        <f>CONCATENATE("")</f>
        <v/>
      </c>
      <c r="L108" s="7" t="str">
        <f>CONCATENATE("21 21.1 2a")</f>
        <v>21 21.1 2a</v>
      </c>
      <c r="M108" s="7" t="str">
        <f>CONCATENATE("PZZPLA69L26B474L")</f>
        <v>PZZPLA69L26B474L</v>
      </c>
      <c r="N108" s="7" t="s">
        <v>183</v>
      </c>
      <c r="O108" s="7" t="s">
        <v>49</v>
      </c>
      <c r="P108" s="8">
        <v>44305</v>
      </c>
      <c r="Q108" s="7" t="s">
        <v>32</v>
      </c>
      <c r="R108" s="7" t="s">
        <v>33</v>
      </c>
      <c r="S108" s="7" t="s">
        <v>34</v>
      </c>
      <c r="T108" s="7"/>
      <c r="U108" s="7" t="s">
        <v>35</v>
      </c>
      <c r="V108" s="9">
        <v>2100</v>
      </c>
      <c r="W108" s="7">
        <v>905.52</v>
      </c>
      <c r="X108" s="7">
        <v>836.22</v>
      </c>
      <c r="Y108" s="7">
        <v>0</v>
      </c>
      <c r="Z108" s="7">
        <v>358.26</v>
      </c>
    </row>
    <row r="109" spans="1:26" x14ac:dyDescent="0.35">
      <c r="A109" s="7" t="s">
        <v>27</v>
      </c>
      <c r="B109" s="7" t="s">
        <v>28</v>
      </c>
      <c r="C109" s="7" t="s">
        <v>46</v>
      </c>
      <c r="D109" s="7" t="s">
        <v>52</v>
      </c>
      <c r="E109" s="7" t="s">
        <v>45</v>
      </c>
      <c r="F109" s="7" t="s">
        <v>184</v>
      </c>
      <c r="G109" s="7">
        <v>2017</v>
      </c>
      <c r="H109" s="7" t="str">
        <f>CONCATENATE("14270104582")</f>
        <v>14270104582</v>
      </c>
      <c r="I109" s="7" t="s">
        <v>30</v>
      </c>
      <c r="J109" s="7" t="s">
        <v>31</v>
      </c>
      <c r="K109" s="7" t="str">
        <f>CONCATENATE("")</f>
        <v/>
      </c>
      <c r="L109" s="7" t="str">
        <f>CONCATENATE("21 21.1 2a")</f>
        <v>21 21.1 2a</v>
      </c>
      <c r="M109" s="7" t="str">
        <f>CONCATENATE("PCAFLV74E25H294H")</f>
        <v>PCAFLV74E25H294H</v>
      </c>
      <c r="N109" s="7" t="s">
        <v>185</v>
      </c>
      <c r="O109" s="7" t="s">
        <v>49</v>
      </c>
      <c r="P109" s="8">
        <v>44305</v>
      </c>
      <c r="Q109" s="7" t="s">
        <v>32</v>
      </c>
      <c r="R109" s="7" t="s">
        <v>33</v>
      </c>
      <c r="S109" s="7" t="s">
        <v>34</v>
      </c>
      <c r="T109" s="7"/>
      <c r="U109" s="7" t="s">
        <v>35</v>
      </c>
      <c r="V109" s="9">
        <v>1740</v>
      </c>
      <c r="W109" s="7">
        <v>750.29</v>
      </c>
      <c r="X109" s="7">
        <v>692.87</v>
      </c>
      <c r="Y109" s="7">
        <v>0</v>
      </c>
      <c r="Z109" s="7">
        <v>296.83999999999997</v>
      </c>
    </row>
    <row r="110" spans="1:26" x14ac:dyDescent="0.35">
      <c r="A110" s="7" t="s">
        <v>27</v>
      </c>
      <c r="B110" s="7" t="s">
        <v>28</v>
      </c>
      <c r="C110" s="7" t="s">
        <v>46</v>
      </c>
      <c r="D110" s="7" t="s">
        <v>52</v>
      </c>
      <c r="E110" s="7" t="s">
        <v>36</v>
      </c>
      <c r="F110" s="7" t="s">
        <v>36</v>
      </c>
      <c r="G110" s="7">
        <v>2017</v>
      </c>
      <c r="H110" s="7" t="str">
        <f>CONCATENATE("14270104715")</f>
        <v>14270104715</v>
      </c>
      <c r="I110" s="7" t="s">
        <v>30</v>
      </c>
      <c r="J110" s="7" t="s">
        <v>31</v>
      </c>
      <c r="K110" s="7" t="str">
        <f>CONCATENATE("")</f>
        <v/>
      </c>
      <c r="L110" s="7" t="str">
        <f>CONCATENATE("21 21.1 2a")</f>
        <v>21 21.1 2a</v>
      </c>
      <c r="M110" s="7" t="str">
        <f>CONCATENATE("82002150413")</f>
        <v>82002150413</v>
      </c>
      <c r="N110" s="7" t="s">
        <v>186</v>
      </c>
      <c r="O110" s="7" t="s">
        <v>49</v>
      </c>
      <c r="P110" s="8">
        <v>44305</v>
      </c>
      <c r="Q110" s="7" t="s">
        <v>32</v>
      </c>
      <c r="R110" s="7" t="s">
        <v>33</v>
      </c>
      <c r="S110" s="7" t="s">
        <v>34</v>
      </c>
      <c r="T110" s="7"/>
      <c r="U110" s="7" t="s">
        <v>35</v>
      </c>
      <c r="V110" s="9">
        <v>1575</v>
      </c>
      <c r="W110" s="7">
        <v>679.14</v>
      </c>
      <c r="X110" s="7">
        <v>627.16999999999996</v>
      </c>
      <c r="Y110" s="7">
        <v>0</v>
      </c>
      <c r="Z110" s="7">
        <v>268.69</v>
      </c>
    </row>
    <row r="111" spans="1:26" ht="17.5" x14ac:dyDescent="0.35">
      <c r="A111" s="7" t="s">
        <v>27</v>
      </c>
      <c r="B111" s="7" t="s">
        <v>28</v>
      </c>
      <c r="C111" s="7" t="s">
        <v>46</v>
      </c>
      <c r="D111" s="7" t="s">
        <v>47</v>
      </c>
      <c r="E111" s="7" t="s">
        <v>39</v>
      </c>
      <c r="F111" s="7" t="s">
        <v>50</v>
      </c>
      <c r="G111" s="7">
        <v>2017</v>
      </c>
      <c r="H111" s="7" t="str">
        <f>CONCATENATE("14270104038")</f>
        <v>14270104038</v>
      </c>
      <c r="I111" s="7" t="s">
        <v>30</v>
      </c>
      <c r="J111" s="7" t="s">
        <v>31</v>
      </c>
      <c r="K111" s="7" t="str">
        <f>CONCATENATE("")</f>
        <v/>
      </c>
      <c r="L111" s="7" t="str">
        <f>CONCATENATE("21 21.1 2a")</f>
        <v>21 21.1 2a</v>
      </c>
      <c r="M111" s="7" t="str">
        <f>CONCATENATE("ZFFBCM57D68G637W")</f>
        <v>ZFFBCM57D68G637W</v>
      </c>
      <c r="N111" s="7" t="s">
        <v>187</v>
      </c>
      <c r="O111" s="7" t="s">
        <v>49</v>
      </c>
      <c r="P111" s="8">
        <v>44305</v>
      </c>
      <c r="Q111" s="7" t="s">
        <v>32</v>
      </c>
      <c r="R111" s="7" t="s">
        <v>33</v>
      </c>
      <c r="S111" s="7" t="s">
        <v>34</v>
      </c>
      <c r="T111" s="7"/>
      <c r="U111" s="7" t="s">
        <v>35</v>
      </c>
      <c r="V111" s="9">
        <v>4200</v>
      </c>
      <c r="W111" s="9">
        <v>1811.04</v>
      </c>
      <c r="X111" s="9">
        <v>1672.44</v>
      </c>
      <c r="Y111" s="7">
        <v>0</v>
      </c>
      <c r="Z111" s="7">
        <v>716.52</v>
      </c>
    </row>
    <row r="112" spans="1:26" x14ac:dyDescent="0.35">
      <c r="A112" s="7" t="s">
        <v>27</v>
      </c>
      <c r="B112" s="7" t="s">
        <v>28</v>
      </c>
      <c r="C112" s="7" t="s">
        <v>46</v>
      </c>
      <c r="D112" s="7" t="s">
        <v>52</v>
      </c>
      <c r="E112" s="7" t="s">
        <v>39</v>
      </c>
      <c r="F112" s="7" t="s">
        <v>188</v>
      </c>
      <c r="G112" s="7">
        <v>2017</v>
      </c>
      <c r="H112" s="7" t="str">
        <f>CONCATENATE("14270104103")</f>
        <v>14270104103</v>
      </c>
      <c r="I112" s="7" t="s">
        <v>30</v>
      </c>
      <c r="J112" s="7" t="s">
        <v>31</v>
      </c>
      <c r="K112" s="7" t="str">
        <f>CONCATENATE("")</f>
        <v/>
      </c>
      <c r="L112" s="7" t="str">
        <f>CONCATENATE("21 21.1 2a")</f>
        <v>21 21.1 2a</v>
      </c>
      <c r="M112" s="7" t="str">
        <f>CONCATENATE("LRGGPP55R17I459R")</f>
        <v>LRGGPP55R17I459R</v>
      </c>
      <c r="N112" s="7" t="s">
        <v>189</v>
      </c>
      <c r="O112" s="7" t="s">
        <v>49</v>
      </c>
      <c r="P112" s="8">
        <v>44305</v>
      </c>
      <c r="Q112" s="7" t="s">
        <v>32</v>
      </c>
      <c r="R112" s="7" t="s">
        <v>33</v>
      </c>
      <c r="S112" s="7" t="s">
        <v>34</v>
      </c>
      <c r="T112" s="7"/>
      <c r="U112" s="7" t="s">
        <v>35</v>
      </c>
      <c r="V112" s="9">
        <v>1575</v>
      </c>
      <c r="W112" s="7">
        <v>679.14</v>
      </c>
      <c r="X112" s="7">
        <v>627.16999999999996</v>
      </c>
      <c r="Y112" s="7">
        <v>0</v>
      </c>
      <c r="Z112" s="7">
        <v>268.69</v>
      </c>
    </row>
    <row r="113" spans="1:26" x14ac:dyDescent="0.35">
      <c r="A113" s="7" t="s">
        <v>27</v>
      </c>
      <c r="B113" s="7" t="s">
        <v>28</v>
      </c>
      <c r="C113" s="7" t="s">
        <v>46</v>
      </c>
      <c r="D113" s="7" t="s">
        <v>47</v>
      </c>
      <c r="E113" s="7" t="s">
        <v>39</v>
      </c>
      <c r="F113" s="7" t="s">
        <v>50</v>
      </c>
      <c r="G113" s="7">
        <v>2017</v>
      </c>
      <c r="H113" s="7" t="str">
        <f>CONCATENATE("14270103832")</f>
        <v>14270103832</v>
      </c>
      <c r="I113" s="7" t="s">
        <v>30</v>
      </c>
      <c r="J113" s="7" t="s">
        <v>31</v>
      </c>
      <c r="K113" s="7" t="str">
        <f>CONCATENATE("")</f>
        <v/>
      </c>
      <c r="L113" s="7" t="str">
        <f>CONCATENATE("21 21.1 2a")</f>
        <v>21 21.1 2a</v>
      </c>
      <c r="M113" s="7" t="str">
        <f>CONCATENATE("LCRGZL42S45B474Q")</f>
        <v>LCRGZL42S45B474Q</v>
      </c>
      <c r="N113" s="7" t="s">
        <v>190</v>
      </c>
      <c r="O113" s="7" t="s">
        <v>49</v>
      </c>
      <c r="P113" s="8">
        <v>44305</v>
      </c>
      <c r="Q113" s="7" t="s">
        <v>32</v>
      </c>
      <c r="R113" s="7" t="s">
        <v>33</v>
      </c>
      <c r="S113" s="7" t="s">
        <v>34</v>
      </c>
      <c r="T113" s="7"/>
      <c r="U113" s="7" t="s">
        <v>35</v>
      </c>
      <c r="V113" s="9">
        <v>2520</v>
      </c>
      <c r="W113" s="9">
        <v>1086.6199999999999</v>
      </c>
      <c r="X113" s="9">
        <v>1003.46</v>
      </c>
      <c r="Y113" s="7">
        <v>0</v>
      </c>
      <c r="Z113" s="7">
        <v>429.92</v>
      </c>
    </row>
    <row r="114" spans="1:26" ht="17.5" x14ac:dyDescent="0.35">
      <c r="A114" s="7" t="s">
        <v>27</v>
      </c>
      <c r="B114" s="7" t="s">
        <v>28</v>
      </c>
      <c r="C114" s="7" t="s">
        <v>46</v>
      </c>
      <c r="D114" s="7" t="s">
        <v>47</v>
      </c>
      <c r="E114" s="7" t="s">
        <v>44</v>
      </c>
      <c r="F114" s="7" t="s">
        <v>100</v>
      </c>
      <c r="G114" s="7">
        <v>2017</v>
      </c>
      <c r="H114" s="7" t="str">
        <f>CONCATENATE("14270103998")</f>
        <v>14270103998</v>
      </c>
      <c r="I114" s="7" t="s">
        <v>30</v>
      </c>
      <c r="J114" s="7" t="s">
        <v>31</v>
      </c>
      <c r="K114" s="7" t="str">
        <f>CONCATENATE("")</f>
        <v/>
      </c>
      <c r="L114" s="7" t="str">
        <f>CONCATENATE("21 21.1 2a")</f>
        <v>21 21.1 2a</v>
      </c>
      <c r="M114" s="7" t="str">
        <f>CONCATENATE("MGGNZR49E24I661D")</f>
        <v>MGGNZR49E24I661D</v>
      </c>
      <c r="N114" s="7" t="s">
        <v>191</v>
      </c>
      <c r="O114" s="7" t="s">
        <v>49</v>
      </c>
      <c r="P114" s="8">
        <v>44305</v>
      </c>
      <c r="Q114" s="7" t="s">
        <v>32</v>
      </c>
      <c r="R114" s="7" t="s">
        <v>33</v>
      </c>
      <c r="S114" s="7" t="s">
        <v>34</v>
      </c>
      <c r="T114" s="7"/>
      <c r="U114" s="7" t="s">
        <v>35</v>
      </c>
      <c r="V114" s="9">
        <v>1260</v>
      </c>
      <c r="W114" s="7">
        <v>543.30999999999995</v>
      </c>
      <c r="X114" s="7">
        <v>501.73</v>
      </c>
      <c r="Y114" s="7">
        <v>0</v>
      </c>
      <c r="Z114" s="7">
        <v>214.96</v>
      </c>
    </row>
    <row r="115" spans="1:26" ht="17.5" x14ac:dyDescent="0.35">
      <c r="A115" s="7" t="s">
        <v>27</v>
      </c>
      <c r="B115" s="7" t="s">
        <v>28</v>
      </c>
      <c r="C115" s="7" t="s">
        <v>46</v>
      </c>
      <c r="D115" s="7" t="s">
        <v>47</v>
      </c>
      <c r="E115" s="7" t="s">
        <v>36</v>
      </c>
      <c r="F115" s="7" t="s">
        <v>36</v>
      </c>
      <c r="G115" s="7">
        <v>2017</v>
      </c>
      <c r="H115" s="7" t="str">
        <f>CONCATENATE("14270104335")</f>
        <v>14270104335</v>
      </c>
      <c r="I115" s="7" t="s">
        <v>30</v>
      </c>
      <c r="J115" s="7" t="s">
        <v>31</v>
      </c>
      <c r="K115" s="7" t="str">
        <f>CONCATENATE("")</f>
        <v/>
      </c>
      <c r="L115" s="7" t="str">
        <f>CONCATENATE("21 21.1 2a")</f>
        <v>21 21.1 2a</v>
      </c>
      <c r="M115" s="7" t="str">
        <f>CONCATENATE("MRZGMR60P24F482Z")</f>
        <v>MRZGMR60P24F482Z</v>
      </c>
      <c r="N115" s="7" t="s">
        <v>192</v>
      </c>
      <c r="O115" s="7" t="s">
        <v>49</v>
      </c>
      <c r="P115" s="8">
        <v>44305</v>
      </c>
      <c r="Q115" s="7" t="s">
        <v>32</v>
      </c>
      <c r="R115" s="7" t="s">
        <v>33</v>
      </c>
      <c r="S115" s="7" t="s">
        <v>34</v>
      </c>
      <c r="T115" s="7"/>
      <c r="U115" s="7" t="s">
        <v>35</v>
      </c>
      <c r="V115" s="9">
        <v>2100</v>
      </c>
      <c r="W115" s="7">
        <v>905.52</v>
      </c>
      <c r="X115" s="7">
        <v>836.22</v>
      </c>
      <c r="Y115" s="7">
        <v>0</v>
      </c>
      <c r="Z115" s="7">
        <v>358.26</v>
      </c>
    </row>
    <row r="116" spans="1:26" ht="17.5" x14ac:dyDescent="0.35">
      <c r="A116" s="7" t="s">
        <v>27</v>
      </c>
      <c r="B116" s="7" t="s">
        <v>28</v>
      </c>
      <c r="C116" s="7" t="s">
        <v>46</v>
      </c>
      <c r="D116" s="7" t="s">
        <v>47</v>
      </c>
      <c r="E116" s="7" t="s">
        <v>39</v>
      </c>
      <c r="F116" s="7" t="s">
        <v>50</v>
      </c>
      <c r="G116" s="7">
        <v>2017</v>
      </c>
      <c r="H116" s="7" t="str">
        <f>CONCATENATE("14270103907")</f>
        <v>14270103907</v>
      </c>
      <c r="I116" s="7" t="s">
        <v>30</v>
      </c>
      <c r="J116" s="7" t="s">
        <v>31</v>
      </c>
      <c r="K116" s="7" t="str">
        <f>CONCATENATE("")</f>
        <v/>
      </c>
      <c r="L116" s="7" t="str">
        <f>CONCATENATE("21 21.1 2a")</f>
        <v>21 21.1 2a</v>
      </c>
      <c r="M116" s="7" t="str">
        <f>CONCATENATE("PGTMEO62T14B474V")</f>
        <v>PGTMEO62T14B474V</v>
      </c>
      <c r="N116" s="7" t="s">
        <v>193</v>
      </c>
      <c r="O116" s="7" t="s">
        <v>49</v>
      </c>
      <c r="P116" s="8">
        <v>44305</v>
      </c>
      <c r="Q116" s="7" t="s">
        <v>32</v>
      </c>
      <c r="R116" s="7" t="s">
        <v>33</v>
      </c>
      <c r="S116" s="7" t="s">
        <v>34</v>
      </c>
      <c r="T116" s="7"/>
      <c r="U116" s="7" t="s">
        <v>35</v>
      </c>
      <c r="V116" s="9">
        <v>2160</v>
      </c>
      <c r="W116" s="7">
        <v>931.39</v>
      </c>
      <c r="X116" s="7">
        <v>860.11</v>
      </c>
      <c r="Y116" s="7">
        <v>0</v>
      </c>
      <c r="Z116" s="7">
        <v>368.5</v>
      </c>
    </row>
    <row r="117" spans="1:26" x14ac:dyDescent="0.35">
      <c r="A117" s="7" t="s">
        <v>27</v>
      </c>
      <c r="B117" s="7" t="s">
        <v>28</v>
      </c>
      <c r="C117" s="7" t="s">
        <v>46</v>
      </c>
      <c r="D117" s="7" t="s">
        <v>47</v>
      </c>
      <c r="E117" s="7" t="s">
        <v>39</v>
      </c>
      <c r="F117" s="7" t="s">
        <v>54</v>
      </c>
      <c r="G117" s="7">
        <v>2017</v>
      </c>
      <c r="H117" s="7" t="str">
        <f>CONCATENATE("14270103808")</f>
        <v>14270103808</v>
      </c>
      <c r="I117" s="7" t="s">
        <v>30</v>
      </c>
      <c r="J117" s="7" t="s">
        <v>31</v>
      </c>
      <c r="K117" s="7" t="str">
        <f>CONCATENATE("")</f>
        <v/>
      </c>
      <c r="L117" s="7" t="str">
        <f>CONCATENATE("21 21.1 2a")</f>
        <v>21 21.1 2a</v>
      </c>
      <c r="M117" s="7" t="str">
        <f>CONCATENATE("STFGMN48S25H211I")</f>
        <v>STFGMN48S25H211I</v>
      </c>
      <c r="N117" s="7" t="s">
        <v>194</v>
      </c>
      <c r="O117" s="7" t="s">
        <v>49</v>
      </c>
      <c r="P117" s="8">
        <v>44305</v>
      </c>
      <c r="Q117" s="7" t="s">
        <v>32</v>
      </c>
      <c r="R117" s="7" t="s">
        <v>33</v>
      </c>
      <c r="S117" s="7" t="s">
        <v>34</v>
      </c>
      <c r="T117" s="7"/>
      <c r="U117" s="7" t="s">
        <v>35</v>
      </c>
      <c r="V117" s="9">
        <v>1050</v>
      </c>
      <c r="W117" s="7">
        <v>452.76</v>
      </c>
      <c r="X117" s="7">
        <v>418.11</v>
      </c>
      <c r="Y117" s="7">
        <v>0</v>
      </c>
      <c r="Z117" s="7">
        <v>179.13</v>
      </c>
    </row>
    <row r="118" spans="1:26" x14ac:dyDescent="0.35">
      <c r="A118" s="7" t="s">
        <v>27</v>
      </c>
      <c r="B118" s="7" t="s">
        <v>28</v>
      </c>
      <c r="C118" s="7" t="s">
        <v>46</v>
      </c>
      <c r="D118" s="7" t="s">
        <v>47</v>
      </c>
      <c r="E118" s="7" t="s">
        <v>39</v>
      </c>
      <c r="F118" s="7" t="s">
        <v>50</v>
      </c>
      <c r="G118" s="7">
        <v>2017</v>
      </c>
      <c r="H118" s="7" t="str">
        <f>CONCATENATE("14270103840")</f>
        <v>14270103840</v>
      </c>
      <c r="I118" s="7" t="s">
        <v>30</v>
      </c>
      <c r="J118" s="7" t="s">
        <v>31</v>
      </c>
      <c r="K118" s="7" t="str">
        <f>CONCATENATE("")</f>
        <v/>
      </c>
      <c r="L118" s="7" t="str">
        <f>CONCATENATE("21 21.1 2a")</f>
        <v>21 21.1 2a</v>
      </c>
      <c r="M118" s="7" t="str">
        <f>CONCATENATE("SBRLBR49L31B474W")</f>
        <v>SBRLBR49L31B474W</v>
      </c>
      <c r="N118" s="7" t="s">
        <v>126</v>
      </c>
      <c r="O118" s="7" t="s">
        <v>49</v>
      </c>
      <c r="P118" s="8">
        <v>44305</v>
      </c>
      <c r="Q118" s="7" t="s">
        <v>32</v>
      </c>
      <c r="R118" s="7" t="s">
        <v>33</v>
      </c>
      <c r="S118" s="7" t="s">
        <v>34</v>
      </c>
      <c r="T118" s="7"/>
      <c r="U118" s="7" t="s">
        <v>35</v>
      </c>
      <c r="V118" s="9">
        <v>1680</v>
      </c>
      <c r="W118" s="7">
        <v>724.42</v>
      </c>
      <c r="X118" s="7">
        <v>668.98</v>
      </c>
      <c r="Y118" s="7">
        <v>0</v>
      </c>
      <c r="Z118" s="7">
        <v>286.60000000000002</v>
      </c>
    </row>
    <row r="119" spans="1:26" x14ac:dyDescent="0.35">
      <c r="A119" s="7" t="s">
        <v>27</v>
      </c>
      <c r="B119" s="7" t="s">
        <v>28</v>
      </c>
      <c r="C119" s="7" t="s">
        <v>46</v>
      </c>
      <c r="D119" s="7" t="s">
        <v>47</v>
      </c>
      <c r="E119" s="7" t="s">
        <v>41</v>
      </c>
      <c r="F119" s="7" t="s">
        <v>58</v>
      </c>
      <c r="G119" s="7">
        <v>2017</v>
      </c>
      <c r="H119" s="7" t="str">
        <f>CONCATENATE("14270104624")</f>
        <v>14270104624</v>
      </c>
      <c r="I119" s="7" t="s">
        <v>30</v>
      </c>
      <c r="J119" s="7" t="s">
        <v>31</v>
      </c>
      <c r="K119" s="7" t="str">
        <f>CONCATENATE("")</f>
        <v/>
      </c>
      <c r="L119" s="7" t="str">
        <f>CONCATENATE("21 21.1 2a")</f>
        <v>21 21.1 2a</v>
      </c>
      <c r="M119" s="7" t="str">
        <f>CONCATENATE("01652720432")</f>
        <v>01652720432</v>
      </c>
      <c r="N119" s="7" t="s">
        <v>195</v>
      </c>
      <c r="O119" s="7" t="s">
        <v>49</v>
      </c>
      <c r="P119" s="8">
        <v>44305</v>
      </c>
      <c r="Q119" s="7" t="s">
        <v>32</v>
      </c>
      <c r="R119" s="7" t="s">
        <v>33</v>
      </c>
      <c r="S119" s="7" t="s">
        <v>34</v>
      </c>
      <c r="T119" s="7"/>
      <c r="U119" s="7" t="s">
        <v>35</v>
      </c>
      <c r="V119" s="9">
        <v>5775</v>
      </c>
      <c r="W119" s="9">
        <v>2490.1799999999998</v>
      </c>
      <c r="X119" s="9">
        <v>2299.61</v>
      </c>
      <c r="Y119" s="7">
        <v>0</v>
      </c>
      <c r="Z119" s="7">
        <v>985.21</v>
      </c>
    </row>
    <row r="120" spans="1:26" ht="17.5" x14ac:dyDescent="0.35">
      <c r="A120" s="7" t="s">
        <v>27</v>
      </c>
      <c r="B120" s="7" t="s">
        <v>28</v>
      </c>
      <c r="C120" s="7" t="s">
        <v>46</v>
      </c>
      <c r="D120" s="7" t="s">
        <v>52</v>
      </c>
      <c r="E120" s="7" t="s">
        <v>39</v>
      </c>
      <c r="F120" s="7" t="s">
        <v>196</v>
      </c>
      <c r="G120" s="7">
        <v>2017</v>
      </c>
      <c r="H120" s="7" t="str">
        <f>CONCATENATE("04270232921")</f>
        <v>04270232921</v>
      </c>
      <c r="I120" s="7" t="s">
        <v>30</v>
      </c>
      <c r="J120" s="7" t="s">
        <v>31</v>
      </c>
      <c r="K120" s="7" t="str">
        <f>CONCATENATE("")</f>
        <v/>
      </c>
      <c r="L120" s="7" t="str">
        <f>CONCATENATE("6 6.4 2a")</f>
        <v>6 6.4 2a</v>
      </c>
      <c r="M120" s="7" t="str">
        <f>CONCATENATE("BRTDNL63M57Z401B")</f>
        <v>BRTDNL63M57Z401B</v>
      </c>
      <c r="N120" s="7" t="s">
        <v>197</v>
      </c>
      <c r="O120" s="7" t="s">
        <v>198</v>
      </c>
      <c r="P120" s="8">
        <v>44305</v>
      </c>
      <c r="Q120" s="7" t="s">
        <v>32</v>
      </c>
      <c r="R120" s="7" t="s">
        <v>33</v>
      </c>
      <c r="S120" s="7" t="s">
        <v>34</v>
      </c>
      <c r="T120" s="7"/>
      <c r="U120" s="7" t="s">
        <v>35</v>
      </c>
      <c r="V120" s="9">
        <v>23914.59</v>
      </c>
      <c r="W120" s="9">
        <v>10311.969999999999</v>
      </c>
      <c r="X120" s="9">
        <v>9522.7900000000009</v>
      </c>
      <c r="Y120" s="7">
        <v>0</v>
      </c>
      <c r="Z120" s="9">
        <v>4079.83</v>
      </c>
    </row>
    <row r="121" spans="1:26" ht="17.5" x14ac:dyDescent="0.35">
      <c r="A121" s="7" t="s">
        <v>27</v>
      </c>
      <c r="B121" s="7" t="s">
        <v>38</v>
      </c>
      <c r="C121" s="7" t="s">
        <v>46</v>
      </c>
      <c r="D121" s="7" t="s">
        <v>92</v>
      </c>
      <c r="E121" s="7" t="s">
        <v>39</v>
      </c>
      <c r="F121" s="7" t="s">
        <v>199</v>
      </c>
      <c r="G121" s="7">
        <v>2020</v>
      </c>
      <c r="H121" s="7" t="str">
        <f>CONCATENATE("04241117722")</f>
        <v>04241117722</v>
      </c>
      <c r="I121" s="7" t="s">
        <v>30</v>
      </c>
      <c r="J121" s="7" t="s">
        <v>31</v>
      </c>
      <c r="K121" s="7" t="str">
        <f>CONCATENATE("")</f>
        <v/>
      </c>
      <c r="L121" s="7" t="str">
        <f>CONCATENATE("11 11.2 4b")</f>
        <v>11 11.2 4b</v>
      </c>
      <c r="M121" s="7" t="str">
        <f>CONCATENATE("02274900444")</f>
        <v>02274900444</v>
      </c>
      <c r="N121" s="7" t="s">
        <v>200</v>
      </c>
      <c r="O121" s="7" t="s">
        <v>201</v>
      </c>
      <c r="P121" s="8">
        <v>44305</v>
      </c>
      <c r="Q121" s="7" t="s">
        <v>32</v>
      </c>
      <c r="R121" s="7" t="s">
        <v>33</v>
      </c>
      <c r="S121" s="7" t="s">
        <v>34</v>
      </c>
      <c r="T121" s="7"/>
      <c r="U121" s="7" t="s">
        <v>35</v>
      </c>
      <c r="V121" s="9">
        <v>1609.32</v>
      </c>
      <c r="W121" s="7">
        <v>693.94</v>
      </c>
      <c r="X121" s="7">
        <v>640.83000000000004</v>
      </c>
      <c r="Y121" s="7">
        <v>0</v>
      </c>
      <c r="Z121" s="7">
        <v>274.55</v>
      </c>
    </row>
    <row r="122" spans="1:26" x14ac:dyDescent="0.35">
      <c r="A122" s="7" t="s">
        <v>27</v>
      </c>
      <c r="B122" s="7" t="s">
        <v>38</v>
      </c>
      <c r="C122" s="7" t="s">
        <v>46</v>
      </c>
      <c r="D122" s="7" t="s">
        <v>52</v>
      </c>
      <c r="E122" s="7" t="s">
        <v>44</v>
      </c>
      <c r="F122" s="7" t="s">
        <v>97</v>
      </c>
      <c r="G122" s="7">
        <v>2020</v>
      </c>
      <c r="H122" s="7" t="str">
        <f>CONCATENATE("04240798456")</f>
        <v>04240798456</v>
      </c>
      <c r="I122" s="7" t="s">
        <v>30</v>
      </c>
      <c r="J122" s="7" t="s">
        <v>31</v>
      </c>
      <c r="K122" s="7" t="str">
        <f>CONCATENATE("")</f>
        <v/>
      </c>
      <c r="L122" s="7" t="str">
        <f>CONCATENATE("11 11.2 4b")</f>
        <v>11 11.2 4b</v>
      </c>
      <c r="M122" s="7" t="str">
        <f>CONCATENATE("CLNNRC83M16I459C")</f>
        <v>CLNNRC83M16I459C</v>
      </c>
      <c r="N122" s="7" t="s">
        <v>106</v>
      </c>
      <c r="O122" s="7" t="s">
        <v>202</v>
      </c>
      <c r="P122" s="8">
        <v>44305</v>
      </c>
      <c r="Q122" s="7" t="s">
        <v>32</v>
      </c>
      <c r="R122" s="7" t="s">
        <v>33</v>
      </c>
      <c r="S122" s="7" t="s">
        <v>34</v>
      </c>
      <c r="T122" s="7"/>
      <c r="U122" s="7" t="s">
        <v>35</v>
      </c>
      <c r="V122" s="9">
        <v>1251.3399999999999</v>
      </c>
      <c r="W122" s="7">
        <v>539.58000000000004</v>
      </c>
      <c r="X122" s="7">
        <v>498.28</v>
      </c>
      <c r="Y122" s="7">
        <v>0</v>
      </c>
      <c r="Z122" s="7">
        <v>213.48</v>
      </c>
    </row>
    <row r="123" spans="1:26" x14ac:dyDescent="0.35">
      <c r="A123" s="7" t="s">
        <v>27</v>
      </c>
      <c r="B123" s="7" t="s">
        <v>38</v>
      </c>
      <c r="C123" s="7" t="s">
        <v>46</v>
      </c>
      <c r="D123" s="7" t="s">
        <v>47</v>
      </c>
      <c r="E123" s="7" t="s">
        <v>39</v>
      </c>
      <c r="F123" s="7" t="s">
        <v>144</v>
      </c>
      <c r="G123" s="7">
        <v>2020</v>
      </c>
      <c r="H123" s="7" t="str">
        <f>CONCATENATE("04240813883")</f>
        <v>04240813883</v>
      </c>
      <c r="I123" s="7" t="s">
        <v>40</v>
      </c>
      <c r="J123" s="7" t="s">
        <v>31</v>
      </c>
      <c r="K123" s="7" t="str">
        <f>CONCATENATE("")</f>
        <v/>
      </c>
      <c r="L123" s="7" t="str">
        <f>CONCATENATE("11 11.2 4b")</f>
        <v>11 11.2 4b</v>
      </c>
      <c r="M123" s="7" t="str">
        <f>CONCATENATE("TRCRNZ68E17I156U")</f>
        <v>TRCRNZ68E17I156U</v>
      </c>
      <c r="N123" s="7" t="s">
        <v>156</v>
      </c>
      <c r="O123" s="7" t="s">
        <v>202</v>
      </c>
      <c r="P123" s="8">
        <v>44305</v>
      </c>
      <c r="Q123" s="7" t="s">
        <v>32</v>
      </c>
      <c r="R123" s="7" t="s">
        <v>33</v>
      </c>
      <c r="S123" s="7" t="s">
        <v>34</v>
      </c>
      <c r="T123" s="7"/>
      <c r="U123" s="7" t="s">
        <v>35</v>
      </c>
      <c r="V123" s="9">
        <v>5673.86</v>
      </c>
      <c r="W123" s="9">
        <v>2446.5700000000002</v>
      </c>
      <c r="X123" s="9">
        <v>2259.33</v>
      </c>
      <c r="Y123" s="7">
        <v>0</v>
      </c>
      <c r="Z123" s="7">
        <v>967.96</v>
      </c>
    </row>
    <row r="124" spans="1:26" x14ac:dyDescent="0.35">
      <c r="A124" s="7" t="s">
        <v>27</v>
      </c>
      <c r="B124" s="7" t="s">
        <v>38</v>
      </c>
      <c r="C124" s="7" t="s">
        <v>46</v>
      </c>
      <c r="D124" s="7" t="s">
        <v>47</v>
      </c>
      <c r="E124" s="7" t="s">
        <v>36</v>
      </c>
      <c r="F124" s="7" t="s">
        <v>36</v>
      </c>
      <c r="G124" s="7">
        <v>2020</v>
      </c>
      <c r="H124" s="7" t="str">
        <f>CONCATENATE("04240798118")</f>
        <v>04240798118</v>
      </c>
      <c r="I124" s="7" t="s">
        <v>30</v>
      </c>
      <c r="J124" s="7" t="s">
        <v>31</v>
      </c>
      <c r="K124" s="7" t="str">
        <f>CONCATENATE("")</f>
        <v/>
      </c>
      <c r="L124" s="7" t="str">
        <f>CONCATENATE("11 11.1 4b")</f>
        <v>11 11.1 4b</v>
      </c>
      <c r="M124" s="7" t="str">
        <f>CONCATENATE("SCLRND93L22D024E")</f>
        <v>SCLRND93L22D024E</v>
      </c>
      <c r="N124" s="7" t="s">
        <v>203</v>
      </c>
      <c r="O124" s="7" t="s">
        <v>202</v>
      </c>
      <c r="P124" s="8">
        <v>44305</v>
      </c>
      <c r="Q124" s="7" t="s">
        <v>32</v>
      </c>
      <c r="R124" s="7" t="s">
        <v>33</v>
      </c>
      <c r="S124" s="7" t="s">
        <v>34</v>
      </c>
      <c r="T124" s="7"/>
      <c r="U124" s="7" t="s">
        <v>35</v>
      </c>
      <c r="V124" s="7">
        <v>467.32</v>
      </c>
      <c r="W124" s="7">
        <v>201.51</v>
      </c>
      <c r="X124" s="7">
        <v>186.09</v>
      </c>
      <c r="Y124" s="7">
        <v>0</v>
      </c>
      <c r="Z124" s="7">
        <v>79.72</v>
      </c>
    </row>
    <row r="125" spans="1:26" x14ac:dyDescent="0.35">
      <c r="A125" s="7" t="s">
        <v>27</v>
      </c>
      <c r="B125" s="7" t="s">
        <v>38</v>
      </c>
      <c r="C125" s="7" t="s">
        <v>46</v>
      </c>
      <c r="D125" s="7" t="s">
        <v>47</v>
      </c>
      <c r="E125" s="7" t="s">
        <v>39</v>
      </c>
      <c r="F125" s="7" t="s">
        <v>50</v>
      </c>
      <c r="G125" s="7">
        <v>2020</v>
      </c>
      <c r="H125" s="7" t="str">
        <f>CONCATENATE("04240156572")</f>
        <v>04240156572</v>
      </c>
      <c r="I125" s="7" t="s">
        <v>30</v>
      </c>
      <c r="J125" s="7" t="s">
        <v>31</v>
      </c>
      <c r="K125" s="7" t="str">
        <f>CONCATENATE("")</f>
        <v/>
      </c>
      <c r="L125" s="7" t="str">
        <f>CONCATENATE("11 11.2 4b")</f>
        <v>11 11.2 4b</v>
      </c>
      <c r="M125" s="7" t="str">
        <f>CONCATENATE("VLRLNI75B15B474A")</f>
        <v>VLRLNI75B15B474A</v>
      </c>
      <c r="N125" s="7" t="s">
        <v>155</v>
      </c>
      <c r="O125" s="7" t="s">
        <v>202</v>
      </c>
      <c r="P125" s="8">
        <v>44305</v>
      </c>
      <c r="Q125" s="7" t="s">
        <v>32</v>
      </c>
      <c r="R125" s="7" t="s">
        <v>33</v>
      </c>
      <c r="S125" s="7" t="s">
        <v>34</v>
      </c>
      <c r="T125" s="7"/>
      <c r="U125" s="7" t="s">
        <v>35</v>
      </c>
      <c r="V125" s="9">
        <v>30439.53</v>
      </c>
      <c r="W125" s="9">
        <v>13125.53</v>
      </c>
      <c r="X125" s="9">
        <v>12121.02</v>
      </c>
      <c r="Y125" s="7">
        <v>0</v>
      </c>
      <c r="Z125" s="9">
        <v>5192.9799999999996</v>
      </c>
    </row>
    <row r="126" spans="1:26" x14ac:dyDescent="0.35">
      <c r="A126" s="7" t="s">
        <v>27</v>
      </c>
      <c r="B126" s="7" t="s">
        <v>38</v>
      </c>
      <c r="C126" s="7" t="s">
        <v>46</v>
      </c>
      <c r="D126" s="7" t="s">
        <v>47</v>
      </c>
      <c r="E126" s="7" t="s">
        <v>44</v>
      </c>
      <c r="F126" s="7" t="s">
        <v>204</v>
      </c>
      <c r="G126" s="7">
        <v>2020</v>
      </c>
      <c r="H126" s="7" t="str">
        <f>CONCATENATE("04240320236")</f>
        <v>04240320236</v>
      </c>
      <c r="I126" s="7" t="s">
        <v>40</v>
      </c>
      <c r="J126" s="7" t="s">
        <v>31</v>
      </c>
      <c r="K126" s="7" t="str">
        <f>CONCATENATE("")</f>
        <v/>
      </c>
      <c r="L126" s="7" t="str">
        <f>CONCATENATE("11 11.1 4b")</f>
        <v>11 11.1 4b</v>
      </c>
      <c r="M126" s="7" t="str">
        <f>CONCATENATE("DLLDVD92P30I156S")</f>
        <v>DLLDVD92P30I156S</v>
      </c>
      <c r="N126" s="7" t="s">
        <v>205</v>
      </c>
      <c r="O126" s="7" t="s">
        <v>202</v>
      </c>
      <c r="P126" s="8">
        <v>44305</v>
      </c>
      <c r="Q126" s="7" t="s">
        <v>32</v>
      </c>
      <c r="R126" s="7" t="s">
        <v>33</v>
      </c>
      <c r="S126" s="7" t="s">
        <v>34</v>
      </c>
      <c r="T126" s="7"/>
      <c r="U126" s="7" t="s">
        <v>35</v>
      </c>
      <c r="V126" s="9">
        <v>1175.99</v>
      </c>
      <c r="W126" s="7">
        <v>507.09</v>
      </c>
      <c r="X126" s="7">
        <v>468.28</v>
      </c>
      <c r="Y126" s="7">
        <v>0</v>
      </c>
      <c r="Z126" s="7">
        <v>200.62</v>
      </c>
    </row>
    <row r="127" spans="1:26" x14ac:dyDescent="0.35">
      <c r="A127" s="7" t="s">
        <v>27</v>
      </c>
      <c r="B127" s="7" t="s">
        <v>38</v>
      </c>
      <c r="C127" s="7" t="s">
        <v>46</v>
      </c>
      <c r="D127" s="7" t="s">
        <v>47</v>
      </c>
      <c r="E127" s="7" t="s">
        <v>39</v>
      </c>
      <c r="F127" s="7" t="s">
        <v>144</v>
      </c>
      <c r="G127" s="7">
        <v>2020</v>
      </c>
      <c r="H127" s="7" t="str">
        <f>CONCATENATE("04240147894")</f>
        <v>04240147894</v>
      </c>
      <c r="I127" s="7" t="s">
        <v>40</v>
      </c>
      <c r="J127" s="7" t="s">
        <v>31</v>
      </c>
      <c r="K127" s="7" t="str">
        <f>CONCATENATE("")</f>
        <v/>
      </c>
      <c r="L127" s="7" t="str">
        <f>CONCATENATE("11 11.2 4b")</f>
        <v>11 11.2 4b</v>
      </c>
      <c r="M127" s="7" t="str">
        <f>CONCATENATE("BRRBBR88T69I156J")</f>
        <v>BRRBBR88T69I156J</v>
      </c>
      <c r="N127" s="7" t="s">
        <v>206</v>
      </c>
      <c r="O127" s="7" t="s">
        <v>202</v>
      </c>
      <c r="P127" s="8">
        <v>44305</v>
      </c>
      <c r="Q127" s="7" t="s">
        <v>32</v>
      </c>
      <c r="R127" s="7" t="s">
        <v>33</v>
      </c>
      <c r="S127" s="7" t="s">
        <v>34</v>
      </c>
      <c r="T127" s="7"/>
      <c r="U127" s="7" t="s">
        <v>35</v>
      </c>
      <c r="V127" s="7">
        <v>158.44</v>
      </c>
      <c r="W127" s="7">
        <v>68.319999999999993</v>
      </c>
      <c r="X127" s="7">
        <v>63.09</v>
      </c>
      <c r="Y127" s="7">
        <v>0</v>
      </c>
      <c r="Z127" s="7">
        <v>27.03</v>
      </c>
    </row>
    <row r="128" spans="1:26" x14ac:dyDescent="0.35">
      <c r="A128" s="7" t="s">
        <v>27</v>
      </c>
      <c r="B128" s="7" t="s">
        <v>38</v>
      </c>
      <c r="C128" s="7" t="s">
        <v>46</v>
      </c>
      <c r="D128" s="7" t="s">
        <v>47</v>
      </c>
      <c r="E128" s="7" t="s">
        <v>39</v>
      </c>
      <c r="F128" s="7" t="s">
        <v>50</v>
      </c>
      <c r="G128" s="7">
        <v>2016</v>
      </c>
      <c r="H128" s="7" t="str">
        <f>CONCATENATE("64240507281")</f>
        <v>64240507281</v>
      </c>
      <c r="I128" s="7" t="s">
        <v>30</v>
      </c>
      <c r="J128" s="7" t="s">
        <v>31</v>
      </c>
      <c r="K128" s="7" t="str">
        <f>CONCATENATE("")</f>
        <v/>
      </c>
      <c r="L128" s="7" t="str">
        <f>CONCATENATE("11 11.2 4b")</f>
        <v>11 11.2 4b</v>
      </c>
      <c r="M128" s="7" t="str">
        <f>CONCATENATE("NGLMRK78A11B474J")</f>
        <v>NGLMRK78A11B474J</v>
      </c>
      <c r="N128" s="7" t="s">
        <v>207</v>
      </c>
      <c r="O128" s="7" t="s">
        <v>202</v>
      </c>
      <c r="P128" s="8">
        <v>44305</v>
      </c>
      <c r="Q128" s="7" t="s">
        <v>32</v>
      </c>
      <c r="R128" s="7" t="s">
        <v>33</v>
      </c>
      <c r="S128" s="7" t="s">
        <v>34</v>
      </c>
      <c r="T128" s="7"/>
      <c r="U128" s="7" t="s">
        <v>35</v>
      </c>
      <c r="V128" s="9">
        <v>4390.3599999999997</v>
      </c>
      <c r="W128" s="9">
        <v>1893.12</v>
      </c>
      <c r="X128" s="9">
        <v>1748.24</v>
      </c>
      <c r="Y128" s="7">
        <v>0</v>
      </c>
      <c r="Z128" s="7">
        <v>749</v>
      </c>
    </row>
    <row r="129" spans="1:26" ht="17.5" x14ac:dyDescent="0.35">
      <c r="A129" s="7" t="s">
        <v>27</v>
      </c>
      <c r="B129" s="7" t="s">
        <v>38</v>
      </c>
      <c r="C129" s="7" t="s">
        <v>46</v>
      </c>
      <c r="D129" s="7" t="s">
        <v>92</v>
      </c>
      <c r="E129" s="7" t="s">
        <v>41</v>
      </c>
      <c r="F129" s="7" t="s">
        <v>167</v>
      </c>
      <c r="G129" s="7">
        <v>2020</v>
      </c>
      <c r="H129" s="7" t="str">
        <f>CONCATENATE("04240399255")</f>
        <v>04240399255</v>
      </c>
      <c r="I129" s="7" t="s">
        <v>30</v>
      </c>
      <c r="J129" s="7" t="s">
        <v>31</v>
      </c>
      <c r="K129" s="7" t="str">
        <f>CONCATENATE("")</f>
        <v/>
      </c>
      <c r="L129" s="7" t="str">
        <f>CONCATENATE("11 11.2 4b")</f>
        <v>11 11.2 4b</v>
      </c>
      <c r="M129" s="7" t="str">
        <f>CONCATENATE("DMTSTN48L20L597W")</f>
        <v>DMTSTN48L20L597W</v>
      </c>
      <c r="N129" s="7" t="s">
        <v>208</v>
      </c>
      <c r="O129" s="7" t="s">
        <v>201</v>
      </c>
      <c r="P129" s="8">
        <v>44305</v>
      </c>
      <c r="Q129" s="7" t="s">
        <v>32</v>
      </c>
      <c r="R129" s="7" t="s">
        <v>33</v>
      </c>
      <c r="S129" s="7" t="s">
        <v>34</v>
      </c>
      <c r="T129" s="7"/>
      <c r="U129" s="7" t="s">
        <v>35</v>
      </c>
      <c r="V129" s="9">
        <v>6948.14</v>
      </c>
      <c r="W129" s="9">
        <v>2996.04</v>
      </c>
      <c r="X129" s="9">
        <v>2766.75</v>
      </c>
      <c r="Y129" s="7">
        <v>0</v>
      </c>
      <c r="Z129" s="9">
        <v>1185.3499999999999</v>
      </c>
    </row>
    <row r="130" spans="1:26" ht="17.5" x14ac:dyDescent="0.35">
      <c r="A130" s="7" t="s">
        <v>27</v>
      </c>
      <c r="B130" s="7" t="s">
        <v>28</v>
      </c>
      <c r="C130" s="7" t="s">
        <v>46</v>
      </c>
      <c r="D130" s="7" t="s">
        <v>92</v>
      </c>
      <c r="E130" s="7" t="s">
        <v>29</v>
      </c>
      <c r="F130" s="7" t="s">
        <v>209</v>
      </c>
      <c r="G130" s="7">
        <v>2017</v>
      </c>
      <c r="H130" s="7" t="str">
        <f>CONCATENATE("14270111868")</f>
        <v>14270111868</v>
      </c>
      <c r="I130" s="7" t="s">
        <v>30</v>
      </c>
      <c r="J130" s="7" t="s">
        <v>31</v>
      </c>
      <c r="K130" s="7" t="str">
        <f>CONCATENATE("")</f>
        <v/>
      </c>
      <c r="L130" s="7" t="str">
        <f>CONCATENATE("6 6.1 2b")</f>
        <v>6 6.1 2b</v>
      </c>
      <c r="M130" s="7" t="str">
        <f>CONCATENATE("GNNLCU96D30A252H")</f>
        <v>GNNLCU96D30A252H</v>
      </c>
      <c r="N130" s="7" t="s">
        <v>210</v>
      </c>
      <c r="O130" s="7" t="s">
        <v>211</v>
      </c>
      <c r="P130" s="8">
        <v>44305</v>
      </c>
      <c r="Q130" s="7" t="s">
        <v>32</v>
      </c>
      <c r="R130" s="7" t="s">
        <v>33</v>
      </c>
      <c r="S130" s="7" t="s">
        <v>34</v>
      </c>
      <c r="T130" s="7"/>
      <c r="U130" s="7" t="s">
        <v>35</v>
      </c>
      <c r="V130" s="9">
        <v>21000</v>
      </c>
      <c r="W130" s="9">
        <v>9055.2000000000007</v>
      </c>
      <c r="X130" s="9">
        <v>8362.2000000000007</v>
      </c>
      <c r="Y130" s="7">
        <v>0</v>
      </c>
      <c r="Z130" s="9">
        <v>3582.6</v>
      </c>
    </row>
    <row r="131" spans="1:26" ht="17.5" x14ac:dyDescent="0.35">
      <c r="A131" s="7" t="s">
        <v>27</v>
      </c>
      <c r="B131" s="7" t="s">
        <v>28</v>
      </c>
      <c r="C131" s="7" t="s">
        <v>46</v>
      </c>
      <c r="D131" s="7" t="s">
        <v>92</v>
      </c>
      <c r="E131" s="7" t="s">
        <v>29</v>
      </c>
      <c r="F131" s="7" t="s">
        <v>209</v>
      </c>
      <c r="G131" s="7">
        <v>2017</v>
      </c>
      <c r="H131" s="7" t="str">
        <f>CONCATENATE("14270111876")</f>
        <v>14270111876</v>
      </c>
      <c r="I131" s="7" t="s">
        <v>30</v>
      </c>
      <c r="J131" s="7" t="s">
        <v>31</v>
      </c>
      <c r="K131" s="7" t="str">
        <f>CONCATENATE("")</f>
        <v/>
      </c>
      <c r="L131" s="7" t="str">
        <f>CONCATENATE("4 4.1 2a")</f>
        <v>4 4.1 2a</v>
      </c>
      <c r="M131" s="7" t="str">
        <f>CONCATENATE("GNNLCU96D30A252H")</f>
        <v>GNNLCU96D30A252H</v>
      </c>
      <c r="N131" s="7" t="s">
        <v>210</v>
      </c>
      <c r="O131" s="7" t="s">
        <v>212</v>
      </c>
      <c r="P131" s="8">
        <v>44305</v>
      </c>
      <c r="Q131" s="7" t="s">
        <v>32</v>
      </c>
      <c r="R131" s="7" t="s">
        <v>33</v>
      </c>
      <c r="S131" s="7" t="s">
        <v>34</v>
      </c>
      <c r="T131" s="7"/>
      <c r="U131" s="7" t="s">
        <v>35</v>
      </c>
      <c r="V131" s="9">
        <v>35459.550000000003</v>
      </c>
      <c r="W131" s="9">
        <v>15290.16</v>
      </c>
      <c r="X131" s="9">
        <v>14119.99</v>
      </c>
      <c r="Y131" s="7">
        <v>0</v>
      </c>
      <c r="Z131" s="9">
        <v>6049.4</v>
      </c>
    </row>
    <row r="132" spans="1:26" ht="17.5" x14ac:dyDescent="0.35">
      <c r="A132" s="7" t="s">
        <v>27</v>
      </c>
      <c r="B132" s="7" t="s">
        <v>38</v>
      </c>
      <c r="C132" s="7" t="s">
        <v>46</v>
      </c>
      <c r="D132" s="7" t="s">
        <v>92</v>
      </c>
      <c r="E132" s="7" t="s">
        <v>29</v>
      </c>
      <c r="F132" s="7" t="s">
        <v>209</v>
      </c>
      <c r="G132" s="7">
        <v>2020</v>
      </c>
      <c r="H132" s="7" t="str">
        <f>CONCATENATE("04240680316")</f>
        <v>04240680316</v>
      </c>
      <c r="I132" s="7" t="s">
        <v>40</v>
      </c>
      <c r="J132" s="7" t="s">
        <v>31</v>
      </c>
      <c r="K132" s="7" t="str">
        <f>CONCATENATE("")</f>
        <v/>
      </c>
      <c r="L132" s="7" t="str">
        <f>CONCATENATE("11 11.1 4b")</f>
        <v>11 11.1 4b</v>
      </c>
      <c r="M132" s="7" t="str">
        <f>CONCATENATE("GNNLCU96D30A252H")</f>
        <v>GNNLCU96D30A252H</v>
      </c>
      <c r="N132" s="7" t="s">
        <v>210</v>
      </c>
      <c r="O132" s="7" t="s">
        <v>202</v>
      </c>
      <c r="P132" s="8">
        <v>44305</v>
      </c>
      <c r="Q132" s="7" t="s">
        <v>32</v>
      </c>
      <c r="R132" s="7" t="s">
        <v>33</v>
      </c>
      <c r="S132" s="7" t="s">
        <v>34</v>
      </c>
      <c r="T132" s="7"/>
      <c r="U132" s="7" t="s">
        <v>35</v>
      </c>
      <c r="V132" s="7">
        <v>795.35</v>
      </c>
      <c r="W132" s="7">
        <v>342.95</v>
      </c>
      <c r="X132" s="7">
        <v>316.70999999999998</v>
      </c>
      <c r="Y132" s="7">
        <v>0</v>
      </c>
      <c r="Z132" s="7">
        <v>135.69</v>
      </c>
    </row>
    <row r="133" spans="1:26" ht="17.5" x14ac:dyDescent="0.35">
      <c r="A133" s="7" t="s">
        <v>27</v>
      </c>
      <c r="B133" s="7" t="s">
        <v>38</v>
      </c>
      <c r="C133" s="7" t="s">
        <v>46</v>
      </c>
      <c r="D133" s="7" t="s">
        <v>92</v>
      </c>
      <c r="E133" s="7" t="s">
        <v>29</v>
      </c>
      <c r="F133" s="7" t="s">
        <v>209</v>
      </c>
      <c r="G133" s="7">
        <v>2020</v>
      </c>
      <c r="H133" s="7" t="str">
        <f>CONCATENATE("04240680985")</f>
        <v>04240680985</v>
      </c>
      <c r="I133" s="7" t="s">
        <v>40</v>
      </c>
      <c r="J133" s="7" t="s">
        <v>31</v>
      </c>
      <c r="K133" s="7" t="str">
        <f>CONCATENATE("")</f>
        <v/>
      </c>
      <c r="L133" s="7" t="str">
        <f>CONCATENATE("11 11.1 4b")</f>
        <v>11 11.1 4b</v>
      </c>
      <c r="M133" s="7" t="str">
        <f>CONCATENATE("GNNLCU96D30A252H")</f>
        <v>GNNLCU96D30A252H</v>
      </c>
      <c r="N133" s="7" t="s">
        <v>210</v>
      </c>
      <c r="O133" s="7" t="s">
        <v>202</v>
      </c>
      <c r="P133" s="8">
        <v>44305</v>
      </c>
      <c r="Q133" s="7" t="s">
        <v>32</v>
      </c>
      <c r="R133" s="7" t="s">
        <v>33</v>
      </c>
      <c r="S133" s="7" t="s">
        <v>34</v>
      </c>
      <c r="T133" s="7"/>
      <c r="U133" s="7" t="s">
        <v>35</v>
      </c>
      <c r="V133" s="9">
        <v>2465.42</v>
      </c>
      <c r="W133" s="9">
        <v>1063.0899999999999</v>
      </c>
      <c r="X133" s="7">
        <v>981.73</v>
      </c>
      <c r="Y133" s="7">
        <v>0</v>
      </c>
      <c r="Z133" s="7">
        <v>420.6</v>
      </c>
    </row>
    <row r="134" spans="1:26" x14ac:dyDescent="0.35">
      <c r="A134" s="7" t="s">
        <v>27</v>
      </c>
      <c r="B134" s="7" t="s">
        <v>28</v>
      </c>
      <c r="C134" s="7" t="s">
        <v>46</v>
      </c>
      <c r="D134" s="7" t="s">
        <v>72</v>
      </c>
      <c r="E134" s="7" t="s">
        <v>39</v>
      </c>
      <c r="F134" s="7" t="s">
        <v>73</v>
      </c>
      <c r="G134" s="7">
        <v>2017</v>
      </c>
      <c r="H134" s="7" t="str">
        <f>CONCATENATE("14270111967")</f>
        <v>14270111967</v>
      </c>
      <c r="I134" s="7" t="s">
        <v>30</v>
      </c>
      <c r="J134" s="7" t="s">
        <v>31</v>
      </c>
      <c r="K134" s="7" t="str">
        <f>CONCATENATE("")</f>
        <v/>
      </c>
      <c r="L134" s="7" t="str">
        <f>CONCATENATE("6 6.1 2b")</f>
        <v>6 6.1 2b</v>
      </c>
      <c r="M134" s="7" t="str">
        <f>CONCATENATE("DNGPTR96P12E230A")</f>
        <v>DNGPTR96P12E230A</v>
      </c>
      <c r="N134" s="7" t="s">
        <v>213</v>
      </c>
      <c r="O134" s="7" t="s">
        <v>214</v>
      </c>
      <c r="P134" s="8">
        <v>44305</v>
      </c>
      <c r="Q134" s="7" t="s">
        <v>32</v>
      </c>
      <c r="R134" s="7" t="s">
        <v>37</v>
      </c>
      <c r="S134" s="7" t="s">
        <v>34</v>
      </c>
      <c r="T134" s="7"/>
      <c r="U134" s="7" t="s">
        <v>35</v>
      </c>
      <c r="V134" s="9">
        <v>42000</v>
      </c>
      <c r="W134" s="9">
        <v>18110.400000000001</v>
      </c>
      <c r="X134" s="9">
        <v>16724.400000000001</v>
      </c>
      <c r="Y134" s="7">
        <v>0</v>
      </c>
      <c r="Z134" s="9">
        <v>7165.2</v>
      </c>
    </row>
    <row r="135" spans="1:26" x14ac:dyDescent="0.35">
      <c r="A135" s="7" t="s">
        <v>27</v>
      </c>
      <c r="B135" s="7" t="s">
        <v>28</v>
      </c>
      <c r="C135" s="7" t="s">
        <v>46</v>
      </c>
      <c r="D135" s="7" t="s">
        <v>72</v>
      </c>
      <c r="E135" s="7" t="s">
        <v>36</v>
      </c>
      <c r="F135" s="7" t="s">
        <v>36</v>
      </c>
      <c r="G135" s="7">
        <v>2017</v>
      </c>
      <c r="H135" s="7" t="str">
        <f>CONCATENATE("04270232764")</f>
        <v>04270232764</v>
      </c>
      <c r="I135" s="7" t="s">
        <v>30</v>
      </c>
      <c r="J135" s="7" t="s">
        <v>31</v>
      </c>
      <c r="K135" s="7" t="str">
        <f>CONCATENATE("")</f>
        <v/>
      </c>
      <c r="L135" s="7" t="str">
        <f>CONCATENATE("20 20.1 ")</f>
        <v xml:space="preserve">20 20.1 </v>
      </c>
      <c r="M135" s="7" t="str">
        <f>CONCATENATE("80008630420")</f>
        <v>80008630420</v>
      </c>
      <c r="N135" s="7" t="s">
        <v>215</v>
      </c>
      <c r="O135" s="7" t="s">
        <v>216</v>
      </c>
      <c r="P135" s="8">
        <v>44305</v>
      </c>
      <c r="Q135" s="7" t="s">
        <v>32</v>
      </c>
      <c r="R135" s="7" t="s">
        <v>33</v>
      </c>
      <c r="S135" s="7" t="s">
        <v>34</v>
      </c>
      <c r="T135" s="7"/>
      <c r="U135" s="7" t="s">
        <v>35</v>
      </c>
      <c r="V135" s="9">
        <v>40083.42</v>
      </c>
      <c r="W135" s="9">
        <v>17283.97</v>
      </c>
      <c r="X135" s="9">
        <v>15961.22</v>
      </c>
      <c r="Y135" s="7">
        <v>0</v>
      </c>
      <c r="Z135" s="9">
        <v>6838.23</v>
      </c>
    </row>
    <row r="136" spans="1:26" x14ac:dyDescent="0.35">
      <c r="A136" s="7" t="s">
        <v>27</v>
      </c>
      <c r="B136" s="7" t="s">
        <v>28</v>
      </c>
      <c r="C136" s="7" t="s">
        <v>46</v>
      </c>
      <c r="D136" s="7" t="s">
        <v>72</v>
      </c>
      <c r="E136" s="7" t="s">
        <v>36</v>
      </c>
      <c r="F136" s="7" t="s">
        <v>36</v>
      </c>
      <c r="G136" s="7">
        <v>2017</v>
      </c>
      <c r="H136" s="7" t="str">
        <f>CONCATENATE("94270174751")</f>
        <v>94270174751</v>
      </c>
      <c r="I136" s="7" t="s">
        <v>30</v>
      </c>
      <c r="J136" s="7" t="s">
        <v>31</v>
      </c>
      <c r="K136" s="7" t="str">
        <f>CONCATENATE("")</f>
        <v/>
      </c>
      <c r="L136" s="7" t="str">
        <f>CONCATENATE("20 20.1 ")</f>
        <v xml:space="preserve">20 20.1 </v>
      </c>
      <c r="M136" s="7" t="str">
        <f>CONCATENATE("80008630420")</f>
        <v>80008630420</v>
      </c>
      <c r="N136" s="7" t="s">
        <v>215</v>
      </c>
      <c r="O136" s="7" t="s">
        <v>216</v>
      </c>
      <c r="P136" s="8">
        <v>44305</v>
      </c>
      <c r="Q136" s="7" t="s">
        <v>32</v>
      </c>
      <c r="R136" s="7" t="s">
        <v>37</v>
      </c>
      <c r="S136" s="7" t="s">
        <v>34</v>
      </c>
      <c r="T136" s="7"/>
      <c r="U136" s="7" t="s">
        <v>35</v>
      </c>
      <c r="V136" s="9">
        <v>89214.26</v>
      </c>
      <c r="W136" s="9">
        <v>38469.19</v>
      </c>
      <c r="X136" s="9">
        <v>35525.120000000003</v>
      </c>
      <c r="Y136" s="7">
        <v>0</v>
      </c>
      <c r="Z136" s="9">
        <v>15219.95</v>
      </c>
    </row>
    <row r="137" spans="1:26" x14ac:dyDescent="0.35">
      <c r="A137" s="7" t="s">
        <v>27</v>
      </c>
      <c r="B137" s="7" t="s">
        <v>28</v>
      </c>
      <c r="C137" s="7" t="s">
        <v>46</v>
      </c>
      <c r="D137" s="7" t="s">
        <v>72</v>
      </c>
      <c r="E137" s="7" t="s">
        <v>36</v>
      </c>
      <c r="F137" s="7" t="s">
        <v>36</v>
      </c>
      <c r="G137" s="7">
        <v>2017</v>
      </c>
      <c r="H137" s="7" t="str">
        <f>CONCATENATE("14270095533")</f>
        <v>14270095533</v>
      </c>
      <c r="I137" s="7" t="s">
        <v>30</v>
      </c>
      <c r="J137" s="7" t="s">
        <v>31</v>
      </c>
      <c r="K137" s="7" t="str">
        <f>CONCATENATE("")</f>
        <v/>
      </c>
      <c r="L137" s="7" t="str">
        <f>CONCATENATE("20 20.1 ")</f>
        <v xml:space="preserve">20 20.1 </v>
      </c>
      <c r="M137" s="7" t="str">
        <f>CONCATENATE("80008630420")</f>
        <v>80008630420</v>
      </c>
      <c r="N137" s="7" t="s">
        <v>215</v>
      </c>
      <c r="O137" s="7" t="s">
        <v>216</v>
      </c>
      <c r="P137" s="8">
        <v>44305</v>
      </c>
      <c r="Q137" s="7" t="s">
        <v>32</v>
      </c>
      <c r="R137" s="7" t="s">
        <v>37</v>
      </c>
      <c r="S137" s="7" t="s">
        <v>34</v>
      </c>
      <c r="T137" s="7"/>
      <c r="U137" s="7" t="s">
        <v>35</v>
      </c>
      <c r="V137" s="9">
        <v>511133.62</v>
      </c>
      <c r="W137" s="9">
        <v>220400.82</v>
      </c>
      <c r="X137" s="9">
        <v>203533.41</v>
      </c>
      <c r="Y137" s="7">
        <v>0</v>
      </c>
      <c r="Z137" s="9">
        <v>87199.39</v>
      </c>
    </row>
    <row r="138" spans="1:26" x14ac:dyDescent="0.35">
      <c r="A138" s="7" t="s">
        <v>27</v>
      </c>
      <c r="B138" s="7" t="s">
        <v>28</v>
      </c>
      <c r="C138" s="7" t="s">
        <v>46</v>
      </c>
      <c r="D138" s="7" t="s">
        <v>72</v>
      </c>
      <c r="E138" s="7" t="s">
        <v>36</v>
      </c>
      <c r="F138" s="7" t="s">
        <v>36</v>
      </c>
      <c r="G138" s="7">
        <v>2017</v>
      </c>
      <c r="H138" s="7" t="str">
        <f>CONCATENATE("04270232772")</f>
        <v>04270232772</v>
      </c>
      <c r="I138" s="7" t="s">
        <v>30</v>
      </c>
      <c r="J138" s="7" t="s">
        <v>31</v>
      </c>
      <c r="K138" s="7" t="str">
        <f>CONCATENATE("")</f>
        <v/>
      </c>
      <c r="L138" s="7" t="str">
        <f>CONCATENATE("20 20.1 ")</f>
        <v xml:space="preserve">20 20.1 </v>
      </c>
      <c r="M138" s="7" t="str">
        <f>CONCATENATE("80008630420")</f>
        <v>80008630420</v>
      </c>
      <c r="N138" s="7" t="s">
        <v>215</v>
      </c>
      <c r="O138" s="7" t="s">
        <v>216</v>
      </c>
      <c r="P138" s="8">
        <v>44305</v>
      </c>
      <c r="Q138" s="7" t="s">
        <v>32</v>
      </c>
      <c r="R138" s="7" t="s">
        <v>33</v>
      </c>
      <c r="S138" s="7" t="s">
        <v>34</v>
      </c>
      <c r="T138" s="7"/>
      <c r="U138" s="7" t="s">
        <v>35</v>
      </c>
      <c r="V138" s="9">
        <v>15030.4</v>
      </c>
      <c r="W138" s="9">
        <v>6481.11</v>
      </c>
      <c r="X138" s="9">
        <v>5985.11</v>
      </c>
      <c r="Y138" s="7">
        <v>0</v>
      </c>
      <c r="Z138" s="9">
        <v>2564.1799999999998</v>
      </c>
    </row>
    <row r="139" spans="1:26" x14ac:dyDescent="0.35">
      <c r="A139" s="7" t="s">
        <v>27</v>
      </c>
      <c r="B139" s="7" t="s">
        <v>28</v>
      </c>
      <c r="C139" s="7" t="s">
        <v>46</v>
      </c>
      <c r="D139" s="7" t="s">
        <v>92</v>
      </c>
      <c r="E139" s="7" t="s">
        <v>39</v>
      </c>
      <c r="F139" s="7" t="s">
        <v>217</v>
      </c>
      <c r="G139" s="7">
        <v>2017</v>
      </c>
      <c r="H139" s="7" t="str">
        <f>CONCATENATE("04270232491")</f>
        <v>04270232491</v>
      </c>
      <c r="I139" s="7" t="s">
        <v>40</v>
      </c>
      <c r="J139" s="7" t="s">
        <v>31</v>
      </c>
      <c r="K139" s="7" t="str">
        <f>CONCATENATE("")</f>
        <v/>
      </c>
      <c r="L139" s="7" t="str">
        <f>CONCATENATE("4 4.4 4c")</f>
        <v>4 4.4 4c</v>
      </c>
      <c r="M139" s="7" t="str">
        <f>CONCATENATE("DCRDNL90E31H769F")</f>
        <v>DCRDNL90E31H769F</v>
      </c>
      <c r="N139" s="7" t="s">
        <v>218</v>
      </c>
      <c r="O139" s="7" t="s">
        <v>219</v>
      </c>
      <c r="P139" s="8">
        <v>44278</v>
      </c>
      <c r="Q139" s="7" t="s">
        <v>32</v>
      </c>
      <c r="R139" s="7" t="s">
        <v>33</v>
      </c>
      <c r="S139" s="7" t="s">
        <v>34</v>
      </c>
      <c r="T139" s="7"/>
      <c r="U139" s="7" t="s">
        <v>35</v>
      </c>
      <c r="V139" s="9">
        <v>12090</v>
      </c>
      <c r="W139" s="9">
        <v>5213.21</v>
      </c>
      <c r="X139" s="9">
        <v>4814.24</v>
      </c>
      <c r="Y139" s="7">
        <v>0</v>
      </c>
      <c r="Z139" s="9">
        <v>2062.5500000000002</v>
      </c>
    </row>
    <row r="140" spans="1:26" ht="17.5" x14ac:dyDescent="0.35">
      <c r="A140" s="7" t="s">
        <v>27</v>
      </c>
      <c r="B140" s="7" t="s">
        <v>38</v>
      </c>
      <c r="C140" s="7" t="s">
        <v>46</v>
      </c>
      <c r="D140" s="7" t="s">
        <v>47</v>
      </c>
      <c r="E140" s="7" t="s">
        <v>44</v>
      </c>
      <c r="F140" s="7" t="s">
        <v>220</v>
      </c>
      <c r="G140" s="7">
        <v>2020</v>
      </c>
      <c r="H140" s="7" t="str">
        <f>CONCATENATE("04241078965")</f>
        <v>04241078965</v>
      </c>
      <c r="I140" s="7" t="s">
        <v>30</v>
      </c>
      <c r="J140" s="7" t="s">
        <v>31</v>
      </c>
      <c r="K140" s="7" t="str">
        <f>CONCATENATE("")</f>
        <v/>
      </c>
      <c r="L140" s="7" t="str">
        <f>CONCATENATE("11 11.2 4b")</f>
        <v>11 11.2 4b</v>
      </c>
      <c r="M140" s="7" t="str">
        <f>CONCATENATE("01711460434")</f>
        <v>01711460434</v>
      </c>
      <c r="N140" s="7" t="s">
        <v>221</v>
      </c>
      <c r="O140" s="7" t="s">
        <v>202</v>
      </c>
      <c r="P140" s="8">
        <v>44305</v>
      </c>
      <c r="Q140" s="7" t="s">
        <v>32</v>
      </c>
      <c r="R140" s="7" t="s">
        <v>33</v>
      </c>
      <c r="S140" s="7" t="s">
        <v>34</v>
      </c>
      <c r="T140" s="7"/>
      <c r="U140" s="7" t="s">
        <v>35</v>
      </c>
      <c r="V140" s="9">
        <v>20687.96</v>
      </c>
      <c r="W140" s="9">
        <v>8920.65</v>
      </c>
      <c r="X140" s="9">
        <v>8237.9500000000007</v>
      </c>
      <c r="Y140" s="7">
        <v>0</v>
      </c>
      <c r="Z140" s="9">
        <v>3529.36</v>
      </c>
    </row>
    <row r="141" spans="1:26" x14ac:dyDescent="0.35">
      <c r="A141" s="7" t="s">
        <v>27</v>
      </c>
      <c r="B141" s="7" t="s">
        <v>38</v>
      </c>
      <c r="C141" s="7" t="s">
        <v>46</v>
      </c>
      <c r="D141" s="7" t="s">
        <v>47</v>
      </c>
      <c r="E141" s="7" t="s">
        <v>39</v>
      </c>
      <c r="F141" s="7" t="s">
        <v>222</v>
      </c>
      <c r="G141" s="7">
        <v>2020</v>
      </c>
      <c r="H141" s="7" t="str">
        <f>CONCATENATE("04240968364")</f>
        <v>04240968364</v>
      </c>
      <c r="I141" s="7" t="s">
        <v>40</v>
      </c>
      <c r="J141" s="7" t="s">
        <v>31</v>
      </c>
      <c r="K141" s="7" t="str">
        <f>CONCATENATE("")</f>
        <v/>
      </c>
      <c r="L141" s="7" t="str">
        <f>CONCATENATE("11 11.1 4b")</f>
        <v>11 11.1 4b</v>
      </c>
      <c r="M141" s="7" t="str">
        <f>CONCATENATE("CRCLRT81H18L191M")</f>
        <v>CRCLRT81H18L191M</v>
      </c>
      <c r="N141" s="7" t="s">
        <v>223</v>
      </c>
      <c r="O141" s="7" t="s">
        <v>202</v>
      </c>
      <c r="P141" s="8">
        <v>44305</v>
      </c>
      <c r="Q141" s="7" t="s">
        <v>32</v>
      </c>
      <c r="R141" s="7" t="s">
        <v>33</v>
      </c>
      <c r="S141" s="7" t="s">
        <v>34</v>
      </c>
      <c r="T141" s="7"/>
      <c r="U141" s="7" t="s">
        <v>35</v>
      </c>
      <c r="V141" s="9">
        <v>14210.97</v>
      </c>
      <c r="W141" s="9">
        <v>6127.77</v>
      </c>
      <c r="X141" s="9">
        <v>5658.81</v>
      </c>
      <c r="Y141" s="7">
        <v>0</v>
      </c>
      <c r="Z141" s="9">
        <v>2424.39</v>
      </c>
    </row>
    <row r="142" spans="1:26" x14ac:dyDescent="0.35">
      <c r="A142" s="7" t="s">
        <v>27</v>
      </c>
      <c r="B142" s="7" t="s">
        <v>38</v>
      </c>
      <c r="C142" s="7" t="s">
        <v>46</v>
      </c>
      <c r="D142" s="7" t="s">
        <v>47</v>
      </c>
      <c r="E142" s="7" t="s">
        <v>39</v>
      </c>
      <c r="F142" s="7" t="s">
        <v>222</v>
      </c>
      <c r="G142" s="7">
        <v>2020</v>
      </c>
      <c r="H142" s="7" t="str">
        <f>CONCATENATE("04241091497")</f>
        <v>04241091497</v>
      </c>
      <c r="I142" s="7" t="s">
        <v>30</v>
      </c>
      <c r="J142" s="7" t="s">
        <v>31</v>
      </c>
      <c r="K142" s="7" t="str">
        <f>CONCATENATE("")</f>
        <v/>
      </c>
      <c r="L142" s="7" t="str">
        <f>CONCATENATE("11 11.2 4b")</f>
        <v>11 11.2 4b</v>
      </c>
      <c r="M142" s="7" t="str">
        <f>CONCATENATE("NRDFNC52R01L191K")</f>
        <v>NRDFNC52R01L191K</v>
      </c>
      <c r="N142" s="7" t="s">
        <v>224</v>
      </c>
      <c r="O142" s="7" t="s">
        <v>202</v>
      </c>
      <c r="P142" s="8">
        <v>44305</v>
      </c>
      <c r="Q142" s="7" t="s">
        <v>32</v>
      </c>
      <c r="R142" s="7" t="s">
        <v>33</v>
      </c>
      <c r="S142" s="7" t="s">
        <v>34</v>
      </c>
      <c r="T142" s="7"/>
      <c r="U142" s="7" t="s">
        <v>35</v>
      </c>
      <c r="V142" s="7">
        <v>759.39</v>
      </c>
      <c r="W142" s="7">
        <v>327.45</v>
      </c>
      <c r="X142" s="7">
        <v>302.39</v>
      </c>
      <c r="Y142" s="7">
        <v>0</v>
      </c>
      <c r="Z142" s="7">
        <v>129.55000000000001</v>
      </c>
    </row>
    <row r="143" spans="1:26" x14ac:dyDescent="0.35">
      <c r="A143" s="7" t="s">
        <v>27</v>
      </c>
      <c r="B143" s="7" t="s">
        <v>38</v>
      </c>
      <c r="C143" s="7" t="s">
        <v>46</v>
      </c>
      <c r="D143" s="7" t="s">
        <v>52</v>
      </c>
      <c r="E143" s="7" t="s">
        <v>39</v>
      </c>
      <c r="F143" s="7" t="s">
        <v>73</v>
      </c>
      <c r="G143" s="7">
        <v>2020</v>
      </c>
      <c r="H143" s="7" t="str">
        <f>CONCATENATE("04240516023")</f>
        <v>04240516023</v>
      </c>
      <c r="I143" s="7" t="s">
        <v>40</v>
      </c>
      <c r="J143" s="7" t="s">
        <v>31</v>
      </c>
      <c r="K143" s="7" t="str">
        <f>CONCATENATE("")</f>
        <v/>
      </c>
      <c r="L143" s="7" t="str">
        <f>CONCATENATE("11 11.2 4b")</f>
        <v>11 11.2 4b</v>
      </c>
      <c r="M143" s="7" t="str">
        <f>CONCATENATE("BTTDVD61P13D451P")</f>
        <v>BTTDVD61P13D451P</v>
      </c>
      <c r="N143" s="7" t="s">
        <v>225</v>
      </c>
      <c r="O143" s="7" t="s">
        <v>202</v>
      </c>
      <c r="P143" s="8">
        <v>44305</v>
      </c>
      <c r="Q143" s="7" t="s">
        <v>32</v>
      </c>
      <c r="R143" s="7" t="s">
        <v>33</v>
      </c>
      <c r="S143" s="7" t="s">
        <v>34</v>
      </c>
      <c r="T143" s="7"/>
      <c r="U143" s="7" t="s">
        <v>35</v>
      </c>
      <c r="V143" s="7">
        <v>806.75</v>
      </c>
      <c r="W143" s="7">
        <v>347.87</v>
      </c>
      <c r="X143" s="7">
        <v>321.25</v>
      </c>
      <c r="Y143" s="7">
        <v>0</v>
      </c>
      <c r="Z143" s="7">
        <v>137.63</v>
      </c>
    </row>
    <row r="144" spans="1:26" x14ac:dyDescent="0.35">
      <c r="A144" s="7" t="s">
        <v>27</v>
      </c>
      <c r="B144" s="7" t="s">
        <v>38</v>
      </c>
      <c r="C144" s="7" t="s">
        <v>46</v>
      </c>
      <c r="D144" s="7" t="s">
        <v>47</v>
      </c>
      <c r="E144" s="7" t="s">
        <v>39</v>
      </c>
      <c r="F144" s="7" t="s">
        <v>50</v>
      </c>
      <c r="G144" s="7">
        <v>2020</v>
      </c>
      <c r="H144" s="7" t="str">
        <f>CONCATENATE("04240098097")</f>
        <v>04240098097</v>
      </c>
      <c r="I144" s="7" t="s">
        <v>30</v>
      </c>
      <c r="J144" s="7" t="s">
        <v>31</v>
      </c>
      <c r="K144" s="7" t="str">
        <f>CONCATENATE("")</f>
        <v/>
      </c>
      <c r="L144" s="7" t="str">
        <f>CONCATENATE("11 11.1 4b")</f>
        <v>11 11.1 4b</v>
      </c>
      <c r="M144" s="7" t="str">
        <f>CONCATENATE("FRRMNL79H12I156C")</f>
        <v>FRRMNL79H12I156C</v>
      </c>
      <c r="N144" s="7" t="s">
        <v>226</v>
      </c>
      <c r="O144" s="7" t="s">
        <v>202</v>
      </c>
      <c r="P144" s="8">
        <v>44305</v>
      </c>
      <c r="Q144" s="7" t="s">
        <v>32</v>
      </c>
      <c r="R144" s="7" t="s">
        <v>33</v>
      </c>
      <c r="S144" s="7" t="s">
        <v>34</v>
      </c>
      <c r="T144" s="7"/>
      <c r="U144" s="7" t="s">
        <v>35</v>
      </c>
      <c r="V144" s="9">
        <v>7798.82</v>
      </c>
      <c r="W144" s="9">
        <v>3362.85</v>
      </c>
      <c r="X144" s="9">
        <v>3105.49</v>
      </c>
      <c r="Y144" s="7">
        <v>0</v>
      </c>
      <c r="Z144" s="9">
        <v>1330.48</v>
      </c>
    </row>
    <row r="145" spans="1:26" x14ac:dyDescent="0.35">
      <c r="A145" s="7" t="s">
        <v>27</v>
      </c>
      <c r="B145" s="7" t="s">
        <v>38</v>
      </c>
      <c r="C145" s="7" t="s">
        <v>46</v>
      </c>
      <c r="D145" s="7" t="s">
        <v>47</v>
      </c>
      <c r="E145" s="7" t="s">
        <v>44</v>
      </c>
      <c r="F145" s="7" t="s">
        <v>66</v>
      </c>
      <c r="G145" s="7">
        <v>2020</v>
      </c>
      <c r="H145" s="7" t="str">
        <f>CONCATENATE("04240855355")</f>
        <v>04240855355</v>
      </c>
      <c r="I145" s="7" t="s">
        <v>40</v>
      </c>
      <c r="J145" s="7" t="s">
        <v>31</v>
      </c>
      <c r="K145" s="7" t="str">
        <f>CONCATENATE("")</f>
        <v/>
      </c>
      <c r="L145" s="7" t="str">
        <f>CONCATENATE("11 11.2 4b")</f>
        <v>11 11.2 4b</v>
      </c>
      <c r="M145" s="7" t="str">
        <f>CONCATENATE("PLZGNN59L55A334J")</f>
        <v>PLZGNN59L55A334J</v>
      </c>
      <c r="N145" s="7" t="s">
        <v>227</v>
      </c>
      <c r="O145" s="7" t="s">
        <v>202</v>
      </c>
      <c r="P145" s="8">
        <v>44305</v>
      </c>
      <c r="Q145" s="7" t="s">
        <v>32</v>
      </c>
      <c r="R145" s="7" t="s">
        <v>33</v>
      </c>
      <c r="S145" s="7" t="s">
        <v>34</v>
      </c>
      <c r="T145" s="7"/>
      <c r="U145" s="7" t="s">
        <v>35</v>
      </c>
      <c r="V145" s="7">
        <v>766.39</v>
      </c>
      <c r="W145" s="7">
        <v>330.47</v>
      </c>
      <c r="X145" s="7">
        <v>305.18</v>
      </c>
      <c r="Y145" s="7">
        <v>0</v>
      </c>
      <c r="Z145" s="7">
        <v>130.74</v>
      </c>
    </row>
    <row r="146" spans="1:26" ht="17.5" x14ac:dyDescent="0.35">
      <c r="A146" s="7" t="s">
        <v>27</v>
      </c>
      <c r="B146" s="7" t="s">
        <v>38</v>
      </c>
      <c r="C146" s="7" t="s">
        <v>46</v>
      </c>
      <c r="D146" s="7" t="s">
        <v>47</v>
      </c>
      <c r="E146" s="7" t="s">
        <v>29</v>
      </c>
      <c r="F146" s="7" t="s">
        <v>228</v>
      </c>
      <c r="G146" s="7">
        <v>2020</v>
      </c>
      <c r="H146" s="7" t="str">
        <f>CONCATENATE("04240655151")</f>
        <v>04240655151</v>
      </c>
      <c r="I146" s="7" t="s">
        <v>30</v>
      </c>
      <c r="J146" s="7" t="s">
        <v>31</v>
      </c>
      <c r="K146" s="7" t="str">
        <f>CONCATENATE("")</f>
        <v/>
      </c>
      <c r="L146" s="7" t="str">
        <f>CONCATENATE("11 11.1 4b")</f>
        <v>11 11.1 4b</v>
      </c>
      <c r="M146" s="7" t="str">
        <f>CONCATENATE("PRNMNL95E16E783O")</f>
        <v>PRNMNL95E16E783O</v>
      </c>
      <c r="N146" s="7" t="s">
        <v>229</v>
      </c>
      <c r="O146" s="7" t="s">
        <v>202</v>
      </c>
      <c r="P146" s="8">
        <v>44305</v>
      </c>
      <c r="Q146" s="7" t="s">
        <v>32</v>
      </c>
      <c r="R146" s="7" t="s">
        <v>33</v>
      </c>
      <c r="S146" s="7" t="s">
        <v>34</v>
      </c>
      <c r="T146" s="7"/>
      <c r="U146" s="7" t="s">
        <v>35</v>
      </c>
      <c r="V146" s="9">
        <v>2623.23</v>
      </c>
      <c r="W146" s="9">
        <v>1131.1400000000001</v>
      </c>
      <c r="X146" s="9">
        <v>1044.57</v>
      </c>
      <c r="Y146" s="7">
        <v>0</v>
      </c>
      <c r="Z146" s="7">
        <v>447.52</v>
      </c>
    </row>
    <row r="147" spans="1:26" ht="17.5" x14ac:dyDescent="0.35">
      <c r="A147" s="7" t="s">
        <v>27</v>
      </c>
      <c r="B147" s="7" t="s">
        <v>38</v>
      </c>
      <c r="C147" s="7" t="s">
        <v>46</v>
      </c>
      <c r="D147" s="7" t="s">
        <v>92</v>
      </c>
      <c r="E147" s="7" t="s">
        <v>39</v>
      </c>
      <c r="F147" s="7" t="s">
        <v>230</v>
      </c>
      <c r="G147" s="7">
        <v>2020</v>
      </c>
      <c r="H147" s="7" t="str">
        <f>CONCATENATE("04240533010")</f>
        <v>04240533010</v>
      </c>
      <c r="I147" s="7" t="s">
        <v>30</v>
      </c>
      <c r="J147" s="7" t="s">
        <v>31</v>
      </c>
      <c r="K147" s="7" t="str">
        <f>CONCATENATE("")</f>
        <v/>
      </c>
      <c r="L147" s="7" t="str">
        <f>CONCATENATE("11 11.1 4b")</f>
        <v>11 11.1 4b</v>
      </c>
      <c r="M147" s="7" t="str">
        <f>CONCATENATE("SPNFBA85D05H769R")</f>
        <v>SPNFBA85D05H769R</v>
      </c>
      <c r="N147" s="7" t="s">
        <v>231</v>
      </c>
      <c r="O147" s="7" t="s">
        <v>202</v>
      </c>
      <c r="P147" s="8">
        <v>44305</v>
      </c>
      <c r="Q147" s="7" t="s">
        <v>32</v>
      </c>
      <c r="R147" s="7" t="s">
        <v>33</v>
      </c>
      <c r="S147" s="7" t="s">
        <v>34</v>
      </c>
      <c r="T147" s="7"/>
      <c r="U147" s="7" t="s">
        <v>35</v>
      </c>
      <c r="V147" s="9">
        <v>3471.21</v>
      </c>
      <c r="W147" s="9">
        <v>1496.79</v>
      </c>
      <c r="X147" s="9">
        <v>1382.24</v>
      </c>
      <c r="Y147" s="7">
        <v>0</v>
      </c>
      <c r="Z147" s="7">
        <v>592.17999999999995</v>
      </c>
    </row>
    <row r="148" spans="1:26" x14ac:dyDescent="0.35">
      <c r="A148" s="7" t="s">
        <v>27</v>
      </c>
      <c r="B148" s="7" t="s">
        <v>38</v>
      </c>
      <c r="C148" s="7" t="s">
        <v>46</v>
      </c>
      <c r="D148" s="7" t="s">
        <v>92</v>
      </c>
      <c r="E148" s="7" t="s">
        <v>43</v>
      </c>
      <c r="F148" s="7" t="s">
        <v>232</v>
      </c>
      <c r="G148" s="7">
        <v>2020</v>
      </c>
      <c r="H148" s="7" t="str">
        <f>CONCATENATE("04240504011")</f>
        <v>04240504011</v>
      </c>
      <c r="I148" s="7" t="s">
        <v>30</v>
      </c>
      <c r="J148" s="7" t="s">
        <v>31</v>
      </c>
      <c r="K148" s="7" t="str">
        <f>CONCATENATE("")</f>
        <v/>
      </c>
      <c r="L148" s="7" t="str">
        <f>CONCATENATE("11 11.1 4b")</f>
        <v>11 11.1 4b</v>
      </c>
      <c r="M148" s="7" t="str">
        <f>CONCATENATE("VTLRST70H56G516O")</f>
        <v>VTLRST70H56G516O</v>
      </c>
      <c r="N148" s="7" t="s">
        <v>233</v>
      </c>
      <c r="O148" s="7" t="s">
        <v>202</v>
      </c>
      <c r="P148" s="8">
        <v>44305</v>
      </c>
      <c r="Q148" s="7" t="s">
        <v>32</v>
      </c>
      <c r="R148" s="7" t="s">
        <v>33</v>
      </c>
      <c r="S148" s="7" t="s">
        <v>34</v>
      </c>
      <c r="T148" s="7"/>
      <c r="U148" s="7" t="s">
        <v>35</v>
      </c>
      <c r="V148" s="9">
        <v>1042.92</v>
      </c>
      <c r="W148" s="7">
        <v>449.71</v>
      </c>
      <c r="X148" s="7">
        <v>415.29</v>
      </c>
      <c r="Y148" s="7">
        <v>0</v>
      </c>
      <c r="Z148" s="7">
        <v>177.92</v>
      </c>
    </row>
    <row r="149" spans="1:26" x14ac:dyDescent="0.35">
      <c r="A149" s="7" t="s">
        <v>27</v>
      </c>
      <c r="B149" s="7" t="s">
        <v>38</v>
      </c>
      <c r="C149" s="7" t="s">
        <v>46</v>
      </c>
      <c r="D149" s="7" t="s">
        <v>47</v>
      </c>
      <c r="E149" s="7" t="s">
        <v>41</v>
      </c>
      <c r="F149" s="7" t="s">
        <v>58</v>
      </c>
      <c r="G149" s="7">
        <v>2020</v>
      </c>
      <c r="H149" s="7" t="str">
        <f>CONCATENATE("04240561318")</f>
        <v>04240561318</v>
      </c>
      <c r="I149" s="7" t="s">
        <v>40</v>
      </c>
      <c r="J149" s="7" t="s">
        <v>31</v>
      </c>
      <c r="K149" s="7" t="str">
        <f>CONCATENATE("")</f>
        <v/>
      </c>
      <c r="L149" s="7" t="str">
        <f>CONCATENATE("11 11.1 4b")</f>
        <v>11 11.1 4b</v>
      </c>
      <c r="M149" s="7" t="str">
        <f>CONCATENATE("BROGPP69P17E783D")</f>
        <v>BROGPP69P17E783D</v>
      </c>
      <c r="N149" s="7" t="s">
        <v>234</v>
      </c>
      <c r="O149" s="7" t="s">
        <v>202</v>
      </c>
      <c r="P149" s="8">
        <v>44305</v>
      </c>
      <c r="Q149" s="7" t="s">
        <v>32</v>
      </c>
      <c r="R149" s="7" t="s">
        <v>33</v>
      </c>
      <c r="S149" s="7" t="s">
        <v>34</v>
      </c>
      <c r="T149" s="7"/>
      <c r="U149" s="7" t="s">
        <v>35</v>
      </c>
      <c r="V149" s="7">
        <v>409.38</v>
      </c>
      <c r="W149" s="7">
        <v>176.52</v>
      </c>
      <c r="X149" s="7">
        <v>163.02000000000001</v>
      </c>
      <c r="Y149" s="7">
        <v>0</v>
      </c>
      <c r="Z149" s="7">
        <v>69.84</v>
      </c>
    </row>
    <row r="150" spans="1:26" x14ac:dyDescent="0.35">
      <c r="A150" s="7" t="s">
        <v>27</v>
      </c>
      <c r="B150" s="7" t="s">
        <v>38</v>
      </c>
      <c r="C150" s="7" t="s">
        <v>46</v>
      </c>
      <c r="D150" s="7" t="s">
        <v>47</v>
      </c>
      <c r="E150" s="7" t="s">
        <v>41</v>
      </c>
      <c r="F150" s="7" t="s">
        <v>58</v>
      </c>
      <c r="G150" s="7">
        <v>2020</v>
      </c>
      <c r="H150" s="7" t="str">
        <f>CONCATENATE("04240425993")</f>
        <v>04240425993</v>
      </c>
      <c r="I150" s="7" t="s">
        <v>40</v>
      </c>
      <c r="J150" s="7" t="s">
        <v>31</v>
      </c>
      <c r="K150" s="7" t="str">
        <f>CONCATENATE("")</f>
        <v/>
      </c>
      <c r="L150" s="7" t="str">
        <f>CONCATENATE("11 11.1 4b")</f>
        <v>11 11.1 4b</v>
      </c>
      <c r="M150" s="7" t="str">
        <f>CONCATENATE("GNTTNA89B65I156A")</f>
        <v>GNTTNA89B65I156A</v>
      </c>
      <c r="N150" s="7" t="s">
        <v>235</v>
      </c>
      <c r="O150" s="7" t="s">
        <v>202</v>
      </c>
      <c r="P150" s="8">
        <v>44305</v>
      </c>
      <c r="Q150" s="7" t="s">
        <v>32</v>
      </c>
      <c r="R150" s="7" t="s">
        <v>33</v>
      </c>
      <c r="S150" s="7" t="s">
        <v>34</v>
      </c>
      <c r="T150" s="7"/>
      <c r="U150" s="7" t="s">
        <v>35</v>
      </c>
      <c r="V150" s="7">
        <v>47.42</v>
      </c>
      <c r="W150" s="7">
        <v>20.45</v>
      </c>
      <c r="X150" s="7">
        <v>18.88</v>
      </c>
      <c r="Y150" s="7">
        <v>0</v>
      </c>
      <c r="Z150" s="7">
        <v>8.09</v>
      </c>
    </row>
    <row r="151" spans="1:26" ht="17.5" x14ac:dyDescent="0.35">
      <c r="A151" s="7" t="s">
        <v>27</v>
      </c>
      <c r="B151" s="7" t="s">
        <v>38</v>
      </c>
      <c r="C151" s="7" t="s">
        <v>46</v>
      </c>
      <c r="D151" s="7" t="s">
        <v>47</v>
      </c>
      <c r="E151" s="7" t="s">
        <v>44</v>
      </c>
      <c r="F151" s="7" t="s">
        <v>236</v>
      </c>
      <c r="G151" s="7">
        <v>2020</v>
      </c>
      <c r="H151" s="7" t="str">
        <f>CONCATENATE("04240766289")</f>
        <v>04240766289</v>
      </c>
      <c r="I151" s="7" t="s">
        <v>30</v>
      </c>
      <c r="J151" s="7" t="s">
        <v>31</v>
      </c>
      <c r="K151" s="7" t="str">
        <f>CONCATENATE("")</f>
        <v/>
      </c>
      <c r="L151" s="7" t="str">
        <f>CONCATENATE("11 11.1 4b")</f>
        <v>11 11.1 4b</v>
      </c>
      <c r="M151" s="7" t="str">
        <f>CONCATENATE("BDRDYV62P64Z103W")</f>
        <v>BDRDYV62P64Z103W</v>
      </c>
      <c r="N151" s="7" t="s">
        <v>237</v>
      </c>
      <c r="O151" s="7" t="s">
        <v>202</v>
      </c>
      <c r="P151" s="8">
        <v>44305</v>
      </c>
      <c r="Q151" s="7" t="s">
        <v>32</v>
      </c>
      <c r="R151" s="7" t="s">
        <v>33</v>
      </c>
      <c r="S151" s="7" t="s">
        <v>34</v>
      </c>
      <c r="T151" s="7"/>
      <c r="U151" s="7" t="s">
        <v>35</v>
      </c>
      <c r="V151" s="9">
        <v>3523.9</v>
      </c>
      <c r="W151" s="9">
        <v>1519.51</v>
      </c>
      <c r="X151" s="9">
        <v>1403.22</v>
      </c>
      <c r="Y151" s="7">
        <v>0</v>
      </c>
      <c r="Z151" s="7">
        <v>601.16999999999996</v>
      </c>
    </row>
    <row r="152" spans="1:26" x14ac:dyDescent="0.35">
      <c r="A152" s="7" t="s">
        <v>27</v>
      </c>
      <c r="B152" s="7" t="s">
        <v>38</v>
      </c>
      <c r="C152" s="7" t="s">
        <v>46</v>
      </c>
      <c r="D152" s="7" t="s">
        <v>47</v>
      </c>
      <c r="E152" s="7" t="s">
        <v>39</v>
      </c>
      <c r="F152" s="7" t="s">
        <v>54</v>
      </c>
      <c r="G152" s="7">
        <v>2020</v>
      </c>
      <c r="H152" s="7" t="str">
        <f>CONCATENATE("04240044224")</f>
        <v>04240044224</v>
      </c>
      <c r="I152" s="7" t="s">
        <v>40</v>
      </c>
      <c r="J152" s="7" t="s">
        <v>31</v>
      </c>
      <c r="K152" s="7" t="str">
        <f>CONCATENATE("")</f>
        <v/>
      </c>
      <c r="L152" s="7" t="str">
        <f>CONCATENATE("11 11.2 4b")</f>
        <v>11 11.2 4b</v>
      </c>
      <c r="M152" s="7" t="str">
        <f>CONCATENATE("MSCGPP53A30C704K")</f>
        <v>MSCGPP53A30C704K</v>
      </c>
      <c r="N152" s="7" t="s">
        <v>238</v>
      </c>
      <c r="O152" s="7" t="s">
        <v>202</v>
      </c>
      <c r="P152" s="8">
        <v>44305</v>
      </c>
      <c r="Q152" s="7" t="s">
        <v>32</v>
      </c>
      <c r="R152" s="7" t="s">
        <v>33</v>
      </c>
      <c r="S152" s="7" t="s">
        <v>34</v>
      </c>
      <c r="T152" s="7"/>
      <c r="U152" s="7" t="s">
        <v>35</v>
      </c>
      <c r="V152" s="7">
        <v>725.55</v>
      </c>
      <c r="W152" s="7">
        <v>312.86</v>
      </c>
      <c r="X152" s="7">
        <v>288.91000000000003</v>
      </c>
      <c r="Y152" s="7">
        <v>0</v>
      </c>
      <c r="Z152" s="7">
        <v>123.78</v>
      </c>
    </row>
    <row r="153" spans="1:26" x14ac:dyDescent="0.35">
      <c r="A153" s="7" t="s">
        <v>27</v>
      </c>
      <c r="B153" s="7" t="s">
        <v>38</v>
      </c>
      <c r="C153" s="7" t="s">
        <v>46</v>
      </c>
      <c r="D153" s="7" t="s">
        <v>47</v>
      </c>
      <c r="E153" s="7" t="s">
        <v>41</v>
      </c>
      <c r="F153" s="7" t="s">
        <v>58</v>
      </c>
      <c r="G153" s="7">
        <v>2020</v>
      </c>
      <c r="H153" s="7" t="str">
        <f>CONCATENATE("04240019739")</f>
        <v>04240019739</v>
      </c>
      <c r="I153" s="7" t="s">
        <v>40</v>
      </c>
      <c r="J153" s="7" t="s">
        <v>31</v>
      </c>
      <c r="K153" s="7" t="str">
        <f>CONCATENATE("")</f>
        <v/>
      </c>
      <c r="L153" s="7" t="str">
        <f>CONCATENATE("11 11.2 4b")</f>
        <v>11 11.2 4b</v>
      </c>
      <c r="M153" s="7" t="str">
        <f>CONCATENATE("CRVGLD59B14C704B")</f>
        <v>CRVGLD59B14C704B</v>
      </c>
      <c r="N153" s="7" t="s">
        <v>239</v>
      </c>
      <c r="O153" s="7" t="s">
        <v>202</v>
      </c>
      <c r="P153" s="8">
        <v>44305</v>
      </c>
      <c r="Q153" s="7" t="s">
        <v>32</v>
      </c>
      <c r="R153" s="7" t="s">
        <v>33</v>
      </c>
      <c r="S153" s="7" t="s">
        <v>34</v>
      </c>
      <c r="T153" s="7"/>
      <c r="U153" s="7" t="s">
        <v>35</v>
      </c>
      <c r="V153" s="7">
        <v>765.75</v>
      </c>
      <c r="W153" s="7">
        <v>330.19</v>
      </c>
      <c r="X153" s="7">
        <v>304.92</v>
      </c>
      <c r="Y153" s="7">
        <v>0</v>
      </c>
      <c r="Z153" s="7">
        <v>130.63999999999999</v>
      </c>
    </row>
    <row r="154" spans="1:26" x14ac:dyDescent="0.35">
      <c r="A154" s="7" t="s">
        <v>27</v>
      </c>
      <c r="B154" s="7" t="s">
        <v>38</v>
      </c>
      <c r="C154" s="7" t="s">
        <v>46</v>
      </c>
      <c r="D154" s="7" t="s">
        <v>92</v>
      </c>
      <c r="E154" s="7" t="s">
        <v>36</v>
      </c>
      <c r="F154" s="7" t="s">
        <v>36</v>
      </c>
      <c r="G154" s="7">
        <v>2020</v>
      </c>
      <c r="H154" s="7" t="str">
        <f>CONCATENATE("04240183923")</f>
        <v>04240183923</v>
      </c>
      <c r="I154" s="7" t="s">
        <v>30</v>
      </c>
      <c r="J154" s="7" t="s">
        <v>31</v>
      </c>
      <c r="K154" s="7" t="str">
        <f>CONCATENATE("")</f>
        <v/>
      </c>
      <c r="L154" s="7" t="str">
        <f>CONCATENATE("11 11.2 4b")</f>
        <v>11 11.2 4b</v>
      </c>
      <c r="M154" s="7" t="str">
        <f>CONCATENATE("CPNFNC51B04A462G")</f>
        <v>CPNFNC51B04A462G</v>
      </c>
      <c r="N154" s="7" t="s">
        <v>240</v>
      </c>
      <c r="O154" s="7" t="s">
        <v>202</v>
      </c>
      <c r="P154" s="8">
        <v>44305</v>
      </c>
      <c r="Q154" s="7" t="s">
        <v>32</v>
      </c>
      <c r="R154" s="7" t="s">
        <v>33</v>
      </c>
      <c r="S154" s="7" t="s">
        <v>34</v>
      </c>
      <c r="T154" s="7"/>
      <c r="U154" s="7" t="s">
        <v>35</v>
      </c>
      <c r="V154" s="9">
        <v>5996.25</v>
      </c>
      <c r="W154" s="9">
        <v>2585.58</v>
      </c>
      <c r="X154" s="9">
        <v>2387.71</v>
      </c>
      <c r="Y154" s="7">
        <v>0</v>
      </c>
      <c r="Z154" s="9">
        <v>1022.96</v>
      </c>
    </row>
    <row r="155" spans="1:26" ht="17.5" x14ac:dyDescent="0.35">
      <c r="A155" s="7" t="s">
        <v>27</v>
      </c>
      <c r="B155" s="7" t="s">
        <v>38</v>
      </c>
      <c r="C155" s="7" t="s">
        <v>46</v>
      </c>
      <c r="D155" s="7" t="s">
        <v>47</v>
      </c>
      <c r="E155" s="7" t="s">
        <v>39</v>
      </c>
      <c r="F155" s="7" t="s">
        <v>50</v>
      </c>
      <c r="G155" s="7">
        <v>2020</v>
      </c>
      <c r="H155" s="7" t="str">
        <f>CONCATENATE("04240782906")</f>
        <v>04240782906</v>
      </c>
      <c r="I155" s="7" t="s">
        <v>30</v>
      </c>
      <c r="J155" s="7" t="s">
        <v>31</v>
      </c>
      <c r="K155" s="7" t="str">
        <f>CONCATENATE("")</f>
        <v/>
      </c>
      <c r="L155" s="7" t="str">
        <f>CONCATENATE("11 11.2 4b")</f>
        <v>11 11.2 4b</v>
      </c>
      <c r="M155" s="7" t="str">
        <f>CONCATENATE("MCAMGS61R55I661H")</f>
        <v>MCAMGS61R55I661H</v>
      </c>
      <c r="N155" s="7" t="s">
        <v>241</v>
      </c>
      <c r="O155" s="7" t="s">
        <v>202</v>
      </c>
      <c r="P155" s="8">
        <v>44305</v>
      </c>
      <c r="Q155" s="7" t="s">
        <v>32</v>
      </c>
      <c r="R155" s="7" t="s">
        <v>33</v>
      </c>
      <c r="S155" s="7" t="s">
        <v>34</v>
      </c>
      <c r="T155" s="7"/>
      <c r="U155" s="7" t="s">
        <v>35</v>
      </c>
      <c r="V155" s="9">
        <v>8065</v>
      </c>
      <c r="W155" s="9">
        <v>3477.63</v>
      </c>
      <c r="X155" s="9">
        <v>3211.48</v>
      </c>
      <c r="Y155" s="7">
        <v>0</v>
      </c>
      <c r="Z155" s="9">
        <v>1375.89</v>
      </c>
    </row>
    <row r="156" spans="1:26" x14ac:dyDescent="0.35">
      <c r="A156" s="7" t="s">
        <v>27</v>
      </c>
      <c r="B156" s="7" t="s">
        <v>38</v>
      </c>
      <c r="C156" s="7" t="s">
        <v>46</v>
      </c>
      <c r="D156" s="7" t="s">
        <v>47</v>
      </c>
      <c r="E156" s="7" t="s">
        <v>44</v>
      </c>
      <c r="F156" s="7" t="s">
        <v>236</v>
      </c>
      <c r="G156" s="7">
        <v>2020</v>
      </c>
      <c r="H156" s="7" t="str">
        <f>CONCATENATE("04241023359")</f>
        <v>04241023359</v>
      </c>
      <c r="I156" s="7" t="s">
        <v>40</v>
      </c>
      <c r="J156" s="7" t="s">
        <v>31</v>
      </c>
      <c r="K156" s="7" t="str">
        <f>CONCATENATE("")</f>
        <v/>
      </c>
      <c r="L156" s="7" t="str">
        <f>CONCATENATE("11 11.1 4b")</f>
        <v>11 11.1 4b</v>
      </c>
      <c r="M156" s="7" t="str">
        <f>CONCATENATE("PRMJRU95S23I156U")</f>
        <v>PRMJRU95S23I156U</v>
      </c>
      <c r="N156" s="7" t="s">
        <v>242</v>
      </c>
      <c r="O156" s="7" t="s">
        <v>202</v>
      </c>
      <c r="P156" s="8">
        <v>44305</v>
      </c>
      <c r="Q156" s="7" t="s">
        <v>32</v>
      </c>
      <c r="R156" s="7" t="s">
        <v>33</v>
      </c>
      <c r="S156" s="7" t="s">
        <v>34</v>
      </c>
      <c r="T156" s="7"/>
      <c r="U156" s="7" t="s">
        <v>35</v>
      </c>
      <c r="V156" s="7">
        <v>575.58000000000004</v>
      </c>
      <c r="W156" s="7">
        <v>248.19</v>
      </c>
      <c r="X156" s="7">
        <v>229.2</v>
      </c>
      <c r="Y156" s="7">
        <v>0</v>
      </c>
      <c r="Z156" s="7">
        <v>98.19</v>
      </c>
    </row>
    <row r="157" spans="1:26" x14ac:dyDescent="0.35">
      <c r="A157" s="7" t="s">
        <v>27</v>
      </c>
      <c r="B157" s="7" t="s">
        <v>38</v>
      </c>
      <c r="C157" s="7" t="s">
        <v>46</v>
      </c>
      <c r="D157" s="7" t="s">
        <v>47</v>
      </c>
      <c r="E157" s="7" t="s">
        <v>44</v>
      </c>
      <c r="F157" s="7" t="s">
        <v>236</v>
      </c>
      <c r="G157" s="7">
        <v>2020</v>
      </c>
      <c r="H157" s="7" t="str">
        <f>CONCATENATE("04240996274")</f>
        <v>04240996274</v>
      </c>
      <c r="I157" s="7" t="s">
        <v>40</v>
      </c>
      <c r="J157" s="7" t="s">
        <v>31</v>
      </c>
      <c r="K157" s="7" t="str">
        <f>CONCATENATE("")</f>
        <v/>
      </c>
      <c r="L157" s="7" t="str">
        <f>CONCATENATE("11 11.1 4b")</f>
        <v>11 11.1 4b</v>
      </c>
      <c r="M157" s="7" t="str">
        <f>CONCATENATE("PRMJRU95S23I156U")</f>
        <v>PRMJRU95S23I156U</v>
      </c>
      <c r="N157" s="7" t="s">
        <v>242</v>
      </c>
      <c r="O157" s="7" t="s">
        <v>202</v>
      </c>
      <c r="P157" s="8">
        <v>44305</v>
      </c>
      <c r="Q157" s="7" t="s">
        <v>32</v>
      </c>
      <c r="R157" s="7" t="s">
        <v>33</v>
      </c>
      <c r="S157" s="7" t="s">
        <v>34</v>
      </c>
      <c r="T157" s="7"/>
      <c r="U157" s="7" t="s">
        <v>35</v>
      </c>
      <c r="V157" s="7">
        <v>220.42</v>
      </c>
      <c r="W157" s="7">
        <v>95.05</v>
      </c>
      <c r="X157" s="7">
        <v>87.77</v>
      </c>
      <c r="Y157" s="7">
        <v>0</v>
      </c>
      <c r="Z157" s="7">
        <v>37.6</v>
      </c>
    </row>
    <row r="158" spans="1:26" x14ac:dyDescent="0.35">
      <c r="A158" s="7" t="s">
        <v>27</v>
      </c>
      <c r="B158" s="7" t="s">
        <v>38</v>
      </c>
      <c r="C158" s="7" t="s">
        <v>46</v>
      </c>
      <c r="D158" s="7" t="s">
        <v>47</v>
      </c>
      <c r="E158" s="7" t="s">
        <v>39</v>
      </c>
      <c r="F158" s="7" t="s">
        <v>70</v>
      </c>
      <c r="G158" s="7">
        <v>2020</v>
      </c>
      <c r="H158" s="7" t="str">
        <f>CONCATENATE("04240235087")</f>
        <v>04240235087</v>
      </c>
      <c r="I158" s="7" t="s">
        <v>30</v>
      </c>
      <c r="J158" s="7" t="s">
        <v>31</v>
      </c>
      <c r="K158" s="7" t="str">
        <f>CONCATENATE("")</f>
        <v/>
      </c>
      <c r="L158" s="7" t="str">
        <f>CONCATENATE("11 11.1 4b")</f>
        <v>11 11.1 4b</v>
      </c>
      <c r="M158" s="7" t="str">
        <f>CONCATENATE("01736990431")</f>
        <v>01736990431</v>
      </c>
      <c r="N158" s="7" t="s">
        <v>243</v>
      </c>
      <c r="O158" s="7" t="s">
        <v>202</v>
      </c>
      <c r="P158" s="8">
        <v>44305</v>
      </c>
      <c r="Q158" s="7" t="s">
        <v>32</v>
      </c>
      <c r="R158" s="7" t="s">
        <v>33</v>
      </c>
      <c r="S158" s="7" t="s">
        <v>34</v>
      </c>
      <c r="T158" s="7"/>
      <c r="U158" s="7" t="s">
        <v>35</v>
      </c>
      <c r="V158" s="7">
        <v>254.66</v>
      </c>
      <c r="W158" s="7">
        <v>109.81</v>
      </c>
      <c r="X158" s="7">
        <v>101.41</v>
      </c>
      <c r="Y158" s="7">
        <v>0</v>
      </c>
      <c r="Z158" s="7">
        <v>43.44</v>
      </c>
    </row>
    <row r="159" spans="1:26" x14ac:dyDescent="0.35">
      <c r="A159" s="7" t="s">
        <v>27</v>
      </c>
      <c r="B159" s="7" t="s">
        <v>38</v>
      </c>
      <c r="C159" s="7" t="s">
        <v>46</v>
      </c>
      <c r="D159" s="7" t="s">
        <v>47</v>
      </c>
      <c r="E159" s="7" t="s">
        <v>44</v>
      </c>
      <c r="F159" s="7" t="s">
        <v>236</v>
      </c>
      <c r="G159" s="7">
        <v>2020</v>
      </c>
      <c r="H159" s="7" t="str">
        <f>CONCATENATE("04240881625")</f>
        <v>04240881625</v>
      </c>
      <c r="I159" s="7" t="s">
        <v>30</v>
      </c>
      <c r="J159" s="7" t="s">
        <v>31</v>
      </c>
      <c r="K159" s="7" t="str">
        <f>CONCATENATE("")</f>
        <v/>
      </c>
      <c r="L159" s="7" t="str">
        <f>CONCATENATE("11 11.2 4b")</f>
        <v>11 11.2 4b</v>
      </c>
      <c r="M159" s="7" t="str">
        <f>CONCATENATE("CNTSLV62C24E783O")</f>
        <v>CNTSLV62C24E783O</v>
      </c>
      <c r="N159" s="7" t="s">
        <v>244</v>
      </c>
      <c r="O159" s="7" t="s">
        <v>202</v>
      </c>
      <c r="P159" s="8">
        <v>44305</v>
      </c>
      <c r="Q159" s="7" t="s">
        <v>32</v>
      </c>
      <c r="R159" s="7" t="s">
        <v>33</v>
      </c>
      <c r="S159" s="7" t="s">
        <v>34</v>
      </c>
      <c r="T159" s="7"/>
      <c r="U159" s="7" t="s">
        <v>35</v>
      </c>
      <c r="V159" s="7">
        <v>569.91</v>
      </c>
      <c r="W159" s="7">
        <v>245.75</v>
      </c>
      <c r="X159" s="7">
        <v>226.94</v>
      </c>
      <c r="Y159" s="7">
        <v>0</v>
      </c>
      <c r="Z159" s="7">
        <v>97.22</v>
      </c>
    </row>
    <row r="160" spans="1:26" ht="17.5" x14ac:dyDescent="0.35">
      <c r="A160" s="7" t="s">
        <v>27</v>
      </c>
      <c r="B160" s="7" t="s">
        <v>38</v>
      </c>
      <c r="C160" s="7" t="s">
        <v>46</v>
      </c>
      <c r="D160" s="7" t="s">
        <v>47</v>
      </c>
      <c r="E160" s="7" t="s">
        <v>39</v>
      </c>
      <c r="F160" s="7" t="s">
        <v>61</v>
      </c>
      <c r="G160" s="7">
        <v>2020</v>
      </c>
      <c r="H160" s="7" t="str">
        <f>CONCATENATE("04240345738")</f>
        <v>04240345738</v>
      </c>
      <c r="I160" s="7" t="s">
        <v>30</v>
      </c>
      <c r="J160" s="7" t="s">
        <v>31</v>
      </c>
      <c r="K160" s="7" t="str">
        <f>CONCATENATE("")</f>
        <v/>
      </c>
      <c r="L160" s="7" t="str">
        <f>CONCATENATE("11 11.1 4b")</f>
        <v>11 11.1 4b</v>
      </c>
      <c r="M160" s="7" t="str">
        <f>CONCATENATE("01914540438")</f>
        <v>01914540438</v>
      </c>
      <c r="N160" s="7" t="s">
        <v>245</v>
      </c>
      <c r="O160" s="7" t="s">
        <v>202</v>
      </c>
      <c r="P160" s="8">
        <v>44305</v>
      </c>
      <c r="Q160" s="7" t="s">
        <v>32</v>
      </c>
      <c r="R160" s="7" t="s">
        <v>33</v>
      </c>
      <c r="S160" s="7" t="s">
        <v>34</v>
      </c>
      <c r="T160" s="7"/>
      <c r="U160" s="7" t="s">
        <v>35</v>
      </c>
      <c r="V160" s="9">
        <v>1480.62</v>
      </c>
      <c r="W160" s="7">
        <v>638.44000000000005</v>
      </c>
      <c r="X160" s="7">
        <v>589.58000000000004</v>
      </c>
      <c r="Y160" s="7">
        <v>0</v>
      </c>
      <c r="Z160" s="7">
        <v>252.6</v>
      </c>
    </row>
    <row r="161" spans="1:26" ht="17.5" x14ac:dyDescent="0.35">
      <c r="A161" s="7" t="s">
        <v>27</v>
      </c>
      <c r="B161" s="7" t="s">
        <v>38</v>
      </c>
      <c r="C161" s="7" t="s">
        <v>46</v>
      </c>
      <c r="D161" s="7" t="s">
        <v>47</v>
      </c>
      <c r="E161" s="7" t="s">
        <v>39</v>
      </c>
      <c r="F161" s="7" t="s">
        <v>61</v>
      </c>
      <c r="G161" s="7">
        <v>2020</v>
      </c>
      <c r="H161" s="7" t="str">
        <f>CONCATENATE("04240130098")</f>
        <v>04240130098</v>
      </c>
      <c r="I161" s="7" t="s">
        <v>30</v>
      </c>
      <c r="J161" s="7" t="s">
        <v>31</v>
      </c>
      <c r="K161" s="7" t="str">
        <f>CONCATENATE("")</f>
        <v/>
      </c>
      <c r="L161" s="7" t="str">
        <f>CONCATENATE("11 11.1 4b")</f>
        <v>11 11.1 4b</v>
      </c>
      <c r="M161" s="7" t="str">
        <f>CONCATENATE("01797880430")</f>
        <v>01797880430</v>
      </c>
      <c r="N161" s="7" t="s">
        <v>246</v>
      </c>
      <c r="O161" s="7" t="s">
        <v>202</v>
      </c>
      <c r="P161" s="8">
        <v>44305</v>
      </c>
      <c r="Q161" s="7" t="s">
        <v>32</v>
      </c>
      <c r="R161" s="7" t="s">
        <v>33</v>
      </c>
      <c r="S161" s="7" t="s">
        <v>34</v>
      </c>
      <c r="T161" s="7"/>
      <c r="U161" s="7" t="s">
        <v>35</v>
      </c>
      <c r="V161" s="9">
        <v>1212.23</v>
      </c>
      <c r="W161" s="7">
        <v>522.71</v>
      </c>
      <c r="X161" s="7">
        <v>482.71</v>
      </c>
      <c r="Y161" s="7">
        <v>0</v>
      </c>
      <c r="Z161" s="7">
        <v>206.81</v>
      </c>
    </row>
    <row r="162" spans="1:26" x14ac:dyDescent="0.35">
      <c r="A162" s="7" t="s">
        <v>27</v>
      </c>
      <c r="B162" s="7" t="s">
        <v>38</v>
      </c>
      <c r="C162" s="7" t="s">
        <v>46</v>
      </c>
      <c r="D162" s="7" t="s">
        <v>47</v>
      </c>
      <c r="E162" s="7" t="s">
        <v>39</v>
      </c>
      <c r="F162" s="7" t="s">
        <v>144</v>
      </c>
      <c r="G162" s="7">
        <v>2020</v>
      </c>
      <c r="H162" s="7" t="str">
        <f>CONCATENATE("04240147258")</f>
        <v>04240147258</v>
      </c>
      <c r="I162" s="7" t="s">
        <v>40</v>
      </c>
      <c r="J162" s="7" t="s">
        <v>31</v>
      </c>
      <c r="K162" s="7" t="str">
        <f>CONCATENATE("")</f>
        <v/>
      </c>
      <c r="L162" s="7" t="str">
        <f>CONCATENATE("11 11.1 4b")</f>
        <v>11 11.1 4b</v>
      </c>
      <c r="M162" s="7" t="str">
        <f>CONCATENATE("NBLCNZ73S59I156C")</f>
        <v>NBLCNZ73S59I156C</v>
      </c>
      <c r="N162" s="7" t="s">
        <v>247</v>
      </c>
      <c r="O162" s="7" t="s">
        <v>202</v>
      </c>
      <c r="P162" s="8">
        <v>44305</v>
      </c>
      <c r="Q162" s="7" t="s">
        <v>32</v>
      </c>
      <c r="R162" s="7" t="s">
        <v>33</v>
      </c>
      <c r="S162" s="7" t="s">
        <v>34</v>
      </c>
      <c r="T162" s="7"/>
      <c r="U162" s="7" t="s">
        <v>35</v>
      </c>
      <c r="V162" s="7">
        <v>684.25</v>
      </c>
      <c r="W162" s="7">
        <v>295.05</v>
      </c>
      <c r="X162" s="7">
        <v>272.47000000000003</v>
      </c>
      <c r="Y162" s="7">
        <v>0</v>
      </c>
      <c r="Z162" s="7">
        <v>116.73</v>
      </c>
    </row>
    <row r="163" spans="1:26" x14ac:dyDescent="0.35">
      <c r="A163" s="7" t="s">
        <v>27</v>
      </c>
      <c r="B163" s="7" t="s">
        <v>38</v>
      </c>
      <c r="C163" s="7" t="s">
        <v>46</v>
      </c>
      <c r="D163" s="7" t="s">
        <v>47</v>
      </c>
      <c r="E163" s="7" t="s">
        <v>42</v>
      </c>
      <c r="F163" s="7" t="s">
        <v>248</v>
      </c>
      <c r="G163" s="7">
        <v>2020</v>
      </c>
      <c r="H163" s="7" t="str">
        <f>CONCATENATE("04240276198")</f>
        <v>04240276198</v>
      </c>
      <c r="I163" s="7" t="s">
        <v>30</v>
      </c>
      <c r="J163" s="7" t="s">
        <v>31</v>
      </c>
      <c r="K163" s="7" t="str">
        <f>CONCATENATE("")</f>
        <v/>
      </c>
      <c r="L163" s="7" t="str">
        <f>CONCATENATE("11 11.2 4b")</f>
        <v>11 11.2 4b</v>
      </c>
      <c r="M163" s="7" t="str">
        <f>CONCATENATE("CNGGST60B24A271E")</f>
        <v>CNGGST60B24A271E</v>
      </c>
      <c r="N163" s="7" t="s">
        <v>249</v>
      </c>
      <c r="O163" s="7" t="s">
        <v>202</v>
      </c>
      <c r="P163" s="8">
        <v>44305</v>
      </c>
      <c r="Q163" s="7" t="s">
        <v>32</v>
      </c>
      <c r="R163" s="7" t="s">
        <v>33</v>
      </c>
      <c r="S163" s="7" t="s">
        <v>34</v>
      </c>
      <c r="T163" s="7"/>
      <c r="U163" s="7" t="s">
        <v>35</v>
      </c>
      <c r="V163" s="9">
        <v>3506.29</v>
      </c>
      <c r="W163" s="9">
        <v>1511.91</v>
      </c>
      <c r="X163" s="9">
        <v>1396.2</v>
      </c>
      <c r="Y163" s="7">
        <v>0</v>
      </c>
      <c r="Z163" s="7">
        <v>598.17999999999995</v>
      </c>
    </row>
    <row r="164" spans="1:26" x14ac:dyDescent="0.35">
      <c r="A164" s="7" t="s">
        <v>27</v>
      </c>
      <c r="B164" s="7" t="s">
        <v>38</v>
      </c>
      <c r="C164" s="7" t="s">
        <v>46</v>
      </c>
      <c r="D164" s="7" t="s">
        <v>47</v>
      </c>
      <c r="E164" s="7" t="s">
        <v>39</v>
      </c>
      <c r="F164" s="7" t="s">
        <v>144</v>
      </c>
      <c r="G164" s="7">
        <v>2020</v>
      </c>
      <c r="H164" s="7" t="str">
        <f>CONCATENATE("04240490591")</f>
        <v>04240490591</v>
      </c>
      <c r="I164" s="7" t="s">
        <v>40</v>
      </c>
      <c r="J164" s="7" t="s">
        <v>31</v>
      </c>
      <c r="K164" s="7" t="str">
        <f>CONCATENATE("")</f>
        <v/>
      </c>
      <c r="L164" s="7" t="str">
        <f>CONCATENATE("11 11.2 4b")</f>
        <v>11 11.2 4b</v>
      </c>
      <c r="M164" s="7" t="str">
        <f>CONCATENATE("ZGGPLB66S30I156Z")</f>
        <v>ZGGPLB66S30I156Z</v>
      </c>
      <c r="N164" s="7" t="s">
        <v>250</v>
      </c>
      <c r="O164" s="7" t="s">
        <v>202</v>
      </c>
      <c r="P164" s="8">
        <v>44305</v>
      </c>
      <c r="Q164" s="7" t="s">
        <v>32</v>
      </c>
      <c r="R164" s="7" t="s">
        <v>33</v>
      </c>
      <c r="S164" s="7" t="s">
        <v>34</v>
      </c>
      <c r="T164" s="7"/>
      <c r="U164" s="7" t="s">
        <v>35</v>
      </c>
      <c r="V164" s="9">
        <v>3530.08</v>
      </c>
      <c r="W164" s="9">
        <v>1522.17</v>
      </c>
      <c r="X164" s="9">
        <v>1405.68</v>
      </c>
      <c r="Y164" s="7">
        <v>0</v>
      </c>
      <c r="Z164" s="7">
        <v>602.23</v>
      </c>
    </row>
    <row r="165" spans="1:26" ht="17.5" x14ac:dyDescent="0.35">
      <c r="A165" s="7" t="s">
        <v>27</v>
      </c>
      <c r="B165" s="7" t="s">
        <v>38</v>
      </c>
      <c r="C165" s="7" t="s">
        <v>46</v>
      </c>
      <c r="D165" s="7" t="s">
        <v>47</v>
      </c>
      <c r="E165" s="7" t="s">
        <v>39</v>
      </c>
      <c r="F165" s="7" t="s">
        <v>86</v>
      </c>
      <c r="G165" s="7">
        <v>2020</v>
      </c>
      <c r="H165" s="7" t="str">
        <f>CONCATENATE("04241157629")</f>
        <v>04241157629</v>
      </c>
      <c r="I165" s="7" t="s">
        <v>30</v>
      </c>
      <c r="J165" s="7" t="s">
        <v>31</v>
      </c>
      <c r="K165" s="7" t="str">
        <f>CONCATENATE("")</f>
        <v/>
      </c>
      <c r="L165" s="7" t="str">
        <f>CONCATENATE("11 11.1 4b")</f>
        <v>11 11.1 4b</v>
      </c>
      <c r="M165" s="7" t="str">
        <f>CONCATENATE("MLGMRC82D19C770N")</f>
        <v>MLGMRC82D19C770N</v>
      </c>
      <c r="N165" s="7" t="s">
        <v>251</v>
      </c>
      <c r="O165" s="7" t="s">
        <v>202</v>
      </c>
      <c r="P165" s="8">
        <v>44305</v>
      </c>
      <c r="Q165" s="7" t="s">
        <v>32</v>
      </c>
      <c r="R165" s="7" t="s">
        <v>33</v>
      </c>
      <c r="S165" s="7" t="s">
        <v>34</v>
      </c>
      <c r="T165" s="7"/>
      <c r="U165" s="7" t="s">
        <v>35</v>
      </c>
      <c r="V165" s="9">
        <v>3147.68</v>
      </c>
      <c r="W165" s="9">
        <v>1357.28</v>
      </c>
      <c r="X165" s="9">
        <v>1253.4100000000001</v>
      </c>
      <c r="Y165" s="7">
        <v>0</v>
      </c>
      <c r="Z165" s="7">
        <v>536.99</v>
      </c>
    </row>
    <row r="166" spans="1:26" x14ac:dyDescent="0.35">
      <c r="A166" s="7" t="s">
        <v>27</v>
      </c>
      <c r="B166" s="7" t="s">
        <v>38</v>
      </c>
      <c r="C166" s="7" t="s">
        <v>46</v>
      </c>
      <c r="D166" s="7" t="s">
        <v>47</v>
      </c>
      <c r="E166" s="7" t="s">
        <v>41</v>
      </c>
      <c r="F166" s="7" t="s">
        <v>58</v>
      </c>
      <c r="G166" s="7">
        <v>2020</v>
      </c>
      <c r="H166" s="7" t="str">
        <f>CONCATENATE("04240548547")</f>
        <v>04240548547</v>
      </c>
      <c r="I166" s="7" t="s">
        <v>40</v>
      </c>
      <c r="J166" s="7" t="s">
        <v>31</v>
      </c>
      <c r="K166" s="7" t="str">
        <f>CONCATENATE("")</f>
        <v/>
      </c>
      <c r="L166" s="7" t="str">
        <f>CONCATENATE("11 11.2 4b")</f>
        <v>11 11.2 4b</v>
      </c>
      <c r="M166" s="7" t="str">
        <f>CONCATENATE("VLTSFN79P16E514V")</f>
        <v>VLTSFN79P16E514V</v>
      </c>
      <c r="N166" s="7" t="s">
        <v>252</v>
      </c>
      <c r="O166" s="7" t="s">
        <v>202</v>
      </c>
      <c r="P166" s="8">
        <v>44305</v>
      </c>
      <c r="Q166" s="7" t="s">
        <v>32</v>
      </c>
      <c r="R166" s="7" t="s">
        <v>33</v>
      </c>
      <c r="S166" s="7" t="s">
        <v>34</v>
      </c>
      <c r="T166" s="7"/>
      <c r="U166" s="7" t="s">
        <v>35</v>
      </c>
      <c r="V166" s="9">
        <v>1156.53</v>
      </c>
      <c r="W166" s="7">
        <v>498.7</v>
      </c>
      <c r="X166" s="7">
        <v>460.53</v>
      </c>
      <c r="Y166" s="7">
        <v>0</v>
      </c>
      <c r="Z166" s="7">
        <v>197.3</v>
      </c>
    </row>
    <row r="167" spans="1:26" x14ac:dyDescent="0.35">
      <c r="A167" s="7" t="s">
        <v>27</v>
      </c>
      <c r="B167" s="7" t="s">
        <v>38</v>
      </c>
      <c r="C167" s="7" t="s">
        <v>46</v>
      </c>
      <c r="D167" s="7" t="s">
        <v>47</v>
      </c>
      <c r="E167" s="7" t="s">
        <v>44</v>
      </c>
      <c r="F167" s="7" t="s">
        <v>66</v>
      </c>
      <c r="G167" s="7">
        <v>2020</v>
      </c>
      <c r="H167" s="7" t="str">
        <f>CONCATENATE("04240695744")</f>
        <v>04240695744</v>
      </c>
      <c r="I167" s="7" t="s">
        <v>30</v>
      </c>
      <c r="J167" s="7" t="s">
        <v>31</v>
      </c>
      <c r="K167" s="7" t="str">
        <f>CONCATENATE("")</f>
        <v/>
      </c>
      <c r="L167" s="7" t="str">
        <f>CONCATENATE("11 11.1 4b")</f>
        <v>11 11.1 4b</v>
      </c>
      <c r="M167" s="7" t="str">
        <f>CONCATENATE("MRTDVD79E09I156T")</f>
        <v>MRTDVD79E09I156T</v>
      </c>
      <c r="N167" s="7" t="s">
        <v>253</v>
      </c>
      <c r="O167" s="7" t="s">
        <v>202</v>
      </c>
      <c r="P167" s="8">
        <v>44305</v>
      </c>
      <c r="Q167" s="7" t="s">
        <v>32</v>
      </c>
      <c r="R167" s="7" t="s">
        <v>33</v>
      </c>
      <c r="S167" s="7" t="s">
        <v>34</v>
      </c>
      <c r="T167" s="7"/>
      <c r="U167" s="7" t="s">
        <v>35</v>
      </c>
      <c r="V167" s="7">
        <v>87.26</v>
      </c>
      <c r="W167" s="7">
        <v>37.630000000000003</v>
      </c>
      <c r="X167" s="7">
        <v>34.75</v>
      </c>
      <c r="Y167" s="7">
        <v>0</v>
      </c>
      <c r="Z167" s="7">
        <v>14.88</v>
      </c>
    </row>
    <row r="168" spans="1:26" x14ac:dyDescent="0.35">
      <c r="A168" s="7" t="s">
        <v>27</v>
      </c>
      <c r="B168" s="7" t="s">
        <v>38</v>
      </c>
      <c r="C168" s="7" t="s">
        <v>46</v>
      </c>
      <c r="D168" s="7" t="s">
        <v>47</v>
      </c>
      <c r="E168" s="7" t="s">
        <v>29</v>
      </c>
      <c r="F168" s="7" t="s">
        <v>254</v>
      </c>
      <c r="G168" s="7">
        <v>2020</v>
      </c>
      <c r="H168" s="7" t="str">
        <f>CONCATENATE("04240567083")</f>
        <v>04240567083</v>
      </c>
      <c r="I168" s="7" t="s">
        <v>40</v>
      </c>
      <c r="J168" s="7" t="s">
        <v>31</v>
      </c>
      <c r="K168" s="7" t="str">
        <f>CONCATENATE("")</f>
        <v/>
      </c>
      <c r="L168" s="7" t="str">
        <f>CONCATENATE("11 11.2 4b")</f>
        <v>11 11.2 4b</v>
      </c>
      <c r="M168" s="7" t="str">
        <f>CONCATENATE("VNCSMN79L62L366B")</f>
        <v>VNCSMN79L62L366B</v>
      </c>
      <c r="N168" s="7" t="s">
        <v>255</v>
      </c>
      <c r="O168" s="7" t="s">
        <v>202</v>
      </c>
      <c r="P168" s="8">
        <v>44305</v>
      </c>
      <c r="Q168" s="7" t="s">
        <v>32</v>
      </c>
      <c r="R168" s="7" t="s">
        <v>33</v>
      </c>
      <c r="S168" s="7" t="s">
        <v>34</v>
      </c>
      <c r="T168" s="7"/>
      <c r="U168" s="7" t="s">
        <v>35</v>
      </c>
      <c r="V168" s="7">
        <v>106.85</v>
      </c>
      <c r="W168" s="7">
        <v>46.07</v>
      </c>
      <c r="X168" s="7">
        <v>42.55</v>
      </c>
      <c r="Y168" s="7">
        <v>0</v>
      </c>
      <c r="Z168" s="7">
        <v>18.23</v>
      </c>
    </row>
    <row r="169" spans="1:26" x14ac:dyDescent="0.35">
      <c r="A169" s="7" t="s">
        <v>27</v>
      </c>
      <c r="B169" s="7" t="s">
        <v>38</v>
      </c>
      <c r="C169" s="7" t="s">
        <v>46</v>
      </c>
      <c r="D169" s="7" t="s">
        <v>47</v>
      </c>
      <c r="E169" s="7" t="s">
        <v>44</v>
      </c>
      <c r="F169" s="7" t="s">
        <v>204</v>
      </c>
      <c r="G169" s="7">
        <v>2020</v>
      </c>
      <c r="H169" s="7" t="str">
        <f>CONCATENATE("04240467706")</f>
        <v>04240467706</v>
      </c>
      <c r="I169" s="7" t="s">
        <v>30</v>
      </c>
      <c r="J169" s="7" t="s">
        <v>31</v>
      </c>
      <c r="K169" s="7" t="str">
        <f>CONCATENATE("")</f>
        <v/>
      </c>
      <c r="L169" s="7" t="str">
        <f>CONCATENATE("11 11.1 4b")</f>
        <v>11 11.1 4b</v>
      </c>
      <c r="M169" s="7" t="str">
        <f>CONCATENATE("01914050438")</f>
        <v>01914050438</v>
      </c>
      <c r="N169" s="7" t="s">
        <v>256</v>
      </c>
      <c r="O169" s="7" t="s">
        <v>202</v>
      </c>
      <c r="P169" s="8">
        <v>44305</v>
      </c>
      <c r="Q169" s="7" t="s">
        <v>32</v>
      </c>
      <c r="R169" s="7" t="s">
        <v>33</v>
      </c>
      <c r="S169" s="7" t="s">
        <v>34</v>
      </c>
      <c r="T169" s="7"/>
      <c r="U169" s="7" t="s">
        <v>35</v>
      </c>
      <c r="V169" s="7">
        <v>362.19</v>
      </c>
      <c r="W169" s="7">
        <v>156.18</v>
      </c>
      <c r="X169" s="7">
        <v>144.22</v>
      </c>
      <c r="Y169" s="7">
        <v>0</v>
      </c>
      <c r="Z169" s="7">
        <v>61.79</v>
      </c>
    </row>
    <row r="170" spans="1:26" x14ac:dyDescent="0.35">
      <c r="A170" s="7" t="s">
        <v>27</v>
      </c>
      <c r="B170" s="7" t="s">
        <v>38</v>
      </c>
      <c r="C170" s="7" t="s">
        <v>46</v>
      </c>
      <c r="D170" s="7" t="s">
        <v>47</v>
      </c>
      <c r="E170" s="7" t="s">
        <v>44</v>
      </c>
      <c r="F170" s="7" t="s">
        <v>236</v>
      </c>
      <c r="G170" s="7">
        <v>2020</v>
      </c>
      <c r="H170" s="7" t="str">
        <f>CONCATENATE("04240185944")</f>
        <v>04240185944</v>
      </c>
      <c r="I170" s="7" t="s">
        <v>40</v>
      </c>
      <c r="J170" s="7" t="s">
        <v>31</v>
      </c>
      <c r="K170" s="7" t="str">
        <f>CONCATENATE("")</f>
        <v/>
      </c>
      <c r="L170" s="7" t="str">
        <f>CONCATENATE("11 11.2 4b")</f>
        <v>11 11.2 4b</v>
      </c>
      <c r="M170" s="7" t="str">
        <f>CONCATENATE("PNTGRL69A06I156T")</f>
        <v>PNTGRL69A06I156T</v>
      </c>
      <c r="N170" s="7" t="s">
        <v>257</v>
      </c>
      <c r="O170" s="7" t="s">
        <v>202</v>
      </c>
      <c r="P170" s="8">
        <v>44305</v>
      </c>
      <c r="Q170" s="7" t="s">
        <v>32</v>
      </c>
      <c r="R170" s="7" t="s">
        <v>33</v>
      </c>
      <c r="S170" s="7" t="s">
        <v>34</v>
      </c>
      <c r="T170" s="7"/>
      <c r="U170" s="7" t="s">
        <v>35</v>
      </c>
      <c r="V170" s="9">
        <v>1588.19</v>
      </c>
      <c r="W170" s="7">
        <v>684.83</v>
      </c>
      <c r="X170" s="7">
        <v>632.41999999999996</v>
      </c>
      <c r="Y170" s="7">
        <v>0</v>
      </c>
      <c r="Z170" s="7">
        <v>270.94</v>
      </c>
    </row>
    <row r="171" spans="1:26" ht="17.5" x14ac:dyDescent="0.35">
      <c r="A171" s="7" t="s">
        <v>27</v>
      </c>
      <c r="B171" s="7" t="s">
        <v>38</v>
      </c>
      <c r="C171" s="7" t="s">
        <v>46</v>
      </c>
      <c r="D171" s="7" t="s">
        <v>92</v>
      </c>
      <c r="E171" s="7" t="s">
        <v>29</v>
      </c>
      <c r="F171" s="7" t="s">
        <v>209</v>
      </c>
      <c r="G171" s="7">
        <v>2020</v>
      </c>
      <c r="H171" s="7" t="str">
        <f>CONCATENATE("04240735888")</f>
        <v>04240735888</v>
      </c>
      <c r="I171" s="7" t="s">
        <v>40</v>
      </c>
      <c r="J171" s="7" t="s">
        <v>31</v>
      </c>
      <c r="K171" s="7" t="str">
        <f>CONCATENATE("")</f>
        <v/>
      </c>
      <c r="L171" s="7" t="str">
        <f>CONCATENATE("11 11.2 4b")</f>
        <v>11 11.2 4b</v>
      </c>
      <c r="M171" s="7" t="str">
        <f>CONCATENATE("TRBGLN69A19A252M")</f>
        <v>TRBGLN69A19A252M</v>
      </c>
      <c r="N171" s="7" t="s">
        <v>258</v>
      </c>
      <c r="O171" s="7" t="s">
        <v>202</v>
      </c>
      <c r="P171" s="8">
        <v>44305</v>
      </c>
      <c r="Q171" s="7" t="s">
        <v>32</v>
      </c>
      <c r="R171" s="7" t="s">
        <v>33</v>
      </c>
      <c r="S171" s="7" t="s">
        <v>34</v>
      </c>
      <c r="T171" s="7"/>
      <c r="U171" s="7" t="s">
        <v>35</v>
      </c>
      <c r="V171" s="7">
        <v>282.13</v>
      </c>
      <c r="W171" s="7">
        <v>121.65</v>
      </c>
      <c r="X171" s="7">
        <v>112.34</v>
      </c>
      <c r="Y171" s="7">
        <v>0</v>
      </c>
      <c r="Z171" s="7">
        <v>48.14</v>
      </c>
    </row>
    <row r="172" spans="1:26" x14ac:dyDescent="0.35">
      <c r="A172" s="7" t="s">
        <v>27</v>
      </c>
      <c r="B172" s="7" t="s">
        <v>38</v>
      </c>
      <c r="C172" s="7" t="s">
        <v>46</v>
      </c>
      <c r="D172" s="7" t="s">
        <v>47</v>
      </c>
      <c r="E172" s="7" t="s">
        <v>39</v>
      </c>
      <c r="F172" s="7" t="s">
        <v>144</v>
      </c>
      <c r="G172" s="7">
        <v>2020</v>
      </c>
      <c r="H172" s="7" t="str">
        <f>CONCATENATE("04241115726")</f>
        <v>04241115726</v>
      </c>
      <c r="I172" s="7" t="s">
        <v>30</v>
      </c>
      <c r="J172" s="7" t="s">
        <v>31</v>
      </c>
      <c r="K172" s="7" t="str">
        <f>CONCATENATE("")</f>
        <v/>
      </c>
      <c r="L172" s="7" t="str">
        <f>CONCATENATE("11 11.2 4b")</f>
        <v>11 11.2 4b</v>
      </c>
      <c r="M172" s="7" t="str">
        <f>CONCATENATE("CNFNLL53D24I156R")</f>
        <v>CNFNLL53D24I156R</v>
      </c>
      <c r="N172" s="7" t="s">
        <v>259</v>
      </c>
      <c r="O172" s="7" t="s">
        <v>202</v>
      </c>
      <c r="P172" s="8">
        <v>44305</v>
      </c>
      <c r="Q172" s="7" t="s">
        <v>32</v>
      </c>
      <c r="R172" s="7" t="s">
        <v>33</v>
      </c>
      <c r="S172" s="7" t="s">
        <v>34</v>
      </c>
      <c r="T172" s="7"/>
      <c r="U172" s="7" t="s">
        <v>35</v>
      </c>
      <c r="V172" s="9">
        <v>9526.73</v>
      </c>
      <c r="W172" s="9">
        <v>4107.93</v>
      </c>
      <c r="X172" s="9">
        <v>3793.54</v>
      </c>
      <c r="Y172" s="7">
        <v>0</v>
      </c>
      <c r="Z172" s="9">
        <v>1625.26</v>
      </c>
    </row>
    <row r="173" spans="1:26" x14ac:dyDescent="0.35">
      <c r="A173" s="7" t="s">
        <v>27</v>
      </c>
      <c r="B173" s="7" t="s">
        <v>38</v>
      </c>
      <c r="C173" s="7" t="s">
        <v>46</v>
      </c>
      <c r="D173" s="7" t="s">
        <v>52</v>
      </c>
      <c r="E173" s="7" t="s">
        <v>39</v>
      </c>
      <c r="F173" s="7" t="s">
        <v>260</v>
      </c>
      <c r="G173" s="7">
        <v>2020</v>
      </c>
      <c r="H173" s="7" t="str">
        <f>CONCATENATE("04240383549")</f>
        <v>04240383549</v>
      </c>
      <c r="I173" s="7" t="s">
        <v>40</v>
      </c>
      <c r="J173" s="7" t="s">
        <v>31</v>
      </c>
      <c r="K173" s="7" t="str">
        <f>CONCATENATE("")</f>
        <v/>
      </c>
      <c r="L173" s="7" t="str">
        <f>CONCATENATE("11 11.2 4b")</f>
        <v>11 11.2 4b</v>
      </c>
      <c r="M173" s="7" t="str">
        <f>CONCATENATE("FLPMHL55A18G479T")</f>
        <v>FLPMHL55A18G479T</v>
      </c>
      <c r="N173" s="7" t="s">
        <v>261</v>
      </c>
      <c r="O173" s="7" t="s">
        <v>202</v>
      </c>
      <c r="P173" s="8">
        <v>44305</v>
      </c>
      <c r="Q173" s="7" t="s">
        <v>32</v>
      </c>
      <c r="R173" s="7" t="s">
        <v>33</v>
      </c>
      <c r="S173" s="7" t="s">
        <v>34</v>
      </c>
      <c r="T173" s="7"/>
      <c r="U173" s="7" t="s">
        <v>35</v>
      </c>
      <c r="V173" s="9">
        <v>3554.05</v>
      </c>
      <c r="W173" s="9">
        <v>1532.51</v>
      </c>
      <c r="X173" s="9">
        <v>1415.22</v>
      </c>
      <c r="Y173" s="7">
        <v>0</v>
      </c>
      <c r="Z173" s="7">
        <v>606.32000000000005</v>
      </c>
    </row>
    <row r="174" spans="1:26" x14ac:dyDescent="0.35">
      <c r="A174" s="7" t="s">
        <v>27</v>
      </c>
      <c r="B174" s="7" t="s">
        <v>38</v>
      </c>
      <c r="C174" s="7" t="s">
        <v>46</v>
      </c>
      <c r="D174" s="7" t="s">
        <v>47</v>
      </c>
      <c r="E174" s="7" t="s">
        <v>44</v>
      </c>
      <c r="F174" s="7" t="s">
        <v>236</v>
      </c>
      <c r="G174" s="7">
        <v>2020</v>
      </c>
      <c r="H174" s="7" t="str">
        <f>CONCATENATE("04240589087")</f>
        <v>04240589087</v>
      </c>
      <c r="I174" s="7" t="s">
        <v>30</v>
      </c>
      <c r="J174" s="7" t="s">
        <v>31</v>
      </c>
      <c r="K174" s="7" t="str">
        <f>CONCATENATE("")</f>
        <v/>
      </c>
      <c r="L174" s="7" t="str">
        <f>CONCATENATE("11 11.2 4b")</f>
        <v>11 11.2 4b</v>
      </c>
      <c r="M174" s="7" t="str">
        <f>CONCATENATE("RNZRLA65D09B474J")</f>
        <v>RNZRLA65D09B474J</v>
      </c>
      <c r="N174" s="7" t="s">
        <v>262</v>
      </c>
      <c r="O174" s="7" t="s">
        <v>202</v>
      </c>
      <c r="P174" s="8">
        <v>44305</v>
      </c>
      <c r="Q174" s="7" t="s">
        <v>32</v>
      </c>
      <c r="R174" s="7" t="s">
        <v>33</v>
      </c>
      <c r="S174" s="7" t="s">
        <v>34</v>
      </c>
      <c r="T174" s="7"/>
      <c r="U174" s="7" t="s">
        <v>35</v>
      </c>
      <c r="V174" s="7">
        <v>216.84</v>
      </c>
      <c r="W174" s="7">
        <v>93.5</v>
      </c>
      <c r="X174" s="7">
        <v>86.35</v>
      </c>
      <c r="Y174" s="7">
        <v>0</v>
      </c>
      <c r="Z174" s="7">
        <v>36.99</v>
      </c>
    </row>
    <row r="175" spans="1:26" x14ac:dyDescent="0.35">
      <c r="A175" s="7" t="s">
        <v>27</v>
      </c>
      <c r="B175" s="7" t="s">
        <v>38</v>
      </c>
      <c r="C175" s="7" t="s">
        <v>46</v>
      </c>
      <c r="D175" s="7" t="s">
        <v>52</v>
      </c>
      <c r="E175" s="7" t="s">
        <v>41</v>
      </c>
      <c r="F175" s="7" t="s">
        <v>263</v>
      </c>
      <c r="G175" s="7">
        <v>2020</v>
      </c>
      <c r="H175" s="7" t="str">
        <f>CONCATENATE("04240766057")</f>
        <v>04240766057</v>
      </c>
      <c r="I175" s="7" t="s">
        <v>30</v>
      </c>
      <c r="J175" s="7" t="s">
        <v>31</v>
      </c>
      <c r="K175" s="7" t="str">
        <f>CONCATENATE("")</f>
        <v/>
      </c>
      <c r="L175" s="7" t="str">
        <f>CONCATENATE("10 10.1 4b")</f>
        <v>10 10.1 4b</v>
      </c>
      <c r="M175" s="7" t="str">
        <f>CONCATENATE("BLTDEI56T01Z103G")</f>
        <v>BLTDEI56T01Z103G</v>
      </c>
      <c r="N175" s="7" t="s">
        <v>264</v>
      </c>
      <c r="O175" s="7" t="s">
        <v>265</v>
      </c>
      <c r="P175" s="8">
        <v>44305</v>
      </c>
      <c r="Q175" s="7" t="s">
        <v>32</v>
      </c>
      <c r="R175" s="7" t="s">
        <v>33</v>
      </c>
      <c r="S175" s="7" t="s">
        <v>34</v>
      </c>
      <c r="T175" s="7"/>
      <c r="U175" s="7" t="s">
        <v>35</v>
      </c>
      <c r="V175" s="9">
        <v>2716.82</v>
      </c>
      <c r="W175" s="9">
        <v>1171.49</v>
      </c>
      <c r="X175" s="9">
        <v>1081.8399999999999</v>
      </c>
      <c r="Y175" s="7">
        <v>0</v>
      </c>
      <c r="Z175" s="7">
        <v>463.49</v>
      </c>
    </row>
    <row r="176" spans="1:26" x14ac:dyDescent="0.35">
      <c r="A176" s="7" t="s">
        <v>27</v>
      </c>
      <c r="B176" s="7" t="s">
        <v>38</v>
      </c>
      <c r="C176" s="7" t="s">
        <v>46</v>
      </c>
      <c r="D176" s="7" t="s">
        <v>52</v>
      </c>
      <c r="E176" s="7" t="s">
        <v>29</v>
      </c>
      <c r="F176" s="7" t="s">
        <v>266</v>
      </c>
      <c r="G176" s="7">
        <v>2020</v>
      </c>
      <c r="H176" s="7" t="str">
        <f>CONCATENATE("04241041088")</f>
        <v>04241041088</v>
      </c>
      <c r="I176" s="7" t="s">
        <v>30</v>
      </c>
      <c r="J176" s="7" t="s">
        <v>31</v>
      </c>
      <c r="K176" s="7" t="str">
        <f>CONCATENATE("")</f>
        <v/>
      </c>
      <c r="L176" s="7" t="str">
        <f>CONCATENATE("10 10.1 4b")</f>
        <v>10 10.1 4b</v>
      </c>
      <c r="M176" s="7" t="str">
        <f>CONCATENATE("BRNLCN61P27F533C")</f>
        <v>BRNLCN61P27F533C</v>
      </c>
      <c r="N176" s="7" t="s">
        <v>267</v>
      </c>
      <c r="O176" s="7" t="s">
        <v>265</v>
      </c>
      <c r="P176" s="8">
        <v>44305</v>
      </c>
      <c r="Q176" s="7" t="s">
        <v>32</v>
      </c>
      <c r="R176" s="7" t="s">
        <v>33</v>
      </c>
      <c r="S176" s="7" t="s">
        <v>34</v>
      </c>
      <c r="T176" s="7"/>
      <c r="U176" s="7" t="s">
        <v>35</v>
      </c>
      <c r="V176" s="9">
        <v>1050.24</v>
      </c>
      <c r="W176" s="7">
        <v>452.86</v>
      </c>
      <c r="X176" s="7">
        <v>418.21</v>
      </c>
      <c r="Y176" s="7">
        <v>0</v>
      </c>
      <c r="Z176" s="7">
        <v>179.17</v>
      </c>
    </row>
    <row r="177" spans="1:26" ht="17.5" x14ac:dyDescent="0.35">
      <c r="A177" s="7" t="s">
        <v>27</v>
      </c>
      <c r="B177" s="7" t="s">
        <v>38</v>
      </c>
      <c r="C177" s="7" t="s">
        <v>46</v>
      </c>
      <c r="D177" s="7" t="s">
        <v>52</v>
      </c>
      <c r="E177" s="7" t="s">
        <v>39</v>
      </c>
      <c r="F177" s="7" t="s">
        <v>260</v>
      </c>
      <c r="G177" s="7">
        <v>2020</v>
      </c>
      <c r="H177" s="7" t="str">
        <f>CONCATENATE("04240200644")</f>
        <v>04240200644</v>
      </c>
      <c r="I177" s="7" t="s">
        <v>40</v>
      </c>
      <c r="J177" s="7" t="s">
        <v>31</v>
      </c>
      <c r="K177" s="7" t="str">
        <f>CONCATENATE("")</f>
        <v/>
      </c>
      <c r="L177" s="7" t="str">
        <f>CONCATENATE("10 10.1 4b")</f>
        <v>10 10.1 4b</v>
      </c>
      <c r="M177" s="7" t="str">
        <f>CONCATENATE("BRNMRN38E11G479I")</f>
        <v>BRNMRN38E11G479I</v>
      </c>
      <c r="N177" s="7" t="s">
        <v>268</v>
      </c>
      <c r="O177" s="7" t="s">
        <v>265</v>
      </c>
      <c r="P177" s="8">
        <v>44305</v>
      </c>
      <c r="Q177" s="7" t="s">
        <v>32</v>
      </c>
      <c r="R177" s="7" t="s">
        <v>33</v>
      </c>
      <c r="S177" s="7" t="s">
        <v>34</v>
      </c>
      <c r="T177" s="7"/>
      <c r="U177" s="7" t="s">
        <v>35</v>
      </c>
      <c r="V177" s="9">
        <v>2549.9</v>
      </c>
      <c r="W177" s="9">
        <v>1099.52</v>
      </c>
      <c r="X177" s="9">
        <v>1015.37</v>
      </c>
      <c r="Y177" s="7">
        <v>0</v>
      </c>
      <c r="Z177" s="7">
        <v>435.01</v>
      </c>
    </row>
    <row r="178" spans="1:26" x14ac:dyDescent="0.35">
      <c r="A178" s="7" t="s">
        <v>27</v>
      </c>
      <c r="B178" s="7" t="s">
        <v>38</v>
      </c>
      <c r="C178" s="7" t="s">
        <v>46</v>
      </c>
      <c r="D178" s="7" t="s">
        <v>52</v>
      </c>
      <c r="E178" s="7" t="s">
        <v>41</v>
      </c>
      <c r="F178" s="7" t="s">
        <v>269</v>
      </c>
      <c r="G178" s="7">
        <v>2020</v>
      </c>
      <c r="H178" s="7" t="str">
        <f>CONCATENATE("04240419632")</f>
        <v>04240419632</v>
      </c>
      <c r="I178" s="7" t="s">
        <v>40</v>
      </c>
      <c r="J178" s="7" t="s">
        <v>31</v>
      </c>
      <c r="K178" s="7" t="str">
        <f>CONCATENATE("")</f>
        <v/>
      </c>
      <c r="L178" s="7" t="str">
        <f>CONCATENATE("10 10.1 4b")</f>
        <v>10 10.1 4b</v>
      </c>
      <c r="M178" s="7" t="str">
        <f>CONCATENATE("RNZLSE50R10G479H")</f>
        <v>RNZLSE50R10G479H</v>
      </c>
      <c r="N178" s="7" t="s">
        <v>270</v>
      </c>
      <c r="O178" s="7" t="s">
        <v>265</v>
      </c>
      <c r="P178" s="8">
        <v>44305</v>
      </c>
      <c r="Q178" s="7" t="s">
        <v>32</v>
      </c>
      <c r="R178" s="7" t="s">
        <v>33</v>
      </c>
      <c r="S178" s="7" t="s">
        <v>34</v>
      </c>
      <c r="T178" s="7"/>
      <c r="U178" s="7" t="s">
        <v>35</v>
      </c>
      <c r="V178" s="9">
        <v>5126.3599999999997</v>
      </c>
      <c r="W178" s="9">
        <v>2210.4899999999998</v>
      </c>
      <c r="X178" s="9">
        <v>2041.32</v>
      </c>
      <c r="Y178" s="7">
        <v>0</v>
      </c>
      <c r="Z178" s="7">
        <v>874.55</v>
      </c>
    </row>
    <row r="179" spans="1:26" x14ac:dyDescent="0.35">
      <c r="A179" s="7" t="s">
        <v>27</v>
      </c>
      <c r="B179" s="7" t="s">
        <v>38</v>
      </c>
      <c r="C179" s="7" t="s">
        <v>46</v>
      </c>
      <c r="D179" s="7" t="s">
        <v>52</v>
      </c>
      <c r="E179" s="7" t="s">
        <v>41</v>
      </c>
      <c r="F179" s="7" t="s">
        <v>263</v>
      </c>
      <c r="G179" s="7">
        <v>2020</v>
      </c>
      <c r="H179" s="7" t="str">
        <f>CONCATENATE("04240419905")</f>
        <v>04240419905</v>
      </c>
      <c r="I179" s="7" t="s">
        <v>40</v>
      </c>
      <c r="J179" s="7" t="s">
        <v>31</v>
      </c>
      <c r="K179" s="7" t="str">
        <f>CONCATENATE("")</f>
        <v/>
      </c>
      <c r="L179" s="7" t="str">
        <f>CONCATENATE("10 10.1 4b")</f>
        <v>10 10.1 4b</v>
      </c>
      <c r="M179" s="7" t="str">
        <f>CONCATENATE("FRRSRA57P17G479S")</f>
        <v>FRRSRA57P17G479S</v>
      </c>
      <c r="N179" s="7" t="s">
        <v>271</v>
      </c>
      <c r="O179" s="7" t="s">
        <v>265</v>
      </c>
      <c r="P179" s="8">
        <v>44305</v>
      </c>
      <c r="Q179" s="7" t="s">
        <v>32</v>
      </c>
      <c r="R179" s="7" t="s">
        <v>33</v>
      </c>
      <c r="S179" s="7" t="s">
        <v>34</v>
      </c>
      <c r="T179" s="7"/>
      <c r="U179" s="7" t="s">
        <v>35</v>
      </c>
      <c r="V179" s="9">
        <v>1965.83</v>
      </c>
      <c r="W179" s="7">
        <v>847.67</v>
      </c>
      <c r="X179" s="7">
        <v>782.79</v>
      </c>
      <c r="Y179" s="7">
        <v>0</v>
      </c>
      <c r="Z179" s="7">
        <v>335.37</v>
      </c>
    </row>
    <row r="180" spans="1:26" ht="17.5" x14ac:dyDescent="0.35">
      <c r="A180" s="7" t="s">
        <v>27</v>
      </c>
      <c r="B180" s="7" t="s">
        <v>38</v>
      </c>
      <c r="C180" s="7" t="s">
        <v>46</v>
      </c>
      <c r="D180" s="7" t="s">
        <v>47</v>
      </c>
      <c r="E180" s="7" t="s">
        <v>39</v>
      </c>
      <c r="F180" s="7" t="s">
        <v>50</v>
      </c>
      <c r="G180" s="7">
        <v>2020</v>
      </c>
      <c r="H180" s="7" t="str">
        <f>CONCATENATE("04240160715")</f>
        <v>04240160715</v>
      </c>
      <c r="I180" s="7" t="s">
        <v>30</v>
      </c>
      <c r="J180" s="7" t="s">
        <v>31</v>
      </c>
      <c r="K180" s="7" t="str">
        <f>CONCATENATE("")</f>
        <v/>
      </c>
      <c r="L180" s="7" t="str">
        <f>CONCATENATE("11 11.2 4b")</f>
        <v>11 11.2 4b</v>
      </c>
      <c r="M180" s="7" t="str">
        <f>CONCATENATE("BNDGRL80B04F051G")</f>
        <v>BNDGRL80B04F051G</v>
      </c>
      <c r="N180" s="7" t="s">
        <v>272</v>
      </c>
      <c r="O180" s="7" t="s">
        <v>202</v>
      </c>
      <c r="P180" s="8">
        <v>44305</v>
      </c>
      <c r="Q180" s="7" t="s">
        <v>32</v>
      </c>
      <c r="R180" s="7" t="s">
        <v>33</v>
      </c>
      <c r="S180" s="7" t="s">
        <v>34</v>
      </c>
      <c r="T180" s="7"/>
      <c r="U180" s="7" t="s">
        <v>35</v>
      </c>
      <c r="V180" s="7">
        <v>689.82</v>
      </c>
      <c r="W180" s="7">
        <v>297.45</v>
      </c>
      <c r="X180" s="7">
        <v>274.69</v>
      </c>
      <c r="Y180" s="7">
        <v>0</v>
      </c>
      <c r="Z180" s="7">
        <v>117.68</v>
      </c>
    </row>
    <row r="181" spans="1:26" x14ac:dyDescent="0.35">
      <c r="A181" s="7" t="s">
        <v>27</v>
      </c>
      <c r="B181" s="7" t="s">
        <v>38</v>
      </c>
      <c r="C181" s="7" t="s">
        <v>46</v>
      </c>
      <c r="D181" s="7" t="s">
        <v>47</v>
      </c>
      <c r="E181" s="7" t="s">
        <v>41</v>
      </c>
      <c r="F181" s="7" t="s">
        <v>273</v>
      </c>
      <c r="G181" s="7">
        <v>2020</v>
      </c>
      <c r="H181" s="7" t="str">
        <f>CONCATENATE("04240379315")</f>
        <v>04240379315</v>
      </c>
      <c r="I181" s="7" t="s">
        <v>40</v>
      </c>
      <c r="J181" s="7" t="s">
        <v>31</v>
      </c>
      <c r="K181" s="7" t="str">
        <f>CONCATENATE("")</f>
        <v/>
      </c>
      <c r="L181" s="7" t="str">
        <f>CONCATENATE("11 11.2 4b")</f>
        <v>11 11.2 4b</v>
      </c>
      <c r="M181" s="7" t="str">
        <f>CONCATENATE("02108620416")</f>
        <v>02108620416</v>
      </c>
      <c r="N181" s="7" t="s">
        <v>274</v>
      </c>
      <c r="O181" s="7" t="s">
        <v>202</v>
      </c>
      <c r="P181" s="8">
        <v>44305</v>
      </c>
      <c r="Q181" s="7" t="s">
        <v>32</v>
      </c>
      <c r="R181" s="7" t="s">
        <v>33</v>
      </c>
      <c r="S181" s="7" t="s">
        <v>34</v>
      </c>
      <c r="T181" s="7"/>
      <c r="U181" s="7" t="s">
        <v>35</v>
      </c>
      <c r="V181" s="7">
        <v>247.03</v>
      </c>
      <c r="W181" s="7">
        <v>106.52</v>
      </c>
      <c r="X181" s="7">
        <v>98.37</v>
      </c>
      <c r="Y181" s="7">
        <v>0</v>
      </c>
      <c r="Z181" s="7">
        <v>42.14</v>
      </c>
    </row>
    <row r="182" spans="1:26" ht="17.5" x14ac:dyDescent="0.35">
      <c r="A182" s="7" t="s">
        <v>27</v>
      </c>
      <c r="B182" s="7" t="s">
        <v>38</v>
      </c>
      <c r="C182" s="7" t="s">
        <v>46</v>
      </c>
      <c r="D182" s="7" t="s">
        <v>47</v>
      </c>
      <c r="E182" s="7" t="s">
        <v>39</v>
      </c>
      <c r="F182" s="7" t="s">
        <v>86</v>
      </c>
      <c r="G182" s="7">
        <v>2020</v>
      </c>
      <c r="H182" s="7" t="str">
        <f>CONCATENATE("04241121526")</f>
        <v>04241121526</v>
      </c>
      <c r="I182" s="7" t="s">
        <v>30</v>
      </c>
      <c r="J182" s="7" t="s">
        <v>31</v>
      </c>
      <c r="K182" s="7" t="str">
        <f>CONCATENATE("")</f>
        <v/>
      </c>
      <c r="L182" s="7" t="str">
        <f>CONCATENATE("11 11.2 4b")</f>
        <v>11 11.2 4b</v>
      </c>
      <c r="M182" s="7" t="str">
        <f>CONCATENATE("01377400435")</f>
        <v>01377400435</v>
      </c>
      <c r="N182" s="7" t="s">
        <v>275</v>
      </c>
      <c r="O182" s="7" t="s">
        <v>202</v>
      </c>
      <c r="P182" s="8">
        <v>44305</v>
      </c>
      <c r="Q182" s="7" t="s">
        <v>32</v>
      </c>
      <c r="R182" s="7" t="s">
        <v>33</v>
      </c>
      <c r="S182" s="7" t="s">
        <v>34</v>
      </c>
      <c r="T182" s="7"/>
      <c r="U182" s="7" t="s">
        <v>35</v>
      </c>
      <c r="V182" s="9">
        <v>27005.51</v>
      </c>
      <c r="W182" s="9">
        <v>11644.78</v>
      </c>
      <c r="X182" s="9">
        <v>10753.59</v>
      </c>
      <c r="Y182" s="7">
        <v>0</v>
      </c>
      <c r="Z182" s="9">
        <v>4607.1400000000003</v>
      </c>
    </row>
    <row r="183" spans="1:26" x14ac:dyDescent="0.35">
      <c r="A183" s="7" t="s">
        <v>27</v>
      </c>
      <c r="B183" s="7" t="s">
        <v>38</v>
      </c>
      <c r="C183" s="7" t="s">
        <v>46</v>
      </c>
      <c r="D183" s="7" t="s">
        <v>47</v>
      </c>
      <c r="E183" s="7" t="s">
        <v>44</v>
      </c>
      <c r="F183" s="7" t="s">
        <v>66</v>
      </c>
      <c r="G183" s="7">
        <v>2020</v>
      </c>
      <c r="H183" s="7" t="str">
        <f>CONCATENATE("04240399404")</f>
        <v>04240399404</v>
      </c>
      <c r="I183" s="7" t="s">
        <v>30</v>
      </c>
      <c r="J183" s="7" t="s">
        <v>31</v>
      </c>
      <c r="K183" s="7" t="str">
        <f>CONCATENATE("")</f>
        <v/>
      </c>
      <c r="L183" s="7" t="str">
        <f>CONCATENATE("11 11.2 4b")</f>
        <v>11 11.2 4b</v>
      </c>
      <c r="M183" s="7" t="str">
        <f>CONCATENATE("NTLRRT80A14B474N")</f>
        <v>NTLRRT80A14B474N</v>
      </c>
      <c r="N183" s="7" t="s">
        <v>276</v>
      </c>
      <c r="O183" s="7" t="s">
        <v>202</v>
      </c>
      <c r="P183" s="8">
        <v>44305</v>
      </c>
      <c r="Q183" s="7" t="s">
        <v>32</v>
      </c>
      <c r="R183" s="7" t="s">
        <v>33</v>
      </c>
      <c r="S183" s="7" t="s">
        <v>34</v>
      </c>
      <c r="T183" s="7"/>
      <c r="U183" s="7" t="s">
        <v>35</v>
      </c>
      <c r="V183" s="9">
        <v>3236.21</v>
      </c>
      <c r="W183" s="9">
        <v>1395.45</v>
      </c>
      <c r="X183" s="9">
        <v>1288.6600000000001</v>
      </c>
      <c r="Y183" s="7">
        <v>0</v>
      </c>
      <c r="Z183" s="7">
        <v>552.1</v>
      </c>
    </row>
    <row r="184" spans="1:26" x14ac:dyDescent="0.35">
      <c r="A184" s="7" t="s">
        <v>27</v>
      </c>
      <c r="B184" s="7" t="s">
        <v>38</v>
      </c>
      <c r="C184" s="7" t="s">
        <v>46</v>
      </c>
      <c r="D184" s="7" t="s">
        <v>47</v>
      </c>
      <c r="E184" s="7" t="s">
        <v>42</v>
      </c>
      <c r="F184" s="7" t="s">
        <v>248</v>
      </c>
      <c r="G184" s="7">
        <v>2020</v>
      </c>
      <c r="H184" s="7" t="str">
        <f>CONCATENATE("04240317968")</f>
        <v>04240317968</v>
      </c>
      <c r="I184" s="7" t="s">
        <v>30</v>
      </c>
      <c r="J184" s="7" t="s">
        <v>31</v>
      </c>
      <c r="K184" s="7" t="str">
        <f>CONCATENATE("")</f>
        <v/>
      </c>
      <c r="L184" s="7" t="str">
        <f>CONCATENATE("11 11.1 4b")</f>
        <v>11 11.1 4b</v>
      </c>
      <c r="M184" s="7" t="str">
        <f>CONCATENATE("SNTLRA76A58F347J")</f>
        <v>SNTLRA76A58F347J</v>
      </c>
      <c r="N184" s="7" t="s">
        <v>277</v>
      </c>
      <c r="O184" s="7" t="s">
        <v>202</v>
      </c>
      <c r="P184" s="8">
        <v>44305</v>
      </c>
      <c r="Q184" s="7" t="s">
        <v>32</v>
      </c>
      <c r="R184" s="7" t="s">
        <v>33</v>
      </c>
      <c r="S184" s="7" t="s">
        <v>34</v>
      </c>
      <c r="T184" s="7"/>
      <c r="U184" s="7" t="s">
        <v>35</v>
      </c>
      <c r="V184" s="7">
        <v>277.95</v>
      </c>
      <c r="W184" s="7">
        <v>119.85</v>
      </c>
      <c r="X184" s="7">
        <v>110.68</v>
      </c>
      <c r="Y184" s="7">
        <v>0</v>
      </c>
      <c r="Z184" s="7">
        <v>47.42</v>
      </c>
    </row>
    <row r="185" spans="1:26" x14ac:dyDescent="0.35">
      <c r="A185" s="7" t="s">
        <v>27</v>
      </c>
      <c r="B185" s="7" t="s">
        <v>38</v>
      </c>
      <c r="C185" s="7" t="s">
        <v>46</v>
      </c>
      <c r="D185" s="7" t="s">
        <v>47</v>
      </c>
      <c r="E185" s="7" t="s">
        <v>44</v>
      </c>
      <c r="F185" s="7" t="s">
        <v>236</v>
      </c>
      <c r="G185" s="7">
        <v>2020</v>
      </c>
      <c r="H185" s="7" t="str">
        <f>CONCATENATE("04241074188")</f>
        <v>04241074188</v>
      </c>
      <c r="I185" s="7" t="s">
        <v>40</v>
      </c>
      <c r="J185" s="7" t="s">
        <v>31</v>
      </c>
      <c r="K185" s="7" t="str">
        <f>CONCATENATE("")</f>
        <v/>
      </c>
      <c r="L185" s="7" t="str">
        <f>CONCATENATE("11 11.1 4b")</f>
        <v>11 11.1 4b</v>
      </c>
      <c r="M185" s="7" t="str">
        <f>CONCATENATE("01914370430")</f>
        <v>01914370430</v>
      </c>
      <c r="N185" s="7" t="s">
        <v>278</v>
      </c>
      <c r="O185" s="7" t="s">
        <v>202</v>
      </c>
      <c r="P185" s="8">
        <v>44305</v>
      </c>
      <c r="Q185" s="7" t="s">
        <v>32</v>
      </c>
      <c r="R185" s="7" t="s">
        <v>33</v>
      </c>
      <c r="S185" s="7" t="s">
        <v>34</v>
      </c>
      <c r="T185" s="7"/>
      <c r="U185" s="7" t="s">
        <v>35</v>
      </c>
      <c r="V185" s="9">
        <v>3633.08</v>
      </c>
      <c r="W185" s="9">
        <v>1566.58</v>
      </c>
      <c r="X185" s="9">
        <v>1446.69</v>
      </c>
      <c r="Y185" s="7">
        <v>0</v>
      </c>
      <c r="Z185" s="7">
        <v>619.80999999999995</v>
      </c>
    </row>
    <row r="186" spans="1:26" x14ac:dyDescent="0.35">
      <c r="A186" s="7" t="s">
        <v>27</v>
      </c>
      <c r="B186" s="7" t="s">
        <v>38</v>
      </c>
      <c r="C186" s="7" t="s">
        <v>46</v>
      </c>
      <c r="D186" s="7" t="s">
        <v>47</v>
      </c>
      <c r="E186" s="7" t="s">
        <v>44</v>
      </c>
      <c r="F186" s="7" t="s">
        <v>236</v>
      </c>
      <c r="G186" s="7">
        <v>2020</v>
      </c>
      <c r="H186" s="7" t="str">
        <f>CONCATENATE("04241075086")</f>
        <v>04241075086</v>
      </c>
      <c r="I186" s="7" t="s">
        <v>40</v>
      </c>
      <c r="J186" s="7" t="s">
        <v>31</v>
      </c>
      <c r="K186" s="7" t="str">
        <f>CONCATENATE("")</f>
        <v/>
      </c>
      <c r="L186" s="7" t="str">
        <f>CONCATENATE("11 11.1 4b")</f>
        <v>11 11.1 4b</v>
      </c>
      <c r="M186" s="7" t="str">
        <f>CONCATENATE("01914370430")</f>
        <v>01914370430</v>
      </c>
      <c r="N186" s="7" t="s">
        <v>278</v>
      </c>
      <c r="O186" s="7" t="s">
        <v>202</v>
      </c>
      <c r="P186" s="8">
        <v>44305</v>
      </c>
      <c r="Q186" s="7" t="s">
        <v>32</v>
      </c>
      <c r="R186" s="7" t="s">
        <v>33</v>
      </c>
      <c r="S186" s="7" t="s">
        <v>34</v>
      </c>
      <c r="T186" s="7"/>
      <c r="U186" s="7" t="s">
        <v>35</v>
      </c>
      <c r="V186" s="9">
        <v>1199.94</v>
      </c>
      <c r="W186" s="7">
        <v>517.41</v>
      </c>
      <c r="X186" s="7">
        <v>477.82</v>
      </c>
      <c r="Y186" s="7">
        <v>0</v>
      </c>
      <c r="Z186" s="7">
        <v>204.71</v>
      </c>
    </row>
    <row r="187" spans="1:26" x14ac:dyDescent="0.35">
      <c r="A187" s="7" t="s">
        <v>27</v>
      </c>
      <c r="B187" s="7" t="s">
        <v>38</v>
      </c>
      <c r="C187" s="7" t="s">
        <v>46</v>
      </c>
      <c r="D187" s="7" t="s">
        <v>47</v>
      </c>
      <c r="E187" s="7" t="s">
        <v>39</v>
      </c>
      <c r="F187" s="7" t="s">
        <v>54</v>
      </c>
      <c r="G187" s="7">
        <v>2020</v>
      </c>
      <c r="H187" s="7" t="str">
        <f>CONCATENATE("04240768079")</f>
        <v>04240768079</v>
      </c>
      <c r="I187" s="7" t="s">
        <v>30</v>
      </c>
      <c r="J187" s="7" t="s">
        <v>31</v>
      </c>
      <c r="K187" s="7" t="str">
        <f>CONCATENATE("")</f>
        <v/>
      </c>
      <c r="L187" s="7" t="str">
        <f>CONCATENATE("11 11.1 4b")</f>
        <v>11 11.1 4b</v>
      </c>
      <c r="M187" s="7" t="str">
        <f>CONCATENATE("01916370438")</f>
        <v>01916370438</v>
      </c>
      <c r="N187" s="7" t="s">
        <v>136</v>
      </c>
      <c r="O187" s="7" t="s">
        <v>202</v>
      </c>
      <c r="P187" s="8">
        <v>44305</v>
      </c>
      <c r="Q187" s="7" t="s">
        <v>32</v>
      </c>
      <c r="R187" s="7" t="s">
        <v>33</v>
      </c>
      <c r="S187" s="7" t="s">
        <v>34</v>
      </c>
      <c r="T187" s="7"/>
      <c r="U187" s="7" t="s">
        <v>35</v>
      </c>
      <c r="V187" s="9">
        <v>4285.54</v>
      </c>
      <c r="W187" s="9">
        <v>1847.92</v>
      </c>
      <c r="X187" s="9">
        <v>1706.5</v>
      </c>
      <c r="Y187" s="7">
        <v>0</v>
      </c>
      <c r="Z187" s="7">
        <v>731.12</v>
      </c>
    </row>
    <row r="188" spans="1:26" x14ac:dyDescent="0.35">
      <c r="A188" s="7" t="s">
        <v>27</v>
      </c>
      <c r="B188" s="7" t="s">
        <v>38</v>
      </c>
      <c r="C188" s="7" t="s">
        <v>46</v>
      </c>
      <c r="D188" s="7" t="s">
        <v>47</v>
      </c>
      <c r="E188" s="7" t="s">
        <v>39</v>
      </c>
      <c r="F188" s="7" t="s">
        <v>54</v>
      </c>
      <c r="G188" s="7">
        <v>2020</v>
      </c>
      <c r="H188" s="7" t="str">
        <f>CONCATENATE("04240769846")</f>
        <v>04240769846</v>
      </c>
      <c r="I188" s="7" t="s">
        <v>30</v>
      </c>
      <c r="J188" s="7" t="s">
        <v>31</v>
      </c>
      <c r="K188" s="7" t="str">
        <f>CONCATENATE("")</f>
        <v/>
      </c>
      <c r="L188" s="7" t="str">
        <f>CONCATENATE("11 11.2 4b")</f>
        <v>11 11.2 4b</v>
      </c>
      <c r="M188" s="7" t="str">
        <f>CONCATENATE("01916370438")</f>
        <v>01916370438</v>
      </c>
      <c r="N188" s="7" t="s">
        <v>136</v>
      </c>
      <c r="O188" s="7" t="s">
        <v>202</v>
      </c>
      <c r="P188" s="8">
        <v>44305</v>
      </c>
      <c r="Q188" s="7" t="s">
        <v>32</v>
      </c>
      <c r="R188" s="7" t="s">
        <v>33</v>
      </c>
      <c r="S188" s="7" t="s">
        <v>34</v>
      </c>
      <c r="T188" s="7"/>
      <c r="U188" s="7" t="s">
        <v>35</v>
      </c>
      <c r="V188" s="9">
        <v>2151.15</v>
      </c>
      <c r="W188" s="7">
        <v>927.58</v>
      </c>
      <c r="X188" s="7">
        <v>856.59</v>
      </c>
      <c r="Y188" s="7">
        <v>0</v>
      </c>
      <c r="Z188" s="7">
        <v>366.98</v>
      </c>
    </row>
    <row r="189" spans="1:26" ht="17.5" x14ac:dyDescent="0.35">
      <c r="A189" s="7" t="s">
        <v>27</v>
      </c>
      <c r="B189" s="7" t="s">
        <v>38</v>
      </c>
      <c r="C189" s="7" t="s">
        <v>46</v>
      </c>
      <c r="D189" s="7" t="s">
        <v>47</v>
      </c>
      <c r="E189" s="7" t="s">
        <v>39</v>
      </c>
      <c r="F189" s="7" t="s">
        <v>86</v>
      </c>
      <c r="G189" s="7">
        <v>2018</v>
      </c>
      <c r="H189" s="7" t="str">
        <f>CONCATENATE("84241028061")</f>
        <v>84241028061</v>
      </c>
      <c r="I189" s="7" t="s">
        <v>30</v>
      </c>
      <c r="J189" s="7" t="s">
        <v>31</v>
      </c>
      <c r="K189" s="7" t="str">
        <f>CONCATENATE("")</f>
        <v/>
      </c>
      <c r="L189" s="7" t="str">
        <f>CONCATENATE("11 11.2 4b")</f>
        <v>11 11.2 4b</v>
      </c>
      <c r="M189" s="7" t="str">
        <f>CONCATENATE("RMDMRA66M03L501N")</f>
        <v>RMDMRA66M03L501N</v>
      </c>
      <c r="N189" s="7" t="s">
        <v>279</v>
      </c>
      <c r="O189" s="7" t="s">
        <v>202</v>
      </c>
      <c r="P189" s="8">
        <v>44305</v>
      </c>
      <c r="Q189" s="7" t="s">
        <v>32</v>
      </c>
      <c r="R189" s="7" t="s">
        <v>33</v>
      </c>
      <c r="S189" s="7" t="s">
        <v>34</v>
      </c>
      <c r="T189" s="7"/>
      <c r="U189" s="7" t="s">
        <v>35</v>
      </c>
      <c r="V189" s="9">
        <v>1613.93</v>
      </c>
      <c r="W189" s="7">
        <v>695.93</v>
      </c>
      <c r="X189" s="7">
        <v>642.66999999999996</v>
      </c>
      <c r="Y189" s="7">
        <v>0</v>
      </c>
      <c r="Z189" s="7">
        <v>275.33</v>
      </c>
    </row>
    <row r="190" spans="1:26" ht="17.5" x14ac:dyDescent="0.35">
      <c r="A190" s="7" t="s">
        <v>27</v>
      </c>
      <c r="B190" s="7" t="s">
        <v>38</v>
      </c>
      <c r="C190" s="7" t="s">
        <v>46</v>
      </c>
      <c r="D190" s="7" t="s">
        <v>92</v>
      </c>
      <c r="E190" s="7" t="s">
        <v>36</v>
      </c>
      <c r="F190" s="7" t="s">
        <v>36</v>
      </c>
      <c r="G190" s="7">
        <v>2020</v>
      </c>
      <c r="H190" s="7" t="str">
        <f>CONCATENATE("04241006818")</f>
        <v>04241006818</v>
      </c>
      <c r="I190" s="7" t="s">
        <v>30</v>
      </c>
      <c r="J190" s="7" t="s">
        <v>31</v>
      </c>
      <c r="K190" s="7" t="str">
        <f>CONCATENATE("")</f>
        <v/>
      </c>
      <c r="L190" s="7" t="str">
        <f>CONCATENATE("11 11.2 4b")</f>
        <v>11 11.2 4b</v>
      </c>
      <c r="M190" s="7" t="str">
        <f>CONCATENATE("SVNGRG68H13G920V")</f>
        <v>SVNGRG68H13G920V</v>
      </c>
      <c r="N190" s="7" t="s">
        <v>280</v>
      </c>
      <c r="O190" s="7" t="s">
        <v>202</v>
      </c>
      <c r="P190" s="8">
        <v>44305</v>
      </c>
      <c r="Q190" s="7" t="s">
        <v>32</v>
      </c>
      <c r="R190" s="7" t="s">
        <v>33</v>
      </c>
      <c r="S190" s="7" t="s">
        <v>34</v>
      </c>
      <c r="T190" s="7"/>
      <c r="U190" s="7" t="s">
        <v>35</v>
      </c>
      <c r="V190" s="9">
        <v>47972.95</v>
      </c>
      <c r="W190" s="9">
        <v>20685.939999999999</v>
      </c>
      <c r="X190" s="9">
        <v>19102.830000000002</v>
      </c>
      <c r="Y190" s="7">
        <v>0</v>
      </c>
      <c r="Z190" s="9">
        <v>8184.18</v>
      </c>
    </row>
    <row r="191" spans="1:26" x14ac:dyDescent="0.35">
      <c r="A191" s="7" t="s">
        <v>27</v>
      </c>
      <c r="B191" s="7" t="s">
        <v>38</v>
      </c>
      <c r="C191" s="7" t="s">
        <v>46</v>
      </c>
      <c r="D191" s="7" t="s">
        <v>92</v>
      </c>
      <c r="E191" s="7" t="s">
        <v>39</v>
      </c>
      <c r="F191" s="7" t="s">
        <v>199</v>
      </c>
      <c r="G191" s="7">
        <v>2020</v>
      </c>
      <c r="H191" s="7" t="str">
        <f>CONCATENATE("04240727323")</f>
        <v>04240727323</v>
      </c>
      <c r="I191" s="7" t="s">
        <v>30</v>
      </c>
      <c r="J191" s="7" t="s">
        <v>31</v>
      </c>
      <c r="K191" s="7" t="str">
        <f>CONCATENATE("")</f>
        <v/>
      </c>
      <c r="L191" s="7" t="str">
        <f>CONCATENATE("11 11.2 4b")</f>
        <v>11 11.2 4b</v>
      </c>
      <c r="M191" s="7" t="str">
        <f>CONCATENATE("NNISVR57A08C321S")</f>
        <v>NNISVR57A08C321S</v>
      </c>
      <c r="N191" s="7" t="s">
        <v>281</v>
      </c>
      <c r="O191" s="7" t="s">
        <v>202</v>
      </c>
      <c r="P191" s="8">
        <v>44305</v>
      </c>
      <c r="Q191" s="7" t="s">
        <v>32</v>
      </c>
      <c r="R191" s="7" t="s">
        <v>33</v>
      </c>
      <c r="S191" s="7" t="s">
        <v>34</v>
      </c>
      <c r="T191" s="7"/>
      <c r="U191" s="7" t="s">
        <v>35</v>
      </c>
      <c r="V191" s="9">
        <v>3904.24</v>
      </c>
      <c r="W191" s="9">
        <v>1683.51</v>
      </c>
      <c r="X191" s="9">
        <v>1554.67</v>
      </c>
      <c r="Y191" s="7">
        <v>0</v>
      </c>
      <c r="Z191" s="7">
        <v>666.06</v>
      </c>
    </row>
    <row r="192" spans="1:26" x14ac:dyDescent="0.35">
      <c r="A192" s="7" t="s">
        <v>27</v>
      </c>
      <c r="B192" s="7" t="s">
        <v>38</v>
      </c>
      <c r="C192" s="7" t="s">
        <v>46</v>
      </c>
      <c r="D192" s="7" t="s">
        <v>92</v>
      </c>
      <c r="E192" s="7" t="s">
        <v>36</v>
      </c>
      <c r="F192" s="7" t="s">
        <v>36</v>
      </c>
      <c r="G192" s="7">
        <v>2020</v>
      </c>
      <c r="H192" s="7" t="str">
        <f>CONCATENATE("04241112509")</f>
        <v>04241112509</v>
      </c>
      <c r="I192" s="7" t="s">
        <v>30</v>
      </c>
      <c r="J192" s="7" t="s">
        <v>31</v>
      </c>
      <c r="K192" s="7" t="str">
        <f>CONCATENATE("")</f>
        <v/>
      </c>
      <c r="L192" s="7" t="str">
        <f>CONCATENATE("11 11.2 4b")</f>
        <v>11 11.2 4b</v>
      </c>
      <c r="M192" s="7" t="str">
        <f>CONCATENATE("01517310445")</f>
        <v>01517310445</v>
      </c>
      <c r="N192" s="7" t="s">
        <v>282</v>
      </c>
      <c r="O192" s="7" t="s">
        <v>202</v>
      </c>
      <c r="P192" s="8">
        <v>44305</v>
      </c>
      <c r="Q192" s="7" t="s">
        <v>32</v>
      </c>
      <c r="R192" s="7" t="s">
        <v>33</v>
      </c>
      <c r="S192" s="7" t="s">
        <v>34</v>
      </c>
      <c r="T192" s="7"/>
      <c r="U192" s="7" t="s">
        <v>35</v>
      </c>
      <c r="V192" s="9">
        <v>62613.97</v>
      </c>
      <c r="W192" s="9">
        <v>26999.14</v>
      </c>
      <c r="X192" s="9">
        <v>24932.880000000001</v>
      </c>
      <c r="Y192" s="7">
        <v>0</v>
      </c>
      <c r="Z192" s="9">
        <v>10681.95</v>
      </c>
    </row>
    <row r="193" spans="1:26" ht="17.5" x14ac:dyDescent="0.35">
      <c r="A193" s="7" t="s">
        <v>27</v>
      </c>
      <c r="B193" s="7" t="s">
        <v>38</v>
      </c>
      <c r="C193" s="7" t="s">
        <v>46</v>
      </c>
      <c r="D193" s="7" t="s">
        <v>92</v>
      </c>
      <c r="E193" s="7" t="s">
        <v>36</v>
      </c>
      <c r="F193" s="7" t="s">
        <v>36</v>
      </c>
      <c r="G193" s="7">
        <v>2020</v>
      </c>
      <c r="H193" s="7" t="str">
        <f>CONCATENATE("04240519316")</f>
        <v>04240519316</v>
      </c>
      <c r="I193" s="7" t="s">
        <v>30</v>
      </c>
      <c r="J193" s="7" t="s">
        <v>31</v>
      </c>
      <c r="K193" s="7" t="str">
        <f>CONCATENATE("")</f>
        <v/>
      </c>
      <c r="L193" s="7" t="str">
        <f>CONCATENATE("11 11.2 4b")</f>
        <v>11 11.2 4b</v>
      </c>
      <c r="M193" s="7" t="str">
        <f>CONCATENATE("DRSGNN57T28H321Q")</f>
        <v>DRSGNN57T28H321Q</v>
      </c>
      <c r="N193" s="7" t="s">
        <v>283</v>
      </c>
      <c r="O193" s="7" t="s">
        <v>202</v>
      </c>
      <c r="P193" s="8">
        <v>44305</v>
      </c>
      <c r="Q193" s="7" t="s">
        <v>32</v>
      </c>
      <c r="R193" s="7" t="s">
        <v>33</v>
      </c>
      <c r="S193" s="7" t="s">
        <v>34</v>
      </c>
      <c r="T193" s="7"/>
      <c r="U193" s="7" t="s">
        <v>35</v>
      </c>
      <c r="V193" s="9">
        <v>2505.11</v>
      </c>
      <c r="W193" s="9">
        <v>1080.2</v>
      </c>
      <c r="X193" s="7">
        <v>997.53</v>
      </c>
      <c r="Y193" s="7">
        <v>0</v>
      </c>
      <c r="Z193" s="7">
        <v>427.38</v>
      </c>
    </row>
    <row r="194" spans="1:26" x14ac:dyDescent="0.35">
      <c r="A194" s="7" t="s">
        <v>27</v>
      </c>
      <c r="B194" s="7" t="s">
        <v>38</v>
      </c>
      <c r="C194" s="7" t="s">
        <v>46</v>
      </c>
      <c r="D194" s="7" t="s">
        <v>47</v>
      </c>
      <c r="E194" s="7" t="s">
        <v>29</v>
      </c>
      <c r="F194" s="7" t="s">
        <v>254</v>
      </c>
      <c r="G194" s="7">
        <v>2020</v>
      </c>
      <c r="H194" s="7" t="str">
        <f>CONCATENATE("04240630030")</f>
        <v>04240630030</v>
      </c>
      <c r="I194" s="7" t="s">
        <v>40</v>
      </c>
      <c r="J194" s="7" t="s">
        <v>31</v>
      </c>
      <c r="K194" s="7" t="str">
        <f>CONCATENATE("")</f>
        <v/>
      </c>
      <c r="L194" s="7" t="str">
        <f>CONCATENATE("11 11.1 4b")</f>
        <v>11 11.1 4b</v>
      </c>
      <c r="M194" s="7" t="str">
        <f>CONCATENATE("BRRMRZ69L08C704P")</f>
        <v>BRRMRZ69L08C704P</v>
      </c>
      <c r="N194" s="7" t="s">
        <v>284</v>
      </c>
      <c r="O194" s="7" t="s">
        <v>202</v>
      </c>
      <c r="P194" s="8">
        <v>44305</v>
      </c>
      <c r="Q194" s="7" t="s">
        <v>32</v>
      </c>
      <c r="R194" s="7" t="s">
        <v>33</v>
      </c>
      <c r="S194" s="7" t="s">
        <v>34</v>
      </c>
      <c r="T194" s="7"/>
      <c r="U194" s="7" t="s">
        <v>35</v>
      </c>
      <c r="V194" s="7">
        <v>667.47</v>
      </c>
      <c r="W194" s="7">
        <v>287.81</v>
      </c>
      <c r="X194" s="7">
        <v>265.79000000000002</v>
      </c>
      <c r="Y194" s="7">
        <v>0</v>
      </c>
      <c r="Z194" s="7">
        <v>113.87</v>
      </c>
    </row>
    <row r="195" spans="1:26" x14ac:dyDescent="0.35">
      <c r="A195" s="7" t="s">
        <v>27</v>
      </c>
      <c r="B195" s="7" t="s">
        <v>38</v>
      </c>
      <c r="C195" s="7" t="s">
        <v>46</v>
      </c>
      <c r="D195" s="7" t="s">
        <v>52</v>
      </c>
      <c r="E195" s="7" t="s">
        <v>39</v>
      </c>
      <c r="F195" s="7" t="s">
        <v>260</v>
      </c>
      <c r="G195" s="7">
        <v>2020</v>
      </c>
      <c r="H195" s="7" t="str">
        <f>CONCATENATE("04240889172")</f>
        <v>04240889172</v>
      </c>
      <c r="I195" s="7" t="s">
        <v>40</v>
      </c>
      <c r="J195" s="7" t="s">
        <v>31</v>
      </c>
      <c r="K195" s="7" t="str">
        <f>CONCATENATE("")</f>
        <v/>
      </c>
      <c r="L195" s="7" t="str">
        <f>CONCATENATE("11 11.2 4b")</f>
        <v>11 11.2 4b</v>
      </c>
      <c r="M195" s="7" t="str">
        <f>CONCATENATE("BNVDGI79T07G479T")</f>
        <v>BNVDGI79T07G479T</v>
      </c>
      <c r="N195" s="7" t="s">
        <v>285</v>
      </c>
      <c r="O195" s="7" t="s">
        <v>202</v>
      </c>
      <c r="P195" s="8">
        <v>44305</v>
      </c>
      <c r="Q195" s="7" t="s">
        <v>32</v>
      </c>
      <c r="R195" s="7" t="s">
        <v>33</v>
      </c>
      <c r="S195" s="7" t="s">
        <v>34</v>
      </c>
      <c r="T195" s="7"/>
      <c r="U195" s="7" t="s">
        <v>35</v>
      </c>
      <c r="V195" s="7">
        <v>137.97</v>
      </c>
      <c r="W195" s="7">
        <v>59.49</v>
      </c>
      <c r="X195" s="7">
        <v>54.94</v>
      </c>
      <c r="Y195" s="7">
        <v>0</v>
      </c>
      <c r="Z195" s="7">
        <v>23.54</v>
      </c>
    </row>
    <row r="196" spans="1:26" x14ac:dyDescent="0.35">
      <c r="A196" s="7" t="s">
        <v>27</v>
      </c>
      <c r="B196" s="7" t="s">
        <v>38</v>
      </c>
      <c r="C196" s="7" t="s">
        <v>46</v>
      </c>
      <c r="D196" s="7" t="s">
        <v>47</v>
      </c>
      <c r="E196" s="7" t="s">
        <v>42</v>
      </c>
      <c r="F196" s="7" t="s">
        <v>248</v>
      </c>
      <c r="G196" s="7">
        <v>2020</v>
      </c>
      <c r="H196" s="7" t="str">
        <f>CONCATENATE("04240964421")</f>
        <v>04240964421</v>
      </c>
      <c r="I196" s="7" t="s">
        <v>40</v>
      </c>
      <c r="J196" s="7" t="s">
        <v>31</v>
      </c>
      <c r="K196" s="7" t="str">
        <f>CONCATENATE("")</f>
        <v/>
      </c>
      <c r="L196" s="7" t="str">
        <f>CONCATENATE("11 11.2 4b")</f>
        <v>11 11.2 4b</v>
      </c>
      <c r="M196" s="7" t="str">
        <f>CONCATENATE("CSTLVN75E57H501O")</f>
        <v>CSTLVN75E57H501O</v>
      </c>
      <c r="N196" s="7" t="s">
        <v>286</v>
      </c>
      <c r="O196" s="7" t="s">
        <v>202</v>
      </c>
      <c r="P196" s="8">
        <v>44305</v>
      </c>
      <c r="Q196" s="7" t="s">
        <v>32</v>
      </c>
      <c r="R196" s="7" t="s">
        <v>33</v>
      </c>
      <c r="S196" s="7" t="s">
        <v>34</v>
      </c>
      <c r="T196" s="7"/>
      <c r="U196" s="7" t="s">
        <v>35</v>
      </c>
      <c r="V196" s="9">
        <v>2294.39</v>
      </c>
      <c r="W196" s="7">
        <v>989.34</v>
      </c>
      <c r="X196" s="7">
        <v>913.63</v>
      </c>
      <c r="Y196" s="7">
        <v>0</v>
      </c>
      <c r="Z196" s="7">
        <v>391.42</v>
      </c>
    </row>
    <row r="197" spans="1:26" x14ac:dyDescent="0.35">
      <c r="A197" s="7" t="s">
        <v>27</v>
      </c>
      <c r="B197" s="7" t="s">
        <v>38</v>
      </c>
      <c r="C197" s="7" t="s">
        <v>46</v>
      </c>
      <c r="D197" s="7" t="s">
        <v>52</v>
      </c>
      <c r="E197" s="7" t="s">
        <v>39</v>
      </c>
      <c r="F197" s="7" t="s">
        <v>196</v>
      </c>
      <c r="G197" s="7">
        <v>2020</v>
      </c>
      <c r="H197" s="7" t="str">
        <f>CONCATENATE("04240844458")</f>
        <v>04240844458</v>
      </c>
      <c r="I197" s="7" t="s">
        <v>30</v>
      </c>
      <c r="J197" s="7" t="s">
        <v>31</v>
      </c>
      <c r="K197" s="7" t="str">
        <f>CONCATENATE("")</f>
        <v/>
      </c>
      <c r="L197" s="7" t="str">
        <f>CONCATENATE("11 11.1 4b")</f>
        <v>11 11.1 4b</v>
      </c>
      <c r="M197" s="7" t="str">
        <f>CONCATENATE("CPPMTT78H01B352Y")</f>
        <v>CPPMTT78H01B352Y</v>
      </c>
      <c r="N197" s="7" t="s">
        <v>287</v>
      </c>
      <c r="O197" s="7" t="s">
        <v>202</v>
      </c>
      <c r="P197" s="8">
        <v>44305</v>
      </c>
      <c r="Q197" s="7" t="s">
        <v>32</v>
      </c>
      <c r="R197" s="7" t="s">
        <v>33</v>
      </c>
      <c r="S197" s="7" t="s">
        <v>34</v>
      </c>
      <c r="T197" s="7"/>
      <c r="U197" s="7" t="s">
        <v>35</v>
      </c>
      <c r="V197" s="7">
        <v>212.05</v>
      </c>
      <c r="W197" s="7">
        <v>91.44</v>
      </c>
      <c r="X197" s="7">
        <v>84.44</v>
      </c>
      <c r="Y197" s="7">
        <v>0</v>
      </c>
      <c r="Z197" s="7">
        <v>36.17</v>
      </c>
    </row>
    <row r="198" spans="1:26" x14ac:dyDescent="0.35">
      <c r="A198" s="7" t="s">
        <v>27</v>
      </c>
      <c r="B198" s="7" t="s">
        <v>38</v>
      </c>
      <c r="C198" s="7" t="s">
        <v>46</v>
      </c>
      <c r="D198" s="7" t="s">
        <v>52</v>
      </c>
      <c r="E198" s="7" t="s">
        <v>29</v>
      </c>
      <c r="F198" s="7" t="s">
        <v>266</v>
      </c>
      <c r="G198" s="7">
        <v>2020</v>
      </c>
      <c r="H198" s="7" t="str">
        <f>CONCATENATE("04241056383")</f>
        <v>04241056383</v>
      </c>
      <c r="I198" s="7" t="s">
        <v>40</v>
      </c>
      <c r="J198" s="7" t="s">
        <v>31</v>
      </c>
      <c r="K198" s="7" t="str">
        <f>CONCATENATE("")</f>
        <v/>
      </c>
      <c r="L198" s="7" t="str">
        <f>CONCATENATE("11 11.2 4b")</f>
        <v>11 11.2 4b</v>
      </c>
      <c r="M198" s="7" t="str">
        <f>CONCATENATE("JNSSTP79E17Z105C")</f>
        <v>JNSSTP79E17Z105C</v>
      </c>
      <c r="N198" s="7" t="s">
        <v>288</v>
      </c>
      <c r="O198" s="7" t="s">
        <v>202</v>
      </c>
      <c r="P198" s="8">
        <v>44305</v>
      </c>
      <c r="Q198" s="7" t="s">
        <v>32</v>
      </c>
      <c r="R198" s="7" t="s">
        <v>33</v>
      </c>
      <c r="S198" s="7" t="s">
        <v>34</v>
      </c>
      <c r="T198" s="7"/>
      <c r="U198" s="7" t="s">
        <v>35</v>
      </c>
      <c r="V198" s="7">
        <v>471.76</v>
      </c>
      <c r="W198" s="7">
        <v>203.42</v>
      </c>
      <c r="X198" s="7">
        <v>187.85</v>
      </c>
      <c r="Y198" s="7">
        <v>0</v>
      </c>
      <c r="Z198" s="7">
        <v>80.489999999999995</v>
      </c>
    </row>
    <row r="199" spans="1:26" x14ac:dyDescent="0.35">
      <c r="A199" s="7" t="s">
        <v>27</v>
      </c>
      <c r="B199" s="7" t="s">
        <v>38</v>
      </c>
      <c r="C199" s="7" t="s">
        <v>46</v>
      </c>
      <c r="D199" s="7" t="s">
        <v>47</v>
      </c>
      <c r="E199" s="7" t="s">
        <v>39</v>
      </c>
      <c r="F199" s="7" t="s">
        <v>50</v>
      </c>
      <c r="G199" s="7">
        <v>2018</v>
      </c>
      <c r="H199" s="7" t="str">
        <f>CONCATENATE("84240696744")</f>
        <v>84240696744</v>
      </c>
      <c r="I199" s="7" t="s">
        <v>30</v>
      </c>
      <c r="J199" s="7" t="s">
        <v>31</v>
      </c>
      <c r="K199" s="7" t="str">
        <f>CONCATENATE("")</f>
        <v/>
      </c>
      <c r="L199" s="7" t="str">
        <f>CONCATENATE("11 11.2 4b")</f>
        <v>11 11.2 4b</v>
      </c>
      <c r="M199" s="7" t="str">
        <f>CONCATENATE("NGLMRK78A11B474J")</f>
        <v>NGLMRK78A11B474J</v>
      </c>
      <c r="N199" s="7" t="s">
        <v>207</v>
      </c>
      <c r="O199" s="7" t="s">
        <v>202</v>
      </c>
      <c r="P199" s="8">
        <v>44305</v>
      </c>
      <c r="Q199" s="7" t="s">
        <v>32</v>
      </c>
      <c r="R199" s="7" t="s">
        <v>33</v>
      </c>
      <c r="S199" s="7" t="s">
        <v>34</v>
      </c>
      <c r="T199" s="7"/>
      <c r="U199" s="7" t="s">
        <v>35</v>
      </c>
      <c r="V199" s="9">
        <v>5651.12</v>
      </c>
      <c r="W199" s="9">
        <v>2436.7600000000002</v>
      </c>
      <c r="X199" s="9">
        <v>2250.2800000000002</v>
      </c>
      <c r="Y199" s="7">
        <v>0</v>
      </c>
      <c r="Z199" s="7">
        <v>964.08</v>
      </c>
    </row>
    <row r="200" spans="1:26" x14ac:dyDescent="0.35">
      <c r="A200" s="7" t="s">
        <v>27</v>
      </c>
      <c r="B200" s="7" t="s">
        <v>38</v>
      </c>
      <c r="C200" s="7" t="s">
        <v>46</v>
      </c>
      <c r="D200" s="7" t="s">
        <v>47</v>
      </c>
      <c r="E200" s="7" t="s">
        <v>39</v>
      </c>
      <c r="F200" s="7" t="s">
        <v>50</v>
      </c>
      <c r="G200" s="7">
        <v>2020</v>
      </c>
      <c r="H200" s="7" t="str">
        <f>CONCATENATE("04240133472")</f>
        <v>04240133472</v>
      </c>
      <c r="I200" s="7" t="s">
        <v>30</v>
      </c>
      <c r="J200" s="7" t="s">
        <v>31</v>
      </c>
      <c r="K200" s="7" t="str">
        <f>CONCATENATE("")</f>
        <v/>
      </c>
      <c r="L200" s="7" t="str">
        <f>CONCATENATE("11 11.2 4b")</f>
        <v>11 11.2 4b</v>
      </c>
      <c r="M200" s="7" t="str">
        <f>CONCATENATE("SBRLBR49L31B474W")</f>
        <v>SBRLBR49L31B474W</v>
      </c>
      <c r="N200" s="7" t="s">
        <v>126</v>
      </c>
      <c r="O200" s="7" t="s">
        <v>202</v>
      </c>
      <c r="P200" s="8">
        <v>44305</v>
      </c>
      <c r="Q200" s="7" t="s">
        <v>32</v>
      </c>
      <c r="R200" s="7" t="s">
        <v>33</v>
      </c>
      <c r="S200" s="7" t="s">
        <v>34</v>
      </c>
      <c r="T200" s="7"/>
      <c r="U200" s="7" t="s">
        <v>35</v>
      </c>
      <c r="V200" s="9">
        <v>6095.22</v>
      </c>
      <c r="W200" s="9">
        <v>2628.26</v>
      </c>
      <c r="X200" s="9">
        <v>2427.12</v>
      </c>
      <c r="Y200" s="7">
        <v>0</v>
      </c>
      <c r="Z200" s="9">
        <v>1039.8399999999999</v>
      </c>
    </row>
    <row r="201" spans="1:26" x14ac:dyDescent="0.35">
      <c r="A201" s="7" t="s">
        <v>27</v>
      </c>
      <c r="B201" s="7" t="s">
        <v>38</v>
      </c>
      <c r="C201" s="7" t="s">
        <v>46</v>
      </c>
      <c r="D201" s="7" t="s">
        <v>47</v>
      </c>
      <c r="E201" s="7" t="s">
        <v>39</v>
      </c>
      <c r="F201" s="7" t="s">
        <v>50</v>
      </c>
      <c r="G201" s="7">
        <v>2020</v>
      </c>
      <c r="H201" s="7" t="str">
        <f>CONCATENATE("04240133712")</f>
        <v>04240133712</v>
      </c>
      <c r="I201" s="7" t="s">
        <v>30</v>
      </c>
      <c r="J201" s="7" t="s">
        <v>31</v>
      </c>
      <c r="K201" s="7" t="str">
        <f>CONCATENATE("")</f>
        <v/>
      </c>
      <c r="L201" s="7" t="str">
        <f>CONCATENATE("11 11.2 4b")</f>
        <v>11 11.2 4b</v>
      </c>
      <c r="M201" s="7" t="str">
        <f>CONCATENATE("SBRLBR49L31B474W")</f>
        <v>SBRLBR49L31B474W</v>
      </c>
      <c r="N201" s="7" t="s">
        <v>126</v>
      </c>
      <c r="O201" s="7" t="s">
        <v>202</v>
      </c>
      <c r="P201" s="8">
        <v>44305</v>
      </c>
      <c r="Q201" s="7" t="s">
        <v>32</v>
      </c>
      <c r="R201" s="7" t="s">
        <v>33</v>
      </c>
      <c r="S201" s="7" t="s">
        <v>34</v>
      </c>
      <c r="T201" s="7"/>
      <c r="U201" s="7" t="s">
        <v>35</v>
      </c>
      <c r="V201" s="9">
        <v>1625.02</v>
      </c>
      <c r="W201" s="7">
        <v>700.71</v>
      </c>
      <c r="X201" s="7">
        <v>647.08000000000004</v>
      </c>
      <c r="Y201" s="7">
        <v>0</v>
      </c>
      <c r="Z201" s="7">
        <v>277.23</v>
      </c>
    </row>
    <row r="202" spans="1:26" x14ac:dyDescent="0.35">
      <c r="A202" s="7" t="s">
        <v>27</v>
      </c>
      <c r="B202" s="7" t="s">
        <v>38</v>
      </c>
      <c r="C202" s="7" t="s">
        <v>46</v>
      </c>
      <c r="D202" s="7" t="s">
        <v>52</v>
      </c>
      <c r="E202" s="7" t="s">
        <v>39</v>
      </c>
      <c r="F202" s="7" t="s">
        <v>188</v>
      </c>
      <c r="G202" s="7">
        <v>2018</v>
      </c>
      <c r="H202" s="7" t="str">
        <f>CONCATENATE("84240496491")</f>
        <v>84240496491</v>
      </c>
      <c r="I202" s="7" t="s">
        <v>30</v>
      </c>
      <c r="J202" s="7" t="s">
        <v>31</v>
      </c>
      <c r="K202" s="7" t="str">
        <f>CONCATENATE("")</f>
        <v/>
      </c>
      <c r="L202" s="7" t="str">
        <f>CONCATENATE("11 11.2 4b")</f>
        <v>11 11.2 4b</v>
      </c>
      <c r="M202" s="7" t="str">
        <f>CONCATENATE("01407300415")</f>
        <v>01407300415</v>
      </c>
      <c r="N202" s="7" t="s">
        <v>289</v>
      </c>
      <c r="O202" s="7" t="s">
        <v>202</v>
      </c>
      <c r="P202" s="8">
        <v>44305</v>
      </c>
      <c r="Q202" s="7" t="s">
        <v>32</v>
      </c>
      <c r="R202" s="7" t="s">
        <v>33</v>
      </c>
      <c r="S202" s="7" t="s">
        <v>34</v>
      </c>
      <c r="T202" s="7"/>
      <c r="U202" s="7" t="s">
        <v>35</v>
      </c>
      <c r="V202" s="9">
        <v>4924.16</v>
      </c>
      <c r="W202" s="9">
        <v>2123.3000000000002</v>
      </c>
      <c r="X202" s="9">
        <v>1960.8</v>
      </c>
      <c r="Y202" s="7">
        <v>0</v>
      </c>
      <c r="Z202" s="7">
        <v>840.06</v>
      </c>
    </row>
    <row r="203" spans="1:26" ht="17.5" x14ac:dyDescent="0.35">
      <c r="A203" s="7" t="s">
        <v>27</v>
      </c>
      <c r="B203" s="7" t="s">
        <v>38</v>
      </c>
      <c r="C203" s="7" t="s">
        <v>46</v>
      </c>
      <c r="D203" s="7" t="s">
        <v>47</v>
      </c>
      <c r="E203" s="7" t="s">
        <v>29</v>
      </c>
      <c r="F203" s="7" t="s">
        <v>228</v>
      </c>
      <c r="G203" s="7">
        <v>2018</v>
      </c>
      <c r="H203" s="7" t="str">
        <f>CONCATENATE("84240761605")</f>
        <v>84240761605</v>
      </c>
      <c r="I203" s="7" t="s">
        <v>30</v>
      </c>
      <c r="J203" s="7" t="s">
        <v>31</v>
      </c>
      <c r="K203" s="7" t="str">
        <f>CONCATENATE("")</f>
        <v/>
      </c>
      <c r="L203" s="7" t="str">
        <f>CONCATENATE("11 11.1 4b")</f>
        <v>11 11.1 4b</v>
      </c>
      <c r="M203" s="7" t="str">
        <f>CONCATENATE("PRNMNL95E16E783O")</f>
        <v>PRNMNL95E16E783O</v>
      </c>
      <c r="N203" s="7" t="s">
        <v>229</v>
      </c>
      <c r="O203" s="7" t="s">
        <v>202</v>
      </c>
      <c r="P203" s="8">
        <v>44305</v>
      </c>
      <c r="Q203" s="7" t="s">
        <v>32</v>
      </c>
      <c r="R203" s="7" t="s">
        <v>33</v>
      </c>
      <c r="S203" s="7" t="s">
        <v>34</v>
      </c>
      <c r="T203" s="7"/>
      <c r="U203" s="7" t="s">
        <v>35</v>
      </c>
      <c r="V203" s="9">
        <v>1843.18</v>
      </c>
      <c r="W203" s="7">
        <v>794.78</v>
      </c>
      <c r="X203" s="7">
        <v>733.95</v>
      </c>
      <c r="Y203" s="7">
        <v>0</v>
      </c>
      <c r="Z203" s="7">
        <v>314.45</v>
      </c>
    </row>
    <row r="204" spans="1:26" x14ac:dyDescent="0.35">
      <c r="A204" s="7" t="s">
        <v>27</v>
      </c>
      <c r="B204" s="7" t="s">
        <v>38</v>
      </c>
      <c r="C204" s="7" t="s">
        <v>46</v>
      </c>
      <c r="D204" s="7" t="s">
        <v>47</v>
      </c>
      <c r="E204" s="7" t="s">
        <v>39</v>
      </c>
      <c r="F204" s="7" t="s">
        <v>50</v>
      </c>
      <c r="G204" s="7">
        <v>2017</v>
      </c>
      <c r="H204" s="7" t="str">
        <f>CONCATENATE("74240026877")</f>
        <v>74240026877</v>
      </c>
      <c r="I204" s="7" t="s">
        <v>30</v>
      </c>
      <c r="J204" s="7" t="s">
        <v>31</v>
      </c>
      <c r="K204" s="7" t="str">
        <f>CONCATENATE("")</f>
        <v/>
      </c>
      <c r="L204" s="7" t="str">
        <f>CONCATENATE("11 11.2 4b")</f>
        <v>11 11.2 4b</v>
      </c>
      <c r="M204" s="7" t="str">
        <f>CONCATENATE("NGLMRK78A11B474J")</f>
        <v>NGLMRK78A11B474J</v>
      </c>
      <c r="N204" s="7" t="s">
        <v>207</v>
      </c>
      <c r="O204" s="7" t="s">
        <v>202</v>
      </c>
      <c r="P204" s="8">
        <v>44305</v>
      </c>
      <c r="Q204" s="7" t="s">
        <v>32</v>
      </c>
      <c r="R204" s="7" t="s">
        <v>33</v>
      </c>
      <c r="S204" s="7" t="s">
        <v>34</v>
      </c>
      <c r="T204" s="7"/>
      <c r="U204" s="7" t="s">
        <v>35</v>
      </c>
      <c r="V204" s="9">
        <v>5816.84</v>
      </c>
      <c r="W204" s="9">
        <v>2508.2199999999998</v>
      </c>
      <c r="X204" s="9">
        <v>2316.27</v>
      </c>
      <c r="Y204" s="7">
        <v>0</v>
      </c>
      <c r="Z204" s="7">
        <v>992.35</v>
      </c>
    </row>
    <row r="205" spans="1:26" x14ac:dyDescent="0.35">
      <c r="A205" s="7" t="s">
        <v>27</v>
      </c>
      <c r="B205" s="7" t="s">
        <v>28</v>
      </c>
      <c r="C205" s="7" t="s">
        <v>46</v>
      </c>
      <c r="D205" s="7" t="s">
        <v>47</v>
      </c>
      <c r="E205" s="7" t="s">
        <v>43</v>
      </c>
      <c r="F205" s="7" t="s">
        <v>63</v>
      </c>
      <c r="G205" s="7">
        <v>2017</v>
      </c>
      <c r="H205" s="7" t="str">
        <f>CONCATENATE("04270232954")</f>
        <v>04270232954</v>
      </c>
      <c r="I205" s="7" t="s">
        <v>30</v>
      </c>
      <c r="J205" s="7" t="s">
        <v>31</v>
      </c>
      <c r="K205" s="7" t="str">
        <f>CONCATENATE("")</f>
        <v/>
      </c>
      <c r="L205" s="7" t="str">
        <f>CONCATENATE("4 4.1 2a")</f>
        <v>4 4.1 2a</v>
      </c>
      <c r="M205" s="7" t="str">
        <f>CONCATENATE("01588910438")</f>
        <v>01588910438</v>
      </c>
      <c r="N205" s="7" t="s">
        <v>64</v>
      </c>
      <c r="O205" s="7" t="s">
        <v>290</v>
      </c>
      <c r="P205" s="8">
        <v>44305</v>
      </c>
      <c r="Q205" s="7" t="s">
        <v>32</v>
      </c>
      <c r="R205" s="7" t="s">
        <v>33</v>
      </c>
      <c r="S205" s="7" t="s">
        <v>34</v>
      </c>
      <c r="T205" s="7"/>
      <c r="U205" s="7" t="s">
        <v>35</v>
      </c>
      <c r="V205" s="9">
        <v>485000</v>
      </c>
      <c r="W205" s="9">
        <v>209132</v>
      </c>
      <c r="X205" s="9">
        <v>193127</v>
      </c>
      <c r="Y205" s="7">
        <v>0</v>
      </c>
      <c r="Z205" s="9">
        <v>82741</v>
      </c>
    </row>
    <row r="206" spans="1:26" x14ac:dyDescent="0.35">
      <c r="A206" s="7" t="s">
        <v>27</v>
      </c>
      <c r="B206" s="7" t="s">
        <v>38</v>
      </c>
      <c r="C206" s="7" t="s">
        <v>46</v>
      </c>
      <c r="D206" s="7" t="s">
        <v>47</v>
      </c>
      <c r="E206" s="7" t="s">
        <v>41</v>
      </c>
      <c r="F206" s="7" t="s">
        <v>58</v>
      </c>
      <c r="G206" s="7">
        <v>2020</v>
      </c>
      <c r="H206" s="7" t="str">
        <f>CONCATENATE("04240443590")</f>
        <v>04240443590</v>
      </c>
      <c r="I206" s="7" t="s">
        <v>30</v>
      </c>
      <c r="J206" s="7" t="s">
        <v>31</v>
      </c>
      <c r="K206" s="7" t="str">
        <f>CONCATENATE("")</f>
        <v/>
      </c>
      <c r="L206" s="7" t="str">
        <f>CONCATENATE("11 11.1 4b")</f>
        <v>11 11.1 4b</v>
      </c>
      <c r="M206" s="7" t="str">
        <f>CONCATENATE("BNGGLS75A29L219K")</f>
        <v>BNGGLS75A29L219K</v>
      </c>
      <c r="N206" s="7" t="s">
        <v>291</v>
      </c>
      <c r="O206" s="7" t="s">
        <v>202</v>
      </c>
      <c r="P206" s="8">
        <v>44305</v>
      </c>
      <c r="Q206" s="7" t="s">
        <v>32</v>
      </c>
      <c r="R206" s="7" t="s">
        <v>33</v>
      </c>
      <c r="S206" s="7" t="s">
        <v>34</v>
      </c>
      <c r="T206" s="7"/>
      <c r="U206" s="7" t="s">
        <v>35</v>
      </c>
      <c r="V206" s="9">
        <v>1654.73</v>
      </c>
      <c r="W206" s="7">
        <v>713.52</v>
      </c>
      <c r="X206" s="7">
        <v>658.91</v>
      </c>
      <c r="Y206" s="7">
        <v>0</v>
      </c>
      <c r="Z206" s="7">
        <v>282.3</v>
      </c>
    </row>
    <row r="207" spans="1:26" ht="17.5" x14ac:dyDescent="0.35">
      <c r="A207" s="7" t="s">
        <v>27</v>
      </c>
      <c r="B207" s="7" t="s">
        <v>38</v>
      </c>
      <c r="C207" s="7" t="s">
        <v>46</v>
      </c>
      <c r="D207" s="7" t="s">
        <v>92</v>
      </c>
      <c r="E207" s="7" t="s">
        <v>39</v>
      </c>
      <c r="F207" s="7" t="s">
        <v>292</v>
      </c>
      <c r="G207" s="7">
        <v>2020</v>
      </c>
      <c r="H207" s="7" t="str">
        <f>CONCATENATE("04240883050")</f>
        <v>04240883050</v>
      </c>
      <c r="I207" s="7" t="s">
        <v>30</v>
      </c>
      <c r="J207" s="7" t="s">
        <v>31</v>
      </c>
      <c r="K207" s="7" t="str">
        <f>CONCATENATE("")</f>
        <v/>
      </c>
      <c r="L207" s="7" t="str">
        <f>CONCATENATE("11 11.2 4b")</f>
        <v>11 11.2 4b</v>
      </c>
      <c r="M207" s="7" t="str">
        <f>CONCATENATE("BNFDRN59D11D760D")</f>
        <v>BNFDRN59D11D760D</v>
      </c>
      <c r="N207" s="7" t="s">
        <v>293</v>
      </c>
      <c r="O207" s="7" t="s">
        <v>202</v>
      </c>
      <c r="P207" s="8">
        <v>44305</v>
      </c>
      <c r="Q207" s="7" t="s">
        <v>32</v>
      </c>
      <c r="R207" s="7" t="s">
        <v>33</v>
      </c>
      <c r="S207" s="7" t="s">
        <v>34</v>
      </c>
      <c r="T207" s="7"/>
      <c r="U207" s="7" t="s">
        <v>35</v>
      </c>
      <c r="V207" s="9">
        <v>2883.45</v>
      </c>
      <c r="W207" s="9">
        <v>1243.3399999999999</v>
      </c>
      <c r="X207" s="9">
        <v>1148.19</v>
      </c>
      <c r="Y207" s="7">
        <v>0</v>
      </c>
      <c r="Z207" s="7">
        <v>491.92</v>
      </c>
    </row>
    <row r="208" spans="1:26" x14ac:dyDescent="0.35">
      <c r="A208" s="7" t="s">
        <v>27</v>
      </c>
      <c r="B208" s="7" t="s">
        <v>38</v>
      </c>
      <c r="C208" s="7" t="s">
        <v>46</v>
      </c>
      <c r="D208" s="7" t="s">
        <v>47</v>
      </c>
      <c r="E208" s="7" t="s">
        <v>39</v>
      </c>
      <c r="F208" s="7" t="s">
        <v>144</v>
      </c>
      <c r="G208" s="7">
        <v>2020</v>
      </c>
      <c r="H208" s="7" t="str">
        <f>CONCATENATE("04240635872")</f>
        <v>04240635872</v>
      </c>
      <c r="I208" s="7" t="s">
        <v>40</v>
      </c>
      <c r="J208" s="7" t="s">
        <v>31</v>
      </c>
      <c r="K208" s="7" t="str">
        <f>CONCATENATE("")</f>
        <v/>
      </c>
      <c r="L208" s="7" t="str">
        <f>CONCATENATE("11 11.2 4b")</f>
        <v>11 11.2 4b</v>
      </c>
      <c r="M208" s="7" t="str">
        <f>CONCATENATE("FTTSMN98H29I156K")</f>
        <v>FTTSMN98H29I156K</v>
      </c>
      <c r="N208" s="7" t="s">
        <v>294</v>
      </c>
      <c r="O208" s="7" t="s">
        <v>202</v>
      </c>
      <c r="P208" s="8">
        <v>44305</v>
      </c>
      <c r="Q208" s="7" t="s">
        <v>32</v>
      </c>
      <c r="R208" s="7" t="s">
        <v>33</v>
      </c>
      <c r="S208" s="7" t="s">
        <v>34</v>
      </c>
      <c r="T208" s="7"/>
      <c r="U208" s="7" t="s">
        <v>35</v>
      </c>
      <c r="V208" s="7">
        <v>197.95</v>
      </c>
      <c r="W208" s="7">
        <v>85.36</v>
      </c>
      <c r="X208" s="7">
        <v>78.819999999999993</v>
      </c>
      <c r="Y208" s="7">
        <v>0</v>
      </c>
      <c r="Z208" s="7">
        <v>33.770000000000003</v>
      </c>
    </row>
    <row r="209" spans="1:26" x14ac:dyDescent="0.35">
      <c r="A209" s="7" t="s">
        <v>27</v>
      </c>
      <c r="B209" s="7" t="s">
        <v>38</v>
      </c>
      <c r="C209" s="7" t="s">
        <v>46</v>
      </c>
      <c r="D209" s="7" t="s">
        <v>47</v>
      </c>
      <c r="E209" s="7" t="s">
        <v>39</v>
      </c>
      <c r="F209" s="7" t="s">
        <v>222</v>
      </c>
      <c r="G209" s="7">
        <v>2020</v>
      </c>
      <c r="H209" s="7" t="str">
        <f>CONCATENATE("04241004193")</f>
        <v>04241004193</v>
      </c>
      <c r="I209" s="7" t="s">
        <v>40</v>
      </c>
      <c r="J209" s="7" t="s">
        <v>31</v>
      </c>
      <c r="K209" s="7" t="str">
        <f>CONCATENATE("")</f>
        <v/>
      </c>
      <c r="L209" s="7" t="str">
        <f>CONCATENATE("11 11.2 4b")</f>
        <v>11 11.2 4b</v>
      </c>
      <c r="M209" s="7" t="str">
        <f>CONCATENATE("VSSGZL61B60L191T")</f>
        <v>VSSGZL61B60L191T</v>
      </c>
      <c r="N209" s="7" t="s">
        <v>295</v>
      </c>
      <c r="O209" s="7" t="s">
        <v>202</v>
      </c>
      <c r="P209" s="8">
        <v>44305</v>
      </c>
      <c r="Q209" s="7" t="s">
        <v>32</v>
      </c>
      <c r="R209" s="7" t="s">
        <v>33</v>
      </c>
      <c r="S209" s="7" t="s">
        <v>34</v>
      </c>
      <c r="T209" s="7"/>
      <c r="U209" s="7" t="s">
        <v>35</v>
      </c>
      <c r="V209" s="7">
        <v>973.83</v>
      </c>
      <c r="W209" s="7">
        <v>419.92</v>
      </c>
      <c r="X209" s="7">
        <v>387.78</v>
      </c>
      <c r="Y209" s="7">
        <v>0</v>
      </c>
      <c r="Z209" s="7">
        <v>166.13</v>
      </c>
    </row>
    <row r="210" spans="1:26" x14ac:dyDescent="0.35">
      <c r="A210" s="7" t="s">
        <v>27</v>
      </c>
      <c r="B210" s="7" t="s">
        <v>38</v>
      </c>
      <c r="C210" s="7" t="s">
        <v>46</v>
      </c>
      <c r="D210" s="7" t="s">
        <v>47</v>
      </c>
      <c r="E210" s="7" t="s">
        <v>44</v>
      </c>
      <c r="F210" s="7" t="s">
        <v>204</v>
      </c>
      <c r="G210" s="7">
        <v>2020</v>
      </c>
      <c r="H210" s="7" t="str">
        <f>CONCATENATE("04240896151")</f>
        <v>04240896151</v>
      </c>
      <c r="I210" s="7" t="s">
        <v>40</v>
      </c>
      <c r="J210" s="7" t="s">
        <v>31</v>
      </c>
      <c r="K210" s="7" t="str">
        <f>CONCATENATE("")</f>
        <v/>
      </c>
      <c r="L210" s="7" t="str">
        <f>CONCATENATE("11 11.1 4b")</f>
        <v>11 11.1 4b</v>
      </c>
      <c r="M210" s="7" t="str">
        <f>CONCATENATE("NCCFLL44L50C704U")</f>
        <v>NCCFLL44L50C704U</v>
      </c>
      <c r="N210" s="7" t="s">
        <v>296</v>
      </c>
      <c r="O210" s="7" t="s">
        <v>202</v>
      </c>
      <c r="P210" s="8">
        <v>44305</v>
      </c>
      <c r="Q210" s="7" t="s">
        <v>32</v>
      </c>
      <c r="R210" s="7" t="s">
        <v>33</v>
      </c>
      <c r="S210" s="7" t="s">
        <v>34</v>
      </c>
      <c r="T210" s="7"/>
      <c r="U210" s="7" t="s">
        <v>35</v>
      </c>
      <c r="V210" s="7">
        <v>316.06</v>
      </c>
      <c r="W210" s="7">
        <v>136.29</v>
      </c>
      <c r="X210" s="7">
        <v>125.86</v>
      </c>
      <c r="Y210" s="7">
        <v>0</v>
      </c>
      <c r="Z210" s="7">
        <v>53.91</v>
      </c>
    </row>
    <row r="211" spans="1:26" x14ac:dyDescent="0.35">
      <c r="A211" s="7" t="s">
        <v>27</v>
      </c>
      <c r="B211" s="7" t="s">
        <v>38</v>
      </c>
      <c r="C211" s="7" t="s">
        <v>46</v>
      </c>
      <c r="D211" s="7" t="s">
        <v>52</v>
      </c>
      <c r="E211" s="7" t="s">
        <v>45</v>
      </c>
      <c r="F211" s="7" t="s">
        <v>184</v>
      </c>
      <c r="G211" s="7">
        <v>2020</v>
      </c>
      <c r="H211" s="7" t="str">
        <f>CONCATENATE("04240959249")</f>
        <v>04240959249</v>
      </c>
      <c r="I211" s="7" t="s">
        <v>40</v>
      </c>
      <c r="J211" s="7" t="s">
        <v>31</v>
      </c>
      <c r="K211" s="7" t="str">
        <f>CONCATENATE("")</f>
        <v/>
      </c>
      <c r="L211" s="7" t="str">
        <f>CONCATENATE("11 11.1 4b")</f>
        <v>11 11.1 4b</v>
      </c>
      <c r="M211" s="7" t="str">
        <f>CONCATENATE("LRDGNE65P03C357P")</f>
        <v>LRDGNE65P03C357P</v>
      </c>
      <c r="N211" s="7" t="s">
        <v>297</v>
      </c>
      <c r="O211" s="7" t="s">
        <v>202</v>
      </c>
      <c r="P211" s="8">
        <v>44305</v>
      </c>
      <c r="Q211" s="7" t="s">
        <v>32</v>
      </c>
      <c r="R211" s="7" t="s">
        <v>33</v>
      </c>
      <c r="S211" s="7" t="s">
        <v>34</v>
      </c>
      <c r="T211" s="7"/>
      <c r="U211" s="7" t="s">
        <v>35</v>
      </c>
      <c r="V211" s="7">
        <v>301.08</v>
      </c>
      <c r="W211" s="7">
        <v>129.83000000000001</v>
      </c>
      <c r="X211" s="7">
        <v>119.89</v>
      </c>
      <c r="Y211" s="7">
        <v>0</v>
      </c>
      <c r="Z211" s="7">
        <v>51.36</v>
      </c>
    </row>
    <row r="212" spans="1:26" x14ac:dyDescent="0.35">
      <c r="A212" s="7" t="s">
        <v>27</v>
      </c>
      <c r="B212" s="7" t="s">
        <v>38</v>
      </c>
      <c r="C212" s="7" t="s">
        <v>46</v>
      </c>
      <c r="D212" s="7" t="s">
        <v>47</v>
      </c>
      <c r="E212" s="7" t="s">
        <v>39</v>
      </c>
      <c r="F212" s="7" t="s">
        <v>222</v>
      </c>
      <c r="G212" s="7">
        <v>2020</v>
      </c>
      <c r="H212" s="7" t="str">
        <f>CONCATENATE("04241018375")</f>
        <v>04241018375</v>
      </c>
      <c r="I212" s="7" t="s">
        <v>40</v>
      </c>
      <c r="J212" s="7" t="s">
        <v>31</v>
      </c>
      <c r="K212" s="7" t="str">
        <f>CONCATENATE("")</f>
        <v/>
      </c>
      <c r="L212" s="7" t="str">
        <f>CONCATENATE("11 11.2 4b")</f>
        <v>11 11.2 4b</v>
      </c>
      <c r="M212" s="7" t="str">
        <f>CONCATENATE("VTLSNZ29E49F567D")</f>
        <v>VTLSNZ29E49F567D</v>
      </c>
      <c r="N212" s="7" t="s">
        <v>298</v>
      </c>
      <c r="O212" s="7" t="s">
        <v>202</v>
      </c>
      <c r="P212" s="8">
        <v>44305</v>
      </c>
      <c r="Q212" s="7" t="s">
        <v>32</v>
      </c>
      <c r="R212" s="7" t="s">
        <v>33</v>
      </c>
      <c r="S212" s="7" t="s">
        <v>34</v>
      </c>
      <c r="T212" s="7"/>
      <c r="U212" s="7" t="s">
        <v>35</v>
      </c>
      <c r="V212" s="7">
        <v>121.12</v>
      </c>
      <c r="W212" s="7">
        <v>52.23</v>
      </c>
      <c r="X212" s="7">
        <v>48.23</v>
      </c>
      <c r="Y212" s="7">
        <v>0</v>
      </c>
      <c r="Z212" s="7">
        <v>20.66</v>
      </c>
    </row>
    <row r="213" spans="1:26" x14ac:dyDescent="0.35">
      <c r="A213" s="7" t="s">
        <v>27</v>
      </c>
      <c r="B213" s="7" t="s">
        <v>38</v>
      </c>
      <c r="C213" s="7" t="s">
        <v>46</v>
      </c>
      <c r="D213" s="7" t="s">
        <v>47</v>
      </c>
      <c r="E213" s="7" t="s">
        <v>36</v>
      </c>
      <c r="F213" s="7" t="s">
        <v>36</v>
      </c>
      <c r="G213" s="7">
        <v>2020</v>
      </c>
      <c r="H213" s="7" t="str">
        <f>CONCATENATE("04241178344")</f>
        <v>04241178344</v>
      </c>
      <c r="I213" s="7" t="s">
        <v>30</v>
      </c>
      <c r="J213" s="7" t="s">
        <v>31</v>
      </c>
      <c r="K213" s="7" t="str">
        <f>CONCATENATE("")</f>
        <v/>
      </c>
      <c r="L213" s="7" t="str">
        <f>CONCATENATE("11 11.2 4b")</f>
        <v>11 11.2 4b</v>
      </c>
      <c r="M213" s="7" t="str">
        <f>CONCATENATE("GRCCRS87B11I158U")</f>
        <v>GRCCRS87B11I158U</v>
      </c>
      <c r="N213" s="7" t="s">
        <v>299</v>
      </c>
      <c r="O213" s="7" t="s">
        <v>202</v>
      </c>
      <c r="P213" s="8">
        <v>44305</v>
      </c>
      <c r="Q213" s="7" t="s">
        <v>32</v>
      </c>
      <c r="R213" s="7" t="s">
        <v>33</v>
      </c>
      <c r="S213" s="7" t="s">
        <v>34</v>
      </c>
      <c r="T213" s="7"/>
      <c r="U213" s="7" t="s">
        <v>35</v>
      </c>
      <c r="V213" s="7">
        <v>809.67</v>
      </c>
      <c r="W213" s="7">
        <v>349.13</v>
      </c>
      <c r="X213" s="7">
        <v>322.41000000000003</v>
      </c>
      <c r="Y213" s="7">
        <v>0</v>
      </c>
      <c r="Z213" s="7">
        <v>138.13</v>
      </c>
    </row>
    <row r="214" spans="1:26" ht="17.5" x14ac:dyDescent="0.35">
      <c r="A214" s="7" t="s">
        <v>27</v>
      </c>
      <c r="B214" s="7" t="s">
        <v>38</v>
      </c>
      <c r="C214" s="7" t="s">
        <v>46</v>
      </c>
      <c r="D214" s="7" t="s">
        <v>47</v>
      </c>
      <c r="E214" s="7" t="s">
        <v>43</v>
      </c>
      <c r="F214" s="7" t="s">
        <v>141</v>
      </c>
      <c r="G214" s="7">
        <v>2020</v>
      </c>
      <c r="H214" s="7" t="str">
        <f>CONCATENATE("04241046780")</f>
        <v>04241046780</v>
      </c>
      <c r="I214" s="7" t="s">
        <v>40</v>
      </c>
      <c r="J214" s="7" t="s">
        <v>31</v>
      </c>
      <c r="K214" s="7" t="str">
        <f>CONCATENATE("")</f>
        <v/>
      </c>
      <c r="L214" s="7" t="str">
        <f>CONCATENATE("11 11.2 4b")</f>
        <v>11 11.2 4b</v>
      </c>
      <c r="M214" s="7" t="str">
        <f>CONCATENATE("MRTSMN75E22D597W")</f>
        <v>MRTSMN75E22D597W</v>
      </c>
      <c r="N214" s="7" t="s">
        <v>300</v>
      </c>
      <c r="O214" s="7" t="s">
        <v>202</v>
      </c>
      <c r="P214" s="8">
        <v>44305</v>
      </c>
      <c r="Q214" s="7" t="s">
        <v>32</v>
      </c>
      <c r="R214" s="7" t="s">
        <v>33</v>
      </c>
      <c r="S214" s="7" t="s">
        <v>34</v>
      </c>
      <c r="T214" s="7"/>
      <c r="U214" s="7" t="s">
        <v>35</v>
      </c>
      <c r="V214" s="7">
        <v>545.66999999999996</v>
      </c>
      <c r="W214" s="7">
        <v>235.29</v>
      </c>
      <c r="X214" s="7">
        <v>217.29</v>
      </c>
      <c r="Y214" s="7">
        <v>0</v>
      </c>
      <c r="Z214" s="7">
        <v>93.09</v>
      </c>
    </row>
    <row r="215" spans="1:26" x14ac:dyDescent="0.35">
      <c r="A215" s="7" t="s">
        <v>27</v>
      </c>
      <c r="B215" s="7" t="s">
        <v>38</v>
      </c>
      <c r="C215" s="7" t="s">
        <v>46</v>
      </c>
      <c r="D215" s="7" t="s">
        <v>47</v>
      </c>
      <c r="E215" s="7" t="s">
        <v>29</v>
      </c>
      <c r="F215" s="7" t="s">
        <v>83</v>
      </c>
      <c r="G215" s="7">
        <v>2020</v>
      </c>
      <c r="H215" s="7" t="str">
        <f>CONCATENATE("04241082652")</f>
        <v>04241082652</v>
      </c>
      <c r="I215" s="7" t="s">
        <v>30</v>
      </c>
      <c r="J215" s="7" t="s">
        <v>31</v>
      </c>
      <c r="K215" s="7" t="str">
        <f>CONCATENATE("")</f>
        <v/>
      </c>
      <c r="L215" s="7" t="str">
        <f>CONCATENATE("11 11.2 4b")</f>
        <v>11 11.2 4b</v>
      </c>
      <c r="M215" s="7" t="str">
        <f>CONCATENATE("01990580431")</f>
        <v>01990580431</v>
      </c>
      <c r="N215" s="7" t="s">
        <v>301</v>
      </c>
      <c r="O215" s="7" t="s">
        <v>202</v>
      </c>
      <c r="P215" s="8">
        <v>44305</v>
      </c>
      <c r="Q215" s="7" t="s">
        <v>32</v>
      </c>
      <c r="R215" s="7" t="s">
        <v>33</v>
      </c>
      <c r="S215" s="7" t="s">
        <v>34</v>
      </c>
      <c r="T215" s="7"/>
      <c r="U215" s="7" t="s">
        <v>35</v>
      </c>
      <c r="V215" s="9">
        <v>1484.53</v>
      </c>
      <c r="W215" s="7">
        <v>640.13</v>
      </c>
      <c r="X215" s="7">
        <v>591.14</v>
      </c>
      <c r="Y215" s="7">
        <v>0</v>
      </c>
      <c r="Z215" s="7">
        <v>253.26</v>
      </c>
    </row>
    <row r="216" spans="1:26" ht="17.5" x14ac:dyDescent="0.35">
      <c r="A216" s="7" t="s">
        <v>27</v>
      </c>
      <c r="B216" s="7" t="s">
        <v>38</v>
      </c>
      <c r="C216" s="7" t="s">
        <v>46</v>
      </c>
      <c r="D216" s="7" t="s">
        <v>52</v>
      </c>
      <c r="E216" s="7" t="s">
        <v>43</v>
      </c>
      <c r="F216" s="7" t="s">
        <v>302</v>
      </c>
      <c r="G216" s="7">
        <v>2020</v>
      </c>
      <c r="H216" s="7" t="str">
        <f>CONCATENATE("04241092412")</f>
        <v>04241092412</v>
      </c>
      <c r="I216" s="7" t="s">
        <v>40</v>
      </c>
      <c r="J216" s="7" t="s">
        <v>31</v>
      </c>
      <c r="K216" s="7" t="str">
        <f>CONCATENATE("")</f>
        <v/>
      </c>
      <c r="L216" s="7" t="str">
        <f>CONCATENATE("11 11.2 4b")</f>
        <v>11 11.2 4b</v>
      </c>
      <c r="M216" s="7" t="str">
        <f>CONCATENATE("MRTZNE48D12F135T")</f>
        <v>MRTZNE48D12F135T</v>
      </c>
      <c r="N216" s="7" t="s">
        <v>303</v>
      </c>
      <c r="O216" s="7" t="s">
        <v>202</v>
      </c>
      <c r="P216" s="8">
        <v>44305</v>
      </c>
      <c r="Q216" s="7" t="s">
        <v>32</v>
      </c>
      <c r="R216" s="7" t="s">
        <v>33</v>
      </c>
      <c r="S216" s="7" t="s">
        <v>34</v>
      </c>
      <c r="T216" s="7"/>
      <c r="U216" s="7" t="s">
        <v>35</v>
      </c>
      <c r="V216" s="7">
        <v>224.46</v>
      </c>
      <c r="W216" s="7">
        <v>96.79</v>
      </c>
      <c r="X216" s="7">
        <v>89.38</v>
      </c>
      <c r="Y216" s="7">
        <v>0</v>
      </c>
      <c r="Z216" s="7">
        <v>38.29</v>
      </c>
    </row>
    <row r="217" spans="1:26" x14ac:dyDescent="0.35">
      <c r="A217" s="7" t="s">
        <v>27</v>
      </c>
      <c r="B217" s="7" t="s">
        <v>38</v>
      </c>
      <c r="C217" s="7" t="s">
        <v>46</v>
      </c>
      <c r="D217" s="7" t="s">
        <v>47</v>
      </c>
      <c r="E217" s="7" t="s">
        <v>44</v>
      </c>
      <c r="F217" s="7" t="s">
        <v>220</v>
      </c>
      <c r="G217" s="7">
        <v>2020</v>
      </c>
      <c r="H217" s="7" t="str">
        <f>CONCATENATE("04241059684")</f>
        <v>04241059684</v>
      </c>
      <c r="I217" s="7" t="s">
        <v>40</v>
      </c>
      <c r="J217" s="7" t="s">
        <v>31</v>
      </c>
      <c r="K217" s="7" t="str">
        <f>CONCATENATE("")</f>
        <v/>
      </c>
      <c r="L217" s="7" t="str">
        <f>CONCATENATE("11 11.2 4b")</f>
        <v>11 11.2 4b</v>
      </c>
      <c r="M217" s="7" t="str">
        <f>CONCATENATE("RTNFNC83R25I156R")</f>
        <v>RTNFNC83R25I156R</v>
      </c>
      <c r="N217" s="7" t="s">
        <v>304</v>
      </c>
      <c r="O217" s="7" t="s">
        <v>202</v>
      </c>
      <c r="P217" s="8">
        <v>44305</v>
      </c>
      <c r="Q217" s="7" t="s">
        <v>32</v>
      </c>
      <c r="R217" s="7" t="s">
        <v>33</v>
      </c>
      <c r="S217" s="7" t="s">
        <v>34</v>
      </c>
      <c r="T217" s="7"/>
      <c r="U217" s="7" t="s">
        <v>35</v>
      </c>
      <c r="V217" s="7">
        <v>386.4</v>
      </c>
      <c r="W217" s="7">
        <v>166.62</v>
      </c>
      <c r="X217" s="7">
        <v>153.86000000000001</v>
      </c>
      <c r="Y217" s="7">
        <v>0</v>
      </c>
      <c r="Z217" s="7">
        <v>65.92</v>
      </c>
    </row>
    <row r="218" spans="1:26" x14ac:dyDescent="0.35">
      <c r="A218" s="7" t="s">
        <v>27</v>
      </c>
      <c r="B218" s="7" t="s">
        <v>38</v>
      </c>
      <c r="C218" s="7" t="s">
        <v>46</v>
      </c>
      <c r="D218" s="7" t="s">
        <v>47</v>
      </c>
      <c r="E218" s="7" t="s">
        <v>44</v>
      </c>
      <c r="F218" s="7" t="s">
        <v>220</v>
      </c>
      <c r="G218" s="7">
        <v>2020</v>
      </c>
      <c r="H218" s="7" t="str">
        <f>CONCATENATE("04241034224")</f>
        <v>04241034224</v>
      </c>
      <c r="I218" s="7" t="s">
        <v>40</v>
      </c>
      <c r="J218" s="7" t="s">
        <v>31</v>
      </c>
      <c r="K218" s="7" t="str">
        <f>CONCATENATE("")</f>
        <v/>
      </c>
      <c r="L218" s="7" t="str">
        <f>CONCATENATE("11 11.2 4b")</f>
        <v>11 11.2 4b</v>
      </c>
      <c r="M218" s="7" t="str">
        <f>CONCATENATE("RTNFNC83R25I156R")</f>
        <v>RTNFNC83R25I156R</v>
      </c>
      <c r="N218" s="7" t="s">
        <v>304</v>
      </c>
      <c r="O218" s="7" t="s">
        <v>202</v>
      </c>
      <c r="P218" s="8">
        <v>44305</v>
      </c>
      <c r="Q218" s="7" t="s">
        <v>32</v>
      </c>
      <c r="R218" s="7" t="s">
        <v>33</v>
      </c>
      <c r="S218" s="7" t="s">
        <v>34</v>
      </c>
      <c r="T218" s="7"/>
      <c r="U218" s="7" t="s">
        <v>35</v>
      </c>
      <c r="V218" s="7">
        <v>309.43</v>
      </c>
      <c r="W218" s="7">
        <v>133.43</v>
      </c>
      <c r="X218" s="7">
        <v>123.22</v>
      </c>
      <c r="Y218" s="7">
        <v>0</v>
      </c>
      <c r="Z218" s="7">
        <v>52.78</v>
      </c>
    </row>
    <row r="219" spans="1:26" x14ac:dyDescent="0.35">
      <c r="A219" s="7" t="s">
        <v>27</v>
      </c>
      <c r="B219" s="7" t="s">
        <v>38</v>
      </c>
      <c r="C219" s="7" t="s">
        <v>46</v>
      </c>
      <c r="D219" s="7" t="s">
        <v>47</v>
      </c>
      <c r="E219" s="7" t="s">
        <v>44</v>
      </c>
      <c r="F219" s="7" t="s">
        <v>220</v>
      </c>
      <c r="G219" s="7">
        <v>2020</v>
      </c>
      <c r="H219" s="7" t="str">
        <f>CONCATENATE("04241035411")</f>
        <v>04241035411</v>
      </c>
      <c r="I219" s="7" t="s">
        <v>40</v>
      </c>
      <c r="J219" s="7" t="s">
        <v>31</v>
      </c>
      <c r="K219" s="7" t="str">
        <f>CONCATENATE("")</f>
        <v/>
      </c>
      <c r="L219" s="7" t="str">
        <f>CONCATENATE("11 11.2 4b")</f>
        <v>11 11.2 4b</v>
      </c>
      <c r="M219" s="7" t="str">
        <f>CONCATENATE("RTNFNC83R25I156R")</f>
        <v>RTNFNC83R25I156R</v>
      </c>
      <c r="N219" s="7" t="s">
        <v>304</v>
      </c>
      <c r="O219" s="7" t="s">
        <v>202</v>
      </c>
      <c r="P219" s="8">
        <v>44305</v>
      </c>
      <c r="Q219" s="7" t="s">
        <v>32</v>
      </c>
      <c r="R219" s="7" t="s">
        <v>33</v>
      </c>
      <c r="S219" s="7" t="s">
        <v>34</v>
      </c>
      <c r="T219" s="7"/>
      <c r="U219" s="7" t="s">
        <v>35</v>
      </c>
      <c r="V219" s="9">
        <v>3508.46</v>
      </c>
      <c r="W219" s="9">
        <v>1512.85</v>
      </c>
      <c r="X219" s="9">
        <v>1397.07</v>
      </c>
      <c r="Y219" s="7">
        <v>0</v>
      </c>
      <c r="Z219" s="7">
        <v>598.54</v>
      </c>
    </row>
    <row r="220" spans="1:26" x14ac:dyDescent="0.35">
      <c r="A220" s="7" t="s">
        <v>27</v>
      </c>
      <c r="B220" s="7" t="s">
        <v>38</v>
      </c>
      <c r="C220" s="7" t="s">
        <v>46</v>
      </c>
      <c r="D220" s="7" t="s">
        <v>47</v>
      </c>
      <c r="E220" s="7" t="s">
        <v>39</v>
      </c>
      <c r="F220" s="7" t="s">
        <v>50</v>
      </c>
      <c r="G220" s="7">
        <v>2020</v>
      </c>
      <c r="H220" s="7" t="str">
        <f>CONCATENATE("04241090747")</f>
        <v>04241090747</v>
      </c>
      <c r="I220" s="7" t="s">
        <v>30</v>
      </c>
      <c r="J220" s="7" t="s">
        <v>31</v>
      </c>
      <c r="K220" s="7" t="str">
        <f>CONCATENATE("")</f>
        <v/>
      </c>
      <c r="L220" s="7" t="str">
        <f>CONCATENATE("11 11.2 4b")</f>
        <v>11 11.2 4b</v>
      </c>
      <c r="M220" s="7" t="str">
        <f>CONCATENATE("PSLLSE01S52I156A")</f>
        <v>PSLLSE01S52I156A</v>
      </c>
      <c r="N220" s="7" t="s">
        <v>305</v>
      </c>
      <c r="O220" s="7" t="s">
        <v>202</v>
      </c>
      <c r="P220" s="8">
        <v>44305</v>
      </c>
      <c r="Q220" s="7" t="s">
        <v>32</v>
      </c>
      <c r="R220" s="7" t="s">
        <v>33</v>
      </c>
      <c r="S220" s="7" t="s">
        <v>34</v>
      </c>
      <c r="T220" s="7"/>
      <c r="U220" s="7" t="s">
        <v>35</v>
      </c>
      <c r="V220" s="7">
        <v>318.91000000000003</v>
      </c>
      <c r="W220" s="7">
        <v>137.51</v>
      </c>
      <c r="X220" s="7">
        <v>126.99</v>
      </c>
      <c r="Y220" s="7">
        <v>0</v>
      </c>
      <c r="Z220" s="7">
        <v>54.41</v>
      </c>
    </row>
    <row r="221" spans="1:26" ht="17.5" x14ac:dyDescent="0.35">
      <c r="A221" s="7" t="s">
        <v>27</v>
      </c>
      <c r="B221" s="7" t="s">
        <v>38</v>
      </c>
      <c r="C221" s="7" t="s">
        <v>46</v>
      </c>
      <c r="D221" s="7" t="s">
        <v>52</v>
      </c>
      <c r="E221" s="7" t="s">
        <v>42</v>
      </c>
      <c r="F221" s="7" t="s">
        <v>123</v>
      </c>
      <c r="G221" s="7">
        <v>2020</v>
      </c>
      <c r="H221" s="7" t="str">
        <f>CONCATENATE("04240960718")</f>
        <v>04240960718</v>
      </c>
      <c r="I221" s="7" t="s">
        <v>40</v>
      </c>
      <c r="J221" s="7" t="s">
        <v>31</v>
      </c>
      <c r="K221" s="7" t="str">
        <f>CONCATENATE("")</f>
        <v/>
      </c>
      <c r="L221" s="7" t="str">
        <f>CONCATENATE("11 11.1 4b")</f>
        <v>11 11.1 4b</v>
      </c>
      <c r="M221" s="7" t="str">
        <f>CONCATENATE("TRGGRN55B48G337R")</f>
        <v>TRGGRN55B48G337R</v>
      </c>
      <c r="N221" s="7" t="s">
        <v>306</v>
      </c>
      <c r="O221" s="7" t="s">
        <v>202</v>
      </c>
      <c r="P221" s="8">
        <v>44305</v>
      </c>
      <c r="Q221" s="7" t="s">
        <v>32</v>
      </c>
      <c r="R221" s="7" t="s">
        <v>33</v>
      </c>
      <c r="S221" s="7" t="s">
        <v>34</v>
      </c>
      <c r="T221" s="7"/>
      <c r="U221" s="7" t="s">
        <v>35</v>
      </c>
      <c r="V221" s="7">
        <v>216.85</v>
      </c>
      <c r="W221" s="7">
        <v>93.51</v>
      </c>
      <c r="X221" s="7">
        <v>86.35</v>
      </c>
      <c r="Y221" s="7">
        <v>0</v>
      </c>
      <c r="Z221" s="7">
        <v>36.99</v>
      </c>
    </row>
    <row r="222" spans="1:26" x14ac:dyDescent="0.35">
      <c r="A222" s="7" t="s">
        <v>27</v>
      </c>
      <c r="B222" s="7" t="s">
        <v>38</v>
      </c>
      <c r="C222" s="7" t="s">
        <v>46</v>
      </c>
      <c r="D222" s="7" t="s">
        <v>52</v>
      </c>
      <c r="E222" s="7" t="s">
        <v>43</v>
      </c>
      <c r="F222" s="7" t="s">
        <v>302</v>
      </c>
      <c r="G222" s="7">
        <v>2020</v>
      </c>
      <c r="H222" s="7" t="str">
        <f>CONCATENATE("04241039389")</f>
        <v>04241039389</v>
      </c>
      <c r="I222" s="7" t="s">
        <v>40</v>
      </c>
      <c r="J222" s="7" t="s">
        <v>31</v>
      </c>
      <c r="K222" s="7" t="str">
        <f>CONCATENATE("")</f>
        <v/>
      </c>
      <c r="L222" s="7" t="str">
        <f>CONCATENATE("11 11.1 4b")</f>
        <v>11 11.1 4b</v>
      </c>
      <c r="M222" s="7" t="str">
        <f>CONCATENATE("RDLGRL89A04C357F")</f>
        <v>RDLGRL89A04C357F</v>
      </c>
      <c r="N222" s="7" t="s">
        <v>307</v>
      </c>
      <c r="O222" s="7" t="s">
        <v>202</v>
      </c>
      <c r="P222" s="8">
        <v>44305</v>
      </c>
      <c r="Q222" s="7" t="s">
        <v>32</v>
      </c>
      <c r="R222" s="7" t="s">
        <v>33</v>
      </c>
      <c r="S222" s="7" t="s">
        <v>34</v>
      </c>
      <c r="T222" s="7"/>
      <c r="U222" s="7" t="s">
        <v>35</v>
      </c>
      <c r="V222" s="9">
        <v>1251.68</v>
      </c>
      <c r="W222" s="7">
        <v>539.72</v>
      </c>
      <c r="X222" s="7">
        <v>498.42</v>
      </c>
      <c r="Y222" s="7">
        <v>0</v>
      </c>
      <c r="Z222" s="7">
        <v>213.54</v>
      </c>
    </row>
    <row r="223" spans="1:26" x14ac:dyDescent="0.35">
      <c r="A223" s="7" t="s">
        <v>27</v>
      </c>
      <c r="B223" s="7" t="s">
        <v>38</v>
      </c>
      <c r="C223" s="7" t="s">
        <v>46</v>
      </c>
      <c r="D223" s="7" t="s">
        <v>47</v>
      </c>
      <c r="E223" s="7" t="s">
        <v>39</v>
      </c>
      <c r="F223" s="7" t="s">
        <v>70</v>
      </c>
      <c r="G223" s="7">
        <v>2020</v>
      </c>
      <c r="H223" s="7" t="str">
        <f>CONCATENATE("04240930265")</f>
        <v>04240930265</v>
      </c>
      <c r="I223" s="7" t="s">
        <v>40</v>
      </c>
      <c r="J223" s="7" t="s">
        <v>31</v>
      </c>
      <c r="K223" s="7" t="str">
        <f>CONCATENATE("")</f>
        <v/>
      </c>
      <c r="L223" s="7" t="str">
        <f>CONCATENATE("11 11.2 4b")</f>
        <v>11 11.2 4b</v>
      </c>
      <c r="M223" s="7" t="str">
        <f>CONCATENATE("TGNGRG85C24E388I")</f>
        <v>TGNGRG85C24E388I</v>
      </c>
      <c r="N223" s="7" t="s">
        <v>308</v>
      </c>
      <c r="O223" s="7" t="s">
        <v>202</v>
      </c>
      <c r="P223" s="8">
        <v>44305</v>
      </c>
      <c r="Q223" s="7" t="s">
        <v>32</v>
      </c>
      <c r="R223" s="7" t="s">
        <v>33</v>
      </c>
      <c r="S223" s="7" t="s">
        <v>34</v>
      </c>
      <c r="T223" s="7"/>
      <c r="U223" s="7" t="s">
        <v>35</v>
      </c>
      <c r="V223" s="7">
        <v>646.20000000000005</v>
      </c>
      <c r="W223" s="7">
        <v>278.64</v>
      </c>
      <c r="X223" s="7">
        <v>257.32</v>
      </c>
      <c r="Y223" s="7">
        <v>0</v>
      </c>
      <c r="Z223" s="7">
        <v>110.24</v>
      </c>
    </row>
    <row r="224" spans="1:26" x14ac:dyDescent="0.35">
      <c r="A224" s="7" t="s">
        <v>27</v>
      </c>
      <c r="B224" s="7" t="s">
        <v>38</v>
      </c>
      <c r="C224" s="7" t="s">
        <v>46</v>
      </c>
      <c r="D224" s="7" t="s">
        <v>47</v>
      </c>
      <c r="E224" s="7" t="s">
        <v>29</v>
      </c>
      <c r="F224" s="7" t="s">
        <v>83</v>
      </c>
      <c r="G224" s="7">
        <v>2020</v>
      </c>
      <c r="H224" s="7" t="str">
        <f>CONCATENATE("04241053174")</f>
        <v>04241053174</v>
      </c>
      <c r="I224" s="7" t="s">
        <v>40</v>
      </c>
      <c r="J224" s="7" t="s">
        <v>31</v>
      </c>
      <c r="K224" s="7" t="str">
        <f>CONCATENATE("")</f>
        <v/>
      </c>
      <c r="L224" s="7" t="str">
        <f>CONCATENATE("11 11.2 4b")</f>
        <v>11 11.2 4b</v>
      </c>
      <c r="M224" s="7" t="str">
        <f>CONCATENATE("02015980432")</f>
        <v>02015980432</v>
      </c>
      <c r="N224" s="7" t="s">
        <v>309</v>
      </c>
      <c r="O224" s="7" t="s">
        <v>202</v>
      </c>
      <c r="P224" s="8">
        <v>44305</v>
      </c>
      <c r="Q224" s="7" t="s">
        <v>32</v>
      </c>
      <c r="R224" s="7" t="s">
        <v>33</v>
      </c>
      <c r="S224" s="7" t="s">
        <v>34</v>
      </c>
      <c r="T224" s="7"/>
      <c r="U224" s="7" t="s">
        <v>35</v>
      </c>
      <c r="V224" s="7">
        <v>709.76</v>
      </c>
      <c r="W224" s="7">
        <v>306.05</v>
      </c>
      <c r="X224" s="7">
        <v>282.63</v>
      </c>
      <c r="Y224" s="7">
        <v>0</v>
      </c>
      <c r="Z224" s="7">
        <v>121.08</v>
      </c>
    </row>
    <row r="225" spans="1:26" x14ac:dyDescent="0.35">
      <c r="A225" s="7" t="s">
        <v>27</v>
      </c>
      <c r="B225" s="7" t="s">
        <v>38</v>
      </c>
      <c r="C225" s="7" t="s">
        <v>46</v>
      </c>
      <c r="D225" s="7" t="s">
        <v>47</v>
      </c>
      <c r="E225" s="7" t="s">
        <v>29</v>
      </c>
      <c r="F225" s="7" t="s">
        <v>254</v>
      </c>
      <c r="G225" s="7">
        <v>2020</v>
      </c>
      <c r="H225" s="7" t="str">
        <f>CONCATENATE("04240709685")</f>
        <v>04240709685</v>
      </c>
      <c r="I225" s="7" t="s">
        <v>40</v>
      </c>
      <c r="J225" s="7" t="s">
        <v>31</v>
      </c>
      <c r="K225" s="7" t="str">
        <f>CONCATENATE("")</f>
        <v/>
      </c>
      <c r="L225" s="7" t="str">
        <f>CONCATENATE("11 11.2 4b")</f>
        <v>11 11.2 4b</v>
      </c>
      <c r="M225" s="7" t="str">
        <f>CONCATENATE("PSSNDR68T07L191O")</f>
        <v>PSSNDR68T07L191O</v>
      </c>
      <c r="N225" s="7" t="s">
        <v>310</v>
      </c>
      <c r="O225" s="7" t="s">
        <v>202</v>
      </c>
      <c r="P225" s="8">
        <v>44305</v>
      </c>
      <c r="Q225" s="7" t="s">
        <v>32</v>
      </c>
      <c r="R225" s="7" t="s">
        <v>33</v>
      </c>
      <c r="S225" s="7" t="s">
        <v>34</v>
      </c>
      <c r="T225" s="7"/>
      <c r="U225" s="7" t="s">
        <v>35</v>
      </c>
      <c r="V225" s="9">
        <v>2975.55</v>
      </c>
      <c r="W225" s="9">
        <v>1283.06</v>
      </c>
      <c r="X225" s="9">
        <v>1184.8599999999999</v>
      </c>
      <c r="Y225" s="7">
        <v>0</v>
      </c>
      <c r="Z225" s="7">
        <v>507.63</v>
      </c>
    </row>
    <row r="226" spans="1:26" x14ac:dyDescent="0.35">
      <c r="A226" s="7" t="s">
        <v>27</v>
      </c>
      <c r="B226" s="7" t="s">
        <v>38</v>
      </c>
      <c r="C226" s="7" t="s">
        <v>46</v>
      </c>
      <c r="D226" s="7" t="s">
        <v>47</v>
      </c>
      <c r="E226" s="7" t="s">
        <v>44</v>
      </c>
      <c r="F226" s="7" t="s">
        <v>66</v>
      </c>
      <c r="G226" s="7">
        <v>2020</v>
      </c>
      <c r="H226" s="7" t="str">
        <f>CONCATENATE("04240408734")</f>
        <v>04240408734</v>
      </c>
      <c r="I226" s="7" t="s">
        <v>30</v>
      </c>
      <c r="J226" s="7" t="s">
        <v>31</v>
      </c>
      <c r="K226" s="7" t="str">
        <f>CONCATENATE("")</f>
        <v/>
      </c>
      <c r="L226" s="7" t="str">
        <f>CONCATENATE("11 11.2 4b")</f>
        <v>11 11.2 4b</v>
      </c>
      <c r="M226" s="7" t="str">
        <f>CONCATENATE("01831500432")</f>
        <v>01831500432</v>
      </c>
      <c r="N226" s="7" t="s">
        <v>311</v>
      </c>
      <c r="O226" s="7" t="s">
        <v>202</v>
      </c>
      <c r="P226" s="8">
        <v>44305</v>
      </c>
      <c r="Q226" s="7" t="s">
        <v>32</v>
      </c>
      <c r="R226" s="7" t="s">
        <v>33</v>
      </c>
      <c r="S226" s="7" t="s">
        <v>34</v>
      </c>
      <c r="T226" s="7"/>
      <c r="U226" s="7" t="s">
        <v>35</v>
      </c>
      <c r="V226" s="7">
        <v>634.95000000000005</v>
      </c>
      <c r="W226" s="7">
        <v>273.79000000000002</v>
      </c>
      <c r="X226" s="7">
        <v>252.84</v>
      </c>
      <c r="Y226" s="7">
        <v>0</v>
      </c>
      <c r="Z226" s="7">
        <v>108.32</v>
      </c>
    </row>
    <row r="227" spans="1:26" ht="17.5" x14ac:dyDescent="0.35">
      <c r="A227" s="7" t="s">
        <v>27</v>
      </c>
      <c r="B227" s="7" t="s">
        <v>38</v>
      </c>
      <c r="C227" s="7" t="s">
        <v>46</v>
      </c>
      <c r="D227" s="7" t="s">
        <v>47</v>
      </c>
      <c r="E227" s="7" t="s">
        <v>39</v>
      </c>
      <c r="F227" s="7" t="s">
        <v>61</v>
      </c>
      <c r="G227" s="7">
        <v>2020</v>
      </c>
      <c r="H227" s="7" t="str">
        <f>CONCATENATE("04240880023")</f>
        <v>04240880023</v>
      </c>
      <c r="I227" s="7" t="s">
        <v>30</v>
      </c>
      <c r="J227" s="7" t="s">
        <v>31</v>
      </c>
      <c r="K227" s="7" t="str">
        <f>CONCATENATE("")</f>
        <v/>
      </c>
      <c r="L227" s="7" t="str">
        <f>CONCATENATE("11 11.2 4b")</f>
        <v>11 11.2 4b</v>
      </c>
      <c r="M227" s="7" t="str">
        <f>CONCATENATE("CMPMLN68R23E783V")</f>
        <v>CMPMLN68R23E783V</v>
      </c>
      <c r="N227" s="7" t="s">
        <v>312</v>
      </c>
      <c r="O227" s="7" t="s">
        <v>202</v>
      </c>
      <c r="P227" s="8">
        <v>44305</v>
      </c>
      <c r="Q227" s="7" t="s">
        <v>32</v>
      </c>
      <c r="R227" s="7" t="s">
        <v>33</v>
      </c>
      <c r="S227" s="7" t="s">
        <v>34</v>
      </c>
      <c r="T227" s="7"/>
      <c r="U227" s="7" t="s">
        <v>35</v>
      </c>
      <c r="V227" s="7">
        <v>120.62</v>
      </c>
      <c r="W227" s="7">
        <v>52.01</v>
      </c>
      <c r="X227" s="7">
        <v>48.03</v>
      </c>
      <c r="Y227" s="7">
        <v>0</v>
      </c>
      <c r="Z227" s="7">
        <v>20.58</v>
      </c>
    </row>
    <row r="228" spans="1:26" x14ac:dyDescent="0.35">
      <c r="A228" s="7" t="s">
        <v>27</v>
      </c>
      <c r="B228" s="7" t="s">
        <v>38</v>
      </c>
      <c r="C228" s="7" t="s">
        <v>46</v>
      </c>
      <c r="D228" s="7" t="s">
        <v>47</v>
      </c>
      <c r="E228" s="7" t="s">
        <v>39</v>
      </c>
      <c r="F228" s="7" t="s">
        <v>86</v>
      </c>
      <c r="G228" s="7">
        <v>2020</v>
      </c>
      <c r="H228" s="7" t="str">
        <f>CONCATENATE("04240033235")</f>
        <v>04240033235</v>
      </c>
      <c r="I228" s="7" t="s">
        <v>40</v>
      </c>
      <c r="J228" s="7" t="s">
        <v>31</v>
      </c>
      <c r="K228" s="7" t="str">
        <f>CONCATENATE("")</f>
        <v/>
      </c>
      <c r="L228" s="7" t="str">
        <f>CONCATENATE("11 11.2 4b")</f>
        <v>11 11.2 4b</v>
      </c>
      <c r="M228" s="7" t="str">
        <f>CONCATENATE("01781940430")</f>
        <v>01781940430</v>
      </c>
      <c r="N228" s="7" t="s">
        <v>313</v>
      </c>
      <c r="O228" s="7" t="s">
        <v>202</v>
      </c>
      <c r="P228" s="8">
        <v>44305</v>
      </c>
      <c r="Q228" s="7" t="s">
        <v>32</v>
      </c>
      <c r="R228" s="7" t="s">
        <v>33</v>
      </c>
      <c r="S228" s="7" t="s">
        <v>34</v>
      </c>
      <c r="T228" s="7"/>
      <c r="U228" s="7" t="s">
        <v>35</v>
      </c>
      <c r="V228" s="7">
        <v>322.45</v>
      </c>
      <c r="W228" s="7">
        <v>139.04</v>
      </c>
      <c r="X228" s="7">
        <v>128.4</v>
      </c>
      <c r="Y228" s="7">
        <v>0</v>
      </c>
      <c r="Z228" s="7">
        <v>55.01</v>
      </c>
    </row>
    <row r="229" spans="1:26" x14ac:dyDescent="0.35">
      <c r="A229" s="7" t="s">
        <v>27</v>
      </c>
      <c r="B229" s="7" t="s">
        <v>38</v>
      </c>
      <c r="C229" s="7" t="s">
        <v>46</v>
      </c>
      <c r="D229" s="7" t="s">
        <v>47</v>
      </c>
      <c r="E229" s="7" t="s">
        <v>39</v>
      </c>
      <c r="F229" s="7" t="s">
        <v>86</v>
      </c>
      <c r="G229" s="7">
        <v>2020</v>
      </c>
      <c r="H229" s="7" t="str">
        <f>CONCATENATE("04240203226")</f>
        <v>04240203226</v>
      </c>
      <c r="I229" s="7" t="s">
        <v>40</v>
      </c>
      <c r="J229" s="7" t="s">
        <v>31</v>
      </c>
      <c r="K229" s="7" t="str">
        <f>CONCATENATE("")</f>
        <v/>
      </c>
      <c r="L229" s="7" t="str">
        <f>CONCATENATE("11 11.2 4b")</f>
        <v>11 11.2 4b</v>
      </c>
      <c r="M229" s="7" t="str">
        <f>CONCATENATE("01781940430")</f>
        <v>01781940430</v>
      </c>
      <c r="N229" s="7" t="s">
        <v>313</v>
      </c>
      <c r="O229" s="7" t="s">
        <v>202</v>
      </c>
      <c r="P229" s="8">
        <v>44305</v>
      </c>
      <c r="Q229" s="7" t="s">
        <v>32</v>
      </c>
      <c r="R229" s="7" t="s">
        <v>33</v>
      </c>
      <c r="S229" s="7" t="s">
        <v>34</v>
      </c>
      <c r="T229" s="7"/>
      <c r="U229" s="7" t="s">
        <v>35</v>
      </c>
      <c r="V229" s="9">
        <v>8275.1200000000008</v>
      </c>
      <c r="W229" s="9">
        <v>3568.23</v>
      </c>
      <c r="X229" s="9">
        <v>3295.15</v>
      </c>
      <c r="Y229" s="7">
        <v>0</v>
      </c>
      <c r="Z229" s="9">
        <v>1411.74</v>
      </c>
    </row>
    <row r="230" spans="1:26" x14ac:dyDescent="0.35">
      <c r="A230" s="7" t="s">
        <v>27</v>
      </c>
      <c r="B230" s="7" t="s">
        <v>38</v>
      </c>
      <c r="C230" s="7" t="s">
        <v>46</v>
      </c>
      <c r="D230" s="7" t="s">
        <v>47</v>
      </c>
      <c r="E230" s="7" t="s">
        <v>39</v>
      </c>
      <c r="F230" s="7" t="s">
        <v>61</v>
      </c>
      <c r="G230" s="7">
        <v>2020</v>
      </c>
      <c r="H230" s="7" t="str">
        <f>CONCATENATE("04240831554")</f>
        <v>04240831554</v>
      </c>
      <c r="I230" s="7" t="s">
        <v>30</v>
      </c>
      <c r="J230" s="7" t="s">
        <v>31</v>
      </c>
      <c r="K230" s="7" t="str">
        <f>CONCATENATE("")</f>
        <v/>
      </c>
      <c r="L230" s="7" t="str">
        <f>CONCATENATE("11 11.2 4b")</f>
        <v>11 11.2 4b</v>
      </c>
      <c r="M230" s="7" t="str">
        <f>CONCATENATE("RTIRNT64L29I436B")</f>
        <v>RTIRNT64L29I436B</v>
      </c>
      <c r="N230" s="7" t="s">
        <v>314</v>
      </c>
      <c r="O230" s="7" t="s">
        <v>202</v>
      </c>
      <c r="P230" s="8">
        <v>44305</v>
      </c>
      <c r="Q230" s="7" t="s">
        <v>32</v>
      </c>
      <c r="R230" s="7" t="s">
        <v>33</v>
      </c>
      <c r="S230" s="7" t="s">
        <v>34</v>
      </c>
      <c r="T230" s="7"/>
      <c r="U230" s="7" t="s">
        <v>35</v>
      </c>
      <c r="V230" s="9">
        <v>6711.83</v>
      </c>
      <c r="W230" s="9">
        <v>2894.14</v>
      </c>
      <c r="X230" s="9">
        <v>2672.65</v>
      </c>
      <c r="Y230" s="7">
        <v>0</v>
      </c>
      <c r="Z230" s="9">
        <v>1145.04</v>
      </c>
    </row>
    <row r="231" spans="1:26" ht="17.5" x14ac:dyDescent="0.35">
      <c r="A231" s="7" t="s">
        <v>27</v>
      </c>
      <c r="B231" s="7" t="s">
        <v>38</v>
      </c>
      <c r="C231" s="7" t="s">
        <v>46</v>
      </c>
      <c r="D231" s="7" t="s">
        <v>47</v>
      </c>
      <c r="E231" s="7" t="s">
        <v>44</v>
      </c>
      <c r="F231" s="7" t="s">
        <v>100</v>
      </c>
      <c r="G231" s="7">
        <v>2020</v>
      </c>
      <c r="H231" s="7" t="str">
        <f>CONCATENATE("04240303711")</f>
        <v>04240303711</v>
      </c>
      <c r="I231" s="7" t="s">
        <v>30</v>
      </c>
      <c r="J231" s="7" t="s">
        <v>31</v>
      </c>
      <c r="K231" s="7" t="str">
        <f>CONCATENATE("")</f>
        <v/>
      </c>
      <c r="L231" s="7" t="str">
        <f>CONCATENATE("11 11.2 4b")</f>
        <v>11 11.2 4b</v>
      </c>
      <c r="M231" s="7" t="str">
        <f>CONCATENATE("MRCNZE66H03B474V")</f>
        <v>MRCNZE66H03B474V</v>
      </c>
      <c r="N231" s="7" t="s">
        <v>315</v>
      </c>
      <c r="O231" s="7" t="s">
        <v>202</v>
      </c>
      <c r="P231" s="8">
        <v>44305</v>
      </c>
      <c r="Q231" s="7" t="s">
        <v>32</v>
      </c>
      <c r="R231" s="7" t="s">
        <v>33</v>
      </c>
      <c r="S231" s="7" t="s">
        <v>34</v>
      </c>
      <c r="T231" s="7"/>
      <c r="U231" s="7" t="s">
        <v>35</v>
      </c>
      <c r="V231" s="9">
        <v>1776.05</v>
      </c>
      <c r="W231" s="7">
        <v>765.83</v>
      </c>
      <c r="X231" s="7">
        <v>707.22</v>
      </c>
      <c r="Y231" s="7">
        <v>0</v>
      </c>
      <c r="Z231" s="7">
        <v>303</v>
      </c>
    </row>
    <row r="232" spans="1:26" x14ac:dyDescent="0.35">
      <c r="A232" s="7" t="s">
        <v>27</v>
      </c>
      <c r="B232" s="7" t="s">
        <v>38</v>
      </c>
      <c r="C232" s="7" t="s">
        <v>46</v>
      </c>
      <c r="D232" s="7" t="s">
        <v>47</v>
      </c>
      <c r="E232" s="7" t="s">
        <v>39</v>
      </c>
      <c r="F232" s="7" t="s">
        <v>222</v>
      </c>
      <c r="G232" s="7">
        <v>2020</v>
      </c>
      <c r="H232" s="7" t="str">
        <f>CONCATENATE("04241043134")</f>
        <v>04241043134</v>
      </c>
      <c r="I232" s="7" t="s">
        <v>30</v>
      </c>
      <c r="J232" s="7" t="s">
        <v>31</v>
      </c>
      <c r="K232" s="7" t="str">
        <f>CONCATENATE("")</f>
        <v/>
      </c>
      <c r="L232" s="7" t="str">
        <f>CONCATENATE("11 11.1 4b")</f>
        <v>11 11.1 4b</v>
      </c>
      <c r="M232" s="7" t="str">
        <f>CONCATENATE("01939990436")</f>
        <v>01939990436</v>
      </c>
      <c r="N232" s="7" t="s">
        <v>316</v>
      </c>
      <c r="O232" s="7" t="s">
        <v>202</v>
      </c>
      <c r="P232" s="8">
        <v>44305</v>
      </c>
      <c r="Q232" s="7" t="s">
        <v>32</v>
      </c>
      <c r="R232" s="7" t="s">
        <v>33</v>
      </c>
      <c r="S232" s="7" t="s">
        <v>34</v>
      </c>
      <c r="T232" s="7"/>
      <c r="U232" s="7" t="s">
        <v>35</v>
      </c>
      <c r="V232" s="7">
        <v>99.92</v>
      </c>
      <c r="W232" s="7">
        <v>43.09</v>
      </c>
      <c r="X232" s="7">
        <v>39.79</v>
      </c>
      <c r="Y232" s="7">
        <v>0</v>
      </c>
      <c r="Z232" s="7">
        <v>17.04</v>
      </c>
    </row>
    <row r="233" spans="1:26" x14ac:dyDescent="0.35">
      <c r="A233" s="7" t="s">
        <v>27</v>
      </c>
      <c r="B233" s="7" t="s">
        <v>38</v>
      </c>
      <c r="C233" s="7" t="s">
        <v>46</v>
      </c>
      <c r="D233" s="7" t="s">
        <v>92</v>
      </c>
      <c r="E233" s="7" t="s">
        <v>39</v>
      </c>
      <c r="F233" s="7" t="s">
        <v>317</v>
      </c>
      <c r="G233" s="7">
        <v>2020</v>
      </c>
      <c r="H233" s="7" t="str">
        <f>CONCATENATE("04240467748")</f>
        <v>04240467748</v>
      </c>
      <c r="I233" s="7" t="s">
        <v>30</v>
      </c>
      <c r="J233" s="7" t="s">
        <v>31</v>
      </c>
      <c r="K233" s="7" t="str">
        <f>CONCATENATE("")</f>
        <v/>
      </c>
      <c r="L233" s="7" t="str">
        <f>CONCATENATE("11 11.1 4b")</f>
        <v>11 11.1 4b</v>
      </c>
      <c r="M233" s="7" t="str">
        <f>CONCATENATE("02165220449")</f>
        <v>02165220449</v>
      </c>
      <c r="N233" s="7" t="s">
        <v>318</v>
      </c>
      <c r="O233" s="7" t="s">
        <v>202</v>
      </c>
      <c r="P233" s="8">
        <v>44305</v>
      </c>
      <c r="Q233" s="7" t="s">
        <v>32</v>
      </c>
      <c r="R233" s="7" t="s">
        <v>33</v>
      </c>
      <c r="S233" s="7" t="s">
        <v>34</v>
      </c>
      <c r="T233" s="7"/>
      <c r="U233" s="7" t="s">
        <v>35</v>
      </c>
      <c r="V233" s="9">
        <v>3530.51</v>
      </c>
      <c r="W233" s="9">
        <v>1522.36</v>
      </c>
      <c r="X233" s="9">
        <v>1405.85</v>
      </c>
      <c r="Y233" s="7">
        <v>0</v>
      </c>
      <c r="Z233" s="7">
        <v>602.29999999999995</v>
      </c>
    </row>
    <row r="234" spans="1:26" ht="17.5" x14ac:dyDescent="0.35">
      <c r="A234" s="7" t="s">
        <v>27</v>
      </c>
      <c r="B234" s="7" t="s">
        <v>38</v>
      </c>
      <c r="C234" s="7" t="s">
        <v>46</v>
      </c>
      <c r="D234" s="7" t="s">
        <v>92</v>
      </c>
      <c r="E234" s="7" t="s">
        <v>39</v>
      </c>
      <c r="F234" s="7" t="s">
        <v>230</v>
      </c>
      <c r="G234" s="7">
        <v>2020</v>
      </c>
      <c r="H234" s="7" t="str">
        <f>CONCATENATE("04240290215")</f>
        <v>04240290215</v>
      </c>
      <c r="I234" s="7" t="s">
        <v>30</v>
      </c>
      <c r="J234" s="7" t="s">
        <v>31</v>
      </c>
      <c r="K234" s="7" t="str">
        <f>CONCATENATE("")</f>
        <v/>
      </c>
      <c r="L234" s="7" t="str">
        <f>CONCATENATE("11 11.1 4b")</f>
        <v>11 11.1 4b</v>
      </c>
      <c r="M234" s="7" t="str">
        <f>CONCATENATE("LRNSVN54A15H321A")</f>
        <v>LRNSVN54A15H321A</v>
      </c>
      <c r="N234" s="7" t="s">
        <v>319</v>
      </c>
      <c r="O234" s="7" t="s">
        <v>202</v>
      </c>
      <c r="P234" s="8">
        <v>44305</v>
      </c>
      <c r="Q234" s="7" t="s">
        <v>32</v>
      </c>
      <c r="R234" s="7" t="s">
        <v>33</v>
      </c>
      <c r="S234" s="7" t="s">
        <v>34</v>
      </c>
      <c r="T234" s="7"/>
      <c r="U234" s="7" t="s">
        <v>35</v>
      </c>
      <c r="V234" s="9">
        <v>5493.75</v>
      </c>
      <c r="W234" s="9">
        <v>2368.91</v>
      </c>
      <c r="X234" s="9">
        <v>2187.61</v>
      </c>
      <c r="Y234" s="7">
        <v>0</v>
      </c>
      <c r="Z234" s="7">
        <v>937.23</v>
      </c>
    </row>
    <row r="235" spans="1:26" x14ac:dyDescent="0.35">
      <c r="A235" s="7" t="s">
        <v>27</v>
      </c>
      <c r="B235" s="7" t="s">
        <v>38</v>
      </c>
      <c r="C235" s="7" t="s">
        <v>46</v>
      </c>
      <c r="D235" s="7" t="s">
        <v>92</v>
      </c>
      <c r="E235" s="7" t="s">
        <v>29</v>
      </c>
      <c r="F235" s="7" t="s">
        <v>209</v>
      </c>
      <c r="G235" s="7">
        <v>2020</v>
      </c>
      <c r="H235" s="7" t="str">
        <f>CONCATENATE("04240599151")</f>
        <v>04240599151</v>
      </c>
      <c r="I235" s="7" t="s">
        <v>30</v>
      </c>
      <c r="J235" s="7" t="s">
        <v>31</v>
      </c>
      <c r="K235" s="7" t="str">
        <f>CONCATENATE("")</f>
        <v/>
      </c>
      <c r="L235" s="7" t="str">
        <f>CONCATENATE("11 11.1 4b")</f>
        <v>11 11.1 4b</v>
      </c>
      <c r="M235" s="7" t="str">
        <f>CONCATENATE("MNCRNT45E14F379J")</f>
        <v>MNCRNT45E14F379J</v>
      </c>
      <c r="N235" s="7" t="s">
        <v>320</v>
      </c>
      <c r="O235" s="7" t="s">
        <v>202</v>
      </c>
      <c r="P235" s="8">
        <v>44305</v>
      </c>
      <c r="Q235" s="7" t="s">
        <v>32</v>
      </c>
      <c r="R235" s="7" t="s">
        <v>33</v>
      </c>
      <c r="S235" s="7" t="s">
        <v>34</v>
      </c>
      <c r="T235" s="7"/>
      <c r="U235" s="7" t="s">
        <v>35</v>
      </c>
      <c r="V235" s="9">
        <v>10913.2</v>
      </c>
      <c r="W235" s="9">
        <v>4705.7700000000004</v>
      </c>
      <c r="X235" s="9">
        <v>4345.6400000000003</v>
      </c>
      <c r="Y235" s="7">
        <v>0</v>
      </c>
      <c r="Z235" s="9">
        <v>1861.79</v>
      </c>
    </row>
    <row r="236" spans="1:26" ht="17.5" x14ac:dyDescent="0.35">
      <c r="A236" s="7" t="s">
        <v>27</v>
      </c>
      <c r="B236" s="7" t="s">
        <v>38</v>
      </c>
      <c r="C236" s="7" t="s">
        <v>46</v>
      </c>
      <c r="D236" s="7" t="s">
        <v>47</v>
      </c>
      <c r="E236" s="7" t="s">
        <v>41</v>
      </c>
      <c r="F236" s="7" t="s">
        <v>58</v>
      </c>
      <c r="G236" s="7">
        <v>2020</v>
      </c>
      <c r="H236" s="7" t="str">
        <f>CONCATENATE("04240023921")</f>
        <v>04240023921</v>
      </c>
      <c r="I236" s="7" t="s">
        <v>40</v>
      </c>
      <c r="J236" s="7" t="s">
        <v>31</v>
      </c>
      <c r="K236" s="7" t="str">
        <f>CONCATENATE("")</f>
        <v/>
      </c>
      <c r="L236" s="7" t="str">
        <f>CONCATENATE("11 11.2 4b")</f>
        <v>11 11.2 4b</v>
      </c>
      <c r="M236" s="7" t="str">
        <f>CONCATENATE("MRTMGH59T59B602K")</f>
        <v>MRTMGH59T59B602K</v>
      </c>
      <c r="N236" s="7" t="s">
        <v>321</v>
      </c>
      <c r="O236" s="7" t="s">
        <v>202</v>
      </c>
      <c r="P236" s="8">
        <v>44305</v>
      </c>
      <c r="Q236" s="7" t="s">
        <v>32</v>
      </c>
      <c r="R236" s="7" t="s">
        <v>33</v>
      </c>
      <c r="S236" s="7" t="s">
        <v>34</v>
      </c>
      <c r="T236" s="7"/>
      <c r="U236" s="7" t="s">
        <v>35</v>
      </c>
      <c r="V236" s="7">
        <v>409.41</v>
      </c>
      <c r="W236" s="7">
        <v>176.54</v>
      </c>
      <c r="X236" s="7">
        <v>163.03</v>
      </c>
      <c r="Y236" s="7">
        <v>0</v>
      </c>
      <c r="Z236" s="7">
        <v>69.84</v>
      </c>
    </row>
    <row r="237" spans="1:26" x14ac:dyDescent="0.35">
      <c r="A237" s="7" t="s">
        <v>27</v>
      </c>
      <c r="B237" s="7" t="s">
        <v>38</v>
      </c>
      <c r="C237" s="7" t="s">
        <v>46</v>
      </c>
      <c r="D237" s="7" t="s">
        <v>47</v>
      </c>
      <c r="E237" s="7" t="s">
        <v>39</v>
      </c>
      <c r="F237" s="7" t="s">
        <v>61</v>
      </c>
      <c r="G237" s="7">
        <v>2020</v>
      </c>
      <c r="H237" s="7" t="str">
        <f>CONCATENATE("04240861379")</f>
        <v>04240861379</v>
      </c>
      <c r="I237" s="7" t="s">
        <v>30</v>
      </c>
      <c r="J237" s="7" t="s">
        <v>31</v>
      </c>
      <c r="K237" s="7" t="str">
        <f>CONCATENATE("")</f>
        <v/>
      </c>
      <c r="L237" s="7" t="str">
        <f>CONCATENATE("11 11.1 4b")</f>
        <v>11 11.1 4b</v>
      </c>
      <c r="M237" s="7" t="str">
        <f>CONCATENATE("01814150437")</f>
        <v>01814150437</v>
      </c>
      <c r="N237" s="7" t="s">
        <v>322</v>
      </c>
      <c r="O237" s="7" t="s">
        <v>202</v>
      </c>
      <c r="P237" s="8">
        <v>44305</v>
      </c>
      <c r="Q237" s="7" t="s">
        <v>32</v>
      </c>
      <c r="R237" s="7" t="s">
        <v>33</v>
      </c>
      <c r="S237" s="7" t="s">
        <v>34</v>
      </c>
      <c r="T237" s="7"/>
      <c r="U237" s="7" t="s">
        <v>35</v>
      </c>
      <c r="V237" s="7">
        <v>487.47</v>
      </c>
      <c r="W237" s="7">
        <v>210.2</v>
      </c>
      <c r="X237" s="7">
        <v>194.11</v>
      </c>
      <c r="Y237" s="7">
        <v>0</v>
      </c>
      <c r="Z237" s="7">
        <v>83.16</v>
      </c>
    </row>
    <row r="238" spans="1:26" x14ac:dyDescent="0.35">
      <c r="A238" s="7" t="s">
        <v>27</v>
      </c>
      <c r="B238" s="7" t="s">
        <v>38</v>
      </c>
      <c r="C238" s="7" t="s">
        <v>46</v>
      </c>
      <c r="D238" s="7" t="s">
        <v>47</v>
      </c>
      <c r="E238" s="7" t="s">
        <v>39</v>
      </c>
      <c r="F238" s="7" t="s">
        <v>54</v>
      </c>
      <c r="G238" s="7">
        <v>2020</v>
      </c>
      <c r="H238" s="7" t="str">
        <f>CONCATENATE("04240034332")</f>
        <v>04240034332</v>
      </c>
      <c r="I238" s="7" t="s">
        <v>30</v>
      </c>
      <c r="J238" s="7" t="s">
        <v>31</v>
      </c>
      <c r="K238" s="7" t="str">
        <f>CONCATENATE("")</f>
        <v/>
      </c>
      <c r="L238" s="7" t="str">
        <f>CONCATENATE("11 11.2 4b")</f>
        <v>11 11.2 4b</v>
      </c>
      <c r="M238" s="7" t="str">
        <f>CONCATENATE("01364630432")</f>
        <v>01364630432</v>
      </c>
      <c r="N238" s="7" t="s">
        <v>323</v>
      </c>
      <c r="O238" s="7" t="s">
        <v>202</v>
      </c>
      <c r="P238" s="8">
        <v>44305</v>
      </c>
      <c r="Q238" s="7" t="s">
        <v>32</v>
      </c>
      <c r="R238" s="7" t="s">
        <v>33</v>
      </c>
      <c r="S238" s="7" t="s">
        <v>34</v>
      </c>
      <c r="T238" s="7"/>
      <c r="U238" s="7" t="s">
        <v>35</v>
      </c>
      <c r="V238" s="7">
        <v>130.65</v>
      </c>
      <c r="W238" s="7">
        <v>56.34</v>
      </c>
      <c r="X238" s="7">
        <v>52.02</v>
      </c>
      <c r="Y238" s="7">
        <v>0</v>
      </c>
      <c r="Z238" s="7">
        <v>22.29</v>
      </c>
    </row>
    <row r="239" spans="1:26" x14ac:dyDescent="0.35">
      <c r="A239" s="7" t="s">
        <v>27</v>
      </c>
      <c r="B239" s="7" t="s">
        <v>38</v>
      </c>
      <c r="C239" s="7" t="s">
        <v>46</v>
      </c>
      <c r="D239" s="7" t="s">
        <v>47</v>
      </c>
      <c r="E239" s="7" t="s">
        <v>39</v>
      </c>
      <c r="F239" s="7" t="s">
        <v>61</v>
      </c>
      <c r="G239" s="7">
        <v>2020</v>
      </c>
      <c r="H239" s="7" t="str">
        <f>CONCATENATE("04240864837")</f>
        <v>04240864837</v>
      </c>
      <c r="I239" s="7" t="s">
        <v>30</v>
      </c>
      <c r="J239" s="7" t="s">
        <v>31</v>
      </c>
      <c r="K239" s="7" t="str">
        <f>CONCATENATE("")</f>
        <v/>
      </c>
      <c r="L239" s="7" t="str">
        <f>CONCATENATE("11 11.2 4b")</f>
        <v>11 11.2 4b</v>
      </c>
      <c r="M239" s="7" t="str">
        <f>CONCATENATE("01677990432")</f>
        <v>01677990432</v>
      </c>
      <c r="N239" s="7" t="s">
        <v>324</v>
      </c>
      <c r="O239" s="7" t="s">
        <v>202</v>
      </c>
      <c r="P239" s="8">
        <v>44305</v>
      </c>
      <c r="Q239" s="7" t="s">
        <v>32</v>
      </c>
      <c r="R239" s="7" t="s">
        <v>33</v>
      </c>
      <c r="S239" s="7" t="s">
        <v>34</v>
      </c>
      <c r="T239" s="7"/>
      <c r="U239" s="7" t="s">
        <v>35</v>
      </c>
      <c r="V239" s="9">
        <v>12196.69</v>
      </c>
      <c r="W239" s="9">
        <v>5259.21</v>
      </c>
      <c r="X239" s="9">
        <v>4856.72</v>
      </c>
      <c r="Y239" s="7">
        <v>0</v>
      </c>
      <c r="Z239" s="9">
        <v>2080.7600000000002</v>
      </c>
    </row>
    <row r="240" spans="1:26" x14ac:dyDescent="0.35">
      <c r="A240" s="7" t="s">
        <v>27</v>
      </c>
      <c r="B240" s="7" t="s">
        <v>38</v>
      </c>
      <c r="C240" s="7" t="s">
        <v>46</v>
      </c>
      <c r="D240" s="7" t="s">
        <v>92</v>
      </c>
      <c r="E240" s="7" t="s">
        <v>43</v>
      </c>
      <c r="F240" s="7" t="s">
        <v>232</v>
      </c>
      <c r="G240" s="7">
        <v>2020</v>
      </c>
      <c r="H240" s="7" t="str">
        <f>CONCATENATE("04241035601")</f>
        <v>04241035601</v>
      </c>
      <c r="I240" s="7" t="s">
        <v>40</v>
      </c>
      <c r="J240" s="7" t="s">
        <v>31</v>
      </c>
      <c r="K240" s="7" t="str">
        <f>CONCATENATE("")</f>
        <v/>
      </c>
      <c r="L240" s="7" t="str">
        <f>CONCATENATE("11 11.1 4b")</f>
        <v>11 11.1 4b</v>
      </c>
      <c r="M240" s="7" t="str">
        <f>CONCATENATE("CRCLRA77P50A462V")</f>
        <v>CRCLRA77P50A462V</v>
      </c>
      <c r="N240" s="7" t="s">
        <v>325</v>
      </c>
      <c r="O240" s="7" t="s">
        <v>202</v>
      </c>
      <c r="P240" s="8">
        <v>44305</v>
      </c>
      <c r="Q240" s="7" t="s">
        <v>32</v>
      </c>
      <c r="R240" s="7" t="s">
        <v>33</v>
      </c>
      <c r="S240" s="7" t="s">
        <v>34</v>
      </c>
      <c r="T240" s="7"/>
      <c r="U240" s="7" t="s">
        <v>35</v>
      </c>
      <c r="V240" s="7">
        <v>314.33</v>
      </c>
      <c r="W240" s="7">
        <v>135.54</v>
      </c>
      <c r="X240" s="7">
        <v>125.17</v>
      </c>
      <c r="Y240" s="7">
        <v>0</v>
      </c>
      <c r="Z240" s="7">
        <v>53.62</v>
      </c>
    </row>
    <row r="241" spans="1:26" ht="17.5" x14ac:dyDescent="0.35">
      <c r="A241" s="7" t="s">
        <v>27</v>
      </c>
      <c r="B241" s="7" t="s">
        <v>38</v>
      </c>
      <c r="C241" s="7" t="s">
        <v>46</v>
      </c>
      <c r="D241" s="7" t="s">
        <v>92</v>
      </c>
      <c r="E241" s="7" t="s">
        <v>43</v>
      </c>
      <c r="F241" s="7" t="s">
        <v>63</v>
      </c>
      <c r="G241" s="7">
        <v>2020</v>
      </c>
      <c r="H241" s="7" t="str">
        <f>CONCATENATE("04240659864")</f>
        <v>04240659864</v>
      </c>
      <c r="I241" s="7" t="s">
        <v>30</v>
      </c>
      <c r="J241" s="7" t="s">
        <v>31</v>
      </c>
      <c r="K241" s="7" t="str">
        <f>CONCATENATE("")</f>
        <v/>
      </c>
      <c r="L241" s="7" t="str">
        <f>CONCATENATE("11 11.1 4b")</f>
        <v>11 11.1 4b</v>
      </c>
      <c r="M241" s="7" t="str">
        <f>CONCATENATE("02274460449")</f>
        <v>02274460449</v>
      </c>
      <c r="N241" s="7" t="s">
        <v>326</v>
      </c>
      <c r="O241" s="7" t="s">
        <v>202</v>
      </c>
      <c r="P241" s="8">
        <v>44305</v>
      </c>
      <c r="Q241" s="7" t="s">
        <v>32</v>
      </c>
      <c r="R241" s="7" t="s">
        <v>33</v>
      </c>
      <c r="S241" s="7" t="s">
        <v>34</v>
      </c>
      <c r="T241" s="7"/>
      <c r="U241" s="7" t="s">
        <v>35</v>
      </c>
      <c r="V241" s="7">
        <v>580.27</v>
      </c>
      <c r="W241" s="7">
        <v>250.21</v>
      </c>
      <c r="X241" s="7">
        <v>231.06</v>
      </c>
      <c r="Y241" s="7">
        <v>0</v>
      </c>
      <c r="Z241" s="7">
        <v>99</v>
      </c>
    </row>
    <row r="242" spans="1:26" ht="17.5" x14ac:dyDescent="0.35">
      <c r="A242" s="7" t="s">
        <v>27</v>
      </c>
      <c r="B242" s="7" t="s">
        <v>38</v>
      </c>
      <c r="C242" s="7" t="s">
        <v>46</v>
      </c>
      <c r="D242" s="7" t="s">
        <v>92</v>
      </c>
      <c r="E242" s="7" t="s">
        <v>43</v>
      </c>
      <c r="F242" s="7" t="s">
        <v>63</v>
      </c>
      <c r="G242" s="7">
        <v>2020</v>
      </c>
      <c r="H242" s="7" t="str">
        <f>CONCATENATE("04240660474")</f>
        <v>04240660474</v>
      </c>
      <c r="I242" s="7" t="s">
        <v>30</v>
      </c>
      <c r="J242" s="7" t="s">
        <v>31</v>
      </c>
      <c r="K242" s="7" t="str">
        <f>CONCATENATE("")</f>
        <v/>
      </c>
      <c r="L242" s="7" t="str">
        <f>CONCATENATE("11 11.2 4b")</f>
        <v>11 11.2 4b</v>
      </c>
      <c r="M242" s="7" t="str">
        <f>CONCATENATE("02274460449")</f>
        <v>02274460449</v>
      </c>
      <c r="N242" s="7" t="s">
        <v>326</v>
      </c>
      <c r="O242" s="7" t="s">
        <v>202</v>
      </c>
      <c r="P242" s="8">
        <v>44305</v>
      </c>
      <c r="Q242" s="7" t="s">
        <v>32</v>
      </c>
      <c r="R242" s="7" t="s">
        <v>33</v>
      </c>
      <c r="S242" s="7" t="s">
        <v>34</v>
      </c>
      <c r="T242" s="7"/>
      <c r="U242" s="7" t="s">
        <v>35</v>
      </c>
      <c r="V242" s="7">
        <v>129.63999999999999</v>
      </c>
      <c r="W242" s="7">
        <v>55.9</v>
      </c>
      <c r="X242" s="7">
        <v>51.62</v>
      </c>
      <c r="Y242" s="7">
        <v>0</v>
      </c>
      <c r="Z242" s="7">
        <v>22.12</v>
      </c>
    </row>
    <row r="243" spans="1:26" x14ac:dyDescent="0.35">
      <c r="A243" s="7" t="s">
        <v>27</v>
      </c>
      <c r="B243" s="7" t="s">
        <v>38</v>
      </c>
      <c r="C243" s="7" t="s">
        <v>46</v>
      </c>
      <c r="D243" s="7" t="s">
        <v>92</v>
      </c>
      <c r="E243" s="7" t="s">
        <v>39</v>
      </c>
      <c r="F243" s="7" t="s">
        <v>199</v>
      </c>
      <c r="G243" s="7">
        <v>2020</v>
      </c>
      <c r="H243" s="7" t="str">
        <f>CONCATENATE("04241010109")</f>
        <v>04241010109</v>
      </c>
      <c r="I243" s="7" t="s">
        <v>30</v>
      </c>
      <c r="J243" s="7" t="s">
        <v>31</v>
      </c>
      <c r="K243" s="7" t="str">
        <f>CONCATENATE("")</f>
        <v/>
      </c>
      <c r="L243" s="7" t="str">
        <f>CONCATENATE("11 11.2 4b")</f>
        <v>11 11.2 4b</v>
      </c>
      <c r="M243" s="7" t="str">
        <f>CONCATENATE("LNDMLE47E22G005S")</f>
        <v>LNDMLE47E22G005S</v>
      </c>
      <c r="N243" s="7" t="s">
        <v>327</v>
      </c>
      <c r="O243" s="7" t="s">
        <v>202</v>
      </c>
      <c r="P243" s="8">
        <v>44305</v>
      </c>
      <c r="Q243" s="7" t="s">
        <v>32</v>
      </c>
      <c r="R243" s="7" t="s">
        <v>33</v>
      </c>
      <c r="S243" s="7" t="s">
        <v>34</v>
      </c>
      <c r="T243" s="7"/>
      <c r="U243" s="7" t="s">
        <v>35</v>
      </c>
      <c r="V243" s="7">
        <v>389.61</v>
      </c>
      <c r="W243" s="7">
        <v>168</v>
      </c>
      <c r="X243" s="7">
        <v>155.13999999999999</v>
      </c>
      <c r="Y243" s="7">
        <v>0</v>
      </c>
      <c r="Z243" s="7">
        <v>66.47</v>
      </c>
    </row>
    <row r="244" spans="1:26" ht="17.5" x14ac:dyDescent="0.35">
      <c r="A244" s="7" t="s">
        <v>27</v>
      </c>
      <c r="B244" s="7" t="s">
        <v>38</v>
      </c>
      <c r="C244" s="7" t="s">
        <v>46</v>
      </c>
      <c r="D244" s="7" t="s">
        <v>92</v>
      </c>
      <c r="E244" s="7" t="s">
        <v>39</v>
      </c>
      <c r="F244" s="7" t="s">
        <v>317</v>
      </c>
      <c r="G244" s="7">
        <v>2020</v>
      </c>
      <c r="H244" s="7" t="str">
        <f>CONCATENATE("04240322745")</f>
        <v>04240322745</v>
      </c>
      <c r="I244" s="7" t="s">
        <v>40</v>
      </c>
      <c r="J244" s="7" t="s">
        <v>31</v>
      </c>
      <c r="K244" s="7" t="str">
        <f>CONCATENATE("")</f>
        <v/>
      </c>
      <c r="L244" s="7" t="str">
        <f>CONCATENATE("11 11.2 4b")</f>
        <v>11 11.2 4b</v>
      </c>
      <c r="M244" s="7" t="str">
        <f>CONCATENATE("DLTGNN54T28D691U")</f>
        <v>DLTGNN54T28D691U</v>
      </c>
      <c r="N244" s="7" t="s">
        <v>328</v>
      </c>
      <c r="O244" s="7" t="s">
        <v>202</v>
      </c>
      <c r="P244" s="8">
        <v>44305</v>
      </c>
      <c r="Q244" s="7" t="s">
        <v>32</v>
      </c>
      <c r="R244" s="7" t="s">
        <v>33</v>
      </c>
      <c r="S244" s="7" t="s">
        <v>34</v>
      </c>
      <c r="T244" s="7"/>
      <c r="U244" s="7" t="s">
        <v>35</v>
      </c>
      <c r="V244" s="7">
        <v>226.06</v>
      </c>
      <c r="W244" s="7">
        <v>97.48</v>
      </c>
      <c r="X244" s="7">
        <v>90.02</v>
      </c>
      <c r="Y244" s="7">
        <v>0</v>
      </c>
      <c r="Z244" s="7">
        <v>38.56</v>
      </c>
    </row>
    <row r="245" spans="1:26" x14ac:dyDescent="0.35">
      <c r="A245" s="7" t="s">
        <v>27</v>
      </c>
      <c r="B245" s="7" t="s">
        <v>38</v>
      </c>
      <c r="C245" s="7" t="s">
        <v>46</v>
      </c>
      <c r="D245" s="7" t="s">
        <v>52</v>
      </c>
      <c r="E245" s="7" t="s">
        <v>42</v>
      </c>
      <c r="F245" s="7" t="s">
        <v>123</v>
      </c>
      <c r="G245" s="7">
        <v>2020</v>
      </c>
      <c r="H245" s="7" t="str">
        <f>CONCATENATE("04241079435")</f>
        <v>04241079435</v>
      </c>
      <c r="I245" s="7" t="s">
        <v>30</v>
      </c>
      <c r="J245" s="7" t="s">
        <v>31</v>
      </c>
      <c r="K245" s="7" t="str">
        <f>CONCATENATE("")</f>
        <v/>
      </c>
      <c r="L245" s="7" t="str">
        <f>CONCATENATE("11 11.2 4b")</f>
        <v>11 11.2 4b</v>
      </c>
      <c r="M245" s="7" t="str">
        <f>CONCATENATE("02468780412")</f>
        <v>02468780412</v>
      </c>
      <c r="N245" s="7" t="s">
        <v>329</v>
      </c>
      <c r="O245" s="7" t="s">
        <v>202</v>
      </c>
      <c r="P245" s="8">
        <v>44305</v>
      </c>
      <c r="Q245" s="7" t="s">
        <v>32</v>
      </c>
      <c r="R245" s="7" t="s">
        <v>33</v>
      </c>
      <c r="S245" s="7" t="s">
        <v>34</v>
      </c>
      <c r="T245" s="7"/>
      <c r="U245" s="7" t="s">
        <v>35</v>
      </c>
      <c r="V245" s="9">
        <v>1808.19</v>
      </c>
      <c r="W245" s="7">
        <v>779.69</v>
      </c>
      <c r="X245" s="7">
        <v>720.02</v>
      </c>
      <c r="Y245" s="7">
        <v>0</v>
      </c>
      <c r="Z245" s="7">
        <v>308.48</v>
      </c>
    </row>
    <row r="246" spans="1:26" ht="17.5" x14ac:dyDescent="0.35">
      <c r="A246" s="7" t="s">
        <v>27</v>
      </c>
      <c r="B246" s="7" t="s">
        <v>38</v>
      </c>
      <c r="C246" s="7" t="s">
        <v>46</v>
      </c>
      <c r="D246" s="7" t="s">
        <v>52</v>
      </c>
      <c r="E246" s="7" t="s">
        <v>41</v>
      </c>
      <c r="F246" s="7" t="s">
        <v>263</v>
      </c>
      <c r="G246" s="7">
        <v>2020</v>
      </c>
      <c r="H246" s="7" t="str">
        <f>CONCATENATE("04240316523")</f>
        <v>04240316523</v>
      </c>
      <c r="I246" s="7" t="s">
        <v>40</v>
      </c>
      <c r="J246" s="7" t="s">
        <v>31</v>
      </c>
      <c r="K246" s="7" t="str">
        <f>CONCATENATE("")</f>
        <v/>
      </c>
      <c r="L246" s="7" t="str">
        <f>CONCATENATE("11 11.2 4b")</f>
        <v>11 11.2 4b</v>
      </c>
      <c r="M246" s="7" t="str">
        <f>CONCATENATE("MLNFRC71D28D458Q")</f>
        <v>MLNFRC71D28D458Q</v>
      </c>
      <c r="N246" s="7" t="s">
        <v>330</v>
      </c>
      <c r="O246" s="7" t="s">
        <v>202</v>
      </c>
      <c r="P246" s="8">
        <v>44305</v>
      </c>
      <c r="Q246" s="7" t="s">
        <v>32</v>
      </c>
      <c r="R246" s="7" t="s">
        <v>33</v>
      </c>
      <c r="S246" s="7" t="s">
        <v>34</v>
      </c>
      <c r="T246" s="7"/>
      <c r="U246" s="7" t="s">
        <v>35</v>
      </c>
      <c r="V246" s="7">
        <v>141.75</v>
      </c>
      <c r="W246" s="7">
        <v>61.12</v>
      </c>
      <c r="X246" s="7">
        <v>56.44</v>
      </c>
      <c r="Y246" s="7">
        <v>0</v>
      </c>
      <c r="Z246" s="7">
        <v>24.19</v>
      </c>
    </row>
    <row r="247" spans="1:26" ht="17.5" x14ac:dyDescent="0.35">
      <c r="A247" s="7" t="s">
        <v>27</v>
      </c>
      <c r="B247" s="7" t="s">
        <v>38</v>
      </c>
      <c r="C247" s="7" t="s">
        <v>46</v>
      </c>
      <c r="D247" s="7" t="s">
        <v>52</v>
      </c>
      <c r="E247" s="7" t="s">
        <v>41</v>
      </c>
      <c r="F247" s="7" t="s">
        <v>263</v>
      </c>
      <c r="G247" s="7">
        <v>2020</v>
      </c>
      <c r="H247" s="7" t="str">
        <f>CONCATENATE("04240316341")</f>
        <v>04240316341</v>
      </c>
      <c r="I247" s="7" t="s">
        <v>40</v>
      </c>
      <c r="J247" s="7" t="s">
        <v>31</v>
      </c>
      <c r="K247" s="7" t="str">
        <f>CONCATENATE("")</f>
        <v/>
      </c>
      <c r="L247" s="7" t="str">
        <f>CONCATENATE("11 11.2 4b")</f>
        <v>11 11.2 4b</v>
      </c>
      <c r="M247" s="7" t="str">
        <f>CONCATENATE("MLNFRC71D28D458Q")</f>
        <v>MLNFRC71D28D458Q</v>
      </c>
      <c r="N247" s="7" t="s">
        <v>330</v>
      </c>
      <c r="O247" s="7" t="s">
        <v>202</v>
      </c>
      <c r="P247" s="8">
        <v>44305</v>
      </c>
      <c r="Q247" s="7" t="s">
        <v>32</v>
      </c>
      <c r="R247" s="7" t="s">
        <v>33</v>
      </c>
      <c r="S247" s="7" t="s">
        <v>34</v>
      </c>
      <c r="T247" s="7"/>
      <c r="U247" s="7" t="s">
        <v>35</v>
      </c>
      <c r="V247" s="7">
        <v>478.25</v>
      </c>
      <c r="W247" s="7">
        <v>206.22</v>
      </c>
      <c r="X247" s="7">
        <v>190.44</v>
      </c>
      <c r="Y247" s="7">
        <v>0</v>
      </c>
      <c r="Z247" s="7">
        <v>81.59</v>
      </c>
    </row>
    <row r="248" spans="1:26" x14ac:dyDescent="0.35">
      <c r="A248" s="7" t="s">
        <v>27</v>
      </c>
      <c r="B248" s="7" t="s">
        <v>38</v>
      </c>
      <c r="C248" s="7" t="s">
        <v>46</v>
      </c>
      <c r="D248" s="7" t="s">
        <v>52</v>
      </c>
      <c r="E248" s="7" t="s">
        <v>42</v>
      </c>
      <c r="F248" s="7" t="s">
        <v>123</v>
      </c>
      <c r="G248" s="7">
        <v>2020</v>
      </c>
      <c r="H248" s="7" t="str">
        <f>CONCATENATE("04240948101")</f>
        <v>04240948101</v>
      </c>
      <c r="I248" s="7" t="s">
        <v>40</v>
      </c>
      <c r="J248" s="7" t="s">
        <v>31</v>
      </c>
      <c r="K248" s="7" t="str">
        <f>CONCATENATE("")</f>
        <v/>
      </c>
      <c r="L248" s="7" t="str">
        <f>CONCATENATE("11 11.1 4b")</f>
        <v>11 11.1 4b</v>
      </c>
      <c r="M248" s="7" t="str">
        <f>CONCATENATE("NCLSRA68R02G479B")</f>
        <v>NCLSRA68R02G479B</v>
      </c>
      <c r="N248" s="7" t="s">
        <v>331</v>
      </c>
      <c r="O248" s="7" t="s">
        <v>202</v>
      </c>
      <c r="P248" s="8">
        <v>44305</v>
      </c>
      <c r="Q248" s="7" t="s">
        <v>32</v>
      </c>
      <c r="R248" s="7" t="s">
        <v>33</v>
      </c>
      <c r="S248" s="7" t="s">
        <v>34</v>
      </c>
      <c r="T248" s="7"/>
      <c r="U248" s="7" t="s">
        <v>35</v>
      </c>
      <c r="V248" s="9">
        <v>1689.14</v>
      </c>
      <c r="W248" s="7">
        <v>728.36</v>
      </c>
      <c r="X248" s="7">
        <v>672.62</v>
      </c>
      <c r="Y248" s="7">
        <v>0</v>
      </c>
      <c r="Z248" s="7">
        <v>288.16000000000003</v>
      </c>
    </row>
    <row r="249" spans="1:26" x14ac:dyDescent="0.35">
      <c r="A249" s="7" t="s">
        <v>27</v>
      </c>
      <c r="B249" s="7" t="s">
        <v>38</v>
      </c>
      <c r="C249" s="7" t="s">
        <v>46</v>
      </c>
      <c r="D249" s="7" t="s">
        <v>52</v>
      </c>
      <c r="E249" s="7" t="s">
        <v>39</v>
      </c>
      <c r="F249" s="7" t="s">
        <v>332</v>
      </c>
      <c r="G249" s="7">
        <v>2020</v>
      </c>
      <c r="H249" s="7" t="str">
        <f>CONCATENATE("04240853590")</f>
        <v>04240853590</v>
      </c>
      <c r="I249" s="7" t="s">
        <v>30</v>
      </c>
      <c r="J249" s="7" t="s">
        <v>31</v>
      </c>
      <c r="K249" s="7" t="str">
        <f>CONCATENATE("")</f>
        <v/>
      </c>
      <c r="L249" s="7" t="str">
        <f>CONCATENATE("11 11.2 4b")</f>
        <v>11 11.2 4b</v>
      </c>
      <c r="M249" s="7" t="str">
        <f>CONCATENATE("02664210412")</f>
        <v>02664210412</v>
      </c>
      <c r="N249" s="7" t="s">
        <v>333</v>
      </c>
      <c r="O249" s="7" t="s">
        <v>202</v>
      </c>
      <c r="P249" s="8">
        <v>44305</v>
      </c>
      <c r="Q249" s="7" t="s">
        <v>32</v>
      </c>
      <c r="R249" s="7" t="s">
        <v>33</v>
      </c>
      <c r="S249" s="7" t="s">
        <v>34</v>
      </c>
      <c r="T249" s="7"/>
      <c r="U249" s="7" t="s">
        <v>35</v>
      </c>
      <c r="V249" s="9">
        <v>5968.17</v>
      </c>
      <c r="W249" s="9">
        <v>2573.4699999999998</v>
      </c>
      <c r="X249" s="9">
        <v>2376.5300000000002</v>
      </c>
      <c r="Y249" s="7">
        <v>0</v>
      </c>
      <c r="Z249" s="9">
        <v>1018.17</v>
      </c>
    </row>
    <row r="250" spans="1:26" x14ac:dyDescent="0.35">
      <c r="A250" s="7" t="s">
        <v>27</v>
      </c>
      <c r="B250" s="7" t="s">
        <v>38</v>
      </c>
      <c r="C250" s="7" t="s">
        <v>46</v>
      </c>
      <c r="D250" s="7" t="s">
        <v>52</v>
      </c>
      <c r="E250" s="7" t="s">
        <v>39</v>
      </c>
      <c r="F250" s="7" t="s">
        <v>334</v>
      </c>
      <c r="G250" s="7">
        <v>2016</v>
      </c>
      <c r="H250" s="7" t="str">
        <f>CONCATENATE("64240385175")</f>
        <v>64240385175</v>
      </c>
      <c r="I250" s="7" t="s">
        <v>30</v>
      </c>
      <c r="J250" s="7" t="s">
        <v>31</v>
      </c>
      <c r="K250" s="7" t="str">
        <f>CONCATENATE("")</f>
        <v/>
      </c>
      <c r="L250" s="7" t="str">
        <f>CONCATENATE("11 11.2 4b")</f>
        <v>11 11.2 4b</v>
      </c>
      <c r="M250" s="7" t="str">
        <f>CONCATENATE("PRLGMN77S56E388Z")</f>
        <v>PRLGMN77S56E388Z</v>
      </c>
      <c r="N250" s="7" t="s">
        <v>335</v>
      </c>
      <c r="O250" s="7" t="s">
        <v>202</v>
      </c>
      <c r="P250" s="8">
        <v>44305</v>
      </c>
      <c r="Q250" s="7" t="s">
        <v>32</v>
      </c>
      <c r="R250" s="7" t="s">
        <v>33</v>
      </c>
      <c r="S250" s="7" t="s">
        <v>34</v>
      </c>
      <c r="T250" s="7"/>
      <c r="U250" s="7" t="s">
        <v>35</v>
      </c>
      <c r="V250" s="9">
        <v>3444.15</v>
      </c>
      <c r="W250" s="9">
        <v>1485.12</v>
      </c>
      <c r="X250" s="9">
        <v>1371.46</v>
      </c>
      <c r="Y250" s="7">
        <v>0</v>
      </c>
      <c r="Z250" s="7">
        <v>587.57000000000005</v>
      </c>
    </row>
    <row r="251" spans="1:26" x14ac:dyDescent="0.35">
      <c r="A251" s="7" t="s">
        <v>27</v>
      </c>
      <c r="B251" s="7" t="s">
        <v>38</v>
      </c>
      <c r="C251" s="7" t="s">
        <v>46</v>
      </c>
      <c r="D251" s="7" t="s">
        <v>47</v>
      </c>
      <c r="E251" s="7" t="s">
        <v>39</v>
      </c>
      <c r="F251" s="7" t="s">
        <v>86</v>
      </c>
      <c r="G251" s="7">
        <v>2018</v>
      </c>
      <c r="H251" s="7" t="str">
        <f>CONCATENATE("84240514566")</f>
        <v>84240514566</v>
      </c>
      <c r="I251" s="7" t="s">
        <v>30</v>
      </c>
      <c r="J251" s="7" t="s">
        <v>31</v>
      </c>
      <c r="K251" s="7" t="str">
        <f>CONCATENATE("")</f>
        <v/>
      </c>
      <c r="L251" s="7" t="str">
        <f>CONCATENATE("11 11.2 4b")</f>
        <v>11 11.2 4b</v>
      </c>
      <c r="M251" s="7" t="str">
        <f>CONCATENATE("SBSJNN77S06E783Y")</f>
        <v>SBSJNN77S06E783Y</v>
      </c>
      <c r="N251" s="7" t="s">
        <v>336</v>
      </c>
      <c r="O251" s="7" t="s">
        <v>202</v>
      </c>
      <c r="P251" s="8">
        <v>44305</v>
      </c>
      <c r="Q251" s="7" t="s">
        <v>32</v>
      </c>
      <c r="R251" s="7" t="s">
        <v>33</v>
      </c>
      <c r="S251" s="7" t="s">
        <v>34</v>
      </c>
      <c r="T251" s="7"/>
      <c r="U251" s="7" t="s">
        <v>35</v>
      </c>
      <c r="V251" s="9">
        <v>1540.51</v>
      </c>
      <c r="W251" s="7">
        <v>664.27</v>
      </c>
      <c r="X251" s="7">
        <v>613.42999999999995</v>
      </c>
      <c r="Y251" s="7">
        <v>0</v>
      </c>
      <c r="Z251" s="7">
        <v>262.81</v>
      </c>
    </row>
    <row r="252" spans="1:26" x14ac:dyDescent="0.35">
      <c r="A252" s="7" t="s">
        <v>27</v>
      </c>
      <c r="B252" s="7" t="s">
        <v>28</v>
      </c>
      <c r="C252" s="7" t="s">
        <v>46</v>
      </c>
      <c r="D252" s="7" t="s">
        <v>92</v>
      </c>
      <c r="E252" s="7" t="s">
        <v>43</v>
      </c>
      <c r="F252" s="7" t="s">
        <v>63</v>
      </c>
      <c r="G252" s="7">
        <v>2017</v>
      </c>
      <c r="H252" s="7" t="str">
        <f>CONCATENATE("04270232855")</f>
        <v>04270232855</v>
      </c>
      <c r="I252" s="7" t="s">
        <v>30</v>
      </c>
      <c r="J252" s="7" t="s">
        <v>31</v>
      </c>
      <c r="K252" s="7" t="str">
        <f>CONCATENATE("")</f>
        <v/>
      </c>
      <c r="L252" s="7" t="str">
        <f>CONCATENATE("4 4.1 2a")</f>
        <v>4 4.1 2a</v>
      </c>
      <c r="M252" s="7" t="str">
        <f>CONCATENATE("DRSCLD61S06B534K")</f>
        <v>DRSCLD61S06B534K</v>
      </c>
      <c r="N252" s="7" t="s">
        <v>337</v>
      </c>
      <c r="O252" s="7" t="s">
        <v>338</v>
      </c>
      <c r="P252" s="8">
        <v>44305</v>
      </c>
      <c r="Q252" s="7" t="s">
        <v>32</v>
      </c>
      <c r="R252" s="7" t="s">
        <v>33</v>
      </c>
      <c r="S252" s="7" t="s">
        <v>34</v>
      </c>
      <c r="T252" s="7"/>
      <c r="U252" s="7" t="s">
        <v>35</v>
      </c>
      <c r="V252" s="9">
        <v>9751.4699999999993</v>
      </c>
      <c r="W252" s="9">
        <v>4204.83</v>
      </c>
      <c r="X252" s="9">
        <v>3883.04</v>
      </c>
      <c r="Y252" s="7">
        <v>0</v>
      </c>
      <c r="Z252" s="9">
        <v>1663.6</v>
      </c>
    </row>
    <row r="253" spans="1:26" x14ac:dyDescent="0.35">
      <c r="A253" s="7" t="s">
        <v>27</v>
      </c>
      <c r="B253" s="7" t="s">
        <v>28</v>
      </c>
      <c r="C253" s="7" t="s">
        <v>46</v>
      </c>
      <c r="D253" s="7" t="s">
        <v>92</v>
      </c>
      <c r="E253" s="7" t="s">
        <v>36</v>
      </c>
      <c r="F253" s="7" t="s">
        <v>36</v>
      </c>
      <c r="G253" s="7">
        <v>2017</v>
      </c>
      <c r="H253" s="7" t="str">
        <f>CONCATENATE("04270232889")</f>
        <v>04270232889</v>
      </c>
      <c r="I253" s="7" t="s">
        <v>30</v>
      </c>
      <c r="J253" s="7" t="s">
        <v>31</v>
      </c>
      <c r="K253" s="7" t="str">
        <f>CONCATENATE("")</f>
        <v/>
      </c>
      <c r="L253" s="7" t="str">
        <f>CONCATENATE("4 4.1 2a")</f>
        <v>4 4.1 2a</v>
      </c>
      <c r="M253" s="7" t="str">
        <f>CONCATENATE("GNTFNN68P13F520F")</f>
        <v>GNTFNN68P13F520F</v>
      </c>
      <c r="N253" s="7" t="s">
        <v>339</v>
      </c>
      <c r="O253" s="7" t="s">
        <v>338</v>
      </c>
      <c r="P253" s="8">
        <v>44305</v>
      </c>
      <c r="Q253" s="7" t="s">
        <v>32</v>
      </c>
      <c r="R253" s="7" t="s">
        <v>33</v>
      </c>
      <c r="S253" s="7" t="s">
        <v>34</v>
      </c>
      <c r="T253" s="7"/>
      <c r="U253" s="7" t="s">
        <v>35</v>
      </c>
      <c r="V253" s="9">
        <v>22397.68</v>
      </c>
      <c r="W253" s="9">
        <v>9657.8799999999992</v>
      </c>
      <c r="X253" s="9">
        <v>8918.76</v>
      </c>
      <c r="Y253" s="7">
        <v>0</v>
      </c>
      <c r="Z253" s="9">
        <v>3821.04</v>
      </c>
    </row>
    <row r="254" spans="1:26" x14ac:dyDescent="0.35">
      <c r="A254" s="7" t="s">
        <v>27</v>
      </c>
      <c r="B254" s="7" t="s">
        <v>28</v>
      </c>
      <c r="C254" s="7" t="s">
        <v>46</v>
      </c>
      <c r="D254" s="7" t="s">
        <v>92</v>
      </c>
      <c r="E254" s="7" t="s">
        <v>43</v>
      </c>
      <c r="F254" s="7" t="s">
        <v>63</v>
      </c>
      <c r="G254" s="7">
        <v>2017</v>
      </c>
      <c r="H254" s="7" t="str">
        <f>CONCATENATE("14270106082")</f>
        <v>14270106082</v>
      </c>
      <c r="I254" s="7" t="s">
        <v>30</v>
      </c>
      <c r="J254" s="7" t="s">
        <v>31</v>
      </c>
      <c r="K254" s="7" t="str">
        <f>CONCATENATE("")</f>
        <v/>
      </c>
      <c r="L254" s="7" t="str">
        <f>CONCATENATE("4 4.1 2a")</f>
        <v>4 4.1 2a</v>
      </c>
      <c r="M254" s="7" t="str">
        <f>CONCATENATE("RSSLNU58E55E207H")</f>
        <v>RSSLNU58E55E207H</v>
      </c>
      <c r="N254" s="7" t="s">
        <v>340</v>
      </c>
      <c r="O254" s="7" t="s">
        <v>338</v>
      </c>
      <c r="P254" s="8">
        <v>44305</v>
      </c>
      <c r="Q254" s="7" t="s">
        <v>32</v>
      </c>
      <c r="R254" s="7" t="s">
        <v>33</v>
      </c>
      <c r="S254" s="7" t="s">
        <v>34</v>
      </c>
      <c r="T254" s="7"/>
      <c r="U254" s="7" t="s">
        <v>35</v>
      </c>
      <c r="V254" s="9">
        <v>6989.35</v>
      </c>
      <c r="W254" s="9">
        <v>3013.81</v>
      </c>
      <c r="X254" s="9">
        <v>2783.16</v>
      </c>
      <c r="Y254" s="7">
        <v>0</v>
      </c>
      <c r="Z254" s="9">
        <v>1192.3800000000001</v>
      </c>
    </row>
    <row r="255" spans="1:26" x14ac:dyDescent="0.35">
      <c r="A255" s="7" t="s">
        <v>27</v>
      </c>
      <c r="B255" s="7" t="s">
        <v>28</v>
      </c>
      <c r="C255" s="7" t="s">
        <v>46</v>
      </c>
      <c r="D255" s="7" t="s">
        <v>92</v>
      </c>
      <c r="E255" s="7" t="s">
        <v>36</v>
      </c>
      <c r="F255" s="7" t="s">
        <v>36</v>
      </c>
      <c r="G255" s="7">
        <v>2017</v>
      </c>
      <c r="H255" s="7" t="str">
        <f>CONCATENATE("04270232871")</f>
        <v>04270232871</v>
      </c>
      <c r="I255" s="7" t="s">
        <v>30</v>
      </c>
      <c r="J255" s="7" t="s">
        <v>31</v>
      </c>
      <c r="K255" s="7" t="str">
        <f>CONCATENATE("")</f>
        <v/>
      </c>
      <c r="L255" s="7" t="str">
        <f>CONCATENATE("4 4.1 2a")</f>
        <v>4 4.1 2a</v>
      </c>
      <c r="M255" s="7" t="str">
        <f>CONCATENATE("01980350449")</f>
        <v>01980350449</v>
      </c>
      <c r="N255" s="7" t="s">
        <v>341</v>
      </c>
      <c r="O255" s="7" t="s">
        <v>338</v>
      </c>
      <c r="P255" s="8">
        <v>44305</v>
      </c>
      <c r="Q255" s="7" t="s">
        <v>32</v>
      </c>
      <c r="R255" s="7" t="s">
        <v>33</v>
      </c>
      <c r="S255" s="7" t="s">
        <v>34</v>
      </c>
      <c r="T255" s="7"/>
      <c r="U255" s="7" t="s">
        <v>35</v>
      </c>
      <c r="V255" s="9">
        <v>21928.49</v>
      </c>
      <c r="W255" s="9">
        <v>9455.56</v>
      </c>
      <c r="X255" s="9">
        <v>8731.92</v>
      </c>
      <c r="Y255" s="7">
        <v>0</v>
      </c>
      <c r="Z255" s="9">
        <v>3741.01</v>
      </c>
    </row>
    <row r="256" spans="1:26" x14ac:dyDescent="0.35">
      <c r="A256" s="7" t="s">
        <v>27</v>
      </c>
      <c r="B256" s="7" t="s">
        <v>28</v>
      </c>
      <c r="C256" s="7" t="s">
        <v>46</v>
      </c>
      <c r="D256" s="7" t="s">
        <v>52</v>
      </c>
      <c r="E256" s="7" t="s">
        <v>41</v>
      </c>
      <c r="F256" s="7" t="s">
        <v>342</v>
      </c>
      <c r="G256" s="7">
        <v>2017</v>
      </c>
      <c r="H256" s="7" t="str">
        <f>CONCATENATE("04270232863")</f>
        <v>04270232863</v>
      </c>
      <c r="I256" s="7" t="s">
        <v>30</v>
      </c>
      <c r="J256" s="7" t="s">
        <v>31</v>
      </c>
      <c r="K256" s="7" t="str">
        <f>CONCATENATE("")</f>
        <v/>
      </c>
      <c r="L256" s="7" t="str">
        <f>CONCATENATE("4 4.1 2a")</f>
        <v>4 4.1 2a</v>
      </c>
      <c r="M256" s="7" t="str">
        <f>CONCATENATE("TRNDNL94R03I608L")</f>
        <v>TRNDNL94R03I608L</v>
      </c>
      <c r="N256" s="7" t="s">
        <v>343</v>
      </c>
      <c r="O256" s="7" t="s">
        <v>338</v>
      </c>
      <c r="P256" s="8">
        <v>44305</v>
      </c>
      <c r="Q256" s="7" t="s">
        <v>32</v>
      </c>
      <c r="R256" s="7" t="s">
        <v>33</v>
      </c>
      <c r="S256" s="7" t="s">
        <v>34</v>
      </c>
      <c r="T256" s="7"/>
      <c r="U256" s="7" t="s">
        <v>35</v>
      </c>
      <c r="V256" s="9">
        <v>4466.8500000000004</v>
      </c>
      <c r="W256" s="9">
        <v>1926.11</v>
      </c>
      <c r="X256" s="9">
        <v>1778.7</v>
      </c>
      <c r="Y256" s="7">
        <v>0</v>
      </c>
      <c r="Z256" s="7">
        <v>762.04</v>
      </c>
    </row>
    <row r="257" spans="1:26" ht="17.5" x14ac:dyDescent="0.35">
      <c r="A257" s="7" t="s">
        <v>27</v>
      </c>
      <c r="B257" s="7" t="s">
        <v>28</v>
      </c>
      <c r="C257" s="7" t="s">
        <v>46</v>
      </c>
      <c r="D257" s="7" t="s">
        <v>72</v>
      </c>
      <c r="E257" s="7" t="s">
        <v>41</v>
      </c>
      <c r="F257" s="7" t="s">
        <v>344</v>
      </c>
      <c r="G257" s="7">
        <v>2017</v>
      </c>
      <c r="H257" s="7" t="str">
        <f>CONCATENATE("14270106090")</f>
        <v>14270106090</v>
      </c>
      <c r="I257" s="7" t="s">
        <v>30</v>
      </c>
      <c r="J257" s="7" t="s">
        <v>31</v>
      </c>
      <c r="K257" s="7" t="str">
        <f>CONCATENATE("")</f>
        <v/>
      </c>
      <c r="L257" s="7" t="str">
        <f>CONCATENATE("4 4.1 2a")</f>
        <v>4 4.1 2a</v>
      </c>
      <c r="M257" s="7" t="str">
        <f>CONCATENATE("02018110425")</f>
        <v>02018110425</v>
      </c>
      <c r="N257" s="7" t="s">
        <v>345</v>
      </c>
      <c r="O257" s="7" t="s">
        <v>338</v>
      </c>
      <c r="P257" s="8">
        <v>44305</v>
      </c>
      <c r="Q257" s="7" t="s">
        <v>32</v>
      </c>
      <c r="R257" s="7" t="s">
        <v>33</v>
      </c>
      <c r="S257" s="7" t="s">
        <v>34</v>
      </c>
      <c r="T257" s="7"/>
      <c r="U257" s="7" t="s">
        <v>35</v>
      </c>
      <c r="V257" s="9">
        <v>33501.410000000003</v>
      </c>
      <c r="W257" s="9">
        <v>14445.81</v>
      </c>
      <c r="X257" s="9">
        <v>13340.26</v>
      </c>
      <c r="Y257" s="7">
        <v>0</v>
      </c>
      <c r="Z257" s="9">
        <v>5715.34</v>
      </c>
    </row>
    <row r="258" spans="1:26" ht="17.5" x14ac:dyDescent="0.35">
      <c r="A258" s="7" t="s">
        <v>27</v>
      </c>
      <c r="B258" s="7" t="s">
        <v>28</v>
      </c>
      <c r="C258" s="7" t="s">
        <v>46</v>
      </c>
      <c r="D258" s="7" t="s">
        <v>72</v>
      </c>
      <c r="E258" s="7" t="s">
        <v>39</v>
      </c>
      <c r="F258" s="7" t="s">
        <v>73</v>
      </c>
      <c r="G258" s="7">
        <v>2017</v>
      </c>
      <c r="H258" s="7" t="str">
        <f>CONCATENATE("04270232913")</f>
        <v>04270232913</v>
      </c>
      <c r="I258" s="7" t="s">
        <v>30</v>
      </c>
      <c r="J258" s="7" t="s">
        <v>31</v>
      </c>
      <c r="K258" s="7" t="str">
        <f>CONCATENATE("")</f>
        <v/>
      </c>
      <c r="L258" s="7" t="str">
        <f>CONCATENATE("4 4.1 2a")</f>
        <v>4 4.1 2a</v>
      </c>
      <c r="M258" s="7" t="str">
        <f>CONCATENATE("ZMPGNN59T26A329E")</f>
        <v>ZMPGNN59T26A329E</v>
      </c>
      <c r="N258" s="7" t="s">
        <v>346</v>
      </c>
      <c r="O258" s="7" t="s">
        <v>338</v>
      </c>
      <c r="P258" s="8">
        <v>44305</v>
      </c>
      <c r="Q258" s="7" t="s">
        <v>32</v>
      </c>
      <c r="R258" s="7" t="s">
        <v>33</v>
      </c>
      <c r="S258" s="7" t="s">
        <v>34</v>
      </c>
      <c r="T258" s="7"/>
      <c r="U258" s="7" t="s">
        <v>35</v>
      </c>
      <c r="V258" s="9">
        <v>9868.24</v>
      </c>
      <c r="W258" s="9">
        <v>4255.1899999999996</v>
      </c>
      <c r="X258" s="9">
        <v>3929.53</v>
      </c>
      <c r="Y258" s="7">
        <v>0</v>
      </c>
      <c r="Z258" s="9">
        <v>1683.52</v>
      </c>
    </row>
    <row r="259" spans="1:26" x14ac:dyDescent="0.35">
      <c r="A259" s="7" t="s">
        <v>27</v>
      </c>
      <c r="B259" s="7" t="s">
        <v>28</v>
      </c>
      <c r="C259" s="7" t="s">
        <v>46</v>
      </c>
      <c r="D259" s="7" t="s">
        <v>92</v>
      </c>
      <c r="E259" s="7" t="s">
        <v>43</v>
      </c>
      <c r="F259" s="7" t="s">
        <v>63</v>
      </c>
      <c r="G259" s="7">
        <v>2017</v>
      </c>
      <c r="H259" s="7" t="str">
        <f>CONCATENATE("04270232996")</f>
        <v>04270232996</v>
      </c>
      <c r="I259" s="7" t="s">
        <v>30</v>
      </c>
      <c r="J259" s="7" t="s">
        <v>31</v>
      </c>
      <c r="K259" s="7" t="str">
        <f>CONCATENATE("")</f>
        <v/>
      </c>
      <c r="L259" s="7" t="str">
        <f>CONCATENATE("4 4.1 2a")</f>
        <v>4 4.1 2a</v>
      </c>
      <c r="M259" s="7" t="str">
        <f>CONCATENATE("BNGLSS85E42H769G")</f>
        <v>BNGLSS85E42H769G</v>
      </c>
      <c r="N259" s="7" t="s">
        <v>347</v>
      </c>
      <c r="O259" s="7" t="s">
        <v>348</v>
      </c>
      <c r="P259" s="8">
        <v>44305</v>
      </c>
      <c r="Q259" s="7" t="s">
        <v>32</v>
      </c>
      <c r="R259" s="7" t="s">
        <v>33</v>
      </c>
      <c r="S259" s="7" t="s">
        <v>34</v>
      </c>
      <c r="T259" s="7"/>
      <c r="U259" s="7" t="s">
        <v>35</v>
      </c>
      <c r="V259" s="9">
        <v>9942.02</v>
      </c>
      <c r="W259" s="9">
        <v>4287</v>
      </c>
      <c r="X259" s="9">
        <v>3958.91</v>
      </c>
      <c r="Y259" s="7">
        <v>0</v>
      </c>
      <c r="Z259" s="9">
        <v>1696.11</v>
      </c>
    </row>
    <row r="260" spans="1:26" ht="17.5" x14ac:dyDescent="0.35">
      <c r="A260" s="7" t="s">
        <v>27</v>
      </c>
      <c r="B260" s="7" t="s">
        <v>28</v>
      </c>
      <c r="C260" s="7" t="s">
        <v>46</v>
      </c>
      <c r="D260" s="7" t="s">
        <v>92</v>
      </c>
      <c r="E260" s="7" t="s">
        <v>43</v>
      </c>
      <c r="F260" s="7" t="s">
        <v>63</v>
      </c>
      <c r="G260" s="7">
        <v>2017</v>
      </c>
      <c r="H260" s="7" t="str">
        <f>CONCATENATE("04270232988")</f>
        <v>04270232988</v>
      </c>
      <c r="I260" s="7" t="s">
        <v>30</v>
      </c>
      <c r="J260" s="7" t="s">
        <v>31</v>
      </c>
      <c r="K260" s="7" t="str">
        <f>CONCATENATE("")</f>
        <v/>
      </c>
      <c r="L260" s="7" t="str">
        <f>CONCATENATE("4 4.1 2a")</f>
        <v>4 4.1 2a</v>
      </c>
      <c r="M260" s="7" t="str">
        <f>CONCATENATE("MRNYRU88B16A462O")</f>
        <v>MRNYRU88B16A462O</v>
      </c>
      <c r="N260" s="7" t="s">
        <v>349</v>
      </c>
      <c r="O260" s="7" t="s">
        <v>348</v>
      </c>
      <c r="P260" s="8">
        <v>44305</v>
      </c>
      <c r="Q260" s="7" t="s">
        <v>32</v>
      </c>
      <c r="R260" s="7" t="s">
        <v>33</v>
      </c>
      <c r="S260" s="7" t="s">
        <v>34</v>
      </c>
      <c r="T260" s="7"/>
      <c r="U260" s="7" t="s">
        <v>35</v>
      </c>
      <c r="V260" s="9">
        <v>101965.6</v>
      </c>
      <c r="W260" s="9">
        <v>43967.57</v>
      </c>
      <c r="X260" s="9">
        <v>40602.699999999997</v>
      </c>
      <c r="Y260" s="7">
        <v>0</v>
      </c>
      <c r="Z260" s="9">
        <v>17395.330000000002</v>
      </c>
    </row>
    <row r="261" spans="1:26" ht="17.5" x14ac:dyDescent="0.35">
      <c r="A261" s="7" t="s">
        <v>27</v>
      </c>
      <c r="B261" s="7" t="s">
        <v>38</v>
      </c>
      <c r="C261" s="7" t="s">
        <v>46</v>
      </c>
      <c r="D261" s="7" t="s">
        <v>52</v>
      </c>
      <c r="E261" s="7" t="s">
        <v>42</v>
      </c>
      <c r="F261" s="7" t="s">
        <v>123</v>
      </c>
      <c r="G261" s="7">
        <v>2020</v>
      </c>
      <c r="H261" s="7" t="str">
        <f>CONCATENATE("04240986887")</f>
        <v>04240986887</v>
      </c>
      <c r="I261" s="7" t="s">
        <v>40</v>
      </c>
      <c r="J261" s="7" t="s">
        <v>31</v>
      </c>
      <c r="K261" s="7" t="str">
        <f>CONCATENATE("")</f>
        <v/>
      </c>
      <c r="L261" s="7" t="str">
        <f>CONCATENATE("11 11.2 4b")</f>
        <v>11 11.2 4b</v>
      </c>
      <c r="M261" s="7" t="str">
        <f>CONCATENATE("CSTCMN35R22F205Q")</f>
        <v>CSTCMN35R22F205Q</v>
      </c>
      <c r="N261" s="7" t="s">
        <v>350</v>
      </c>
      <c r="O261" s="7" t="s">
        <v>202</v>
      </c>
      <c r="P261" s="8">
        <v>44305</v>
      </c>
      <c r="Q261" s="7" t="s">
        <v>32</v>
      </c>
      <c r="R261" s="7" t="s">
        <v>33</v>
      </c>
      <c r="S261" s="7" t="s">
        <v>34</v>
      </c>
      <c r="T261" s="7"/>
      <c r="U261" s="7" t="s">
        <v>35</v>
      </c>
      <c r="V261" s="7">
        <v>649.49</v>
      </c>
      <c r="W261" s="7">
        <v>280.06</v>
      </c>
      <c r="X261" s="7">
        <v>258.63</v>
      </c>
      <c r="Y261" s="7">
        <v>0</v>
      </c>
      <c r="Z261" s="7">
        <v>110.8</v>
      </c>
    </row>
    <row r="262" spans="1:26" x14ac:dyDescent="0.35">
      <c r="A262" s="7" t="s">
        <v>27</v>
      </c>
      <c r="B262" s="7" t="s">
        <v>38</v>
      </c>
      <c r="C262" s="7" t="s">
        <v>46</v>
      </c>
      <c r="D262" s="7" t="s">
        <v>52</v>
      </c>
      <c r="E262" s="7" t="s">
        <v>36</v>
      </c>
      <c r="F262" s="7" t="s">
        <v>36</v>
      </c>
      <c r="G262" s="7">
        <v>2020</v>
      </c>
      <c r="H262" s="7" t="str">
        <f>CONCATENATE("04240772378")</f>
        <v>04240772378</v>
      </c>
      <c r="I262" s="7" t="s">
        <v>30</v>
      </c>
      <c r="J262" s="7" t="s">
        <v>31</v>
      </c>
      <c r="K262" s="7" t="str">
        <f>CONCATENATE("")</f>
        <v/>
      </c>
      <c r="L262" s="7" t="str">
        <f>CONCATENATE("11 11.2 4b")</f>
        <v>11 11.2 4b</v>
      </c>
      <c r="M262" s="7" t="str">
        <f>CONCATENATE("01307920411")</f>
        <v>01307920411</v>
      </c>
      <c r="N262" s="7" t="s">
        <v>351</v>
      </c>
      <c r="O262" s="7" t="s">
        <v>202</v>
      </c>
      <c r="P262" s="8">
        <v>44305</v>
      </c>
      <c r="Q262" s="7" t="s">
        <v>32</v>
      </c>
      <c r="R262" s="7" t="s">
        <v>33</v>
      </c>
      <c r="S262" s="7" t="s">
        <v>34</v>
      </c>
      <c r="T262" s="7"/>
      <c r="U262" s="7" t="s">
        <v>35</v>
      </c>
      <c r="V262" s="9">
        <v>9697.68</v>
      </c>
      <c r="W262" s="9">
        <v>4181.6400000000003</v>
      </c>
      <c r="X262" s="9">
        <v>3861.62</v>
      </c>
      <c r="Y262" s="7">
        <v>0</v>
      </c>
      <c r="Z262" s="9">
        <v>1654.42</v>
      </c>
    </row>
    <row r="263" spans="1:26" ht="17.5" x14ac:dyDescent="0.35">
      <c r="A263" s="7" t="s">
        <v>27</v>
      </c>
      <c r="B263" s="7" t="s">
        <v>38</v>
      </c>
      <c r="C263" s="7" t="s">
        <v>46</v>
      </c>
      <c r="D263" s="7" t="s">
        <v>52</v>
      </c>
      <c r="E263" s="7" t="s">
        <v>41</v>
      </c>
      <c r="F263" s="7" t="s">
        <v>95</v>
      </c>
      <c r="G263" s="7">
        <v>2020</v>
      </c>
      <c r="H263" s="7" t="str">
        <f>CONCATENATE("04240454829")</f>
        <v>04240454829</v>
      </c>
      <c r="I263" s="7" t="s">
        <v>30</v>
      </c>
      <c r="J263" s="7" t="s">
        <v>31</v>
      </c>
      <c r="K263" s="7" t="str">
        <f>CONCATENATE("")</f>
        <v/>
      </c>
      <c r="L263" s="7" t="str">
        <f>CONCATENATE("11 11.2 4b")</f>
        <v>11 11.2 4b</v>
      </c>
      <c r="M263" s="7" t="str">
        <f>CONCATENATE("02559240417")</f>
        <v>02559240417</v>
      </c>
      <c r="N263" s="7" t="s">
        <v>352</v>
      </c>
      <c r="O263" s="7" t="s">
        <v>202</v>
      </c>
      <c r="P263" s="8">
        <v>44305</v>
      </c>
      <c r="Q263" s="7" t="s">
        <v>32</v>
      </c>
      <c r="R263" s="7" t="s">
        <v>33</v>
      </c>
      <c r="S263" s="7" t="s">
        <v>34</v>
      </c>
      <c r="T263" s="7"/>
      <c r="U263" s="7" t="s">
        <v>35</v>
      </c>
      <c r="V263" s="9">
        <v>2689.96</v>
      </c>
      <c r="W263" s="9">
        <v>1159.9100000000001</v>
      </c>
      <c r="X263" s="9">
        <v>1071.1400000000001</v>
      </c>
      <c r="Y263" s="7">
        <v>0</v>
      </c>
      <c r="Z263" s="7">
        <v>458.91</v>
      </c>
    </row>
    <row r="264" spans="1:26" x14ac:dyDescent="0.35">
      <c r="A264" s="7" t="s">
        <v>27</v>
      </c>
      <c r="B264" s="7" t="s">
        <v>38</v>
      </c>
      <c r="C264" s="7" t="s">
        <v>46</v>
      </c>
      <c r="D264" s="7" t="s">
        <v>52</v>
      </c>
      <c r="E264" s="7" t="s">
        <v>41</v>
      </c>
      <c r="F264" s="7" t="s">
        <v>160</v>
      </c>
      <c r="G264" s="7">
        <v>2018</v>
      </c>
      <c r="H264" s="7" t="str">
        <f>CONCATENATE("84240679666")</f>
        <v>84240679666</v>
      </c>
      <c r="I264" s="7" t="s">
        <v>30</v>
      </c>
      <c r="J264" s="7" t="s">
        <v>31</v>
      </c>
      <c r="K264" s="7" t="str">
        <f>CONCATENATE("")</f>
        <v/>
      </c>
      <c r="L264" s="7" t="str">
        <f>CONCATENATE("11 11.2 4b")</f>
        <v>11 11.2 4b</v>
      </c>
      <c r="M264" s="7" t="str">
        <f>CONCATENATE("DMPVLR84B26L500Z")</f>
        <v>DMPVLR84B26L500Z</v>
      </c>
      <c r="N264" s="7" t="s">
        <v>353</v>
      </c>
      <c r="O264" s="7" t="s">
        <v>202</v>
      </c>
      <c r="P264" s="8">
        <v>44305</v>
      </c>
      <c r="Q264" s="7" t="s">
        <v>32</v>
      </c>
      <c r="R264" s="7" t="s">
        <v>33</v>
      </c>
      <c r="S264" s="7" t="s">
        <v>34</v>
      </c>
      <c r="T264" s="7"/>
      <c r="U264" s="7" t="s">
        <v>35</v>
      </c>
      <c r="V264" s="7">
        <v>461.66</v>
      </c>
      <c r="W264" s="7">
        <v>199.07</v>
      </c>
      <c r="X264" s="7">
        <v>183.83</v>
      </c>
      <c r="Y264" s="7">
        <v>0</v>
      </c>
      <c r="Z264" s="7">
        <v>78.760000000000005</v>
      </c>
    </row>
    <row r="265" spans="1:26" x14ac:dyDescent="0.35">
      <c r="A265" s="7" t="s">
        <v>27</v>
      </c>
      <c r="B265" s="7" t="s">
        <v>28</v>
      </c>
      <c r="C265" s="7" t="s">
        <v>46</v>
      </c>
      <c r="D265" s="7" t="s">
        <v>46</v>
      </c>
      <c r="E265" s="7" t="s">
        <v>36</v>
      </c>
      <c r="F265" s="7" t="s">
        <v>36</v>
      </c>
      <c r="G265" s="7">
        <v>2017</v>
      </c>
      <c r="H265" s="7" t="str">
        <f>CONCATENATE("04270232939")</f>
        <v>04270232939</v>
      </c>
      <c r="I265" s="7" t="s">
        <v>30</v>
      </c>
      <c r="J265" s="7" t="s">
        <v>31</v>
      </c>
      <c r="K265" s="7" t="str">
        <f>CONCATENATE("")</f>
        <v/>
      </c>
      <c r="L265" s="7" t="str">
        <f>CONCATENATE("19 19.2 6b")</f>
        <v>19 19.2 6b</v>
      </c>
      <c r="M265" s="7" t="str">
        <f>CONCATENATE("02363910445")</f>
        <v>02363910445</v>
      </c>
      <c r="N265" s="7" t="s">
        <v>354</v>
      </c>
      <c r="O265" s="7" t="s">
        <v>355</v>
      </c>
      <c r="P265" s="8">
        <v>44305</v>
      </c>
      <c r="Q265" s="7" t="s">
        <v>32</v>
      </c>
      <c r="R265" s="7" t="s">
        <v>33</v>
      </c>
      <c r="S265" s="7" t="s">
        <v>34</v>
      </c>
      <c r="T265" s="7"/>
      <c r="U265" s="7" t="s">
        <v>35</v>
      </c>
      <c r="V265" s="9">
        <v>13000</v>
      </c>
      <c r="W265" s="9">
        <v>5605.6</v>
      </c>
      <c r="X265" s="9">
        <v>5176.6000000000004</v>
      </c>
      <c r="Y265" s="7">
        <v>0</v>
      </c>
      <c r="Z265" s="9">
        <v>2217.8000000000002</v>
      </c>
    </row>
    <row r="266" spans="1:26" x14ac:dyDescent="0.35">
      <c r="A266" s="7" t="s">
        <v>27</v>
      </c>
      <c r="B266" s="7" t="s">
        <v>28</v>
      </c>
      <c r="C266" s="7" t="s">
        <v>46</v>
      </c>
      <c r="D266" s="7" t="s">
        <v>92</v>
      </c>
      <c r="E266" s="7" t="s">
        <v>43</v>
      </c>
      <c r="F266" s="7" t="s">
        <v>63</v>
      </c>
      <c r="G266" s="7">
        <v>2017</v>
      </c>
      <c r="H266" s="7" t="str">
        <f>CONCATENATE("04270233002")</f>
        <v>04270233002</v>
      </c>
      <c r="I266" s="7" t="s">
        <v>30</v>
      </c>
      <c r="J266" s="7" t="s">
        <v>31</v>
      </c>
      <c r="K266" s="7" t="str">
        <f>CONCATENATE("")</f>
        <v/>
      </c>
      <c r="L266" s="7" t="str">
        <f>CONCATENATE("6 6.1 2b")</f>
        <v>6 6.1 2b</v>
      </c>
      <c r="M266" s="7" t="str">
        <f>CONCATENATE("BNGLSS85E42H769G")</f>
        <v>BNGLSS85E42H769G</v>
      </c>
      <c r="N266" s="7" t="s">
        <v>347</v>
      </c>
      <c r="O266" s="7" t="s">
        <v>356</v>
      </c>
      <c r="P266" s="8">
        <v>44305</v>
      </c>
      <c r="Q266" s="7" t="s">
        <v>32</v>
      </c>
      <c r="R266" s="7" t="s">
        <v>33</v>
      </c>
      <c r="S266" s="7" t="s">
        <v>34</v>
      </c>
      <c r="T266" s="7"/>
      <c r="U266" s="7" t="s">
        <v>35</v>
      </c>
      <c r="V266" s="9">
        <v>21000</v>
      </c>
      <c r="W266" s="9">
        <v>9055.2000000000007</v>
      </c>
      <c r="X266" s="9">
        <v>8362.2000000000007</v>
      </c>
      <c r="Y266" s="7">
        <v>0</v>
      </c>
      <c r="Z266" s="9">
        <v>3582.6</v>
      </c>
    </row>
    <row r="267" spans="1:26" ht="17.5" x14ac:dyDescent="0.35">
      <c r="A267" s="7" t="s">
        <v>27</v>
      </c>
      <c r="B267" s="7" t="s">
        <v>28</v>
      </c>
      <c r="C267" s="7" t="s">
        <v>46</v>
      </c>
      <c r="D267" s="7" t="s">
        <v>92</v>
      </c>
      <c r="E267" s="7" t="s">
        <v>43</v>
      </c>
      <c r="F267" s="7" t="s">
        <v>63</v>
      </c>
      <c r="G267" s="7">
        <v>2017</v>
      </c>
      <c r="H267" s="7" t="str">
        <f>CONCATENATE("04270232970")</f>
        <v>04270232970</v>
      </c>
      <c r="I267" s="7" t="s">
        <v>30</v>
      </c>
      <c r="J267" s="7" t="s">
        <v>31</v>
      </c>
      <c r="K267" s="7" t="str">
        <f>CONCATENATE("")</f>
        <v/>
      </c>
      <c r="L267" s="7" t="str">
        <f>CONCATENATE("6 6.1 2b")</f>
        <v>6 6.1 2b</v>
      </c>
      <c r="M267" s="7" t="str">
        <f>CONCATENATE("MRNYRU88B16A462O")</f>
        <v>MRNYRU88B16A462O</v>
      </c>
      <c r="N267" s="7" t="s">
        <v>349</v>
      </c>
      <c r="O267" s="7" t="s">
        <v>356</v>
      </c>
      <c r="P267" s="8">
        <v>44305</v>
      </c>
      <c r="Q267" s="7" t="s">
        <v>32</v>
      </c>
      <c r="R267" s="7" t="s">
        <v>33</v>
      </c>
      <c r="S267" s="7" t="s">
        <v>34</v>
      </c>
      <c r="T267" s="7"/>
      <c r="U267" s="7" t="s">
        <v>35</v>
      </c>
      <c r="V267" s="9">
        <v>21000</v>
      </c>
      <c r="W267" s="9">
        <v>9055.2000000000007</v>
      </c>
      <c r="X267" s="9">
        <v>8362.2000000000007</v>
      </c>
      <c r="Y267" s="7">
        <v>0</v>
      </c>
      <c r="Z267" s="9">
        <v>3582.6</v>
      </c>
    </row>
    <row r="268" spans="1:26" ht="17.5" x14ac:dyDescent="0.35">
      <c r="A268" s="7" t="s">
        <v>27</v>
      </c>
      <c r="B268" s="7" t="s">
        <v>38</v>
      </c>
      <c r="C268" s="7" t="s">
        <v>46</v>
      </c>
      <c r="D268" s="7" t="s">
        <v>47</v>
      </c>
      <c r="E268" s="7" t="s">
        <v>39</v>
      </c>
      <c r="F268" s="7" t="s">
        <v>86</v>
      </c>
      <c r="G268" s="7">
        <v>2020</v>
      </c>
      <c r="H268" s="7" t="str">
        <f>CONCATENATE("04210523538")</f>
        <v>04210523538</v>
      </c>
      <c r="I268" s="7" t="s">
        <v>30</v>
      </c>
      <c r="J268" s="7" t="s">
        <v>31</v>
      </c>
      <c r="K268" s="7" t="str">
        <f>CONCATENATE("")</f>
        <v/>
      </c>
      <c r="L268" s="7" t="str">
        <f>CONCATENATE("12 12.1 4a")</f>
        <v>12 12.1 4a</v>
      </c>
      <c r="M268" s="7" t="str">
        <f>CONCATENATE("RMDMRA66M03L501N")</f>
        <v>RMDMRA66M03L501N</v>
      </c>
      <c r="N268" s="7" t="s">
        <v>279</v>
      </c>
      <c r="O268" s="7" t="s">
        <v>357</v>
      </c>
      <c r="P268" s="8">
        <v>44305</v>
      </c>
      <c r="Q268" s="7" t="s">
        <v>32</v>
      </c>
      <c r="R268" s="7" t="s">
        <v>33</v>
      </c>
      <c r="S268" s="7" t="s">
        <v>34</v>
      </c>
      <c r="T268" s="7"/>
      <c r="U268" s="7" t="s">
        <v>35</v>
      </c>
      <c r="V268" s="9">
        <v>2680.71</v>
      </c>
      <c r="W268" s="9">
        <v>1155.92</v>
      </c>
      <c r="X268" s="9">
        <v>1067.46</v>
      </c>
      <c r="Y268" s="7">
        <v>0</v>
      </c>
      <c r="Z268" s="7">
        <v>457.33</v>
      </c>
    </row>
    <row r="269" spans="1:26" x14ac:dyDescent="0.35">
      <c r="A269" s="7" t="s">
        <v>27</v>
      </c>
      <c r="B269" s="7" t="s">
        <v>38</v>
      </c>
      <c r="C269" s="7" t="s">
        <v>46</v>
      </c>
      <c r="D269" s="7" t="s">
        <v>47</v>
      </c>
      <c r="E269" s="7" t="s">
        <v>39</v>
      </c>
      <c r="F269" s="7" t="s">
        <v>86</v>
      </c>
      <c r="G269" s="7">
        <v>2020</v>
      </c>
      <c r="H269" s="7" t="str">
        <f>CONCATENATE("04210226652")</f>
        <v>04210226652</v>
      </c>
      <c r="I269" s="7" t="s">
        <v>40</v>
      </c>
      <c r="J269" s="7" t="s">
        <v>31</v>
      </c>
      <c r="K269" s="7" t="str">
        <f>CONCATENATE("")</f>
        <v/>
      </c>
      <c r="L269" s="7" t="str">
        <f>CONCATENATE("12 12.1 4a")</f>
        <v>12 12.1 4a</v>
      </c>
      <c r="M269" s="7" t="str">
        <f>CONCATENATE("CCRVNI66D53E783K")</f>
        <v>CCRVNI66D53E783K</v>
      </c>
      <c r="N269" s="7" t="s">
        <v>358</v>
      </c>
      <c r="O269" s="7" t="s">
        <v>357</v>
      </c>
      <c r="P269" s="8">
        <v>44305</v>
      </c>
      <c r="Q269" s="7" t="s">
        <v>32</v>
      </c>
      <c r="R269" s="7" t="s">
        <v>33</v>
      </c>
      <c r="S269" s="7" t="s">
        <v>34</v>
      </c>
      <c r="T269" s="7"/>
      <c r="U269" s="7" t="s">
        <v>35</v>
      </c>
      <c r="V269" s="9">
        <v>1349</v>
      </c>
      <c r="W269" s="7">
        <v>581.69000000000005</v>
      </c>
      <c r="X269" s="7">
        <v>537.16999999999996</v>
      </c>
      <c r="Y269" s="7">
        <v>0</v>
      </c>
      <c r="Z269" s="7">
        <v>230.14</v>
      </c>
    </row>
    <row r="270" spans="1:26" x14ac:dyDescent="0.35">
      <c r="A270" s="7" t="s">
        <v>27</v>
      </c>
      <c r="B270" s="7" t="s">
        <v>38</v>
      </c>
      <c r="C270" s="7" t="s">
        <v>46</v>
      </c>
      <c r="D270" s="7" t="s">
        <v>72</v>
      </c>
      <c r="E270" s="7" t="s">
        <v>41</v>
      </c>
      <c r="F270" s="7" t="s">
        <v>359</v>
      </c>
      <c r="G270" s="7">
        <v>2020</v>
      </c>
      <c r="H270" s="7" t="str">
        <f>CONCATENATE("04210452399")</f>
        <v>04210452399</v>
      </c>
      <c r="I270" s="7" t="s">
        <v>30</v>
      </c>
      <c r="J270" s="7" t="s">
        <v>31</v>
      </c>
      <c r="K270" s="7" t="str">
        <f>CONCATENATE("")</f>
        <v/>
      </c>
      <c r="L270" s="7" t="str">
        <f>CONCATENATE("12 12.1 4a")</f>
        <v>12 12.1 4a</v>
      </c>
      <c r="M270" s="7" t="str">
        <f>CONCATENATE("PCCSVN64E24E388Y")</f>
        <v>PCCSVN64E24E388Y</v>
      </c>
      <c r="N270" s="7" t="s">
        <v>360</v>
      </c>
      <c r="O270" s="7" t="s">
        <v>357</v>
      </c>
      <c r="P270" s="8">
        <v>44305</v>
      </c>
      <c r="Q270" s="7" t="s">
        <v>32</v>
      </c>
      <c r="R270" s="7" t="s">
        <v>33</v>
      </c>
      <c r="S270" s="7" t="s">
        <v>34</v>
      </c>
      <c r="T270" s="7"/>
      <c r="U270" s="7" t="s">
        <v>35</v>
      </c>
      <c r="V270" s="7">
        <v>502.97</v>
      </c>
      <c r="W270" s="7">
        <v>216.88</v>
      </c>
      <c r="X270" s="7">
        <v>200.28</v>
      </c>
      <c r="Y270" s="7">
        <v>0</v>
      </c>
      <c r="Z270" s="7">
        <v>85.81</v>
      </c>
    </row>
    <row r="271" spans="1:26" x14ac:dyDescent="0.35">
      <c r="A271" s="7" t="s">
        <v>27</v>
      </c>
      <c r="B271" s="7" t="s">
        <v>38</v>
      </c>
      <c r="C271" s="7" t="s">
        <v>46</v>
      </c>
      <c r="D271" s="7" t="s">
        <v>47</v>
      </c>
      <c r="E271" s="7" t="s">
        <v>44</v>
      </c>
      <c r="F271" s="7" t="s">
        <v>100</v>
      </c>
      <c r="G271" s="7">
        <v>2017</v>
      </c>
      <c r="H271" s="7" t="str">
        <f>CONCATENATE("74210350547")</f>
        <v>74210350547</v>
      </c>
      <c r="I271" s="7" t="s">
        <v>30</v>
      </c>
      <c r="J271" s="7" t="s">
        <v>31</v>
      </c>
      <c r="K271" s="7" t="str">
        <f>CONCATENATE("")</f>
        <v/>
      </c>
      <c r="L271" s="7" t="str">
        <f>CONCATENATE("13 13.1 4a")</f>
        <v>13 13.1 4a</v>
      </c>
      <c r="M271" s="7" t="str">
        <f>CONCATENATE("01011100433")</f>
        <v>01011100433</v>
      </c>
      <c r="N271" s="7" t="s">
        <v>108</v>
      </c>
      <c r="O271" s="7" t="s">
        <v>361</v>
      </c>
      <c r="P271" s="8">
        <v>44229</v>
      </c>
      <c r="Q271" s="7" t="s">
        <v>32</v>
      </c>
      <c r="R271" s="7" t="s">
        <v>33</v>
      </c>
      <c r="S271" s="7" t="s">
        <v>34</v>
      </c>
      <c r="T271" s="7"/>
      <c r="U271" s="7" t="s">
        <v>35</v>
      </c>
      <c r="V271" s="9">
        <v>3587.1</v>
      </c>
      <c r="W271" s="9">
        <v>1546.76</v>
      </c>
      <c r="X271" s="9">
        <v>1428.38</v>
      </c>
      <c r="Y271" s="7">
        <v>0</v>
      </c>
      <c r="Z271" s="7">
        <v>611.96</v>
      </c>
    </row>
  </sheetData>
  <mergeCells count="2">
    <mergeCell ref="A1:Y1"/>
    <mergeCell ref="A2:Y2"/>
  </mergeCells>
  <pageMargins left="0.75" right="0.75" top="1" bottom="1" header="0.5" footer="0.5"/>
  <pageSetup paperSize="9" orientation="portrait" horizontalDpi="30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43FC5A8023BE49846995DC55E203C1" ma:contentTypeVersion="7" ma:contentTypeDescription="Create a new document." ma:contentTypeScope="" ma:versionID="8a5266b454e96f386b6d41e2ed20a514">
  <xsd:schema xmlns:xsd="http://www.w3.org/2001/XMLSchema" xmlns:xs="http://www.w3.org/2001/XMLSchema" xmlns:p="http://schemas.microsoft.com/office/2006/metadata/properties" xmlns:ns3="4fc14afe-9df9-4cba-8aa4-680966ecc782" targetNamespace="http://schemas.microsoft.com/office/2006/metadata/properties" ma:root="true" ma:fieldsID="b64aec89db63335c91cef771e8d8815c" ns3:_="">
    <xsd:import namespace="4fc14afe-9df9-4cba-8aa4-680966ecc78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c14afe-9df9-4cba-8aa4-680966ecc7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95D122-5BA5-4CBB-814E-0913CA48C6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c14afe-9df9-4cba-8aa4-680966ecc7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686B1CD-D46F-45AA-AEEC-C04EC21C62E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3D2F2F-884D-4280-87EF-058AD09F08BB}">
  <ds:schemaRefs>
    <ds:schemaRef ds:uri="http://schemas.microsoft.com/office/2006/metadata/properties"/>
    <ds:schemaRef ds:uri="http://schemas.microsoft.com/office/infopath/2007/PartnerControls"/>
  </ds:schemaRefs>
</ds:datastoreItem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ZMOutlook</vt:lpwstr>
  </property>
  <property fmtid="{D5CDD505-2E9C-101B-9397-08002B2CF9AE}" pid="3" name="SizeBefore">
    <vt:lpwstr>67604</vt:lpwstr>
  </property>
  <property fmtid="{D5CDD505-2E9C-101B-9397-08002B2CF9AE}" pid="4" name="OptimizationTime">
    <vt:lpwstr>20210428_1840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Ferrazzano</dc:creator>
  <cp:lastModifiedBy>Michele Ferrazzano</cp:lastModifiedBy>
  <dcterms:created xsi:type="dcterms:W3CDTF">2021-04-28T08:45:06Z</dcterms:created>
  <dcterms:modified xsi:type="dcterms:W3CDTF">2021-04-28T08:46:03Z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0x010100D843FC5A8023BE49846995DC55E203C1</vt:lpwstr>
  </property>
</Properties>
</file>