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e\Documents\LAVORO\Invio decreti\Decreto n. 423\"/>
    </mc:Choice>
  </mc:AlternateContent>
  <xr:revisionPtr revIDLastSave="0" documentId="8_{D57F4400-260E-4EFD-A7A7-8D7D63D2CB4B}" xr6:coauthVersionLast="45" xr6:coauthVersionMax="45" xr10:uidLastSave="{00000000-0000-0000-0000-000000000000}"/>
  <bookViews>
    <workbookView xWindow="-120" yWindow="-120" windowWidth="20730" windowHeight="11160" xr2:uid="{048D59ED-D8A4-44FF-A761-42C1C70BA3E8}"/>
  </bookViews>
  <sheets>
    <sheet name="Dettaglio_Domande_Pagabili_AG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1" i="1" l="1"/>
  <c r="L131" i="1"/>
  <c r="K131" i="1"/>
  <c r="H131" i="1"/>
  <c r="M130" i="1"/>
  <c r="L130" i="1"/>
  <c r="K130" i="1"/>
  <c r="H130" i="1"/>
  <c r="M129" i="1"/>
  <c r="L129" i="1"/>
  <c r="K129" i="1"/>
  <c r="H129" i="1"/>
  <c r="M128" i="1"/>
  <c r="L128" i="1"/>
  <c r="K128" i="1"/>
  <c r="H128" i="1"/>
  <c r="M127" i="1"/>
  <c r="L127" i="1"/>
  <c r="K127" i="1"/>
  <c r="H127" i="1"/>
  <c r="M126" i="1"/>
  <c r="L126" i="1"/>
  <c r="K126" i="1"/>
  <c r="H126" i="1"/>
  <c r="M125" i="1"/>
  <c r="L125" i="1"/>
  <c r="K125" i="1"/>
  <c r="H125" i="1"/>
  <c r="M124" i="1"/>
  <c r="L124" i="1"/>
  <c r="K124" i="1"/>
  <c r="H124" i="1"/>
  <c r="M123" i="1"/>
  <c r="L123" i="1"/>
  <c r="K123" i="1"/>
  <c r="H123" i="1"/>
  <c r="M122" i="1"/>
  <c r="L122" i="1"/>
  <c r="K122" i="1"/>
  <c r="H122" i="1"/>
  <c r="M121" i="1"/>
  <c r="L121" i="1"/>
  <c r="K121" i="1"/>
  <c r="H121" i="1"/>
  <c r="M120" i="1"/>
  <c r="L120" i="1"/>
  <c r="K120" i="1"/>
  <c r="H120" i="1"/>
  <c r="M119" i="1"/>
  <c r="L119" i="1"/>
  <c r="K119" i="1"/>
  <c r="H119" i="1"/>
  <c r="M118" i="1"/>
  <c r="L118" i="1"/>
  <c r="K118" i="1"/>
  <c r="H118" i="1"/>
  <c r="M117" i="1"/>
  <c r="L117" i="1"/>
  <c r="K117" i="1"/>
  <c r="H117" i="1"/>
  <c r="M116" i="1"/>
  <c r="L116" i="1"/>
  <c r="K116" i="1"/>
  <c r="H116" i="1"/>
  <c r="M115" i="1"/>
  <c r="L115" i="1"/>
  <c r="K115" i="1"/>
  <c r="H115" i="1"/>
  <c r="M114" i="1"/>
  <c r="L114" i="1"/>
  <c r="K114" i="1"/>
  <c r="H114" i="1"/>
  <c r="M113" i="1"/>
  <c r="L113" i="1"/>
  <c r="K113" i="1"/>
  <c r="H113" i="1"/>
  <c r="M112" i="1"/>
  <c r="L112" i="1"/>
  <c r="K112" i="1"/>
  <c r="H112" i="1"/>
  <c r="M111" i="1"/>
  <c r="L111" i="1"/>
  <c r="K111" i="1"/>
  <c r="H111" i="1"/>
  <c r="M110" i="1"/>
  <c r="L110" i="1"/>
  <c r="K110" i="1"/>
  <c r="H110" i="1"/>
  <c r="M109" i="1"/>
  <c r="L109" i="1"/>
  <c r="K109" i="1"/>
  <c r="H109" i="1"/>
  <c r="M108" i="1"/>
  <c r="L108" i="1"/>
  <c r="K108" i="1"/>
  <c r="H108" i="1"/>
  <c r="M107" i="1"/>
  <c r="L107" i="1"/>
  <c r="K107" i="1"/>
  <c r="H107" i="1"/>
  <c r="M106" i="1"/>
  <c r="L106" i="1"/>
  <c r="K106" i="1"/>
  <c r="H106" i="1"/>
  <c r="M105" i="1"/>
  <c r="L105" i="1"/>
  <c r="K105" i="1"/>
  <c r="H105" i="1"/>
  <c r="M104" i="1"/>
  <c r="L104" i="1"/>
  <c r="K104" i="1"/>
  <c r="H104" i="1"/>
  <c r="M103" i="1"/>
  <c r="L103" i="1"/>
  <c r="K103" i="1"/>
  <c r="H103" i="1"/>
  <c r="M102" i="1"/>
  <c r="L102" i="1"/>
  <c r="K102" i="1"/>
  <c r="H102" i="1"/>
  <c r="M101" i="1"/>
  <c r="L101" i="1"/>
  <c r="K101" i="1"/>
  <c r="H101" i="1"/>
  <c r="M100" i="1"/>
  <c r="L100" i="1"/>
  <c r="K100" i="1"/>
  <c r="H100" i="1"/>
  <c r="M99" i="1"/>
  <c r="L99" i="1"/>
  <c r="K99" i="1"/>
  <c r="H99" i="1"/>
  <c r="M98" i="1"/>
  <c r="L98" i="1"/>
  <c r="K98" i="1"/>
  <c r="H98" i="1"/>
  <c r="M97" i="1"/>
  <c r="L97" i="1"/>
  <c r="K97" i="1"/>
  <c r="H97" i="1"/>
  <c r="M96" i="1"/>
  <c r="L96" i="1"/>
  <c r="K96" i="1"/>
  <c r="H96" i="1"/>
  <c r="M95" i="1"/>
  <c r="L95" i="1"/>
  <c r="K95" i="1"/>
  <c r="H95" i="1"/>
  <c r="M94" i="1"/>
  <c r="L94" i="1"/>
  <c r="K94" i="1"/>
  <c r="H94" i="1"/>
  <c r="M93" i="1"/>
  <c r="L93" i="1"/>
  <c r="K93" i="1"/>
  <c r="H93" i="1"/>
  <c r="M92" i="1"/>
  <c r="L92" i="1"/>
  <c r="K92" i="1"/>
  <c r="H92" i="1"/>
  <c r="M91" i="1"/>
  <c r="L91" i="1"/>
  <c r="K91" i="1"/>
  <c r="H91" i="1"/>
  <c r="M90" i="1"/>
  <c r="L90" i="1"/>
  <c r="K90" i="1"/>
  <c r="H90" i="1"/>
  <c r="M89" i="1"/>
  <c r="L89" i="1"/>
  <c r="K89" i="1"/>
  <c r="H89" i="1"/>
  <c r="M88" i="1"/>
  <c r="L88" i="1"/>
  <c r="K88" i="1"/>
  <c r="H88" i="1"/>
  <c r="M87" i="1"/>
  <c r="L87" i="1"/>
  <c r="K87" i="1"/>
  <c r="H87" i="1"/>
  <c r="M86" i="1"/>
  <c r="L86" i="1"/>
  <c r="K86" i="1"/>
  <c r="H86" i="1"/>
  <c r="M85" i="1"/>
  <c r="L85" i="1"/>
  <c r="K85" i="1"/>
  <c r="H85" i="1"/>
  <c r="M84" i="1"/>
  <c r="L84" i="1"/>
  <c r="K84" i="1"/>
  <c r="H84" i="1"/>
  <c r="M83" i="1"/>
  <c r="L83" i="1"/>
  <c r="K83" i="1"/>
  <c r="H83" i="1"/>
  <c r="M82" i="1"/>
  <c r="L82" i="1"/>
  <c r="K82" i="1"/>
  <c r="H82" i="1"/>
  <c r="M81" i="1"/>
  <c r="L81" i="1"/>
  <c r="K81" i="1"/>
  <c r="H81" i="1"/>
  <c r="M80" i="1"/>
  <c r="L80" i="1"/>
  <c r="K80" i="1"/>
  <c r="H80" i="1"/>
  <c r="M79" i="1"/>
  <c r="L79" i="1"/>
  <c r="K79" i="1"/>
  <c r="H79" i="1"/>
  <c r="M78" i="1"/>
  <c r="L78" i="1"/>
  <c r="K78" i="1"/>
  <c r="H78" i="1"/>
  <c r="M77" i="1"/>
  <c r="L77" i="1"/>
  <c r="K77" i="1"/>
  <c r="H77" i="1"/>
  <c r="M76" i="1"/>
  <c r="L76" i="1"/>
  <c r="K76" i="1"/>
  <c r="H76" i="1"/>
  <c r="M75" i="1"/>
  <c r="L75" i="1"/>
  <c r="K75" i="1"/>
  <c r="H75" i="1"/>
  <c r="M74" i="1"/>
  <c r="L74" i="1"/>
  <c r="K74" i="1"/>
  <c r="H74" i="1"/>
  <c r="M73" i="1"/>
  <c r="L73" i="1"/>
  <c r="K73" i="1"/>
  <c r="H73" i="1"/>
  <c r="M72" i="1"/>
  <c r="L72" i="1"/>
  <c r="K72" i="1"/>
  <c r="H72" i="1"/>
  <c r="M71" i="1"/>
  <c r="L71" i="1"/>
  <c r="K71" i="1"/>
  <c r="H71" i="1"/>
  <c r="M70" i="1"/>
  <c r="L70" i="1"/>
  <c r="K70" i="1"/>
  <c r="H70" i="1"/>
  <c r="M69" i="1"/>
  <c r="L69" i="1"/>
  <c r="K69" i="1"/>
  <c r="H69" i="1"/>
  <c r="M68" i="1"/>
  <c r="L68" i="1"/>
  <c r="K68" i="1"/>
  <c r="H68" i="1"/>
  <c r="M67" i="1"/>
  <c r="L67" i="1"/>
  <c r="K67" i="1"/>
  <c r="H67" i="1"/>
  <c r="M66" i="1"/>
  <c r="L66" i="1"/>
  <c r="K66" i="1"/>
  <c r="H66" i="1"/>
  <c r="M65" i="1"/>
  <c r="L65" i="1"/>
  <c r="K65" i="1"/>
  <c r="H65" i="1"/>
  <c r="M64" i="1"/>
  <c r="L64" i="1"/>
  <c r="K64" i="1"/>
  <c r="H64" i="1"/>
  <c r="M63" i="1"/>
  <c r="L63" i="1"/>
  <c r="K63" i="1"/>
  <c r="H63" i="1"/>
  <c r="M62" i="1"/>
  <c r="L62" i="1"/>
  <c r="K62" i="1"/>
  <c r="H62" i="1"/>
  <c r="M61" i="1"/>
  <c r="L61" i="1"/>
  <c r="K61" i="1"/>
  <c r="H61" i="1"/>
  <c r="M60" i="1"/>
  <c r="L60" i="1"/>
  <c r="K60" i="1"/>
  <c r="H60" i="1"/>
  <c r="M59" i="1"/>
  <c r="L59" i="1"/>
  <c r="K59" i="1"/>
  <c r="H59" i="1"/>
  <c r="M58" i="1"/>
  <c r="L58" i="1"/>
  <c r="K58" i="1"/>
  <c r="H58" i="1"/>
  <c r="M57" i="1"/>
  <c r="L57" i="1"/>
  <c r="K57" i="1"/>
  <c r="H57" i="1"/>
  <c r="M56" i="1"/>
  <c r="L56" i="1"/>
  <c r="K56" i="1"/>
  <c r="H56" i="1"/>
  <c r="M55" i="1"/>
  <c r="L55" i="1"/>
  <c r="K55" i="1"/>
  <c r="H55" i="1"/>
  <c r="M54" i="1"/>
  <c r="L54" i="1"/>
  <c r="K54" i="1"/>
  <c r="H54" i="1"/>
  <c r="M53" i="1"/>
  <c r="L53" i="1"/>
  <c r="K53" i="1"/>
  <c r="H53" i="1"/>
  <c r="M52" i="1"/>
  <c r="L52" i="1"/>
  <c r="K52" i="1"/>
  <c r="H52" i="1"/>
  <c r="M51" i="1"/>
  <c r="L51" i="1"/>
  <c r="K51" i="1"/>
  <c r="H51" i="1"/>
  <c r="M50" i="1"/>
  <c r="L50" i="1"/>
  <c r="K50" i="1"/>
  <c r="H50" i="1"/>
  <c r="M49" i="1"/>
  <c r="L49" i="1"/>
  <c r="K49" i="1"/>
  <c r="H49" i="1"/>
  <c r="M48" i="1"/>
  <c r="L48" i="1"/>
  <c r="K48" i="1"/>
  <c r="H48" i="1"/>
  <c r="M47" i="1"/>
  <c r="L47" i="1"/>
  <c r="K47" i="1"/>
  <c r="H47" i="1"/>
  <c r="M46" i="1"/>
  <c r="L46" i="1"/>
  <c r="K46" i="1"/>
  <c r="H46" i="1"/>
  <c r="M45" i="1"/>
  <c r="L45" i="1"/>
  <c r="K45" i="1"/>
  <c r="H45" i="1"/>
  <c r="M44" i="1"/>
  <c r="L44" i="1"/>
  <c r="K44" i="1"/>
  <c r="H44" i="1"/>
  <c r="M43" i="1"/>
  <c r="L43" i="1"/>
  <c r="K43" i="1"/>
  <c r="H43" i="1"/>
  <c r="M42" i="1"/>
  <c r="L42" i="1"/>
  <c r="K42" i="1"/>
  <c r="H42" i="1"/>
  <c r="M41" i="1"/>
  <c r="L41" i="1"/>
  <c r="K41" i="1"/>
  <c r="H41" i="1"/>
  <c r="M40" i="1"/>
  <c r="L40" i="1"/>
  <c r="K40" i="1"/>
  <c r="H40" i="1"/>
  <c r="M39" i="1"/>
  <c r="L39" i="1"/>
  <c r="K39" i="1"/>
  <c r="H39" i="1"/>
  <c r="M38" i="1"/>
  <c r="L38" i="1"/>
  <c r="K38" i="1"/>
  <c r="H38" i="1"/>
  <c r="M37" i="1"/>
  <c r="L37" i="1"/>
  <c r="K37" i="1"/>
  <c r="H37" i="1"/>
  <c r="M36" i="1"/>
  <c r="L36" i="1"/>
  <c r="K36" i="1"/>
  <c r="H36" i="1"/>
  <c r="M35" i="1"/>
  <c r="L35" i="1"/>
  <c r="K35" i="1"/>
  <c r="H35" i="1"/>
  <c r="M34" i="1"/>
  <c r="L34" i="1"/>
  <c r="K34" i="1"/>
  <c r="H34" i="1"/>
  <c r="M33" i="1"/>
  <c r="L33" i="1"/>
  <c r="K33" i="1"/>
  <c r="H33" i="1"/>
  <c r="M32" i="1"/>
  <c r="L32" i="1"/>
  <c r="K32" i="1"/>
  <c r="H32" i="1"/>
  <c r="M31" i="1"/>
  <c r="L31" i="1"/>
  <c r="K31" i="1"/>
  <c r="H31" i="1"/>
  <c r="M30" i="1"/>
  <c r="L30" i="1"/>
  <c r="K30" i="1"/>
  <c r="H30" i="1"/>
  <c r="M29" i="1"/>
  <c r="L29" i="1"/>
  <c r="K29" i="1"/>
  <c r="H29" i="1"/>
  <c r="M28" i="1"/>
  <c r="L28" i="1"/>
  <c r="K28" i="1"/>
  <c r="H28" i="1"/>
  <c r="M27" i="1"/>
  <c r="L27" i="1"/>
  <c r="K27" i="1"/>
  <c r="H27" i="1"/>
  <c r="M26" i="1"/>
  <c r="L26" i="1"/>
  <c r="K26" i="1"/>
  <c r="H26" i="1"/>
  <c r="M25" i="1"/>
  <c r="L25" i="1"/>
  <c r="K25" i="1"/>
  <c r="H25" i="1"/>
  <c r="M24" i="1"/>
  <c r="L24" i="1"/>
  <c r="K24" i="1"/>
  <c r="H24" i="1"/>
  <c r="M23" i="1"/>
  <c r="L23" i="1"/>
  <c r="K23" i="1"/>
  <c r="H23" i="1"/>
  <c r="M22" i="1"/>
  <c r="L22" i="1"/>
  <c r="K22" i="1"/>
  <c r="H22" i="1"/>
  <c r="M21" i="1"/>
  <c r="L21" i="1"/>
  <c r="K21" i="1"/>
  <c r="H21" i="1"/>
  <c r="M20" i="1"/>
  <c r="L20" i="1"/>
  <c r="K20" i="1"/>
  <c r="H20" i="1"/>
  <c r="M19" i="1"/>
  <c r="L19" i="1"/>
  <c r="K19" i="1"/>
  <c r="H19" i="1"/>
  <c r="M18" i="1"/>
  <c r="L18" i="1"/>
  <c r="K18" i="1"/>
  <c r="H18" i="1"/>
  <c r="M17" i="1"/>
  <c r="L17" i="1"/>
  <c r="K17" i="1"/>
  <c r="H17" i="1"/>
  <c r="M16" i="1"/>
  <c r="L16" i="1"/>
  <c r="K16" i="1"/>
  <c r="H16" i="1"/>
  <c r="M15" i="1"/>
  <c r="L15" i="1"/>
  <c r="K15" i="1"/>
  <c r="H15" i="1"/>
  <c r="M14" i="1"/>
  <c r="L14" i="1"/>
  <c r="K14" i="1"/>
  <c r="H14" i="1"/>
  <c r="M13" i="1"/>
  <c r="L13" i="1"/>
  <c r="K13" i="1"/>
  <c r="H13" i="1"/>
  <c r="M12" i="1"/>
  <c r="L12" i="1"/>
  <c r="K12" i="1"/>
  <c r="H12" i="1"/>
  <c r="M11" i="1"/>
  <c r="L11" i="1"/>
  <c r="K11" i="1"/>
  <c r="H11" i="1"/>
  <c r="M10" i="1"/>
  <c r="L10" i="1"/>
  <c r="K10" i="1"/>
  <c r="H10" i="1"/>
  <c r="M9" i="1"/>
  <c r="L9" i="1"/>
  <c r="K9" i="1"/>
  <c r="H9" i="1"/>
  <c r="M8" i="1"/>
  <c r="L8" i="1"/>
  <c r="K8" i="1"/>
  <c r="H8" i="1"/>
  <c r="M7" i="1"/>
  <c r="L7" i="1"/>
  <c r="K7" i="1"/>
  <c r="H7" i="1"/>
  <c r="M6" i="1"/>
  <c r="L6" i="1"/>
  <c r="K6" i="1"/>
  <c r="H6" i="1"/>
  <c r="M5" i="1"/>
  <c r="L5" i="1"/>
  <c r="K5" i="1"/>
  <c r="H5" i="1"/>
  <c r="M4" i="1"/>
  <c r="L4" i="1"/>
  <c r="K4" i="1"/>
  <c r="H4" i="1"/>
</calcChain>
</file>

<file path=xl/sharedStrings.xml><?xml version="1.0" encoding="utf-8"?>
<sst xmlns="http://schemas.openxmlformats.org/spreadsheetml/2006/main" count="1687" uniqueCount="225">
  <si>
    <t>Dettaglio Domande Pagabili Decreto 424</t>
  </si>
  <si>
    <t>Organismo Pagatore</t>
  </si>
  <si>
    <t>Gruppo Misura</t>
  </si>
  <si>
    <t>Regione</t>
  </si>
  <si>
    <t>Ente</t>
  </si>
  <si>
    <t>Caa Nazionale</t>
  </si>
  <si>
    <t>Ufficio Caa</t>
  </si>
  <si>
    <t>Campagna</t>
  </si>
  <si>
    <t>codice Domanda</t>
  </si>
  <si>
    <t>Domanda Campione (Si/No)</t>
  </si>
  <si>
    <t>Tipologia Programmazione</t>
  </si>
  <si>
    <t>Misura PSR 2007-2013</t>
  </si>
  <si>
    <t>Misura PSR 2014-2020</t>
  </si>
  <si>
    <t>Cuaa</t>
  </si>
  <si>
    <t>Denominazione</t>
  </si>
  <si>
    <t>Protocollo Elenco</t>
  </si>
  <si>
    <t>Data Autorizzazione OP Elenco</t>
  </si>
  <si>
    <t>Stato Della Domanda</t>
  </si>
  <si>
    <t>Tipologia di Pagamento</t>
  </si>
  <si>
    <t>Tipologia di Finanziamento</t>
  </si>
  <si>
    <t>PSRN</t>
  </si>
  <si>
    <t>Importo Totale in Elenco</t>
  </si>
  <si>
    <t>Importo in Elenco (Quota FEASR)</t>
  </si>
  <si>
    <t>Importo in Elenco (Quota Nazionale)</t>
  </si>
  <si>
    <t>Importo in Elenco (Quota Regionale)</t>
  </si>
  <si>
    <t>Importo in Elenco (Quota Fondo di Rotazione)</t>
  </si>
  <si>
    <t>AGEA</t>
  </si>
  <si>
    <t>Misure a Superficie</t>
  </si>
  <si>
    <t>CAA Confagricoltura srl</t>
  </si>
  <si>
    <t>NO</t>
  </si>
  <si>
    <t>Trascinamenti</t>
  </si>
  <si>
    <t>In Liquidazione</t>
  </si>
  <si>
    <t>Saldo</t>
  </si>
  <si>
    <t>Co-Finanziato</t>
  </si>
  <si>
    <t>CAA Coldiretti srl</t>
  </si>
  <si>
    <t>CAA CIA srl</t>
  </si>
  <si>
    <t>Misure Strutturali</t>
  </si>
  <si>
    <t>IN PROPRIO</t>
  </si>
  <si>
    <t>Nuova Programmazione</t>
  </si>
  <si>
    <t>SAL</t>
  </si>
  <si>
    <t>SI</t>
  </si>
  <si>
    <t>CAA LiberiAgricoltori srl già CAA AGCI srl</t>
  </si>
  <si>
    <t>CAA-CAF AGRI S.R.L.</t>
  </si>
  <si>
    <t>CAA degli Agricoltori Srl</t>
  </si>
  <si>
    <t>Anticipo</t>
  </si>
  <si>
    <t>CAA UNICAA srl</t>
  </si>
  <si>
    <t>CAA AGRISERVIZI s.r.l.</t>
  </si>
  <si>
    <t>MARCHE</t>
  </si>
  <si>
    <t>SERV. DEC. AGRICOLTURA E ALIM. - MACERATA</t>
  </si>
  <si>
    <t>SOCIETA' AGRICOLA DE MICHELIS DI DE MICHELIS MARCO &amp; LUIGI S.S.</t>
  </si>
  <si>
    <t>AGEA.ASR.2020.1860476</t>
  </si>
  <si>
    <t>SERV. DEC. AGRICOLTURA E ALIM. -ASCOLI PICENO</t>
  </si>
  <si>
    <t>COMUNE DI ALTIDONA</t>
  </si>
  <si>
    <t>AGEA.ASR.2020.1860604</t>
  </si>
  <si>
    <t>CAA Coldiretti - ASCOLI PICENO - 030</t>
  </si>
  <si>
    <t>ALEANDRI ALBERTO</t>
  </si>
  <si>
    <t>AGEA.ASR.2020.1854703</t>
  </si>
  <si>
    <t>PALAFERRI GIOVANNI</t>
  </si>
  <si>
    <t>CAA UNICAA - ASCOLI PICENO - 004</t>
  </si>
  <si>
    <t>SPINELLI FABIO</t>
  </si>
  <si>
    <t>AGEA.ASR.2020.1860539</t>
  </si>
  <si>
    <t>CAA CAF AGRI - ASCOLI PICENO - 222</t>
  </si>
  <si>
    <t>BAIGUERI ROBERTA</t>
  </si>
  <si>
    <t>GOBBI BENEDETTO</t>
  </si>
  <si>
    <t>AGEA.ASR.2020.1854729</t>
  </si>
  <si>
    <t>IMPRESA VERDE MARCHE SRL</t>
  </si>
  <si>
    <t>AGEA.ASR.2020.1862400</t>
  </si>
  <si>
    <t>CAA LiberiAgricoltori - MACERATA - 002</t>
  </si>
  <si>
    <t>COPPACCHIOLI GINEVRA</t>
  </si>
  <si>
    <t>AGEA.ASR.2020.1854693</t>
  </si>
  <si>
    <t>MARTINI DIEGO</t>
  </si>
  <si>
    <t>AGEA.ASR.2020.1857515</t>
  </si>
  <si>
    <t>AGEA.ASR.2020.1854674</t>
  </si>
  <si>
    <t>AGEA.ASR.2020.1856407</t>
  </si>
  <si>
    <t>NANNI MARISA</t>
  </si>
  <si>
    <t>AGEA.ASR.2020.1859814</t>
  </si>
  <si>
    <t>SERV. DEC. AGRICOLTURA E ALIMENTAZIONE - ANCONA</t>
  </si>
  <si>
    <t>CAA Coldiretti - ANCONA - 006</t>
  </si>
  <si>
    <t>PIEVALTA SOCIETA' AGRICOLA A RESPONSABILITA' LIMITATA IN FORMA ABBREVI</t>
  </si>
  <si>
    <t>AGEA.ASR.2020.1861245</t>
  </si>
  <si>
    <t>CAA UNICAA - ANCONA - 003</t>
  </si>
  <si>
    <t>SOCIETA'AGRICOLA TURCHI ROBERTO-TURCHI MASSIMO E TURCHI LUCIANO S.S.</t>
  </si>
  <si>
    <t>CAA Coldiretti - ANCONA - 003</t>
  </si>
  <si>
    <t>ALESSANDRONI SABINA</t>
  </si>
  <si>
    <t>COMUNE DI POLLENZA</t>
  </si>
  <si>
    <t>AGEA.ASR.2020.1859955</t>
  </si>
  <si>
    <t>M.PIA CASTELLI SOC.AGRICOLA SEMP</t>
  </si>
  <si>
    <t>AGEA.ASR.2020.1862403</t>
  </si>
  <si>
    <t>QUACQUARINI LANFRANCO</t>
  </si>
  <si>
    <t>MICONI MASSIMO</t>
  </si>
  <si>
    <t>AGEA.ASR.2020.1857546</t>
  </si>
  <si>
    <t>TU.RIS.MARCHE SOC. COOP A RL</t>
  </si>
  <si>
    <t>SERV. DEC. AGRICOLTURA E ALIMENTAZIONE - PESARO</t>
  </si>
  <si>
    <t>CAA CAF AGRI - PESARO E URBINO - 221</t>
  </si>
  <si>
    <t>SOCIETA' AGRICOLA GALIARDI S.S.</t>
  </si>
  <si>
    <t>AGEA.ASR.2020.1860790</t>
  </si>
  <si>
    <t>VAGNONI ELVIO</t>
  </si>
  <si>
    <t>CAA Coldiretti - ASCOLI PICENO - 010</t>
  </si>
  <si>
    <t>MERLI SALADINI ELENA</t>
  </si>
  <si>
    <t>CAPONI MAURIZIO</t>
  </si>
  <si>
    <t>AGEA.ASR.2020.1860564</t>
  </si>
  <si>
    <t>CAA Coldiretti - PESARO E URBINO - 006</t>
  </si>
  <si>
    <t>3 A AZIENDE AGRICOLE ASSOCIATE SCARL</t>
  </si>
  <si>
    <t>AGENZIA SERVIZI SETTORE AGROALIMENTARE MARCHE (ASSAM)</t>
  </si>
  <si>
    <t>AGEA.ASR.2020.1846997</t>
  </si>
  <si>
    <t>ENTE REGIONE MARCHE</t>
  </si>
  <si>
    <t>NOVELLO MARCO</t>
  </si>
  <si>
    <t>AGEA.ASR.2020.1862395</t>
  </si>
  <si>
    <t>SOCIETA' AGRICOLA PULVISIA S.S.</t>
  </si>
  <si>
    <t>AGEA.ASR.2020.1859862</t>
  </si>
  <si>
    <t>CAA LiberiAgricoltori - SIENA - 001</t>
  </si>
  <si>
    <t>TERRE SENESI SOCIETA' AGRICOLA S.S.</t>
  </si>
  <si>
    <t>AGEA.ASR.2014.0206141</t>
  </si>
  <si>
    <t>AGEA.ASR.2015.0182690</t>
  </si>
  <si>
    <t>CAA CIA - ANCONA - 005</t>
  </si>
  <si>
    <t>BATTISTONI ROBERTO</t>
  </si>
  <si>
    <t>AGEA.ASR.2020.1770304</t>
  </si>
  <si>
    <t>BERNO MAURIZIO</t>
  </si>
  <si>
    <t>BRAMATI SIMONA</t>
  </si>
  <si>
    <t>CAA CAF AGRI - ANCONA - 224</t>
  </si>
  <si>
    <t>DOTTORI CHIARA</t>
  </si>
  <si>
    <t>CAA CAF AGRI - ANCONA - 221</t>
  </si>
  <si>
    <t>GIULIANI GIULIANO</t>
  </si>
  <si>
    <t>CAA Confagricoltura - ANCONA - 001</t>
  </si>
  <si>
    <t>MANCINELLI MAURIZIO</t>
  </si>
  <si>
    <t>BUGATTI ROBERTO</t>
  </si>
  <si>
    <t>MANCINI PAOLA</t>
  </si>
  <si>
    <t>BARTOLONI PAOLA</t>
  </si>
  <si>
    <t>CAA Degli Agricoltori - ANCONA - 102</t>
  </si>
  <si>
    <t>BORRONI LUIGI</t>
  </si>
  <si>
    <t>CAA CAF AGRI - ANCONA - 225</t>
  </si>
  <si>
    <t>BIAGIOLI GIANCARLO</t>
  </si>
  <si>
    <t>BIAGIOLI VITTORINO</t>
  </si>
  <si>
    <t>CAA CIA - ANCONA - 004</t>
  </si>
  <si>
    <t>CALIA CLAUDIA</t>
  </si>
  <si>
    <t>CAA Confagricoltura - PESARO E URBINO - 001</t>
  </si>
  <si>
    <t>BRUSCOLI NADIA</t>
  </si>
  <si>
    <t>CAA Coldiretti - ANCONA - 002</t>
  </si>
  <si>
    <t>BOLOTTI STELVIO</t>
  </si>
  <si>
    <t>CAA Coldiretti - MACERATA - 017</t>
  </si>
  <si>
    <t>RIGANELLI ANNA LUISA</t>
  </si>
  <si>
    <t>AGEA.ASR.2020.1756921</t>
  </si>
  <si>
    <t>CESARONI GIULIANO</t>
  </si>
  <si>
    <t>CAA Coldiretti - ANCONA - 004</t>
  </si>
  <si>
    <t>ALNHILAN DI OLIVIA BIZZARRI &amp; C. - SOCIETA' AGRICOLA IN ACCOMANDI TA S</t>
  </si>
  <si>
    <t>CARLONI SIMONE</t>
  </si>
  <si>
    <t>CAA AGRISERVIZI - LATINA - 001</t>
  </si>
  <si>
    <t>ANNESSI GABRIELE E ANTONIO S.S.</t>
  </si>
  <si>
    <t>AGEA.ASR.2020.1653801</t>
  </si>
  <si>
    <t>CAA Coldiretti - ASCOLI PICENO - 025</t>
  </si>
  <si>
    <t>SCOROLLI SERGIO</t>
  </si>
  <si>
    <t>CAA Coldiretti - FERMO - 001</t>
  </si>
  <si>
    <t>VOLUNNI LUCIANO</t>
  </si>
  <si>
    <t>CAA CIA - ASCOLI PICENO - 004</t>
  </si>
  <si>
    <t>COSSIGNANI GIONE</t>
  </si>
  <si>
    <t>CAA Confagricoltura - ASCOLI PICENO - 001</t>
  </si>
  <si>
    <t>EREDI ANTOGNOZZI GUERINO</t>
  </si>
  <si>
    <t>CAA Coldiretti - ASCOLI PICENO - 040</t>
  </si>
  <si>
    <t>ILLUMINATI FRANCO</t>
  </si>
  <si>
    <t>CAA CIA - PESARO E URBINO - 007</t>
  </si>
  <si>
    <t>FRATTESI MARINELLA</t>
  </si>
  <si>
    <t>CAA CIA - ASCOLI PICENO - 001</t>
  </si>
  <si>
    <t>ALLEVI FRANCO</t>
  </si>
  <si>
    <t>CACCIATORI MASSIMO CLITO</t>
  </si>
  <si>
    <t>AMABILI BARBARA</t>
  </si>
  <si>
    <t>CAA CAF AGRI - FERMO - 222</t>
  </si>
  <si>
    <t>BRACALENTI ANTONIA</t>
  </si>
  <si>
    <t>F &amp; G SRL</t>
  </si>
  <si>
    <t>FAGIANI GIANCARLO</t>
  </si>
  <si>
    <t>MANNARA SERGIO</t>
  </si>
  <si>
    <t>ACCIARRI VINCENZO</t>
  </si>
  <si>
    <t>LAFIN SONIA</t>
  </si>
  <si>
    <t>TRAINI ADRIANO</t>
  </si>
  <si>
    <t>SIMONETTI GENTILINA</t>
  </si>
  <si>
    <t>CAA CIA - ASCOLI PICENO - 002</t>
  </si>
  <si>
    <t>TOTO' CLAUDIO</t>
  </si>
  <si>
    <t>DICHIARA CLAUDIO</t>
  </si>
  <si>
    <t>VIRGILI GIULIA</t>
  </si>
  <si>
    <t>CAA CAF AGRI - FERMO - 221</t>
  </si>
  <si>
    <t>AZZURRO GALIZIO</t>
  </si>
  <si>
    <t>BASTIANI GRAZIANO</t>
  </si>
  <si>
    <t>BISCONTI RENATA</t>
  </si>
  <si>
    <t>CONCETTONI PAOLO</t>
  </si>
  <si>
    <t>ILLUMINATI GABRIELLA</t>
  </si>
  <si>
    <t>OLIVIERI OLIVIERO</t>
  </si>
  <si>
    <t>POSSANZINI GIANLUIGI</t>
  </si>
  <si>
    <t>SCHEGGIA SERAFINO</t>
  </si>
  <si>
    <t>SEGHETTI EMILIO</t>
  </si>
  <si>
    <t>SOCIETA' AGRICOLA BIOLCA SOCIETA' SEMPLICE</t>
  </si>
  <si>
    <t>SPINA FRANCO</t>
  </si>
  <si>
    <t>CAA CIA - ASCOLI PICENO - 006</t>
  </si>
  <si>
    <t>TOMASSETTI SANDRA</t>
  </si>
  <si>
    <t>VAGNONI DARIO</t>
  </si>
  <si>
    <t>BARCHETTA DOMENICO</t>
  </si>
  <si>
    <t>PETROCCHI LUIGI</t>
  </si>
  <si>
    <t>PETROCCHI RODOLFO</t>
  </si>
  <si>
    <t>ANGELINI PAOLO</t>
  </si>
  <si>
    <t>CHICHI LEGRINA</t>
  </si>
  <si>
    <t>FAGIANI DELIO</t>
  </si>
  <si>
    <t>PULCINI LUCIANA</t>
  </si>
  <si>
    <t>SCREPANTE MARISA</t>
  </si>
  <si>
    <t>VILLA DOMENICO</t>
  </si>
  <si>
    <t>POLINI LUIGI</t>
  </si>
  <si>
    <t>VILLA RITA</t>
  </si>
  <si>
    <t>VIOZZI MASSIMILIANO</t>
  </si>
  <si>
    <t>FRATTINI LAURA</t>
  </si>
  <si>
    <t>ROSSI ROSA</t>
  </si>
  <si>
    <t>FRANCHI MARIANO</t>
  </si>
  <si>
    <t>ALBERTI ITALO</t>
  </si>
  <si>
    <t>GALLUCCI ROBERTO</t>
  </si>
  <si>
    <t>PALLONI ROBERTA</t>
  </si>
  <si>
    <t>CAA UNICAA - ASCOLI PICENO - 003</t>
  </si>
  <si>
    <t>SCREPANTI PRIMO</t>
  </si>
  <si>
    <t>COLLINA GIUSEPPINA</t>
  </si>
  <si>
    <t>D'ANGELO SANTINA</t>
  </si>
  <si>
    <t>TOMASSINI GIOVANNI</t>
  </si>
  <si>
    <t>SERGIACOMI EMIDIO</t>
  </si>
  <si>
    <t>GALANDRINI GIORGIO</t>
  </si>
  <si>
    <t>TRAPE' LITTORIA</t>
  </si>
  <si>
    <t>GIACHINI MAURIZIO</t>
  </si>
  <si>
    <t>LANCIOTTI AGOSTINO</t>
  </si>
  <si>
    <t>MATRICARDI MARIA TERESA</t>
  </si>
  <si>
    <t>SOCIETA' AGRICOLA COLLE DEL GIGLIO A R.L.</t>
  </si>
  <si>
    <t>VESPASIANI RENZO</t>
  </si>
  <si>
    <t>SERGIACOMI MARIO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</si>
</sst>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14" fontId="2" fillId="0" borderId="4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E2C0-96CC-4764-8B01-53B6E27CCC6A}">
  <dimension ref="A1:Y131"/>
  <sheetViews>
    <sheetView showGridLines="0" tabSelected="1" workbookViewId="0">
      <selection activeCell="E137" sqref="E137"/>
    </sheetView>
  </sheetViews>
  <sheetFormatPr defaultRowHeight="15" x14ac:dyDescent="0.25"/>
  <cols>
    <col min="1" max="1" width="15.5703125" bestFit="1" customWidth="1"/>
    <col min="2" max="2" width="16.28515625" bestFit="1" customWidth="1"/>
    <col min="3" max="3" width="18.42578125" bestFit="1" customWidth="1"/>
    <col min="4" max="4" width="36.5703125" bestFit="1" customWidth="1"/>
    <col min="5" max="5" width="32.42578125" bestFit="1" customWidth="1"/>
    <col min="6" max="6" width="36.5703125" bestFit="1" customWidth="1"/>
    <col min="7" max="7" width="8.42578125" bestFit="1" customWidth="1"/>
    <col min="8" max="8" width="12.7109375" bestFit="1" customWidth="1"/>
    <col min="9" max="9" width="21.140625" bestFit="1" customWidth="1"/>
    <col min="10" max="10" width="20.140625" bestFit="1" customWidth="1"/>
    <col min="11" max="12" width="17" bestFit="1" customWidth="1"/>
    <col min="13" max="13" width="18.140625" bestFit="1" customWidth="1"/>
    <col min="14" max="14" width="36.5703125" bestFit="1" customWidth="1"/>
    <col min="15" max="15" width="18.85546875" bestFit="1" customWidth="1"/>
    <col min="16" max="16" width="23" bestFit="1" customWidth="1"/>
    <col min="17" max="17" width="16.28515625" bestFit="1" customWidth="1"/>
    <col min="18" max="18" width="17.85546875" bestFit="1" customWidth="1"/>
    <col min="19" max="19" width="20.28515625" bestFit="1" customWidth="1"/>
    <col min="20" max="20" width="4.85546875" bestFit="1" customWidth="1"/>
    <col min="21" max="21" width="18.42578125" bestFit="1" customWidth="1"/>
    <col min="22" max="22" width="24.5703125" bestFit="1" customWidth="1"/>
    <col min="23" max="24" width="27.140625" bestFit="1" customWidth="1"/>
    <col min="25" max="25" width="33.85546875" bestFit="1" customWidth="1"/>
  </cols>
  <sheetData>
    <row r="1" spans="1: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</row>
    <row r="3" spans="1:2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4" t="s">
        <v>25</v>
      </c>
    </row>
    <row r="4" spans="1:25" ht="24.75" x14ac:dyDescent="0.25">
      <c r="A4" s="5" t="s">
        <v>26</v>
      </c>
      <c r="B4" s="5" t="s">
        <v>36</v>
      </c>
      <c r="C4" s="5" t="s">
        <v>47</v>
      </c>
      <c r="D4" s="5" t="s">
        <v>48</v>
      </c>
      <c r="E4" s="5" t="s">
        <v>37</v>
      </c>
      <c r="F4" s="5" t="s">
        <v>37</v>
      </c>
      <c r="G4" s="5">
        <v>2017</v>
      </c>
      <c r="H4" s="5" t="str">
        <f>_xlfn.CONCAT("04270219449")</f>
        <v>04270219449</v>
      </c>
      <c r="I4" s="5" t="s">
        <v>29</v>
      </c>
      <c r="J4" s="5" t="s">
        <v>38</v>
      </c>
      <c r="K4" s="5" t="str">
        <f>_xlfn.CONCAT("")</f>
        <v/>
      </c>
      <c r="L4" s="5" t="str">
        <f>_xlfn.CONCAT("6 6.1 2b")</f>
        <v>6 6.1 2b</v>
      </c>
      <c r="M4" s="5" t="str">
        <f>_xlfn.CONCAT("01907690430")</f>
        <v>01907690430</v>
      </c>
      <c r="N4" s="5" t="s">
        <v>49</v>
      </c>
      <c r="O4" s="5" t="s">
        <v>50</v>
      </c>
      <c r="P4" s="6">
        <v>44187</v>
      </c>
      <c r="Q4" s="5" t="s">
        <v>31</v>
      </c>
      <c r="R4" s="5" t="s">
        <v>32</v>
      </c>
      <c r="S4" s="5" t="s">
        <v>33</v>
      </c>
      <c r="T4" s="5"/>
      <c r="U4" s="7">
        <v>42000</v>
      </c>
      <c r="V4" s="7">
        <v>18110.400000000001</v>
      </c>
      <c r="W4" s="7">
        <v>16724.400000000001</v>
      </c>
      <c r="X4" s="5">
        <v>0</v>
      </c>
      <c r="Y4" s="7">
        <v>7165.2</v>
      </c>
    </row>
    <row r="5" spans="1:25" ht="24.75" x14ac:dyDescent="0.25">
      <c r="A5" s="5" t="s">
        <v>26</v>
      </c>
      <c r="B5" s="5" t="s">
        <v>36</v>
      </c>
      <c r="C5" s="5" t="s">
        <v>47</v>
      </c>
      <c r="D5" s="5" t="s">
        <v>51</v>
      </c>
      <c r="E5" s="5" t="s">
        <v>37</v>
      </c>
      <c r="F5" s="5" t="s">
        <v>37</v>
      </c>
      <c r="G5" s="5">
        <v>2017</v>
      </c>
      <c r="H5" s="5" t="str">
        <f>_xlfn.CONCAT("04270219654")</f>
        <v>04270219654</v>
      </c>
      <c r="I5" s="5" t="s">
        <v>40</v>
      </c>
      <c r="J5" s="5" t="s">
        <v>38</v>
      </c>
      <c r="K5" s="5" t="str">
        <f>_xlfn.CONCAT("")</f>
        <v/>
      </c>
      <c r="L5" s="5" t="str">
        <f>_xlfn.CONCAT("16 16.5 4c")</f>
        <v>16 16.5 4c</v>
      </c>
      <c r="M5" s="5" t="str">
        <f>_xlfn.CONCAT("81000890442")</f>
        <v>81000890442</v>
      </c>
      <c r="N5" s="5" t="s">
        <v>52</v>
      </c>
      <c r="O5" s="5" t="s">
        <v>53</v>
      </c>
      <c r="P5" s="6">
        <v>44187</v>
      </c>
      <c r="Q5" s="5" t="s">
        <v>31</v>
      </c>
      <c r="R5" s="5" t="s">
        <v>32</v>
      </c>
      <c r="S5" s="5" t="s">
        <v>33</v>
      </c>
      <c r="T5" s="5"/>
      <c r="U5" s="7">
        <v>19849.98</v>
      </c>
      <c r="V5" s="7">
        <v>8559.31</v>
      </c>
      <c r="W5" s="7">
        <v>7904.26</v>
      </c>
      <c r="X5" s="5">
        <v>0</v>
      </c>
      <c r="Y5" s="7">
        <v>3386.41</v>
      </c>
    </row>
    <row r="6" spans="1:25" ht="24.75" x14ac:dyDescent="0.25">
      <c r="A6" s="5" t="s">
        <v>26</v>
      </c>
      <c r="B6" s="5" t="s">
        <v>36</v>
      </c>
      <c r="C6" s="5" t="s">
        <v>47</v>
      </c>
      <c r="D6" s="5" t="s">
        <v>51</v>
      </c>
      <c r="E6" s="5" t="s">
        <v>34</v>
      </c>
      <c r="F6" s="5" t="s">
        <v>54</v>
      </c>
      <c r="G6" s="5">
        <v>2017</v>
      </c>
      <c r="H6" s="5" t="str">
        <f>_xlfn.CONCAT("04270214606")</f>
        <v>04270214606</v>
      </c>
      <c r="I6" s="5" t="s">
        <v>29</v>
      </c>
      <c r="J6" s="5" t="s">
        <v>38</v>
      </c>
      <c r="K6" s="5" t="str">
        <f>_xlfn.CONCAT("")</f>
        <v/>
      </c>
      <c r="L6" s="5" t="str">
        <f>_xlfn.CONCAT("6 6.1 2b")</f>
        <v>6 6.1 2b</v>
      </c>
      <c r="M6" s="5" t="str">
        <f>_xlfn.CONCAT("LNDLRT89C10H769S")</f>
        <v>LNDLRT89C10H769S</v>
      </c>
      <c r="N6" s="5" t="s">
        <v>55</v>
      </c>
      <c r="O6" s="5" t="s">
        <v>56</v>
      </c>
      <c r="P6" s="6">
        <v>44186</v>
      </c>
      <c r="Q6" s="5" t="s">
        <v>31</v>
      </c>
      <c r="R6" s="5" t="s">
        <v>32</v>
      </c>
      <c r="S6" s="5" t="s">
        <v>33</v>
      </c>
      <c r="T6" s="5"/>
      <c r="U6" s="7">
        <v>10500</v>
      </c>
      <c r="V6" s="7">
        <v>4527.6000000000004</v>
      </c>
      <c r="W6" s="7">
        <v>4181.1000000000004</v>
      </c>
      <c r="X6" s="5">
        <v>0</v>
      </c>
      <c r="Y6" s="7">
        <v>1791.3</v>
      </c>
    </row>
    <row r="7" spans="1:25" ht="24.75" x14ac:dyDescent="0.25">
      <c r="A7" s="5" t="s">
        <v>26</v>
      </c>
      <c r="B7" s="5" t="s">
        <v>36</v>
      </c>
      <c r="C7" s="5" t="s">
        <v>47</v>
      </c>
      <c r="D7" s="5" t="s">
        <v>51</v>
      </c>
      <c r="E7" s="5" t="s">
        <v>37</v>
      </c>
      <c r="F7" s="5" t="s">
        <v>37</v>
      </c>
      <c r="G7" s="5">
        <v>2017</v>
      </c>
      <c r="H7" s="5" t="str">
        <f>_xlfn.CONCAT("04270219514")</f>
        <v>04270219514</v>
      </c>
      <c r="I7" s="5" t="s">
        <v>29</v>
      </c>
      <c r="J7" s="5" t="s">
        <v>38</v>
      </c>
      <c r="K7" s="5" t="str">
        <f>_xlfn.CONCAT("")</f>
        <v/>
      </c>
      <c r="L7" s="5" t="str">
        <f>_xlfn.CONCAT("6 6.1 2b")</f>
        <v>6 6.1 2b</v>
      </c>
      <c r="M7" s="5" t="str">
        <f>_xlfn.CONCAT("PLFGNN82C19A462E")</f>
        <v>PLFGNN82C19A462E</v>
      </c>
      <c r="N7" s="5" t="s">
        <v>57</v>
      </c>
      <c r="O7" s="5" t="s">
        <v>50</v>
      </c>
      <c r="P7" s="6">
        <v>44187</v>
      </c>
      <c r="Q7" s="5" t="s">
        <v>31</v>
      </c>
      <c r="R7" s="5" t="s">
        <v>32</v>
      </c>
      <c r="S7" s="5" t="s">
        <v>33</v>
      </c>
      <c r="T7" s="5"/>
      <c r="U7" s="7">
        <v>21000</v>
      </c>
      <c r="V7" s="7">
        <v>9055.2000000000007</v>
      </c>
      <c r="W7" s="7">
        <v>8362.2000000000007</v>
      </c>
      <c r="X7" s="5">
        <v>0</v>
      </c>
      <c r="Y7" s="7">
        <v>3582.6</v>
      </c>
    </row>
    <row r="8" spans="1:25" ht="24.75" x14ac:dyDescent="0.25">
      <c r="A8" s="5" t="s">
        <v>26</v>
      </c>
      <c r="B8" s="5" t="s">
        <v>36</v>
      </c>
      <c r="C8" s="5" t="s">
        <v>47</v>
      </c>
      <c r="D8" s="5" t="s">
        <v>51</v>
      </c>
      <c r="E8" s="5" t="s">
        <v>45</v>
      </c>
      <c r="F8" s="5" t="s">
        <v>58</v>
      </c>
      <c r="G8" s="5">
        <v>2017</v>
      </c>
      <c r="H8" s="5" t="str">
        <f>_xlfn.CONCAT("04270219423")</f>
        <v>04270219423</v>
      </c>
      <c r="I8" s="5" t="s">
        <v>29</v>
      </c>
      <c r="J8" s="5" t="s">
        <v>38</v>
      </c>
      <c r="K8" s="5" t="str">
        <f>_xlfn.CONCAT("")</f>
        <v/>
      </c>
      <c r="L8" s="5" t="str">
        <f>_xlfn.CONCAT("6 6.1 2b")</f>
        <v>6 6.1 2b</v>
      </c>
      <c r="M8" s="5" t="str">
        <f>_xlfn.CONCAT("SPNFBA85D05H769R")</f>
        <v>SPNFBA85D05H769R</v>
      </c>
      <c r="N8" s="5" t="s">
        <v>59</v>
      </c>
      <c r="O8" s="5" t="s">
        <v>50</v>
      </c>
      <c r="P8" s="6">
        <v>44187</v>
      </c>
      <c r="Q8" s="5" t="s">
        <v>31</v>
      </c>
      <c r="R8" s="5" t="s">
        <v>32</v>
      </c>
      <c r="S8" s="5" t="s">
        <v>33</v>
      </c>
      <c r="T8" s="5"/>
      <c r="U8" s="7">
        <v>21000</v>
      </c>
      <c r="V8" s="7">
        <v>9055.2000000000007</v>
      </c>
      <c r="W8" s="7">
        <v>8362.2000000000007</v>
      </c>
      <c r="X8" s="5">
        <v>0</v>
      </c>
      <c r="Y8" s="7">
        <v>3582.6</v>
      </c>
    </row>
    <row r="9" spans="1:25" ht="24.75" x14ac:dyDescent="0.25">
      <c r="A9" s="5" t="s">
        <v>26</v>
      </c>
      <c r="B9" s="5" t="s">
        <v>36</v>
      </c>
      <c r="C9" s="5" t="s">
        <v>47</v>
      </c>
      <c r="D9" s="5" t="s">
        <v>51</v>
      </c>
      <c r="E9" s="5" t="s">
        <v>45</v>
      </c>
      <c r="F9" s="5" t="s">
        <v>58</v>
      </c>
      <c r="G9" s="5">
        <v>2017</v>
      </c>
      <c r="H9" s="5" t="str">
        <f>_xlfn.CONCAT("04270219464")</f>
        <v>04270219464</v>
      </c>
      <c r="I9" s="5" t="s">
        <v>29</v>
      </c>
      <c r="J9" s="5" t="s">
        <v>38</v>
      </c>
      <c r="K9" s="5" t="str">
        <f>_xlfn.CONCAT("")</f>
        <v/>
      </c>
      <c r="L9" s="5" t="str">
        <f>_xlfn.CONCAT("6 6.4 2a")</f>
        <v>6 6.4 2a</v>
      </c>
      <c r="M9" s="5" t="str">
        <f>_xlfn.CONCAT("SPNFBA85D05H769R")</f>
        <v>SPNFBA85D05H769R</v>
      </c>
      <c r="N9" s="5" t="s">
        <v>59</v>
      </c>
      <c r="O9" s="5" t="s">
        <v>60</v>
      </c>
      <c r="P9" s="6">
        <v>44187</v>
      </c>
      <c r="Q9" s="5" t="s">
        <v>31</v>
      </c>
      <c r="R9" s="5" t="s">
        <v>32</v>
      </c>
      <c r="S9" s="5" t="s">
        <v>33</v>
      </c>
      <c r="T9" s="5"/>
      <c r="U9" s="7">
        <v>95895.71</v>
      </c>
      <c r="V9" s="7">
        <v>41350.230000000003</v>
      </c>
      <c r="W9" s="7">
        <v>38185.67</v>
      </c>
      <c r="X9" s="5">
        <v>0</v>
      </c>
      <c r="Y9" s="7">
        <v>16359.81</v>
      </c>
    </row>
    <row r="10" spans="1:25" ht="24.75" x14ac:dyDescent="0.25">
      <c r="A10" s="5" t="s">
        <v>26</v>
      </c>
      <c r="B10" s="5" t="s">
        <v>36</v>
      </c>
      <c r="C10" s="5" t="s">
        <v>47</v>
      </c>
      <c r="D10" s="5" t="s">
        <v>51</v>
      </c>
      <c r="E10" s="5" t="s">
        <v>42</v>
      </c>
      <c r="F10" s="5" t="s">
        <v>61</v>
      </c>
      <c r="G10" s="5">
        <v>2017</v>
      </c>
      <c r="H10" s="5" t="str">
        <f>_xlfn.CONCAT("04270219431")</f>
        <v>04270219431</v>
      </c>
      <c r="I10" s="5" t="s">
        <v>29</v>
      </c>
      <c r="J10" s="5" t="s">
        <v>38</v>
      </c>
      <c r="K10" s="5" t="str">
        <f>_xlfn.CONCAT("")</f>
        <v/>
      </c>
      <c r="L10" s="5" t="str">
        <f>_xlfn.CONCAT("6 6.1 2b")</f>
        <v>6 6.1 2b</v>
      </c>
      <c r="M10" s="5" t="str">
        <f>_xlfn.CONCAT("BGRRRT79A41E526T")</f>
        <v>BGRRRT79A41E526T</v>
      </c>
      <c r="N10" s="5" t="s">
        <v>62</v>
      </c>
      <c r="O10" s="5" t="s">
        <v>50</v>
      </c>
      <c r="P10" s="6">
        <v>44187</v>
      </c>
      <c r="Q10" s="5" t="s">
        <v>31</v>
      </c>
      <c r="R10" s="5" t="s">
        <v>32</v>
      </c>
      <c r="S10" s="5" t="s">
        <v>33</v>
      </c>
      <c r="T10" s="5"/>
      <c r="U10" s="7">
        <v>21000</v>
      </c>
      <c r="V10" s="7">
        <v>9055.2000000000007</v>
      </c>
      <c r="W10" s="7">
        <v>8362.2000000000007</v>
      </c>
      <c r="X10" s="5">
        <v>0</v>
      </c>
      <c r="Y10" s="7">
        <v>3582.6</v>
      </c>
    </row>
    <row r="11" spans="1:25" ht="24.75" x14ac:dyDescent="0.25">
      <c r="A11" s="5" t="s">
        <v>26</v>
      </c>
      <c r="B11" s="5" t="s">
        <v>36</v>
      </c>
      <c r="C11" s="5" t="s">
        <v>47</v>
      </c>
      <c r="D11" s="5" t="s">
        <v>51</v>
      </c>
      <c r="E11" s="5" t="s">
        <v>42</v>
      </c>
      <c r="F11" s="5" t="s">
        <v>61</v>
      </c>
      <c r="G11" s="5">
        <v>2017</v>
      </c>
      <c r="H11" s="5" t="str">
        <f>_xlfn.CONCAT("04270219456")</f>
        <v>04270219456</v>
      </c>
      <c r="I11" s="5" t="s">
        <v>29</v>
      </c>
      <c r="J11" s="5" t="s">
        <v>38</v>
      </c>
      <c r="K11" s="5" t="str">
        <f>_xlfn.CONCAT("")</f>
        <v/>
      </c>
      <c r="L11" s="5" t="str">
        <f>_xlfn.CONCAT("6 6.4 2a")</f>
        <v>6 6.4 2a</v>
      </c>
      <c r="M11" s="5" t="str">
        <f>_xlfn.CONCAT("BGRRRT79A41E526T")</f>
        <v>BGRRRT79A41E526T</v>
      </c>
      <c r="N11" s="5" t="s">
        <v>62</v>
      </c>
      <c r="O11" s="5" t="s">
        <v>60</v>
      </c>
      <c r="P11" s="6">
        <v>44187</v>
      </c>
      <c r="Q11" s="5" t="s">
        <v>31</v>
      </c>
      <c r="R11" s="5" t="s">
        <v>32</v>
      </c>
      <c r="S11" s="5" t="s">
        <v>33</v>
      </c>
      <c r="T11" s="5"/>
      <c r="U11" s="7">
        <v>32749.63</v>
      </c>
      <c r="V11" s="7">
        <v>14121.64</v>
      </c>
      <c r="W11" s="7">
        <v>13040.9</v>
      </c>
      <c r="X11" s="5">
        <v>0</v>
      </c>
      <c r="Y11" s="7">
        <v>5587.09</v>
      </c>
    </row>
    <row r="12" spans="1:25" ht="24.75" x14ac:dyDescent="0.25">
      <c r="A12" s="5" t="s">
        <v>26</v>
      </c>
      <c r="B12" s="5" t="s">
        <v>36</v>
      </c>
      <c r="C12" s="5" t="s">
        <v>47</v>
      </c>
      <c r="D12" s="5" t="s">
        <v>51</v>
      </c>
      <c r="E12" s="5" t="s">
        <v>37</v>
      </c>
      <c r="F12" s="5" t="s">
        <v>37</v>
      </c>
      <c r="G12" s="5">
        <v>2017</v>
      </c>
      <c r="H12" s="5" t="str">
        <f>_xlfn.CONCAT("04270214739")</f>
        <v>04270214739</v>
      </c>
      <c r="I12" s="5" t="s">
        <v>29</v>
      </c>
      <c r="J12" s="5" t="s">
        <v>38</v>
      </c>
      <c r="K12" s="5" t="str">
        <f>_xlfn.CONCAT("")</f>
        <v/>
      </c>
      <c r="L12" s="5" t="str">
        <f>_xlfn.CONCAT("6 6.1 2b")</f>
        <v>6 6.1 2b</v>
      </c>
      <c r="M12" s="5" t="str">
        <f>_xlfn.CONCAT("GBBBDT97L09H769R")</f>
        <v>GBBBDT97L09H769R</v>
      </c>
      <c r="N12" s="5" t="s">
        <v>63</v>
      </c>
      <c r="O12" s="5" t="s">
        <v>64</v>
      </c>
      <c r="P12" s="6">
        <v>44186</v>
      </c>
      <c r="Q12" s="5" t="s">
        <v>31</v>
      </c>
      <c r="R12" s="5" t="s">
        <v>39</v>
      </c>
      <c r="S12" s="5" t="s">
        <v>33</v>
      </c>
      <c r="T12" s="5"/>
      <c r="U12" s="7">
        <v>28000</v>
      </c>
      <c r="V12" s="7">
        <v>12073.6</v>
      </c>
      <c r="W12" s="7">
        <v>11149.6</v>
      </c>
      <c r="X12" s="5">
        <v>0</v>
      </c>
      <c r="Y12" s="7">
        <v>4776.8</v>
      </c>
    </row>
    <row r="13" spans="1:25" x14ac:dyDescent="0.25">
      <c r="A13" s="5" t="s">
        <v>26</v>
      </c>
      <c r="B13" s="5" t="s">
        <v>36</v>
      </c>
      <c r="C13" s="5" t="s">
        <v>47</v>
      </c>
      <c r="D13" s="5" t="s">
        <v>48</v>
      </c>
      <c r="E13" s="5" t="s">
        <v>37</v>
      </c>
      <c r="F13" s="5" t="s">
        <v>37</v>
      </c>
      <c r="G13" s="5">
        <v>2017</v>
      </c>
      <c r="H13" s="5" t="str">
        <f>_xlfn.CONCAT("04270214770")</f>
        <v>04270214770</v>
      </c>
      <c r="I13" s="5" t="s">
        <v>29</v>
      </c>
      <c r="J13" s="5" t="s">
        <v>38</v>
      </c>
      <c r="K13" s="5" t="str">
        <f>_xlfn.CONCAT("")</f>
        <v/>
      </c>
      <c r="L13" s="5" t="str">
        <f>_xlfn.CONCAT("1 1.1 2a")</f>
        <v>1 1.1 2a</v>
      </c>
      <c r="M13" s="5" t="str">
        <f>_xlfn.CONCAT("02051370423")</f>
        <v>02051370423</v>
      </c>
      <c r="N13" s="5" t="s">
        <v>65</v>
      </c>
      <c r="O13" s="5" t="s">
        <v>66</v>
      </c>
      <c r="P13" s="6">
        <v>44187</v>
      </c>
      <c r="Q13" s="5" t="s">
        <v>31</v>
      </c>
      <c r="R13" s="5" t="s">
        <v>32</v>
      </c>
      <c r="S13" s="5" t="s">
        <v>33</v>
      </c>
      <c r="T13" s="5"/>
      <c r="U13" s="7">
        <v>3960</v>
      </c>
      <c r="V13" s="7">
        <v>1707.55</v>
      </c>
      <c r="W13" s="7">
        <v>1576.87</v>
      </c>
      <c r="X13" s="5">
        <v>0</v>
      </c>
      <c r="Y13" s="5">
        <v>675.58</v>
      </c>
    </row>
    <row r="14" spans="1:25" x14ac:dyDescent="0.25">
      <c r="A14" s="5" t="s">
        <v>26</v>
      </c>
      <c r="B14" s="5" t="s">
        <v>36</v>
      </c>
      <c r="C14" s="5" t="s">
        <v>47</v>
      </c>
      <c r="D14" s="5" t="s">
        <v>48</v>
      </c>
      <c r="E14" s="5" t="s">
        <v>41</v>
      </c>
      <c r="F14" s="5" t="s">
        <v>67</v>
      </c>
      <c r="G14" s="5">
        <v>2017</v>
      </c>
      <c r="H14" s="5" t="str">
        <f>_xlfn.CONCAT("04270215116")</f>
        <v>04270215116</v>
      </c>
      <c r="I14" s="5" t="s">
        <v>29</v>
      </c>
      <c r="J14" s="5" t="s">
        <v>38</v>
      </c>
      <c r="K14" s="5" t="str">
        <f>_xlfn.CONCAT("")</f>
        <v/>
      </c>
      <c r="L14" s="5" t="str">
        <f>_xlfn.CONCAT("4 4.1 2a")</f>
        <v>4 4.1 2a</v>
      </c>
      <c r="M14" s="5" t="str">
        <f>_xlfn.CONCAT("CPPGVR96A48E648T")</f>
        <v>CPPGVR96A48E648T</v>
      </c>
      <c r="N14" s="5" t="s">
        <v>68</v>
      </c>
      <c r="O14" s="5" t="s">
        <v>69</v>
      </c>
      <c r="P14" s="6">
        <v>44186</v>
      </c>
      <c r="Q14" s="5" t="s">
        <v>31</v>
      </c>
      <c r="R14" s="5" t="s">
        <v>32</v>
      </c>
      <c r="S14" s="5" t="s">
        <v>33</v>
      </c>
      <c r="T14" s="5"/>
      <c r="U14" s="7">
        <v>105888.81</v>
      </c>
      <c r="V14" s="7">
        <v>45659.25</v>
      </c>
      <c r="W14" s="7">
        <v>42164.92</v>
      </c>
      <c r="X14" s="5">
        <v>0</v>
      </c>
      <c r="Y14" s="7">
        <v>18064.64</v>
      </c>
    </row>
    <row r="15" spans="1:25" x14ac:dyDescent="0.25">
      <c r="A15" s="5" t="s">
        <v>26</v>
      </c>
      <c r="B15" s="5" t="s">
        <v>36</v>
      </c>
      <c r="C15" s="5" t="s">
        <v>47</v>
      </c>
      <c r="D15" s="5" t="s">
        <v>47</v>
      </c>
      <c r="E15" s="5" t="s">
        <v>37</v>
      </c>
      <c r="F15" s="5" t="s">
        <v>37</v>
      </c>
      <c r="G15" s="5">
        <v>2017</v>
      </c>
      <c r="H15" s="5" t="str">
        <f>_xlfn.CONCAT("04270214507")</f>
        <v>04270214507</v>
      </c>
      <c r="I15" s="5" t="s">
        <v>29</v>
      </c>
      <c r="J15" s="5" t="s">
        <v>38</v>
      </c>
      <c r="K15" s="5" t="str">
        <f>_xlfn.CONCAT("")</f>
        <v/>
      </c>
      <c r="L15" s="5" t="str">
        <f>_xlfn.CONCAT("19 19.2 6b")</f>
        <v>19 19.2 6b</v>
      </c>
      <c r="M15" s="5" t="str">
        <f>_xlfn.CONCAT("MRTDGI87S17D749U")</f>
        <v>MRTDGI87S17D749U</v>
      </c>
      <c r="N15" s="5" t="s">
        <v>70</v>
      </c>
      <c r="O15" s="5" t="s">
        <v>71</v>
      </c>
      <c r="P15" s="6">
        <v>44187</v>
      </c>
      <c r="Q15" s="5" t="s">
        <v>31</v>
      </c>
      <c r="R15" s="5" t="s">
        <v>39</v>
      </c>
      <c r="S15" s="5" t="s">
        <v>33</v>
      </c>
      <c r="T15" s="5"/>
      <c r="U15" s="7">
        <v>15000</v>
      </c>
      <c r="V15" s="7">
        <v>6468</v>
      </c>
      <c r="W15" s="7">
        <v>5973</v>
      </c>
      <c r="X15" s="5">
        <v>0</v>
      </c>
      <c r="Y15" s="7">
        <v>2559</v>
      </c>
    </row>
    <row r="16" spans="1:25" x14ac:dyDescent="0.25">
      <c r="A16" s="5" t="s">
        <v>26</v>
      </c>
      <c r="B16" s="5" t="s">
        <v>36</v>
      </c>
      <c r="C16" s="5" t="s">
        <v>47</v>
      </c>
      <c r="D16" s="5" t="s">
        <v>48</v>
      </c>
      <c r="E16" s="5" t="s">
        <v>41</v>
      </c>
      <c r="F16" s="5" t="s">
        <v>67</v>
      </c>
      <c r="G16" s="5">
        <v>2017</v>
      </c>
      <c r="H16" s="5" t="str">
        <f>_xlfn.CONCAT("04270215124")</f>
        <v>04270215124</v>
      </c>
      <c r="I16" s="5" t="s">
        <v>29</v>
      </c>
      <c r="J16" s="5" t="s">
        <v>38</v>
      </c>
      <c r="K16" s="5" t="str">
        <f>_xlfn.CONCAT("")</f>
        <v/>
      </c>
      <c r="L16" s="5" t="str">
        <f>_xlfn.CONCAT("6 6.1 2b")</f>
        <v>6 6.1 2b</v>
      </c>
      <c r="M16" s="5" t="str">
        <f>_xlfn.CONCAT("CPPGVR96A48E648T")</f>
        <v>CPPGVR96A48E648T</v>
      </c>
      <c r="N16" s="5" t="s">
        <v>68</v>
      </c>
      <c r="O16" s="5" t="s">
        <v>72</v>
      </c>
      <c r="P16" s="6">
        <v>44186</v>
      </c>
      <c r="Q16" s="5" t="s">
        <v>31</v>
      </c>
      <c r="R16" s="5" t="s">
        <v>32</v>
      </c>
      <c r="S16" s="5" t="s">
        <v>33</v>
      </c>
      <c r="T16" s="5"/>
      <c r="U16" s="7">
        <v>21000</v>
      </c>
      <c r="V16" s="7">
        <v>9055.2000000000007</v>
      </c>
      <c r="W16" s="7">
        <v>8362.2000000000007</v>
      </c>
      <c r="X16" s="5">
        <v>0</v>
      </c>
      <c r="Y16" s="7">
        <v>3582.6</v>
      </c>
    </row>
    <row r="17" spans="1:25" ht="24.75" x14ac:dyDescent="0.25">
      <c r="A17" s="5" t="s">
        <v>26</v>
      </c>
      <c r="B17" s="5" t="s">
        <v>36</v>
      </c>
      <c r="C17" s="5" t="s">
        <v>47</v>
      </c>
      <c r="D17" s="5" t="s">
        <v>51</v>
      </c>
      <c r="E17" s="5" t="s">
        <v>34</v>
      </c>
      <c r="F17" s="5" t="s">
        <v>54</v>
      </c>
      <c r="G17" s="5">
        <v>2017</v>
      </c>
      <c r="H17" s="5" t="str">
        <f>_xlfn.CONCAT("04270215892")</f>
        <v>04270215892</v>
      </c>
      <c r="I17" s="5" t="s">
        <v>29</v>
      </c>
      <c r="J17" s="5" t="s">
        <v>38</v>
      </c>
      <c r="K17" s="5" t="str">
        <f>_xlfn.CONCAT("")</f>
        <v/>
      </c>
      <c r="L17" s="5" t="str">
        <f>_xlfn.CONCAT("4 4.1 2a")</f>
        <v>4 4.1 2a</v>
      </c>
      <c r="M17" s="5" t="str">
        <f>_xlfn.CONCAT("LNDLRT89C10H769S")</f>
        <v>LNDLRT89C10H769S</v>
      </c>
      <c r="N17" s="5" t="s">
        <v>55</v>
      </c>
      <c r="O17" s="5" t="s">
        <v>73</v>
      </c>
      <c r="P17" s="6">
        <v>44186</v>
      </c>
      <c r="Q17" s="5" t="s">
        <v>31</v>
      </c>
      <c r="R17" s="5" t="s">
        <v>32</v>
      </c>
      <c r="S17" s="5" t="s">
        <v>33</v>
      </c>
      <c r="T17" s="5"/>
      <c r="U17" s="7">
        <v>54071.01</v>
      </c>
      <c r="V17" s="7">
        <v>23315.42</v>
      </c>
      <c r="W17" s="7">
        <v>21531.08</v>
      </c>
      <c r="X17" s="5">
        <v>0</v>
      </c>
      <c r="Y17" s="7">
        <v>9224.51</v>
      </c>
    </row>
    <row r="18" spans="1:25" x14ac:dyDescent="0.25">
      <c r="A18" s="5" t="s">
        <v>26</v>
      </c>
      <c r="B18" s="5" t="s">
        <v>36</v>
      </c>
      <c r="C18" s="5" t="s">
        <v>47</v>
      </c>
      <c r="D18" s="5" t="s">
        <v>47</v>
      </c>
      <c r="E18" s="5" t="s">
        <v>37</v>
      </c>
      <c r="F18" s="5" t="s">
        <v>37</v>
      </c>
      <c r="G18" s="5">
        <v>2017</v>
      </c>
      <c r="H18" s="5" t="str">
        <f>_xlfn.CONCAT("04270217898")</f>
        <v>04270217898</v>
      </c>
      <c r="I18" s="5" t="s">
        <v>40</v>
      </c>
      <c r="J18" s="5" t="s">
        <v>38</v>
      </c>
      <c r="K18" s="5" t="str">
        <f>_xlfn.CONCAT("")</f>
        <v/>
      </c>
      <c r="L18" s="5" t="str">
        <f>_xlfn.CONCAT("19 19.2 6b")</f>
        <v>19 19.2 6b</v>
      </c>
      <c r="M18" s="5" t="str">
        <f>_xlfn.CONCAT("NNNMRS71A49F697Z")</f>
        <v>NNNMRS71A49F697Z</v>
      </c>
      <c r="N18" s="5" t="s">
        <v>74</v>
      </c>
      <c r="O18" s="5" t="s">
        <v>75</v>
      </c>
      <c r="P18" s="6">
        <v>44187</v>
      </c>
      <c r="Q18" s="5" t="s">
        <v>31</v>
      </c>
      <c r="R18" s="5" t="s">
        <v>39</v>
      </c>
      <c r="S18" s="5" t="s">
        <v>33</v>
      </c>
      <c r="T18" s="5"/>
      <c r="U18" s="7">
        <v>12500</v>
      </c>
      <c r="V18" s="7">
        <v>5390</v>
      </c>
      <c r="W18" s="7">
        <v>4977.5</v>
      </c>
      <c r="X18" s="5">
        <v>0</v>
      </c>
      <c r="Y18" s="7">
        <v>2132.5</v>
      </c>
    </row>
    <row r="19" spans="1:25" ht="36.75" x14ac:dyDescent="0.25">
      <c r="A19" s="5" t="s">
        <v>26</v>
      </c>
      <c r="B19" s="5" t="s">
        <v>27</v>
      </c>
      <c r="C19" s="5" t="s">
        <v>47</v>
      </c>
      <c r="D19" s="5" t="s">
        <v>76</v>
      </c>
      <c r="E19" s="5" t="s">
        <v>34</v>
      </c>
      <c r="F19" s="5" t="s">
        <v>77</v>
      </c>
      <c r="G19" s="5">
        <v>2020</v>
      </c>
      <c r="H19" s="5" t="str">
        <f>_xlfn.CONCAT("04241180415")</f>
        <v>04241180415</v>
      </c>
      <c r="I19" s="5" t="s">
        <v>29</v>
      </c>
      <c r="J19" s="5" t="s">
        <v>38</v>
      </c>
      <c r="K19" s="5" t="str">
        <f>_xlfn.CONCAT("")</f>
        <v/>
      </c>
      <c r="L19" s="5" t="str">
        <f>_xlfn.CONCAT("11 11.2 4b")</f>
        <v>11 11.2 4b</v>
      </c>
      <c r="M19" s="5" t="str">
        <f>_xlfn.CONCAT("02150060420")</f>
        <v>02150060420</v>
      </c>
      <c r="N19" s="5" t="s">
        <v>78</v>
      </c>
      <c r="O19" s="5" t="s">
        <v>79</v>
      </c>
      <c r="P19" s="6">
        <v>44187</v>
      </c>
      <c r="Q19" s="5" t="s">
        <v>31</v>
      </c>
      <c r="R19" s="5" t="s">
        <v>32</v>
      </c>
      <c r="S19" s="5" t="s">
        <v>33</v>
      </c>
      <c r="T19" s="5"/>
      <c r="U19" s="7">
        <v>2213.1</v>
      </c>
      <c r="V19" s="5">
        <v>954.29</v>
      </c>
      <c r="W19" s="5">
        <v>881.26</v>
      </c>
      <c r="X19" s="5">
        <v>0</v>
      </c>
      <c r="Y19" s="5">
        <v>377.55</v>
      </c>
    </row>
    <row r="20" spans="1:25" ht="24.75" x14ac:dyDescent="0.25">
      <c r="A20" s="5" t="s">
        <v>26</v>
      </c>
      <c r="B20" s="5" t="s">
        <v>27</v>
      </c>
      <c r="C20" s="5" t="s">
        <v>47</v>
      </c>
      <c r="D20" s="5" t="s">
        <v>76</v>
      </c>
      <c r="E20" s="5" t="s">
        <v>45</v>
      </c>
      <c r="F20" s="5" t="s">
        <v>80</v>
      </c>
      <c r="G20" s="5">
        <v>2020</v>
      </c>
      <c r="H20" s="5" t="str">
        <f>_xlfn.CONCAT("04241092891")</f>
        <v>04241092891</v>
      </c>
      <c r="I20" s="5" t="s">
        <v>29</v>
      </c>
      <c r="J20" s="5" t="s">
        <v>38</v>
      </c>
      <c r="K20" s="5" t="str">
        <f>_xlfn.CONCAT("")</f>
        <v/>
      </c>
      <c r="L20" s="5" t="str">
        <f>_xlfn.CONCAT("11 11.2 4b")</f>
        <v>11 11.2 4b</v>
      </c>
      <c r="M20" s="5" t="str">
        <f>_xlfn.CONCAT("01499440426")</f>
        <v>01499440426</v>
      </c>
      <c r="N20" s="5" t="s">
        <v>81</v>
      </c>
      <c r="O20" s="5" t="s">
        <v>79</v>
      </c>
      <c r="P20" s="6">
        <v>44187</v>
      </c>
      <c r="Q20" s="5" t="s">
        <v>31</v>
      </c>
      <c r="R20" s="5" t="s">
        <v>32</v>
      </c>
      <c r="S20" s="5" t="s">
        <v>33</v>
      </c>
      <c r="T20" s="5"/>
      <c r="U20" s="7">
        <v>6300.01</v>
      </c>
      <c r="V20" s="7">
        <v>2716.56</v>
      </c>
      <c r="W20" s="7">
        <v>2508.66</v>
      </c>
      <c r="X20" s="5">
        <v>0</v>
      </c>
      <c r="Y20" s="7">
        <v>1074.79</v>
      </c>
    </row>
    <row r="21" spans="1:25" ht="24.75" x14ac:dyDescent="0.25">
      <c r="A21" s="5" t="s">
        <v>26</v>
      </c>
      <c r="B21" s="5" t="s">
        <v>27</v>
      </c>
      <c r="C21" s="5" t="s">
        <v>47</v>
      </c>
      <c r="D21" s="5" t="s">
        <v>76</v>
      </c>
      <c r="E21" s="5" t="s">
        <v>34</v>
      </c>
      <c r="F21" s="5" t="s">
        <v>82</v>
      </c>
      <c r="G21" s="5">
        <v>2020</v>
      </c>
      <c r="H21" s="5" t="str">
        <f>_xlfn.CONCAT("04240295099")</f>
        <v>04240295099</v>
      </c>
      <c r="I21" s="5" t="s">
        <v>29</v>
      </c>
      <c r="J21" s="5" t="s">
        <v>38</v>
      </c>
      <c r="K21" s="5" t="str">
        <f>_xlfn.CONCAT("")</f>
        <v/>
      </c>
      <c r="L21" s="5" t="str">
        <f>_xlfn.CONCAT("11 11.1 4b")</f>
        <v>11 11.1 4b</v>
      </c>
      <c r="M21" s="5" t="str">
        <f>_xlfn.CONCAT("LSSSBN73D61C615Z")</f>
        <v>LSSSBN73D61C615Z</v>
      </c>
      <c r="N21" s="5" t="s">
        <v>83</v>
      </c>
      <c r="O21" s="5" t="s">
        <v>79</v>
      </c>
      <c r="P21" s="6">
        <v>44187</v>
      </c>
      <c r="Q21" s="5" t="s">
        <v>31</v>
      </c>
      <c r="R21" s="5" t="s">
        <v>32</v>
      </c>
      <c r="S21" s="5" t="s">
        <v>33</v>
      </c>
      <c r="T21" s="5"/>
      <c r="U21" s="7">
        <v>3793.52</v>
      </c>
      <c r="V21" s="7">
        <v>1635.77</v>
      </c>
      <c r="W21" s="7">
        <v>1510.58</v>
      </c>
      <c r="X21" s="5">
        <v>0</v>
      </c>
      <c r="Y21" s="5">
        <v>647.16999999999996</v>
      </c>
    </row>
    <row r="22" spans="1:25" x14ac:dyDescent="0.25">
      <c r="A22" s="5" t="s">
        <v>26</v>
      </c>
      <c r="B22" s="5" t="s">
        <v>36</v>
      </c>
      <c r="C22" s="5" t="s">
        <v>47</v>
      </c>
      <c r="D22" s="5" t="s">
        <v>48</v>
      </c>
      <c r="E22" s="5" t="s">
        <v>37</v>
      </c>
      <c r="F22" s="5" t="s">
        <v>37</v>
      </c>
      <c r="G22" s="5">
        <v>2017</v>
      </c>
      <c r="H22" s="5" t="str">
        <f>_xlfn.CONCAT("04270218318")</f>
        <v>04270218318</v>
      </c>
      <c r="I22" s="5" t="s">
        <v>40</v>
      </c>
      <c r="J22" s="5" t="s">
        <v>38</v>
      </c>
      <c r="K22" s="5" t="str">
        <f>_xlfn.CONCAT("")</f>
        <v/>
      </c>
      <c r="L22" s="5" t="str">
        <f>_xlfn.CONCAT("16 16.5 4c")</f>
        <v>16 16.5 4c</v>
      </c>
      <c r="M22" s="5" t="str">
        <f>_xlfn.CONCAT("00224000430")</f>
        <v>00224000430</v>
      </c>
      <c r="N22" s="5" t="s">
        <v>84</v>
      </c>
      <c r="O22" s="5" t="s">
        <v>85</v>
      </c>
      <c r="P22" s="6">
        <v>44187</v>
      </c>
      <c r="Q22" s="5" t="s">
        <v>31</v>
      </c>
      <c r="R22" s="5" t="s">
        <v>32</v>
      </c>
      <c r="S22" s="5" t="s">
        <v>33</v>
      </c>
      <c r="T22" s="5"/>
      <c r="U22" s="7">
        <v>18500</v>
      </c>
      <c r="V22" s="7">
        <v>7977.2</v>
      </c>
      <c r="W22" s="7">
        <v>7366.7</v>
      </c>
      <c r="X22" s="5">
        <v>0</v>
      </c>
      <c r="Y22" s="7">
        <v>3156.1</v>
      </c>
    </row>
    <row r="23" spans="1:25" ht="24.75" x14ac:dyDescent="0.25">
      <c r="A23" s="5" t="s">
        <v>26</v>
      </c>
      <c r="B23" s="5" t="s">
        <v>36</v>
      </c>
      <c r="C23" s="5" t="s">
        <v>47</v>
      </c>
      <c r="D23" s="5" t="s">
        <v>51</v>
      </c>
      <c r="E23" s="5" t="s">
        <v>37</v>
      </c>
      <c r="F23" s="5" t="s">
        <v>37</v>
      </c>
      <c r="G23" s="5">
        <v>2017</v>
      </c>
      <c r="H23" s="5" t="str">
        <f>_xlfn.CONCAT("04270214887")</f>
        <v>04270214887</v>
      </c>
      <c r="I23" s="5" t="s">
        <v>29</v>
      </c>
      <c r="J23" s="5" t="s">
        <v>38</v>
      </c>
      <c r="K23" s="5" t="str">
        <f>_xlfn.CONCAT("")</f>
        <v/>
      </c>
      <c r="L23" s="5" t="str">
        <f>_xlfn.CONCAT("4 4.1 2a")</f>
        <v>4 4.1 2a</v>
      </c>
      <c r="M23" s="5" t="str">
        <f>_xlfn.CONCAT("01987830443")</f>
        <v>01987830443</v>
      </c>
      <c r="N23" s="5" t="s">
        <v>86</v>
      </c>
      <c r="O23" s="5" t="s">
        <v>87</v>
      </c>
      <c r="P23" s="6">
        <v>44187</v>
      </c>
      <c r="Q23" s="5" t="s">
        <v>31</v>
      </c>
      <c r="R23" s="5" t="s">
        <v>32</v>
      </c>
      <c r="S23" s="5" t="s">
        <v>33</v>
      </c>
      <c r="T23" s="5"/>
      <c r="U23" s="7">
        <v>13615.24</v>
      </c>
      <c r="V23" s="7">
        <v>5870.89</v>
      </c>
      <c r="W23" s="7">
        <v>5421.59</v>
      </c>
      <c r="X23" s="5">
        <v>0</v>
      </c>
      <c r="Y23" s="7">
        <v>2322.7600000000002</v>
      </c>
    </row>
    <row r="24" spans="1:25" x14ac:dyDescent="0.25">
      <c r="A24" s="5" t="s">
        <v>26</v>
      </c>
      <c r="B24" s="5" t="s">
        <v>36</v>
      </c>
      <c r="C24" s="5" t="s">
        <v>47</v>
      </c>
      <c r="D24" s="5" t="s">
        <v>48</v>
      </c>
      <c r="E24" s="5" t="s">
        <v>37</v>
      </c>
      <c r="F24" s="5" t="s">
        <v>37</v>
      </c>
      <c r="G24" s="5">
        <v>2017</v>
      </c>
      <c r="H24" s="5" t="str">
        <f>_xlfn.CONCAT("04270214895")</f>
        <v>04270214895</v>
      </c>
      <c r="I24" s="5" t="s">
        <v>29</v>
      </c>
      <c r="J24" s="5" t="s">
        <v>38</v>
      </c>
      <c r="K24" s="5" t="str">
        <f>_xlfn.CONCAT("")</f>
        <v/>
      </c>
      <c r="L24" s="5" t="str">
        <f>_xlfn.CONCAT("4 4.1 2a")</f>
        <v>4 4.1 2a</v>
      </c>
      <c r="M24" s="5" t="str">
        <f>_xlfn.CONCAT("QCQLFR48P16I651P")</f>
        <v>QCQLFR48P16I651P</v>
      </c>
      <c r="N24" s="5" t="s">
        <v>88</v>
      </c>
      <c r="O24" s="5" t="s">
        <v>87</v>
      </c>
      <c r="P24" s="6">
        <v>44187</v>
      </c>
      <c r="Q24" s="5" t="s">
        <v>31</v>
      </c>
      <c r="R24" s="5" t="s">
        <v>39</v>
      </c>
      <c r="S24" s="5" t="s">
        <v>33</v>
      </c>
      <c r="T24" s="5"/>
      <c r="U24" s="7">
        <v>11433</v>
      </c>
      <c r="V24" s="7">
        <v>4929.91</v>
      </c>
      <c r="W24" s="7">
        <v>4552.62</v>
      </c>
      <c r="X24" s="5">
        <v>0</v>
      </c>
      <c r="Y24" s="7">
        <v>1950.47</v>
      </c>
    </row>
    <row r="25" spans="1:25" x14ac:dyDescent="0.25">
      <c r="A25" s="5" t="s">
        <v>26</v>
      </c>
      <c r="B25" s="5" t="s">
        <v>36</v>
      </c>
      <c r="C25" s="5" t="s">
        <v>47</v>
      </c>
      <c r="D25" s="5" t="s">
        <v>47</v>
      </c>
      <c r="E25" s="5" t="s">
        <v>37</v>
      </c>
      <c r="F25" s="5" t="s">
        <v>37</v>
      </c>
      <c r="G25" s="5">
        <v>2017</v>
      </c>
      <c r="H25" s="5" t="str">
        <f>_xlfn.CONCAT("04270214754")</f>
        <v>04270214754</v>
      </c>
      <c r="I25" s="5" t="s">
        <v>29</v>
      </c>
      <c r="J25" s="5" t="s">
        <v>38</v>
      </c>
      <c r="K25" s="5" t="str">
        <f>_xlfn.CONCAT("")</f>
        <v/>
      </c>
      <c r="L25" s="5" t="str">
        <f>_xlfn.CONCAT("19 19.2 6b")</f>
        <v>19 19.2 6b</v>
      </c>
      <c r="M25" s="5" t="str">
        <f>_xlfn.CONCAT("MCNMSM72E16D542P")</f>
        <v>MCNMSM72E16D542P</v>
      </c>
      <c r="N25" s="5" t="s">
        <v>89</v>
      </c>
      <c r="O25" s="5" t="s">
        <v>90</v>
      </c>
      <c r="P25" s="6">
        <v>44187</v>
      </c>
      <c r="Q25" s="5" t="s">
        <v>31</v>
      </c>
      <c r="R25" s="5" t="s">
        <v>39</v>
      </c>
      <c r="S25" s="5" t="s">
        <v>33</v>
      </c>
      <c r="T25" s="5"/>
      <c r="U25" s="7">
        <v>17000</v>
      </c>
      <c r="V25" s="7">
        <v>7330.4</v>
      </c>
      <c r="W25" s="7">
        <v>6769.4</v>
      </c>
      <c r="X25" s="5">
        <v>0</v>
      </c>
      <c r="Y25" s="7">
        <v>2900.2</v>
      </c>
    </row>
    <row r="26" spans="1:25" x14ac:dyDescent="0.25">
      <c r="A26" s="5" t="s">
        <v>26</v>
      </c>
      <c r="B26" s="5" t="s">
        <v>36</v>
      </c>
      <c r="C26" s="5" t="s">
        <v>47</v>
      </c>
      <c r="D26" s="5" t="s">
        <v>47</v>
      </c>
      <c r="E26" s="5" t="s">
        <v>37</v>
      </c>
      <c r="F26" s="5" t="s">
        <v>37</v>
      </c>
      <c r="G26" s="5">
        <v>2017</v>
      </c>
      <c r="H26" s="5" t="str">
        <f>_xlfn.CONCAT("04270214747")</f>
        <v>04270214747</v>
      </c>
      <c r="I26" s="5" t="s">
        <v>29</v>
      </c>
      <c r="J26" s="5" t="s">
        <v>38</v>
      </c>
      <c r="K26" s="5" t="str">
        <f>_xlfn.CONCAT("")</f>
        <v/>
      </c>
      <c r="L26" s="5" t="str">
        <f>_xlfn.CONCAT("19 19.2 6b")</f>
        <v>19 19.2 6b</v>
      </c>
      <c r="M26" s="5" t="str">
        <f>_xlfn.CONCAT("02218900443")</f>
        <v>02218900443</v>
      </c>
      <c r="N26" s="5" t="s">
        <v>91</v>
      </c>
      <c r="O26" s="5" t="s">
        <v>90</v>
      </c>
      <c r="P26" s="6">
        <v>44187</v>
      </c>
      <c r="Q26" s="5" t="s">
        <v>31</v>
      </c>
      <c r="R26" s="5" t="s">
        <v>39</v>
      </c>
      <c r="S26" s="5" t="s">
        <v>33</v>
      </c>
      <c r="T26" s="5"/>
      <c r="U26" s="7">
        <v>17000</v>
      </c>
      <c r="V26" s="7">
        <v>7330.4</v>
      </c>
      <c r="W26" s="7">
        <v>6769.4</v>
      </c>
      <c r="X26" s="5">
        <v>0</v>
      </c>
      <c r="Y26" s="7">
        <v>2900.2</v>
      </c>
    </row>
    <row r="27" spans="1:25" ht="24.75" x14ac:dyDescent="0.25">
      <c r="A27" s="5" t="s">
        <v>26</v>
      </c>
      <c r="B27" s="5" t="s">
        <v>27</v>
      </c>
      <c r="C27" s="5" t="s">
        <v>47</v>
      </c>
      <c r="D27" s="5" t="s">
        <v>92</v>
      </c>
      <c r="E27" s="5" t="s">
        <v>42</v>
      </c>
      <c r="F27" s="5" t="s">
        <v>93</v>
      </c>
      <c r="G27" s="5">
        <v>2017</v>
      </c>
      <c r="H27" s="5" t="str">
        <f>_xlfn.CONCAT("74240875059")</f>
        <v>74240875059</v>
      </c>
      <c r="I27" s="5" t="s">
        <v>29</v>
      </c>
      <c r="J27" s="5" t="s">
        <v>38</v>
      </c>
      <c r="K27" s="5" t="str">
        <f>_xlfn.CONCAT("")</f>
        <v/>
      </c>
      <c r="L27" s="5" t="str">
        <f>_xlfn.CONCAT("11 11.2 4b")</f>
        <v>11 11.2 4b</v>
      </c>
      <c r="M27" s="5" t="str">
        <f>_xlfn.CONCAT("02383210412")</f>
        <v>02383210412</v>
      </c>
      <c r="N27" s="5" t="s">
        <v>94</v>
      </c>
      <c r="O27" s="5" t="s">
        <v>95</v>
      </c>
      <c r="P27" s="6">
        <v>44187</v>
      </c>
      <c r="Q27" s="5" t="s">
        <v>31</v>
      </c>
      <c r="R27" s="5" t="s">
        <v>32</v>
      </c>
      <c r="S27" s="5" t="s">
        <v>33</v>
      </c>
      <c r="T27" s="5"/>
      <c r="U27" s="7">
        <v>3150.18</v>
      </c>
      <c r="V27" s="7">
        <v>1358.36</v>
      </c>
      <c r="W27" s="7">
        <v>1254.4000000000001</v>
      </c>
      <c r="X27" s="5">
        <v>0</v>
      </c>
      <c r="Y27" s="5">
        <v>537.41999999999996</v>
      </c>
    </row>
    <row r="28" spans="1:25" ht="24.75" x14ac:dyDescent="0.25">
      <c r="A28" s="5" t="s">
        <v>26</v>
      </c>
      <c r="B28" s="5" t="s">
        <v>27</v>
      </c>
      <c r="C28" s="5" t="s">
        <v>47</v>
      </c>
      <c r="D28" s="5" t="s">
        <v>92</v>
      </c>
      <c r="E28" s="5" t="s">
        <v>42</v>
      </c>
      <c r="F28" s="5" t="s">
        <v>93</v>
      </c>
      <c r="G28" s="5">
        <v>2018</v>
      </c>
      <c r="H28" s="5" t="str">
        <f>_xlfn.CONCAT("84241026651")</f>
        <v>84241026651</v>
      </c>
      <c r="I28" s="5" t="s">
        <v>29</v>
      </c>
      <c r="J28" s="5" t="s">
        <v>38</v>
      </c>
      <c r="K28" s="5" t="str">
        <f>_xlfn.CONCAT("")</f>
        <v/>
      </c>
      <c r="L28" s="5" t="str">
        <f>_xlfn.CONCAT("11 11.2 4b")</f>
        <v>11 11.2 4b</v>
      </c>
      <c r="M28" s="5" t="str">
        <f>_xlfn.CONCAT("02383210412")</f>
        <v>02383210412</v>
      </c>
      <c r="N28" s="5" t="s">
        <v>94</v>
      </c>
      <c r="O28" s="5" t="s">
        <v>95</v>
      </c>
      <c r="P28" s="6">
        <v>44187</v>
      </c>
      <c r="Q28" s="5" t="s">
        <v>31</v>
      </c>
      <c r="R28" s="5" t="s">
        <v>32</v>
      </c>
      <c r="S28" s="5" t="s">
        <v>33</v>
      </c>
      <c r="T28" s="5"/>
      <c r="U28" s="7">
        <v>6286.23</v>
      </c>
      <c r="V28" s="7">
        <v>2710.62</v>
      </c>
      <c r="W28" s="7">
        <v>2503.1799999999998</v>
      </c>
      <c r="X28" s="5">
        <v>0</v>
      </c>
      <c r="Y28" s="7">
        <v>1072.43</v>
      </c>
    </row>
    <row r="29" spans="1:25" ht="24.75" x14ac:dyDescent="0.25">
      <c r="A29" s="5" t="s">
        <v>26</v>
      </c>
      <c r="B29" s="5" t="s">
        <v>27</v>
      </c>
      <c r="C29" s="5" t="s">
        <v>47</v>
      </c>
      <c r="D29" s="5" t="s">
        <v>51</v>
      </c>
      <c r="E29" s="5" t="s">
        <v>37</v>
      </c>
      <c r="F29" s="5" t="s">
        <v>37</v>
      </c>
      <c r="G29" s="5">
        <v>2018</v>
      </c>
      <c r="H29" s="5" t="str">
        <f>_xlfn.CONCAT("84241407919")</f>
        <v>84241407919</v>
      </c>
      <c r="I29" s="5" t="s">
        <v>29</v>
      </c>
      <c r="J29" s="5" t="s">
        <v>38</v>
      </c>
      <c r="K29" s="5" t="str">
        <f>_xlfn.CONCAT("")</f>
        <v/>
      </c>
      <c r="L29" s="5" t="str">
        <f>_xlfn.CONCAT("11 11.2 4b")</f>
        <v>11 11.2 4b</v>
      </c>
      <c r="M29" s="5" t="str">
        <f>_xlfn.CONCAT("VGNLVE64C30H321B")</f>
        <v>VGNLVE64C30H321B</v>
      </c>
      <c r="N29" s="5" t="s">
        <v>96</v>
      </c>
      <c r="O29" s="5" t="s">
        <v>95</v>
      </c>
      <c r="P29" s="6">
        <v>44187</v>
      </c>
      <c r="Q29" s="5" t="s">
        <v>31</v>
      </c>
      <c r="R29" s="5" t="s">
        <v>32</v>
      </c>
      <c r="S29" s="5" t="s">
        <v>33</v>
      </c>
      <c r="T29" s="5"/>
      <c r="U29" s="7">
        <v>2734.87</v>
      </c>
      <c r="V29" s="7">
        <v>1179.28</v>
      </c>
      <c r="W29" s="7">
        <v>1089.03</v>
      </c>
      <c r="X29" s="5">
        <v>0</v>
      </c>
      <c r="Y29" s="5">
        <v>466.56</v>
      </c>
    </row>
    <row r="30" spans="1:25" ht="24.75" x14ac:dyDescent="0.25">
      <c r="A30" s="5" t="s">
        <v>26</v>
      </c>
      <c r="B30" s="5" t="s">
        <v>27</v>
      </c>
      <c r="C30" s="5" t="s">
        <v>47</v>
      </c>
      <c r="D30" s="5" t="s">
        <v>51</v>
      </c>
      <c r="E30" s="5" t="s">
        <v>34</v>
      </c>
      <c r="F30" s="5" t="s">
        <v>97</v>
      </c>
      <c r="G30" s="5">
        <v>2020</v>
      </c>
      <c r="H30" s="5" t="str">
        <f>_xlfn.CONCAT("04241317660")</f>
        <v>04241317660</v>
      </c>
      <c r="I30" s="5" t="s">
        <v>29</v>
      </c>
      <c r="J30" s="5" t="s">
        <v>38</v>
      </c>
      <c r="K30" s="5" t="str">
        <f>_xlfn.CONCAT("")</f>
        <v/>
      </c>
      <c r="L30" s="5" t="str">
        <f>_xlfn.CONCAT("11 11.2 4b")</f>
        <v>11 11.2 4b</v>
      </c>
      <c r="M30" s="5" t="str">
        <f>_xlfn.CONCAT("MRLLNE36E66L736H")</f>
        <v>MRLLNE36E66L736H</v>
      </c>
      <c r="N30" s="5" t="s">
        <v>98</v>
      </c>
      <c r="O30" s="5" t="s">
        <v>95</v>
      </c>
      <c r="P30" s="6">
        <v>44187</v>
      </c>
      <c r="Q30" s="5" t="s">
        <v>31</v>
      </c>
      <c r="R30" s="5" t="s">
        <v>32</v>
      </c>
      <c r="S30" s="5" t="s">
        <v>33</v>
      </c>
      <c r="T30" s="5"/>
      <c r="U30" s="7">
        <v>22350.73</v>
      </c>
      <c r="V30" s="7">
        <v>9637.6299999999992</v>
      </c>
      <c r="W30" s="7">
        <v>8900.06</v>
      </c>
      <c r="X30" s="5">
        <v>0</v>
      </c>
      <c r="Y30" s="7">
        <v>3813.04</v>
      </c>
    </row>
    <row r="31" spans="1:25" ht="24.75" x14ac:dyDescent="0.25">
      <c r="A31" s="5" t="s">
        <v>26</v>
      </c>
      <c r="B31" s="5" t="s">
        <v>27</v>
      </c>
      <c r="C31" s="5" t="s">
        <v>47</v>
      </c>
      <c r="D31" s="5" t="s">
        <v>51</v>
      </c>
      <c r="E31" s="5" t="s">
        <v>34</v>
      </c>
      <c r="F31" s="5" t="s">
        <v>97</v>
      </c>
      <c r="G31" s="5">
        <v>2018</v>
      </c>
      <c r="H31" s="5" t="str">
        <f>_xlfn.CONCAT("84240685002")</f>
        <v>84240685002</v>
      </c>
      <c r="I31" s="5" t="s">
        <v>40</v>
      </c>
      <c r="J31" s="5" t="s">
        <v>38</v>
      </c>
      <c r="K31" s="5" t="str">
        <f>_xlfn.CONCAT("")</f>
        <v/>
      </c>
      <c r="L31" s="5" t="str">
        <f>_xlfn.CONCAT("11 11.2 4b")</f>
        <v>11 11.2 4b</v>
      </c>
      <c r="M31" s="5" t="str">
        <f>_xlfn.CONCAT("MRLLNE36E66L736H")</f>
        <v>MRLLNE36E66L736H</v>
      </c>
      <c r="N31" s="5" t="s">
        <v>98</v>
      </c>
      <c r="O31" s="5" t="s">
        <v>95</v>
      </c>
      <c r="P31" s="6">
        <v>44187</v>
      </c>
      <c r="Q31" s="5" t="s">
        <v>31</v>
      </c>
      <c r="R31" s="5" t="s">
        <v>32</v>
      </c>
      <c r="S31" s="5" t="s">
        <v>33</v>
      </c>
      <c r="T31" s="5"/>
      <c r="U31" s="7">
        <v>23652.92</v>
      </c>
      <c r="V31" s="7">
        <v>10199.14</v>
      </c>
      <c r="W31" s="7">
        <v>9418.59</v>
      </c>
      <c r="X31" s="5">
        <v>0</v>
      </c>
      <c r="Y31" s="7">
        <v>4035.19</v>
      </c>
    </row>
    <row r="32" spans="1:25" ht="24.75" x14ac:dyDescent="0.25">
      <c r="A32" s="5" t="s">
        <v>26</v>
      </c>
      <c r="B32" s="5" t="s">
        <v>27</v>
      </c>
      <c r="C32" s="5" t="s">
        <v>47</v>
      </c>
      <c r="D32" s="5" t="s">
        <v>51</v>
      </c>
      <c r="E32" s="5" t="s">
        <v>37</v>
      </c>
      <c r="F32" s="5" t="s">
        <v>37</v>
      </c>
      <c r="G32" s="5">
        <v>2020</v>
      </c>
      <c r="H32" s="5" t="str">
        <f>_xlfn.CONCAT("04240265290")</f>
        <v>04240265290</v>
      </c>
      <c r="I32" s="5" t="s">
        <v>29</v>
      </c>
      <c r="J32" s="5" t="s">
        <v>38</v>
      </c>
      <c r="K32" s="5" t="str">
        <f>_xlfn.CONCAT("")</f>
        <v/>
      </c>
      <c r="L32" s="5" t="str">
        <f>_xlfn.CONCAT("11 11.2 4b")</f>
        <v>11 11.2 4b</v>
      </c>
      <c r="M32" s="5" t="str">
        <f>_xlfn.CONCAT("CPNMRZ75H09H769O")</f>
        <v>CPNMRZ75H09H769O</v>
      </c>
      <c r="N32" s="5" t="s">
        <v>99</v>
      </c>
      <c r="O32" s="5" t="s">
        <v>95</v>
      </c>
      <c r="P32" s="6">
        <v>44187</v>
      </c>
      <c r="Q32" s="5" t="s">
        <v>31</v>
      </c>
      <c r="R32" s="5" t="s">
        <v>32</v>
      </c>
      <c r="S32" s="5" t="s">
        <v>33</v>
      </c>
      <c r="T32" s="5"/>
      <c r="U32" s="7">
        <v>16294.89</v>
      </c>
      <c r="V32" s="7">
        <v>7026.36</v>
      </c>
      <c r="W32" s="7">
        <v>6488.63</v>
      </c>
      <c r="X32" s="5">
        <v>0</v>
      </c>
      <c r="Y32" s="7">
        <v>2779.9</v>
      </c>
    </row>
    <row r="33" spans="1:25" ht="24.75" x14ac:dyDescent="0.25">
      <c r="A33" s="5" t="s">
        <v>26</v>
      </c>
      <c r="B33" s="5" t="s">
        <v>36</v>
      </c>
      <c r="C33" s="5" t="s">
        <v>47</v>
      </c>
      <c r="D33" s="5" t="s">
        <v>51</v>
      </c>
      <c r="E33" s="5" t="s">
        <v>42</v>
      </c>
      <c r="F33" s="5" t="s">
        <v>61</v>
      </c>
      <c r="G33" s="5">
        <v>2017</v>
      </c>
      <c r="H33" s="5" t="str">
        <f>_xlfn.CONCAT("04270219530")</f>
        <v>04270219530</v>
      </c>
      <c r="I33" s="5" t="s">
        <v>29</v>
      </c>
      <c r="J33" s="5" t="s">
        <v>38</v>
      </c>
      <c r="K33" s="5" t="str">
        <f>_xlfn.CONCAT("")</f>
        <v/>
      </c>
      <c r="L33" s="5" t="str">
        <f>_xlfn.CONCAT("4 4.1 2a")</f>
        <v>4 4.1 2a</v>
      </c>
      <c r="M33" s="5" t="str">
        <f>_xlfn.CONCAT("BGRRRT79A41E526T")</f>
        <v>BGRRRT79A41E526T</v>
      </c>
      <c r="N33" s="5" t="s">
        <v>62</v>
      </c>
      <c r="O33" s="5" t="s">
        <v>100</v>
      </c>
      <c r="P33" s="6">
        <v>44187</v>
      </c>
      <c r="Q33" s="5" t="s">
        <v>31</v>
      </c>
      <c r="R33" s="5" t="s">
        <v>32</v>
      </c>
      <c r="S33" s="5" t="s">
        <v>33</v>
      </c>
      <c r="T33" s="5"/>
      <c r="U33" s="7">
        <v>39269.67</v>
      </c>
      <c r="V33" s="7">
        <v>16933.080000000002</v>
      </c>
      <c r="W33" s="7">
        <v>15637.18</v>
      </c>
      <c r="X33" s="5">
        <v>0</v>
      </c>
      <c r="Y33" s="7">
        <v>6699.41</v>
      </c>
    </row>
    <row r="34" spans="1:25" ht="24.75" x14ac:dyDescent="0.25">
      <c r="A34" s="5" t="s">
        <v>26</v>
      </c>
      <c r="B34" s="5" t="s">
        <v>36</v>
      </c>
      <c r="C34" s="5" t="s">
        <v>47</v>
      </c>
      <c r="D34" s="5" t="s">
        <v>51</v>
      </c>
      <c r="E34" s="5" t="s">
        <v>37</v>
      </c>
      <c r="F34" s="5" t="s">
        <v>37</v>
      </c>
      <c r="G34" s="5">
        <v>2017</v>
      </c>
      <c r="H34" s="5" t="str">
        <f>_xlfn.CONCAT("04270219472")</f>
        <v>04270219472</v>
      </c>
      <c r="I34" s="5" t="s">
        <v>29</v>
      </c>
      <c r="J34" s="5" t="s">
        <v>38</v>
      </c>
      <c r="K34" s="5" t="str">
        <f>_xlfn.CONCAT("")</f>
        <v/>
      </c>
      <c r="L34" s="5" t="str">
        <f>_xlfn.CONCAT("4 4.1 2a")</f>
        <v>4 4.1 2a</v>
      </c>
      <c r="M34" s="5" t="str">
        <f>_xlfn.CONCAT("PLFGNN82C19A462E")</f>
        <v>PLFGNN82C19A462E</v>
      </c>
      <c r="N34" s="5" t="s">
        <v>57</v>
      </c>
      <c r="O34" s="5" t="s">
        <v>100</v>
      </c>
      <c r="P34" s="6">
        <v>44187</v>
      </c>
      <c r="Q34" s="5" t="s">
        <v>31</v>
      </c>
      <c r="R34" s="5" t="s">
        <v>32</v>
      </c>
      <c r="S34" s="5" t="s">
        <v>33</v>
      </c>
      <c r="T34" s="5"/>
      <c r="U34" s="7">
        <v>23774</v>
      </c>
      <c r="V34" s="7">
        <v>10251.35</v>
      </c>
      <c r="W34" s="7">
        <v>9466.81</v>
      </c>
      <c r="X34" s="5">
        <v>0</v>
      </c>
      <c r="Y34" s="7">
        <v>4055.84</v>
      </c>
    </row>
    <row r="35" spans="1:25" ht="24.75" x14ac:dyDescent="0.25">
      <c r="A35" s="5" t="s">
        <v>26</v>
      </c>
      <c r="B35" s="5" t="s">
        <v>36</v>
      </c>
      <c r="C35" s="5" t="s">
        <v>47</v>
      </c>
      <c r="D35" s="5" t="s">
        <v>48</v>
      </c>
      <c r="E35" s="5" t="s">
        <v>37</v>
      </c>
      <c r="F35" s="5" t="s">
        <v>37</v>
      </c>
      <c r="G35" s="5">
        <v>2017</v>
      </c>
      <c r="H35" s="5" t="str">
        <f>_xlfn.CONCAT("04270219522")</f>
        <v>04270219522</v>
      </c>
      <c r="I35" s="5" t="s">
        <v>29</v>
      </c>
      <c r="J35" s="5" t="s">
        <v>38</v>
      </c>
      <c r="K35" s="5" t="str">
        <f>_xlfn.CONCAT("")</f>
        <v/>
      </c>
      <c r="L35" s="5" t="str">
        <f>_xlfn.CONCAT("4 4.1 2a")</f>
        <v>4 4.1 2a</v>
      </c>
      <c r="M35" s="5" t="str">
        <f>_xlfn.CONCAT("01907690430")</f>
        <v>01907690430</v>
      </c>
      <c r="N35" s="5" t="s">
        <v>49</v>
      </c>
      <c r="O35" s="5" t="s">
        <v>100</v>
      </c>
      <c r="P35" s="6">
        <v>44187</v>
      </c>
      <c r="Q35" s="5" t="s">
        <v>31</v>
      </c>
      <c r="R35" s="5" t="s">
        <v>32</v>
      </c>
      <c r="S35" s="5" t="s">
        <v>33</v>
      </c>
      <c r="T35" s="5"/>
      <c r="U35" s="7">
        <v>271326</v>
      </c>
      <c r="V35" s="7">
        <v>116995.77</v>
      </c>
      <c r="W35" s="7">
        <v>108042.01</v>
      </c>
      <c r="X35" s="5">
        <v>0</v>
      </c>
      <c r="Y35" s="7">
        <v>46288.22</v>
      </c>
    </row>
    <row r="36" spans="1:25" ht="24.75" x14ac:dyDescent="0.25">
      <c r="A36" s="5" t="s">
        <v>26</v>
      </c>
      <c r="B36" s="5" t="s">
        <v>36</v>
      </c>
      <c r="C36" s="5" t="s">
        <v>47</v>
      </c>
      <c r="D36" s="5" t="s">
        <v>51</v>
      </c>
      <c r="E36" s="5" t="s">
        <v>45</v>
      </c>
      <c r="F36" s="5" t="s">
        <v>58</v>
      </c>
      <c r="G36" s="5">
        <v>2017</v>
      </c>
      <c r="H36" s="5" t="str">
        <f>_xlfn.CONCAT("04270219548")</f>
        <v>04270219548</v>
      </c>
      <c r="I36" s="5" t="s">
        <v>29</v>
      </c>
      <c r="J36" s="5" t="s">
        <v>38</v>
      </c>
      <c r="K36" s="5" t="str">
        <f>_xlfn.CONCAT("")</f>
        <v/>
      </c>
      <c r="L36" s="5" t="str">
        <f>_xlfn.CONCAT("4 4.1 2a")</f>
        <v>4 4.1 2a</v>
      </c>
      <c r="M36" s="5" t="str">
        <f>_xlfn.CONCAT("SPNFBA85D05H769R")</f>
        <v>SPNFBA85D05H769R</v>
      </c>
      <c r="N36" s="5" t="s">
        <v>59</v>
      </c>
      <c r="O36" s="5" t="s">
        <v>100</v>
      </c>
      <c r="P36" s="6">
        <v>44187</v>
      </c>
      <c r="Q36" s="5" t="s">
        <v>31</v>
      </c>
      <c r="R36" s="5" t="s">
        <v>32</v>
      </c>
      <c r="S36" s="5" t="s">
        <v>33</v>
      </c>
      <c r="T36" s="5"/>
      <c r="U36" s="7">
        <v>23767.69</v>
      </c>
      <c r="V36" s="7">
        <v>10248.629999999999</v>
      </c>
      <c r="W36" s="7">
        <v>9464.2900000000009</v>
      </c>
      <c r="X36" s="5">
        <v>0</v>
      </c>
      <c r="Y36" s="7">
        <v>4054.77</v>
      </c>
    </row>
    <row r="37" spans="1:25" ht="24.75" x14ac:dyDescent="0.25">
      <c r="A37" s="5" t="s">
        <v>26</v>
      </c>
      <c r="B37" s="5" t="s">
        <v>27</v>
      </c>
      <c r="C37" s="5" t="s">
        <v>47</v>
      </c>
      <c r="D37" s="5" t="s">
        <v>92</v>
      </c>
      <c r="E37" s="5" t="s">
        <v>34</v>
      </c>
      <c r="F37" s="5" t="s">
        <v>101</v>
      </c>
      <c r="G37" s="5">
        <v>2020</v>
      </c>
      <c r="H37" s="5" t="str">
        <f>_xlfn.CONCAT("04241144726")</f>
        <v>04241144726</v>
      </c>
      <c r="I37" s="5" t="s">
        <v>29</v>
      </c>
      <c r="J37" s="5" t="s">
        <v>38</v>
      </c>
      <c r="K37" s="5" t="str">
        <f>_xlfn.CONCAT("")</f>
        <v/>
      </c>
      <c r="L37" s="5" t="str">
        <f>_xlfn.CONCAT("11 11.2 4b")</f>
        <v>11 11.2 4b</v>
      </c>
      <c r="M37" s="5" t="str">
        <f>_xlfn.CONCAT("00398210419")</f>
        <v>00398210419</v>
      </c>
      <c r="N37" s="5" t="s">
        <v>102</v>
      </c>
      <c r="O37" s="5" t="s">
        <v>95</v>
      </c>
      <c r="P37" s="6">
        <v>44187</v>
      </c>
      <c r="Q37" s="5" t="s">
        <v>31</v>
      </c>
      <c r="R37" s="5" t="s">
        <v>32</v>
      </c>
      <c r="S37" s="5" t="s">
        <v>33</v>
      </c>
      <c r="T37" s="5"/>
      <c r="U37" s="7">
        <v>42692.160000000003</v>
      </c>
      <c r="V37" s="7">
        <v>18408.86</v>
      </c>
      <c r="W37" s="7">
        <v>17000.02</v>
      </c>
      <c r="X37" s="5">
        <v>0</v>
      </c>
      <c r="Y37" s="7">
        <v>7283.28</v>
      </c>
    </row>
    <row r="38" spans="1:25" ht="24.75" x14ac:dyDescent="0.25">
      <c r="A38" s="5" t="s">
        <v>26</v>
      </c>
      <c r="B38" s="5" t="s">
        <v>36</v>
      </c>
      <c r="C38" s="5" t="s">
        <v>47</v>
      </c>
      <c r="D38" s="5"/>
      <c r="E38" s="5"/>
      <c r="F38" s="5"/>
      <c r="G38" s="5">
        <v>2017</v>
      </c>
      <c r="H38" s="5" t="str">
        <f>_xlfn.CONCAT("04270210372")</f>
        <v>04270210372</v>
      </c>
      <c r="I38" s="5" t="s">
        <v>29</v>
      </c>
      <c r="J38" s="5" t="s">
        <v>38</v>
      </c>
      <c r="K38" s="5" t="str">
        <f>_xlfn.CONCAT("")</f>
        <v/>
      </c>
      <c r="L38" s="5" t="str">
        <f>_xlfn.CONCAT("20 20.1 ")</f>
        <v xml:space="preserve">20 20.1 </v>
      </c>
      <c r="M38" s="5" t="str">
        <f>_xlfn.CONCAT("01491360424")</f>
        <v>01491360424</v>
      </c>
      <c r="N38" s="5" t="s">
        <v>103</v>
      </c>
      <c r="O38" s="5" t="s">
        <v>104</v>
      </c>
      <c r="P38" s="6">
        <v>44183</v>
      </c>
      <c r="Q38" s="5" t="s">
        <v>31</v>
      </c>
      <c r="R38" s="5" t="s">
        <v>32</v>
      </c>
      <c r="S38" s="5" t="s">
        <v>33</v>
      </c>
      <c r="T38" s="5"/>
      <c r="U38" s="7">
        <v>213729.49</v>
      </c>
      <c r="V38" s="7">
        <v>92160.16</v>
      </c>
      <c r="W38" s="7">
        <v>85107.08</v>
      </c>
      <c r="X38" s="5">
        <v>0</v>
      </c>
      <c r="Y38" s="7">
        <v>36462.25</v>
      </c>
    </row>
    <row r="39" spans="1:25" ht="24.75" x14ac:dyDescent="0.25">
      <c r="A39" s="5" t="s">
        <v>26</v>
      </c>
      <c r="B39" s="5" t="s">
        <v>36</v>
      </c>
      <c r="C39" s="5" t="s">
        <v>47</v>
      </c>
      <c r="D39" s="5" t="s">
        <v>76</v>
      </c>
      <c r="E39" s="5" t="s">
        <v>37</v>
      </c>
      <c r="F39" s="5" t="s">
        <v>37</v>
      </c>
      <c r="G39" s="5">
        <v>2017</v>
      </c>
      <c r="H39" s="5" t="str">
        <f>_xlfn.CONCAT("04270210398")</f>
        <v>04270210398</v>
      </c>
      <c r="I39" s="5" t="s">
        <v>40</v>
      </c>
      <c r="J39" s="5" t="s">
        <v>38</v>
      </c>
      <c r="K39" s="5" t="str">
        <f>_xlfn.CONCAT("")</f>
        <v/>
      </c>
      <c r="L39" s="5" t="str">
        <f>_xlfn.CONCAT("20 20.1 ")</f>
        <v xml:space="preserve">20 20.1 </v>
      </c>
      <c r="M39" s="5" t="str">
        <f>_xlfn.CONCAT("80008630420")</f>
        <v>80008630420</v>
      </c>
      <c r="N39" s="5" t="s">
        <v>105</v>
      </c>
      <c r="O39" s="5" t="s">
        <v>104</v>
      </c>
      <c r="P39" s="6">
        <v>44183</v>
      </c>
      <c r="Q39" s="5" t="s">
        <v>31</v>
      </c>
      <c r="R39" s="5" t="s">
        <v>32</v>
      </c>
      <c r="S39" s="5" t="s">
        <v>33</v>
      </c>
      <c r="T39" s="5"/>
      <c r="U39" s="7">
        <v>191845</v>
      </c>
      <c r="V39" s="7">
        <v>82723.56</v>
      </c>
      <c r="W39" s="7">
        <v>76392.679999999993</v>
      </c>
      <c r="X39" s="5">
        <v>0</v>
      </c>
      <c r="Y39" s="7">
        <v>32728.76</v>
      </c>
    </row>
    <row r="40" spans="1:25" ht="24.75" x14ac:dyDescent="0.25">
      <c r="A40" s="5" t="s">
        <v>26</v>
      </c>
      <c r="B40" s="5" t="s">
        <v>36</v>
      </c>
      <c r="C40" s="5" t="s">
        <v>47</v>
      </c>
      <c r="D40" s="5" t="s">
        <v>76</v>
      </c>
      <c r="E40" s="5" t="s">
        <v>37</v>
      </c>
      <c r="F40" s="5" t="s">
        <v>37</v>
      </c>
      <c r="G40" s="5">
        <v>2017</v>
      </c>
      <c r="H40" s="5" t="str">
        <f>_xlfn.CONCAT("94270174686")</f>
        <v>94270174686</v>
      </c>
      <c r="I40" s="5" t="s">
        <v>29</v>
      </c>
      <c r="J40" s="5" t="s">
        <v>38</v>
      </c>
      <c r="K40" s="5" t="str">
        <f>_xlfn.CONCAT("")</f>
        <v/>
      </c>
      <c r="L40" s="5" t="str">
        <f>_xlfn.CONCAT("20 20.1 ")</f>
        <v xml:space="preserve">20 20.1 </v>
      </c>
      <c r="M40" s="5" t="str">
        <f>_xlfn.CONCAT("80008630420")</f>
        <v>80008630420</v>
      </c>
      <c r="N40" s="5" t="s">
        <v>105</v>
      </c>
      <c r="O40" s="5" t="s">
        <v>104</v>
      </c>
      <c r="P40" s="6">
        <v>44183</v>
      </c>
      <c r="Q40" s="5" t="s">
        <v>31</v>
      </c>
      <c r="R40" s="5" t="s">
        <v>32</v>
      </c>
      <c r="S40" s="5" t="s">
        <v>33</v>
      </c>
      <c r="T40" s="5"/>
      <c r="U40" s="7">
        <v>4880</v>
      </c>
      <c r="V40" s="7">
        <v>2104.2600000000002</v>
      </c>
      <c r="W40" s="7">
        <v>1943.22</v>
      </c>
      <c r="X40" s="5">
        <v>0</v>
      </c>
      <c r="Y40" s="5">
        <v>832.52</v>
      </c>
    </row>
    <row r="41" spans="1:25" ht="24.75" x14ac:dyDescent="0.25">
      <c r="A41" s="5" t="s">
        <v>26</v>
      </c>
      <c r="B41" s="5" t="s">
        <v>36</v>
      </c>
      <c r="C41" s="5" t="s">
        <v>47</v>
      </c>
      <c r="D41" s="5" t="s">
        <v>76</v>
      </c>
      <c r="E41" s="5" t="s">
        <v>37</v>
      </c>
      <c r="F41" s="5" t="s">
        <v>37</v>
      </c>
      <c r="G41" s="5">
        <v>2017</v>
      </c>
      <c r="H41" s="5" t="str">
        <f>_xlfn.CONCAT("04270210380")</f>
        <v>04270210380</v>
      </c>
      <c r="I41" s="5" t="s">
        <v>29</v>
      </c>
      <c r="J41" s="5" t="s">
        <v>38</v>
      </c>
      <c r="K41" s="5" t="str">
        <f>_xlfn.CONCAT("")</f>
        <v/>
      </c>
      <c r="L41" s="5" t="str">
        <f>_xlfn.CONCAT("20 20.1 ")</f>
        <v xml:space="preserve">20 20.1 </v>
      </c>
      <c r="M41" s="5" t="str">
        <f>_xlfn.CONCAT("80008630420")</f>
        <v>80008630420</v>
      </c>
      <c r="N41" s="5" t="s">
        <v>105</v>
      </c>
      <c r="O41" s="5" t="s">
        <v>104</v>
      </c>
      <c r="P41" s="6">
        <v>44183</v>
      </c>
      <c r="Q41" s="5" t="s">
        <v>31</v>
      </c>
      <c r="R41" s="5" t="s">
        <v>32</v>
      </c>
      <c r="S41" s="5" t="s">
        <v>33</v>
      </c>
      <c r="T41" s="5"/>
      <c r="U41" s="7">
        <v>3510</v>
      </c>
      <c r="V41" s="7">
        <v>1513.51</v>
      </c>
      <c r="W41" s="7">
        <v>1397.68</v>
      </c>
      <c r="X41" s="5">
        <v>0</v>
      </c>
      <c r="Y41" s="5">
        <v>598.80999999999995</v>
      </c>
    </row>
    <row r="42" spans="1:25" ht="24.75" x14ac:dyDescent="0.25">
      <c r="A42" s="5" t="s">
        <v>26</v>
      </c>
      <c r="B42" s="5" t="s">
        <v>36</v>
      </c>
      <c r="C42" s="5" t="s">
        <v>47</v>
      </c>
      <c r="D42" s="5" t="s">
        <v>76</v>
      </c>
      <c r="E42" s="5" t="s">
        <v>37</v>
      </c>
      <c r="F42" s="5" t="s">
        <v>37</v>
      </c>
      <c r="G42" s="5">
        <v>2017</v>
      </c>
      <c r="H42" s="5" t="str">
        <f>_xlfn.CONCAT("74275301880")</f>
        <v>74275301880</v>
      </c>
      <c r="I42" s="5" t="s">
        <v>29</v>
      </c>
      <c r="J42" s="5" t="s">
        <v>38</v>
      </c>
      <c r="K42" s="5" t="str">
        <f>_xlfn.CONCAT("")</f>
        <v/>
      </c>
      <c r="L42" s="5" t="str">
        <f>_xlfn.CONCAT("3 3.1 3a")</f>
        <v>3 3.1 3a</v>
      </c>
      <c r="M42" s="5" t="str">
        <f>_xlfn.CONCAT("NVLMRC95D06E388X")</f>
        <v>NVLMRC95D06E388X</v>
      </c>
      <c r="N42" s="5" t="s">
        <v>106</v>
      </c>
      <c r="O42" s="5" t="s">
        <v>107</v>
      </c>
      <c r="P42" s="6">
        <v>44187</v>
      </c>
      <c r="Q42" s="5" t="s">
        <v>31</v>
      </c>
      <c r="R42" s="5" t="s">
        <v>39</v>
      </c>
      <c r="S42" s="5" t="s">
        <v>33</v>
      </c>
      <c r="T42" s="5"/>
      <c r="U42" s="5">
        <v>550</v>
      </c>
      <c r="V42" s="5">
        <v>237.16</v>
      </c>
      <c r="W42" s="5">
        <v>219.01</v>
      </c>
      <c r="X42" s="5">
        <v>0</v>
      </c>
      <c r="Y42" s="5">
        <v>93.83</v>
      </c>
    </row>
    <row r="43" spans="1:25" ht="24.75" x14ac:dyDescent="0.25">
      <c r="A43" s="5" t="s">
        <v>26</v>
      </c>
      <c r="B43" s="5" t="s">
        <v>36</v>
      </c>
      <c r="C43" s="5" t="s">
        <v>47</v>
      </c>
      <c r="D43" s="5" t="s">
        <v>76</v>
      </c>
      <c r="E43" s="5" t="s">
        <v>37</v>
      </c>
      <c r="F43" s="5" t="s">
        <v>37</v>
      </c>
      <c r="G43" s="5">
        <v>2017</v>
      </c>
      <c r="H43" s="5" t="str">
        <f>_xlfn.CONCAT("04270219233")</f>
        <v>04270219233</v>
      </c>
      <c r="I43" s="5" t="s">
        <v>29</v>
      </c>
      <c r="J43" s="5" t="s">
        <v>38</v>
      </c>
      <c r="K43" s="5" t="str">
        <f>_xlfn.CONCAT("")</f>
        <v/>
      </c>
      <c r="L43" s="5" t="str">
        <f>_xlfn.CONCAT("4 4.1 2a")</f>
        <v>4 4.1 2a</v>
      </c>
      <c r="M43" s="5" t="str">
        <f>_xlfn.CONCAT("02709490425")</f>
        <v>02709490425</v>
      </c>
      <c r="N43" s="5" t="s">
        <v>108</v>
      </c>
      <c r="O43" s="5" t="s">
        <v>109</v>
      </c>
      <c r="P43" s="6">
        <v>44187</v>
      </c>
      <c r="Q43" s="5" t="s">
        <v>31</v>
      </c>
      <c r="R43" s="5" t="s">
        <v>44</v>
      </c>
      <c r="S43" s="5" t="s">
        <v>33</v>
      </c>
      <c r="T43" s="5"/>
      <c r="U43" s="7">
        <v>125000</v>
      </c>
      <c r="V43" s="7">
        <v>53900</v>
      </c>
      <c r="W43" s="7">
        <v>49775</v>
      </c>
      <c r="X43" s="5">
        <v>0</v>
      </c>
      <c r="Y43" s="7">
        <v>21325</v>
      </c>
    </row>
    <row r="44" spans="1:25" ht="24.75" x14ac:dyDescent="0.25">
      <c r="A44" s="5" t="s">
        <v>26</v>
      </c>
      <c r="B44" s="5" t="s">
        <v>27</v>
      </c>
      <c r="C44" s="5" t="s">
        <v>47</v>
      </c>
      <c r="D44" s="5" t="s">
        <v>92</v>
      </c>
      <c r="E44" s="5" t="s">
        <v>41</v>
      </c>
      <c r="F44" s="5" t="s">
        <v>110</v>
      </c>
      <c r="G44" s="5">
        <v>2013</v>
      </c>
      <c r="H44" s="5" t="str">
        <f>_xlfn.CONCAT("34710801803")</f>
        <v>34710801803</v>
      </c>
      <c r="I44" s="5" t="s">
        <v>29</v>
      </c>
      <c r="J44" s="5" t="s">
        <v>30</v>
      </c>
      <c r="K44" s="5" t="str">
        <f>_xlfn.CONCAT("214")</f>
        <v>214</v>
      </c>
      <c r="L44" s="5" t="str">
        <f>_xlfn.CONCAT("11 11.2 4b")</f>
        <v>11 11.2 4b</v>
      </c>
      <c r="M44" s="5" t="str">
        <f>_xlfn.CONCAT("00957520521")</f>
        <v>00957520521</v>
      </c>
      <c r="N44" s="5" t="s">
        <v>111</v>
      </c>
      <c r="O44" s="5" t="s">
        <v>112</v>
      </c>
      <c r="P44" s="6">
        <v>41780</v>
      </c>
      <c r="Q44" s="5" t="s">
        <v>31</v>
      </c>
      <c r="R44" s="5" t="s">
        <v>32</v>
      </c>
      <c r="S44" s="5" t="s">
        <v>33</v>
      </c>
      <c r="T44" s="5"/>
      <c r="U44" s="5">
        <v>456.19</v>
      </c>
      <c r="V44" s="5">
        <v>196.71</v>
      </c>
      <c r="W44" s="5">
        <v>181.65</v>
      </c>
      <c r="X44" s="5">
        <v>0</v>
      </c>
      <c r="Y44" s="5">
        <v>77.83</v>
      </c>
    </row>
    <row r="45" spans="1:25" ht="24.75" x14ac:dyDescent="0.25">
      <c r="A45" s="5" t="s">
        <v>26</v>
      </c>
      <c r="B45" s="5" t="s">
        <v>27</v>
      </c>
      <c r="C45" s="5" t="s">
        <v>47</v>
      </c>
      <c r="D45" s="5" t="s">
        <v>92</v>
      </c>
      <c r="E45" s="5" t="s">
        <v>41</v>
      </c>
      <c r="F45" s="5" t="s">
        <v>110</v>
      </c>
      <c r="G45" s="5">
        <v>2014</v>
      </c>
      <c r="H45" s="5" t="str">
        <f>_xlfn.CONCAT("44715451041")</f>
        <v>44715451041</v>
      </c>
      <c r="I45" s="5" t="s">
        <v>29</v>
      </c>
      <c r="J45" s="5" t="s">
        <v>30</v>
      </c>
      <c r="K45" s="5" t="str">
        <f>_xlfn.CONCAT("214")</f>
        <v>214</v>
      </c>
      <c r="L45" s="5" t="str">
        <f>_xlfn.CONCAT("11 11.2 4b")</f>
        <v>11 11.2 4b</v>
      </c>
      <c r="M45" s="5" t="str">
        <f>_xlfn.CONCAT("00957520521")</f>
        <v>00957520521</v>
      </c>
      <c r="N45" s="5" t="s">
        <v>111</v>
      </c>
      <c r="O45" s="5" t="s">
        <v>113</v>
      </c>
      <c r="P45" s="6">
        <v>42108</v>
      </c>
      <c r="Q45" s="5" t="s">
        <v>31</v>
      </c>
      <c r="R45" s="5" t="s">
        <v>32</v>
      </c>
      <c r="S45" s="5" t="s">
        <v>33</v>
      </c>
      <c r="T45" s="5"/>
      <c r="U45" s="5">
        <v>475.2</v>
      </c>
      <c r="V45" s="5">
        <v>204.91</v>
      </c>
      <c r="W45" s="5">
        <v>189.22</v>
      </c>
      <c r="X45" s="5">
        <v>0</v>
      </c>
      <c r="Y45" s="5">
        <v>81.069999999999993</v>
      </c>
    </row>
    <row r="46" spans="1:25" ht="24.75" x14ac:dyDescent="0.25">
      <c r="A46" s="5" t="s">
        <v>26</v>
      </c>
      <c r="B46" s="5" t="s">
        <v>27</v>
      </c>
      <c r="C46" s="5" t="s">
        <v>47</v>
      </c>
      <c r="D46" s="5" t="s">
        <v>76</v>
      </c>
      <c r="E46" s="5" t="s">
        <v>35</v>
      </c>
      <c r="F46" s="5" t="s">
        <v>114</v>
      </c>
      <c r="G46" s="5">
        <v>2020</v>
      </c>
      <c r="H46" s="5" t="str">
        <f>_xlfn.CONCAT("04780026961")</f>
        <v>04780026961</v>
      </c>
      <c r="I46" s="5" t="s">
        <v>29</v>
      </c>
      <c r="J46" s="5" t="s">
        <v>30</v>
      </c>
      <c r="K46" s="5" t="str">
        <f>_xlfn.CONCAT("221")</f>
        <v>221</v>
      </c>
      <c r="L46" s="5" t="str">
        <f>_xlfn.CONCAT("8 8.1 5e")</f>
        <v>8 8.1 5e</v>
      </c>
      <c r="M46" s="5" t="str">
        <f>_xlfn.CONCAT("BTTRRT58R07D451K")</f>
        <v>BTTRRT58R07D451K</v>
      </c>
      <c r="N46" s="5" t="s">
        <v>115</v>
      </c>
      <c r="O46" s="5" t="s">
        <v>116</v>
      </c>
      <c r="P46" s="6">
        <v>44182</v>
      </c>
      <c r="Q46" s="5" t="s">
        <v>31</v>
      </c>
      <c r="R46" s="5" t="s">
        <v>32</v>
      </c>
      <c r="S46" s="5" t="s">
        <v>33</v>
      </c>
      <c r="T46" s="5"/>
      <c r="U46" s="5">
        <v>90.55</v>
      </c>
      <c r="V46" s="5">
        <v>39.049999999999997</v>
      </c>
      <c r="W46" s="5">
        <v>36.06</v>
      </c>
      <c r="X46" s="5">
        <v>0</v>
      </c>
      <c r="Y46" s="5">
        <v>15.44</v>
      </c>
    </row>
    <row r="47" spans="1:25" ht="24.75" x14ac:dyDescent="0.25">
      <c r="A47" s="5" t="s">
        <v>26</v>
      </c>
      <c r="B47" s="5" t="s">
        <v>27</v>
      </c>
      <c r="C47" s="5" t="s">
        <v>47</v>
      </c>
      <c r="D47" s="5" t="s">
        <v>76</v>
      </c>
      <c r="E47" s="5" t="s">
        <v>34</v>
      </c>
      <c r="F47" s="5" t="s">
        <v>77</v>
      </c>
      <c r="G47" s="5">
        <v>2020</v>
      </c>
      <c r="H47" s="5" t="str">
        <f>_xlfn.CONCAT("04780006971")</f>
        <v>04780006971</v>
      </c>
      <c r="I47" s="5" t="s">
        <v>29</v>
      </c>
      <c r="J47" s="5" t="s">
        <v>30</v>
      </c>
      <c r="K47" s="5" t="str">
        <f>_xlfn.CONCAT("221")</f>
        <v>221</v>
      </c>
      <c r="L47" s="5" t="str">
        <f>_xlfn.CONCAT("8 8.1 5e")</f>
        <v>8 8.1 5e</v>
      </c>
      <c r="M47" s="5" t="str">
        <f>_xlfn.CONCAT("BRNMRZ56B08I932B")</f>
        <v>BRNMRZ56B08I932B</v>
      </c>
      <c r="N47" s="5" t="s">
        <v>117</v>
      </c>
      <c r="O47" s="5" t="s">
        <v>116</v>
      </c>
      <c r="P47" s="6">
        <v>44182</v>
      </c>
      <c r="Q47" s="5" t="s">
        <v>31</v>
      </c>
      <c r="R47" s="5" t="s">
        <v>32</v>
      </c>
      <c r="S47" s="5" t="s">
        <v>33</v>
      </c>
      <c r="T47" s="5"/>
      <c r="U47" s="5">
        <v>451</v>
      </c>
      <c r="V47" s="5">
        <v>194.47</v>
      </c>
      <c r="W47" s="5">
        <v>179.59</v>
      </c>
      <c r="X47" s="5">
        <v>0</v>
      </c>
      <c r="Y47" s="5">
        <v>76.94</v>
      </c>
    </row>
    <row r="48" spans="1:25" ht="24.75" x14ac:dyDescent="0.25">
      <c r="A48" s="5" t="s">
        <v>26</v>
      </c>
      <c r="B48" s="5" t="s">
        <v>27</v>
      </c>
      <c r="C48" s="5" t="s">
        <v>47</v>
      </c>
      <c r="D48" s="5" t="s">
        <v>76</v>
      </c>
      <c r="E48" s="5" t="s">
        <v>34</v>
      </c>
      <c r="F48" s="5" t="s">
        <v>77</v>
      </c>
      <c r="G48" s="5">
        <v>2020</v>
      </c>
      <c r="H48" s="5" t="str">
        <f>_xlfn.CONCAT("04780007052")</f>
        <v>04780007052</v>
      </c>
      <c r="I48" s="5" t="s">
        <v>29</v>
      </c>
      <c r="J48" s="5" t="s">
        <v>30</v>
      </c>
      <c r="K48" s="5" t="str">
        <f>_xlfn.CONCAT("221")</f>
        <v>221</v>
      </c>
      <c r="L48" s="5" t="str">
        <f>_xlfn.CONCAT("8 8.1 5e")</f>
        <v>8 8.1 5e</v>
      </c>
      <c r="M48" s="5" t="str">
        <f>_xlfn.CONCAT("BRMSMN75H66E388A")</f>
        <v>BRMSMN75H66E388A</v>
      </c>
      <c r="N48" s="5" t="s">
        <v>118</v>
      </c>
      <c r="O48" s="5" t="s">
        <v>116</v>
      </c>
      <c r="P48" s="6">
        <v>44182</v>
      </c>
      <c r="Q48" s="5" t="s">
        <v>31</v>
      </c>
      <c r="R48" s="5" t="s">
        <v>32</v>
      </c>
      <c r="S48" s="5" t="s">
        <v>33</v>
      </c>
      <c r="T48" s="5"/>
      <c r="U48" s="7">
        <v>2240</v>
      </c>
      <c r="V48" s="5">
        <v>965.89</v>
      </c>
      <c r="W48" s="5">
        <v>891.97</v>
      </c>
      <c r="X48" s="5">
        <v>0</v>
      </c>
      <c r="Y48" s="5">
        <v>382.14</v>
      </c>
    </row>
    <row r="49" spans="1:25" ht="24.75" x14ac:dyDescent="0.25">
      <c r="A49" s="5" t="s">
        <v>26</v>
      </c>
      <c r="B49" s="5" t="s">
        <v>27</v>
      </c>
      <c r="C49" s="5" t="s">
        <v>47</v>
      </c>
      <c r="D49" s="5" t="s">
        <v>76</v>
      </c>
      <c r="E49" s="5" t="s">
        <v>42</v>
      </c>
      <c r="F49" s="5" t="s">
        <v>119</v>
      </c>
      <c r="G49" s="5">
        <v>2020</v>
      </c>
      <c r="H49" s="5" t="str">
        <f>_xlfn.CONCAT("04780009025")</f>
        <v>04780009025</v>
      </c>
      <c r="I49" s="5" t="s">
        <v>29</v>
      </c>
      <c r="J49" s="5" t="s">
        <v>30</v>
      </c>
      <c r="K49" s="5" t="str">
        <f>_xlfn.CONCAT("221")</f>
        <v>221</v>
      </c>
      <c r="L49" s="5" t="str">
        <f>_xlfn.CONCAT("8 8.1 5e")</f>
        <v>8 8.1 5e</v>
      </c>
      <c r="M49" s="5" t="str">
        <f>_xlfn.CONCAT("DTTCHR78L69D211L")</f>
        <v>DTTCHR78L69D211L</v>
      </c>
      <c r="N49" s="5" t="s">
        <v>120</v>
      </c>
      <c r="O49" s="5" t="s">
        <v>116</v>
      </c>
      <c r="P49" s="6">
        <v>44182</v>
      </c>
      <c r="Q49" s="5" t="s">
        <v>31</v>
      </c>
      <c r="R49" s="5" t="s">
        <v>32</v>
      </c>
      <c r="S49" s="5" t="s">
        <v>33</v>
      </c>
      <c r="T49" s="5"/>
      <c r="U49" s="7">
        <v>1465.6</v>
      </c>
      <c r="V49" s="5">
        <v>631.97</v>
      </c>
      <c r="W49" s="5">
        <v>583.6</v>
      </c>
      <c r="X49" s="5">
        <v>0</v>
      </c>
      <c r="Y49" s="5">
        <v>250.03</v>
      </c>
    </row>
    <row r="50" spans="1:25" ht="24.75" x14ac:dyDescent="0.25">
      <c r="A50" s="5" t="s">
        <v>26</v>
      </c>
      <c r="B50" s="5" t="s">
        <v>27</v>
      </c>
      <c r="C50" s="5" t="s">
        <v>47</v>
      </c>
      <c r="D50" s="5" t="s">
        <v>76</v>
      </c>
      <c r="E50" s="5" t="s">
        <v>42</v>
      </c>
      <c r="F50" s="5" t="s">
        <v>121</v>
      </c>
      <c r="G50" s="5">
        <v>2020</v>
      </c>
      <c r="H50" s="5" t="str">
        <f>_xlfn.CONCAT("04780024123")</f>
        <v>04780024123</v>
      </c>
      <c r="I50" s="5" t="s">
        <v>29</v>
      </c>
      <c r="J50" s="5" t="s">
        <v>30</v>
      </c>
      <c r="K50" s="5" t="str">
        <f>_xlfn.CONCAT("221")</f>
        <v>221</v>
      </c>
      <c r="L50" s="5" t="str">
        <f>_xlfn.CONCAT("8 8.1 5e")</f>
        <v>8 8.1 5e</v>
      </c>
      <c r="M50" s="5" t="str">
        <f>_xlfn.CONCAT("GLNGLN33C20A271V")</f>
        <v>GLNGLN33C20A271V</v>
      </c>
      <c r="N50" s="5" t="s">
        <v>122</v>
      </c>
      <c r="O50" s="5" t="s">
        <v>116</v>
      </c>
      <c r="P50" s="6">
        <v>44182</v>
      </c>
      <c r="Q50" s="5" t="s">
        <v>31</v>
      </c>
      <c r="R50" s="5" t="s">
        <v>32</v>
      </c>
      <c r="S50" s="5" t="s">
        <v>33</v>
      </c>
      <c r="T50" s="5"/>
      <c r="U50" s="5">
        <v>434.64</v>
      </c>
      <c r="V50" s="5">
        <v>187.42</v>
      </c>
      <c r="W50" s="5">
        <v>173.07</v>
      </c>
      <c r="X50" s="5">
        <v>0</v>
      </c>
      <c r="Y50" s="5">
        <v>74.150000000000006</v>
      </c>
    </row>
    <row r="51" spans="1:25" ht="24.75" x14ac:dyDescent="0.25">
      <c r="A51" s="5" t="s">
        <v>26</v>
      </c>
      <c r="B51" s="5" t="s">
        <v>27</v>
      </c>
      <c r="C51" s="5" t="s">
        <v>47</v>
      </c>
      <c r="D51" s="5" t="s">
        <v>76</v>
      </c>
      <c r="E51" s="5" t="s">
        <v>28</v>
      </c>
      <c r="F51" s="5" t="s">
        <v>123</v>
      </c>
      <c r="G51" s="5">
        <v>2020</v>
      </c>
      <c r="H51" s="5" t="str">
        <f>_xlfn.CONCAT("04780037935")</f>
        <v>04780037935</v>
      </c>
      <c r="I51" s="5" t="s">
        <v>29</v>
      </c>
      <c r="J51" s="5" t="s">
        <v>30</v>
      </c>
      <c r="K51" s="5" t="str">
        <f>_xlfn.CONCAT("221")</f>
        <v>221</v>
      </c>
      <c r="L51" s="5" t="str">
        <f>_xlfn.CONCAT("8 8.1 5e")</f>
        <v>8 8.1 5e</v>
      </c>
      <c r="M51" s="5" t="str">
        <f>_xlfn.CONCAT("MNCMRZ53E28A271J")</f>
        <v>MNCMRZ53E28A271J</v>
      </c>
      <c r="N51" s="5" t="s">
        <v>124</v>
      </c>
      <c r="O51" s="5" t="s">
        <v>116</v>
      </c>
      <c r="P51" s="6">
        <v>44182</v>
      </c>
      <c r="Q51" s="5" t="s">
        <v>31</v>
      </c>
      <c r="R51" s="5" t="s">
        <v>32</v>
      </c>
      <c r="S51" s="5" t="s">
        <v>33</v>
      </c>
      <c r="T51" s="5"/>
      <c r="U51" s="7">
        <v>1222.4000000000001</v>
      </c>
      <c r="V51" s="5">
        <v>527.1</v>
      </c>
      <c r="W51" s="5">
        <v>486.76</v>
      </c>
      <c r="X51" s="5">
        <v>0</v>
      </c>
      <c r="Y51" s="5">
        <v>208.54</v>
      </c>
    </row>
    <row r="52" spans="1:25" ht="24.75" x14ac:dyDescent="0.25">
      <c r="A52" s="5" t="s">
        <v>26</v>
      </c>
      <c r="B52" s="5" t="s">
        <v>27</v>
      </c>
      <c r="C52" s="5" t="s">
        <v>47</v>
      </c>
      <c r="D52" s="5" t="s">
        <v>76</v>
      </c>
      <c r="E52" s="5" t="s">
        <v>34</v>
      </c>
      <c r="F52" s="5" t="s">
        <v>82</v>
      </c>
      <c r="G52" s="5">
        <v>2020</v>
      </c>
      <c r="H52" s="5" t="str">
        <f>_xlfn.CONCAT("04780029403")</f>
        <v>04780029403</v>
      </c>
      <c r="I52" s="5" t="s">
        <v>29</v>
      </c>
      <c r="J52" s="5" t="s">
        <v>30</v>
      </c>
      <c r="K52" s="5" t="str">
        <f>_xlfn.CONCAT("221")</f>
        <v>221</v>
      </c>
      <c r="L52" s="5" t="str">
        <f>_xlfn.CONCAT("8 8.1 5e")</f>
        <v>8 8.1 5e</v>
      </c>
      <c r="M52" s="5" t="str">
        <f>_xlfn.CONCAT("BGTRRT71E09E388U")</f>
        <v>BGTRRT71E09E388U</v>
      </c>
      <c r="N52" s="5" t="s">
        <v>125</v>
      </c>
      <c r="O52" s="5" t="s">
        <v>116</v>
      </c>
      <c r="P52" s="6">
        <v>44182</v>
      </c>
      <c r="Q52" s="5" t="s">
        <v>31</v>
      </c>
      <c r="R52" s="5" t="s">
        <v>32</v>
      </c>
      <c r="S52" s="5" t="s">
        <v>33</v>
      </c>
      <c r="T52" s="5"/>
      <c r="U52" s="5">
        <v>244.48</v>
      </c>
      <c r="V52" s="5">
        <v>105.42</v>
      </c>
      <c r="W52" s="5">
        <v>97.35</v>
      </c>
      <c r="X52" s="5">
        <v>0</v>
      </c>
      <c r="Y52" s="5">
        <v>41.71</v>
      </c>
    </row>
    <row r="53" spans="1:25" ht="24.75" x14ac:dyDescent="0.25">
      <c r="A53" s="5" t="s">
        <v>26</v>
      </c>
      <c r="B53" s="5" t="s">
        <v>27</v>
      </c>
      <c r="C53" s="5" t="s">
        <v>47</v>
      </c>
      <c r="D53" s="5" t="s">
        <v>76</v>
      </c>
      <c r="E53" s="5" t="s">
        <v>34</v>
      </c>
      <c r="F53" s="5" t="s">
        <v>77</v>
      </c>
      <c r="G53" s="5">
        <v>2020</v>
      </c>
      <c r="H53" s="5" t="str">
        <f>_xlfn.CONCAT("04780007383")</f>
        <v>04780007383</v>
      </c>
      <c r="I53" s="5" t="s">
        <v>29</v>
      </c>
      <c r="J53" s="5" t="s">
        <v>30</v>
      </c>
      <c r="K53" s="5" t="str">
        <f>_xlfn.CONCAT("221")</f>
        <v>221</v>
      </c>
      <c r="L53" s="5" t="str">
        <f>_xlfn.CONCAT("8 8.1 5e")</f>
        <v>8 8.1 5e</v>
      </c>
      <c r="M53" s="5" t="str">
        <f>_xlfn.CONCAT("MNCPLA60C65A366S")</f>
        <v>MNCPLA60C65A366S</v>
      </c>
      <c r="N53" s="5" t="s">
        <v>126</v>
      </c>
      <c r="O53" s="5" t="s">
        <v>116</v>
      </c>
      <c r="P53" s="6">
        <v>44182</v>
      </c>
      <c r="Q53" s="5" t="s">
        <v>31</v>
      </c>
      <c r="R53" s="5" t="s">
        <v>32</v>
      </c>
      <c r="S53" s="5" t="s">
        <v>33</v>
      </c>
      <c r="T53" s="5"/>
      <c r="U53" s="7">
        <v>2649.6</v>
      </c>
      <c r="V53" s="7">
        <v>1142.51</v>
      </c>
      <c r="W53" s="7">
        <v>1055.07</v>
      </c>
      <c r="X53" s="5">
        <v>0</v>
      </c>
      <c r="Y53" s="5">
        <v>452.02</v>
      </c>
    </row>
    <row r="54" spans="1:25" ht="24.75" x14ac:dyDescent="0.25">
      <c r="A54" s="5" t="s">
        <v>26</v>
      </c>
      <c r="B54" s="5" t="s">
        <v>27</v>
      </c>
      <c r="C54" s="5" t="s">
        <v>47</v>
      </c>
      <c r="D54" s="5" t="s">
        <v>76</v>
      </c>
      <c r="E54" s="5" t="s">
        <v>42</v>
      </c>
      <c r="F54" s="5" t="s">
        <v>121</v>
      </c>
      <c r="G54" s="5">
        <v>2020</v>
      </c>
      <c r="H54" s="5" t="str">
        <f>_xlfn.CONCAT("04780024099")</f>
        <v>04780024099</v>
      </c>
      <c r="I54" s="5" t="s">
        <v>29</v>
      </c>
      <c r="J54" s="5" t="s">
        <v>30</v>
      </c>
      <c r="K54" s="5" t="str">
        <f>_xlfn.CONCAT("221")</f>
        <v>221</v>
      </c>
      <c r="L54" s="5" t="str">
        <f>_xlfn.CONCAT("8 8.1 5e")</f>
        <v>8 8.1 5e</v>
      </c>
      <c r="M54" s="5" t="str">
        <f>_xlfn.CONCAT("BRTPLA55T61F401Y")</f>
        <v>BRTPLA55T61F401Y</v>
      </c>
      <c r="N54" s="5" t="s">
        <v>127</v>
      </c>
      <c r="O54" s="5" t="s">
        <v>116</v>
      </c>
      <c r="P54" s="6">
        <v>44182</v>
      </c>
      <c r="Q54" s="5" t="s">
        <v>31</v>
      </c>
      <c r="R54" s="5" t="s">
        <v>32</v>
      </c>
      <c r="S54" s="5" t="s">
        <v>33</v>
      </c>
      <c r="T54" s="5"/>
      <c r="U54" s="5">
        <v>792</v>
      </c>
      <c r="V54" s="5">
        <v>341.51</v>
      </c>
      <c r="W54" s="5">
        <v>315.37</v>
      </c>
      <c r="X54" s="5">
        <v>0</v>
      </c>
      <c r="Y54" s="5">
        <v>135.12</v>
      </c>
    </row>
    <row r="55" spans="1:25" ht="24.75" x14ac:dyDescent="0.25">
      <c r="A55" s="5" t="s">
        <v>26</v>
      </c>
      <c r="B55" s="5" t="s">
        <v>27</v>
      </c>
      <c r="C55" s="5" t="s">
        <v>47</v>
      </c>
      <c r="D55" s="5" t="s">
        <v>76</v>
      </c>
      <c r="E55" s="5" t="s">
        <v>43</v>
      </c>
      <c r="F55" s="5" t="s">
        <v>128</v>
      </c>
      <c r="G55" s="5">
        <v>2020</v>
      </c>
      <c r="H55" s="5" t="str">
        <f>_xlfn.CONCAT("04780040830")</f>
        <v>04780040830</v>
      </c>
      <c r="I55" s="5" t="s">
        <v>29</v>
      </c>
      <c r="J55" s="5" t="s">
        <v>30</v>
      </c>
      <c r="K55" s="5" t="str">
        <f>_xlfn.CONCAT("221")</f>
        <v>221</v>
      </c>
      <c r="L55" s="5" t="str">
        <f>_xlfn.CONCAT("8 8.1 5e")</f>
        <v>8 8.1 5e</v>
      </c>
      <c r="M55" s="5" t="str">
        <f>_xlfn.CONCAT("BRRLGU59B15D597T")</f>
        <v>BRRLGU59B15D597T</v>
      </c>
      <c r="N55" s="5" t="s">
        <v>129</v>
      </c>
      <c r="O55" s="5" t="s">
        <v>116</v>
      </c>
      <c r="P55" s="6">
        <v>44182</v>
      </c>
      <c r="Q55" s="5" t="s">
        <v>31</v>
      </c>
      <c r="R55" s="5" t="s">
        <v>32</v>
      </c>
      <c r="S55" s="5" t="s">
        <v>33</v>
      </c>
      <c r="T55" s="5"/>
      <c r="U55" s="5">
        <v>708</v>
      </c>
      <c r="V55" s="5">
        <v>305.29000000000002</v>
      </c>
      <c r="W55" s="5">
        <v>281.93</v>
      </c>
      <c r="X55" s="5">
        <v>0</v>
      </c>
      <c r="Y55" s="5">
        <v>120.78</v>
      </c>
    </row>
    <row r="56" spans="1:25" ht="24.75" x14ac:dyDescent="0.25">
      <c r="A56" s="5" t="s">
        <v>26</v>
      </c>
      <c r="B56" s="5" t="s">
        <v>27</v>
      </c>
      <c r="C56" s="5" t="s">
        <v>47</v>
      </c>
      <c r="D56" s="5" t="s">
        <v>76</v>
      </c>
      <c r="E56" s="5" t="s">
        <v>42</v>
      </c>
      <c r="F56" s="5" t="s">
        <v>130</v>
      </c>
      <c r="G56" s="5">
        <v>2020</v>
      </c>
      <c r="H56" s="5" t="str">
        <f>_xlfn.CONCAT("04780044964")</f>
        <v>04780044964</v>
      </c>
      <c r="I56" s="5" t="s">
        <v>29</v>
      </c>
      <c r="J56" s="5" t="s">
        <v>30</v>
      </c>
      <c r="K56" s="5" t="str">
        <f>_xlfn.CONCAT("221")</f>
        <v>221</v>
      </c>
      <c r="L56" s="5" t="str">
        <f>_xlfn.CONCAT("8 8.1 5e")</f>
        <v>8 8.1 5e</v>
      </c>
      <c r="M56" s="5" t="str">
        <f>_xlfn.CONCAT("BGLGCR60R15D211G")</f>
        <v>BGLGCR60R15D211G</v>
      </c>
      <c r="N56" s="5" t="s">
        <v>131</v>
      </c>
      <c r="O56" s="5" t="s">
        <v>116</v>
      </c>
      <c r="P56" s="6">
        <v>44182</v>
      </c>
      <c r="Q56" s="5" t="s">
        <v>31</v>
      </c>
      <c r="R56" s="5" t="s">
        <v>32</v>
      </c>
      <c r="S56" s="5" t="s">
        <v>33</v>
      </c>
      <c r="T56" s="5"/>
      <c r="U56" s="5">
        <v>175.6</v>
      </c>
      <c r="V56" s="5">
        <v>75.72</v>
      </c>
      <c r="W56" s="5">
        <v>69.92</v>
      </c>
      <c r="X56" s="5">
        <v>0</v>
      </c>
      <c r="Y56" s="5">
        <v>29.96</v>
      </c>
    </row>
    <row r="57" spans="1:25" ht="24.75" x14ac:dyDescent="0.25">
      <c r="A57" s="5" t="s">
        <v>26</v>
      </c>
      <c r="B57" s="5" t="s">
        <v>27</v>
      </c>
      <c r="C57" s="5" t="s">
        <v>47</v>
      </c>
      <c r="D57" s="5" t="s">
        <v>76</v>
      </c>
      <c r="E57" s="5" t="s">
        <v>42</v>
      </c>
      <c r="F57" s="5" t="s">
        <v>130</v>
      </c>
      <c r="G57" s="5">
        <v>2020</v>
      </c>
      <c r="H57" s="5" t="str">
        <f>_xlfn.CONCAT("04780045003")</f>
        <v>04780045003</v>
      </c>
      <c r="I57" s="5" t="s">
        <v>29</v>
      </c>
      <c r="J57" s="5" t="s">
        <v>30</v>
      </c>
      <c r="K57" s="5" t="str">
        <f>_xlfn.CONCAT("221")</f>
        <v>221</v>
      </c>
      <c r="L57" s="5" t="str">
        <f>_xlfn.CONCAT("8 8.1 5e")</f>
        <v>8 8.1 5e</v>
      </c>
      <c r="M57" s="5" t="str">
        <f>_xlfn.CONCAT("BGLVTR66M22C060O")</f>
        <v>BGLVTR66M22C060O</v>
      </c>
      <c r="N57" s="5" t="s">
        <v>132</v>
      </c>
      <c r="O57" s="5" t="s">
        <v>116</v>
      </c>
      <c r="P57" s="6">
        <v>44182</v>
      </c>
      <c r="Q57" s="5" t="s">
        <v>31</v>
      </c>
      <c r="R57" s="5" t="s">
        <v>32</v>
      </c>
      <c r="S57" s="5" t="s">
        <v>33</v>
      </c>
      <c r="T57" s="5"/>
      <c r="U57" s="5">
        <v>244.24</v>
      </c>
      <c r="V57" s="5">
        <v>105.32</v>
      </c>
      <c r="W57" s="5">
        <v>97.26</v>
      </c>
      <c r="X57" s="5">
        <v>0</v>
      </c>
      <c r="Y57" s="5">
        <v>41.66</v>
      </c>
    </row>
    <row r="58" spans="1:25" ht="24.75" x14ac:dyDescent="0.25">
      <c r="A58" s="5" t="s">
        <v>26</v>
      </c>
      <c r="B58" s="5" t="s">
        <v>27</v>
      </c>
      <c r="C58" s="5" t="s">
        <v>47</v>
      </c>
      <c r="D58" s="5" t="s">
        <v>76</v>
      </c>
      <c r="E58" s="5" t="s">
        <v>35</v>
      </c>
      <c r="F58" s="5" t="s">
        <v>133</v>
      </c>
      <c r="G58" s="5">
        <v>2020</v>
      </c>
      <c r="H58" s="5" t="str">
        <f>_xlfn.CONCAT("04780013472")</f>
        <v>04780013472</v>
      </c>
      <c r="I58" s="5" t="s">
        <v>29</v>
      </c>
      <c r="J58" s="5" t="s">
        <v>30</v>
      </c>
      <c r="K58" s="5" t="str">
        <f>_xlfn.CONCAT("221")</f>
        <v>221</v>
      </c>
      <c r="L58" s="5" t="str">
        <f>_xlfn.CONCAT("8 8.1 5e")</f>
        <v>8 8.1 5e</v>
      </c>
      <c r="M58" s="5" t="str">
        <f>_xlfn.CONCAT("CLACLD78D68L219R")</f>
        <v>CLACLD78D68L219R</v>
      </c>
      <c r="N58" s="5" t="s">
        <v>134</v>
      </c>
      <c r="O58" s="5" t="s">
        <v>116</v>
      </c>
      <c r="P58" s="6">
        <v>44182</v>
      </c>
      <c r="Q58" s="5" t="s">
        <v>31</v>
      </c>
      <c r="R58" s="5" t="s">
        <v>32</v>
      </c>
      <c r="S58" s="5" t="s">
        <v>33</v>
      </c>
      <c r="T58" s="5"/>
      <c r="U58" s="5">
        <v>309.68</v>
      </c>
      <c r="V58" s="5">
        <v>133.53</v>
      </c>
      <c r="W58" s="5">
        <v>123.31</v>
      </c>
      <c r="X58" s="5">
        <v>0</v>
      </c>
      <c r="Y58" s="5">
        <v>52.84</v>
      </c>
    </row>
    <row r="59" spans="1:25" ht="24.75" x14ac:dyDescent="0.25">
      <c r="A59" s="5" t="s">
        <v>26</v>
      </c>
      <c r="B59" s="5" t="s">
        <v>27</v>
      </c>
      <c r="C59" s="5" t="s">
        <v>47</v>
      </c>
      <c r="D59" s="5" t="s">
        <v>92</v>
      </c>
      <c r="E59" s="5" t="s">
        <v>28</v>
      </c>
      <c r="F59" s="5" t="s">
        <v>135</v>
      </c>
      <c r="G59" s="5">
        <v>2020</v>
      </c>
      <c r="H59" s="5" t="str">
        <f>_xlfn.CONCAT("04780012318")</f>
        <v>04780012318</v>
      </c>
      <c r="I59" s="5" t="s">
        <v>29</v>
      </c>
      <c r="J59" s="5" t="s">
        <v>30</v>
      </c>
      <c r="K59" s="5" t="str">
        <f>_xlfn.CONCAT("221")</f>
        <v>221</v>
      </c>
      <c r="L59" s="5" t="str">
        <f>_xlfn.CONCAT("8 8.1 5e")</f>
        <v>8 8.1 5e</v>
      </c>
      <c r="M59" s="5" t="str">
        <f>_xlfn.CONCAT("BRSNDA48A47Z103Q")</f>
        <v>BRSNDA48A47Z103Q</v>
      </c>
      <c r="N59" s="5" t="s">
        <v>136</v>
      </c>
      <c r="O59" s="5" t="s">
        <v>116</v>
      </c>
      <c r="P59" s="6">
        <v>44182</v>
      </c>
      <c r="Q59" s="5" t="s">
        <v>31</v>
      </c>
      <c r="R59" s="5" t="s">
        <v>32</v>
      </c>
      <c r="S59" s="5" t="s">
        <v>33</v>
      </c>
      <c r="T59" s="5"/>
      <c r="U59" s="5">
        <v>275</v>
      </c>
      <c r="V59" s="5">
        <v>118.58</v>
      </c>
      <c r="W59" s="5">
        <v>109.51</v>
      </c>
      <c r="X59" s="5">
        <v>0</v>
      </c>
      <c r="Y59" s="5">
        <v>46.91</v>
      </c>
    </row>
    <row r="60" spans="1:25" ht="24.75" x14ac:dyDescent="0.25">
      <c r="A60" s="5" t="s">
        <v>26</v>
      </c>
      <c r="B60" s="5" t="s">
        <v>27</v>
      </c>
      <c r="C60" s="5" t="s">
        <v>47</v>
      </c>
      <c r="D60" s="5" t="s">
        <v>92</v>
      </c>
      <c r="E60" s="5" t="s">
        <v>28</v>
      </c>
      <c r="F60" s="5" t="s">
        <v>135</v>
      </c>
      <c r="G60" s="5">
        <v>2020</v>
      </c>
      <c r="H60" s="5" t="str">
        <f>_xlfn.CONCAT("04780012367")</f>
        <v>04780012367</v>
      </c>
      <c r="I60" s="5" t="s">
        <v>29</v>
      </c>
      <c r="J60" s="5" t="s">
        <v>30</v>
      </c>
      <c r="K60" s="5" t="str">
        <f>_xlfn.CONCAT("221")</f>
        <v>221</v>
      </c>
      <c r="L60" s="5" t="str">
        <f>_xlfn.CONCAT("8 8.1 5e")</f>
        <v>8 8.1 5e</v>
      </c>
      <c r="M60" s="5" t="str">
        <f>_xlfn.CONCAT("BRSNDA48A47Z103Q")</f>
        <v>BRSNDA48A47Z103Q</v>
      </c>
      <c r="N60" s="5" t="s">
        <v>136</v>
      </c>
      <c r="O60" s="5" t="s">
        <v>116</v>
      </c>
      <c r="P60" s="6">
        <v>44182</v>
      </c>
      <c r="Q60" s="5" t="s">
        <v>31</v>
      </c>
      <c r="R60" s="5" t="s">
        <v>32</v>
      </c>
      <c r="S60" s="5" t="s">
        <v>33</v>
      </c>
      <c r="T60" s="5"/>
      <c r="U60" s="5">
        <v>830</v>
      </c>
      <c r="V60" s="5">
        <v>357.9</v>
      </c>
      <c r="W60" s="5">
        <v>330.51</v>
      </c>
      <c r="X60" s="5">
        <v>0</v>
      </c>
      <c r="Y60" s="5">
        <v>141.59</v>
      </c>
    </row>
    <row r="61" spans="1:25" ht="24.75" x14ac:dyDescent="0.25">
      <c r="A61" s="5" t="s">
        <v>26</v>
      </c>
      <c r="B61" s="5" t="s">
        <v>27</v>
      </c>
      <c r="C61" s="5" t="s">
        <v>47</v>
      </c>
      <c r="D61" s="5" t="s">
        <v>76</v>
      </c>
      <c r="E61" s="5" t="s">
        <v>34</v>
      </c>
      <c r="F61" s="5" t="s">
        <v>137</v>
      </c>
      <c r="G61" s="5">
        <v>2020</v>
      </c>
      <c r="H61" s="5" t="str">
        <f>_xlfn.CONCAT("04780004083")</f>
        <v>04780004083</v>
      </c>
      <c r="I61" s="5" t="s">
        <v>29</v>
      </c>
      <c r="J61" s="5" t="s">
        <v>30</v>
      </c>
      <c r="K61" s="5" t="str">
        <f>_xlfn.CONCAT("221")</f>
        <v>221</v>
      </c>
      <c r="L61" s="5" t="str">
        <f>_xlfn.CONCAT("8 8.1 5e")</f>
        <v>8 8.1 5e</v>
      </c>
      <c r="M61" s="5" t="str">
        <f>_xlfn.CONCAT("BLTSLV43A13D451C")</f>
        <v>BLTSLV43A13D451C</v>
      </c>
      <c r="N61" s="5" t="s">
        <v>138</v>
      </c>
      <c r="O61" s="5" t="s">
        <v>116</v>
      </c>
      <c r="P61" s="6">
        <v>44182</v>
      </c>
      <c r="Q61" s="5" t="s">
        <v>31</v>
      </c>
      <c r="R61" s="5" t="s">
        <v>32</v>
      </c>
      <c r="S61" s="5" t="s">
        <v>33</v>
      </c>
      <c r="T61" s="5"/>
      <c r="U61" s="5">
        <v>90.5</v>
      </c>
      <c r="V61" s="5">
        <v>39.020000000000003</v>
      </c>
      <c r="W61" s="5">
        <v>36.04</v>
      </c>
      <c r="X61" s="5">
        <v>0</v>
      </c>
      <c r="Y61" s="5">
        <v>15.44</v>
      </c>
    </row>
    <row r="62" spans="1:25" x14ac:dyDescent="0.25">
      <c r="A62" s="5" t="s">
        <v>26</v>
      </c>
      <c r="B62" s="5" t="s">
        <v>27</v>
      </c>
      <c r="C62" s="5" t="s">
        <v>47</v>
      </c>
      <c r="D62" s="5" t="s">
        <v>48</v>
      </c>
      <c r="E62" s="5" t="s">
        <v>34</v>
      </c>
      <c r="F62" s="5" t="s">
        <v>139</v>
      </c>
      <c r="G62" s="5">
        <v>2017</v>
      </c>
      <c r="H62" s="5" t="str">
        <f>_xlfn.CONCAT("74770271257")</f>
        <v>74770271257</v>
      </c>
      <c r="I62" s="5" t="s">
        <v>40</v>
      </c>
      <c r="J62" s="5" t="s">
        <v>30</v>
      </c>
      <c r="K62" s="5" t="str">
        <f>_xlfn.CONCAT("214")</f>
        <v>214</v>
      </c>
      <c r="L62" s="5" t="str">
        <f>_xlfn.CONCAT("10 10.1 4c")</f>
        <v>10 10.1 4c</v>
      </c>
      <c r="M62" s="5" t="str">
        <f>_xlfn.CONCAT("RGNNLS64L49F051Y")</f>
        <v>RGNNLS64L49F051Y</v>
      </c>
      <c r="N62" s="5" t="s">
        <v>140</v>
      </c>
      <c r="O62" s="5" t="s">
        <v>141</v>
      </c>
      <c r="P62" s="6">
        <v>44182</v>
      </c>
      <c r="Q62" s="5" t="s">
        <v>31</v>
      </c>
      <c r="R62" s="5" t="s">
        <v>32</v>
      </c>
      <c r="S62" s="5" t="s">
        <v>33</v>
      </c>
      <c r="T62" s="5"/>
      <c r="U62" s="7">
        <v>1751.7</v>
      </c>
      <c r="V62" s="5">
        <v>755.33</v>
      </c>
      <c r="W62" s="5">
        <v>697.53</v>
      </c>
      <c r="X62" s="5">
        <v>0</v>
      </c>
      <c r="Y62" s="5">
        <v>298.83999999999997</v>
      </c>
    </row>
    <row r="63" spans="1:25" ht="24.75" x14ac:dyDescent="0.25">
      <c r="A63" s="5" t="s">
        <v>26</v>
      </c>
      <c r="B63" s="5" t="s">
        <v>27</v>
      </c>
      <c r="C63" s="5" t="s">
        <v>47</v>
      </c>
      <c r="D63" s="5" t="s">
        <v>76</v>
      </c>
      <c r="E63" s="5" t="s">
        <v>42</v>
      </c>
      <c r="F63" s="5" t="s">
        <v>130</v>
      </c>
      <c r="G63" s="5">
        <v>2020</v>
      </c>
      <c r="H63" s="5" t="str">
        <f>_xlfn.CONCAT("04780045045")</f>
        <v>04780045045</v>
      </c>
      <c r="I63" s="5" t="s">
        <v>29</v>
      </c>
      <c r="J63" s="5" t="s">
        <v>30</v>
      </c>
      <c r="K63" s="5" t="str">
        <f>_xlfn.CONCAT("221")</f>
        <v>221</v>
      </c>
      <c r="L63" s="5" t="str">
        <f>_xlfn.CONCAT("8 8.1 5e")</f>
        <v>8 8.1 5e</v>
      </c>
      <c r="M63" s="5" t="str">
        <f>_xlfn.CONCAT("CSRGLN56A13E837V")</f>
        <v>CSRGLN56A13E837V</v>
      </c>
      <c r="N63" s="5" t="s">
        <v>142</v>
      </c>
      <c r="O63" s="5" t="s">
        <v>116</v>
      </c>
      <c r="P63" s="6">
        <v>44182</v>
      </c>
      <c r="Q63" s="5" t="s">
        <v>31</v>
      </c>
      <c r="R63" s="5" t="s">
        <v>32</v>
      </c>
      <c r="S63" s="5" t="s">
        <v>33</v>
      </c>
      <c r="T63" s="5"/>
      <c r="U63" s="5">
        <v>197.4</v>
      </c>
      <c r="V63" s="5">
        <v>85.12</v>
      </c>
      <c r="W63" s="5">
        <v>78.599999999999994</v>
      </c>
      <c r="X63" s="5">
        <v>0</v>
      </c>
      <c r="Y63" s="5">
        <v>33.68</v>
      </c>
    </row>
    <row r="64" spans="1:25" ht="24.75" x14ac:dyDescent="0.25">
      <c r="A64" s="5" t="s">
        <v>26</v>
      </c>
      <c r="B64" s="5" t="s">
        <v>27</v>
      </c>
      <c r="C64" s="5" t="s">
        <v>47</v>
      </c>
      <c r="D64" s="5" t="s">
        <v>76</v>
      </c>
      <c r="E64" s="5" t="s">
        <v>34</v>
      </c>
      <c r="F64" s="5" t="s">
        <v>143</v>
      </c>
      <c r="G64" s="5">
        <v>2020</v>
      </c>
      <c r="H64" s="5" t="str">
        <f>_xlfn.CONCAT("04780004778")</f>
        <v>04780004778</v>
      </c>
      <c r="I64" s="5" t="s">
        <v>29</v>
      </c>
      <c r="J64" s="5" t="s">
        <v>30</v>
      </c>
      <c r="K64" s="5" t="str">
        <f>_xlfn.CONCAT("221")</f>
        <v>221</v>
      </c>
      <c r="L64" s="5" t="str">
        <f>_xlfn.CONCAT("8 8.1 5e")</f>
        <v>8 8.1 5e</v>
      </c>
      <c r="M64" s="5" t="str">
        <f>_xlfn.CONCAT("01374650420")</f>
        <v>01374650420</v>
      </c>
      <c r="N64" s="5" t="s">
        <v>144</v>
      </c>
      <c r="O64" s="5" t="s">
        <v>116</v>
      </c>
      <c r="P64" s="6">
        <v>44182</v>
      </c>
      <c r="Q64" s="5" t="s">
        <v>31</v>
      </c>
      <c r="R64" s="5" t="s">
        <v>32</v>
      </c>
      <c r="S64" s="5" t="s">
        <v>33</v>
      </c>
      <c r="T64" s="5"/>
      <c r="U64" s="5">
        <v>905</v>
      </c>
      <c r="V64" s="5">
        <v>390.24</v>
      </c>
      <c r="W64" s="5">
        <v>360.37</v>
      </c>
      <c r="X64" s="5">
        <v>0</v>
      </c>
      <c r="Y64" s="5">
        <v>154.38999999999999</v>
      </c>
    </row>
    <row r="65" spans="1:25" ht="24.75" x14ac:dyDescent="0.25">
      <c r="A65" s="5" t="s">
        <v>26</v>
      </c>
      <c r="B65" s="5" t="s">
        <v>27</v>
      </c>
      <c r="C65" s="5" t="s">
        <v>47</v>
      </c>
      <c r="D65" s="5" t="s">
        <v>76</v>
      </c>
      <c r="E65" s="5" t="s">
        <v>42</v>
      </c>
      <c r="F65" s="5" t="s">
        <v>130</v>
      </c>
      <c r="G65" s="5">
        <v>2020</v>
      </c>
      <c r="H65" s="5" t="str">
        <f>_xlfn.CONCAT("04780045011")</f>
        <v>04780045011</v>
      </c>
      <c r="I65" s="5" t="s">
        <v>29</v>
      </c>
      <c r="J65" s="5" t="s">
        <v>30</v>
      </c>
      <c r="K65" s="5" t="str">
        <f>_xlfn.CONCAT("221")</f>
        <v>221</v>
      </c>
      <c r="L65" s="5" t="str">
        <f>_xlfn.CONCAT("8 8.1 5e")</f>
        <v>8 8.1 5e</v>
      </c>
      <c r="M65" s="5" t="str">
        <f>_xlfn.CONCAT("CRLSMN68H27I653N")</f>
        <v>CRLSMN68H27I653N</v>
      </c>
      <c r="N65" s="5" t="s">
        <v>145</v>
      </c>
      <c r="O65" s="5" t="s">
        <v>116</v>
      </c>
      <c r="P65" s="6">
        <v>44182</v>
      </c>
      <c r="Q65" s="5" t="s">
        <v>31</v>
      </c>
      <c r="R65" s="5" t="s">
        <v>32</v>
      </c>
      <c r="S65" s="5" t="s">
        <v>33</v>
      </c>
      <c r="T65" s="5"/>
      <c r="U65" s="5">
        <v>90.5</v>
      </c>
      <c r="V65" s="5">
        <v>39.020000000000003</v>
      </c>
      <c r="W65" s="5">
        <v>36.04</v>
      </c>
      <c r="X65" s="5">
        <v>0</v>
      </c>
      <c r="Y65" s="5">
        <v>15.44</v>
      </c>
    </row>
    <row r="66" spans="1:25" ht="24.75" x14ac:dyDescent="0.25">
      <c r="A66" s="5" t="s">
        <v>26</v>
      </c>
      <c r="B66" s="5" t="s">
        <v>27</v>
      </c>
      <c r="C66" s="5" t="s">
        <v>47</v>
      </c>
      <c r="D66" s="5" t="s">
        <v>51</v>
      </c>
      <c r="E66" s="5" t="s">
        <v>46</v>
      </c>
      <c r="F66" s="5" t="s">
        <v>146</v>
      </c>
      <c r="G66" s="5">
        <v>2020</v>
      </c>
      <c r="H66" s="5" t="str">
        <f>_xlfn.CONCAT("04780045607")</f>
        <v>04780045607</v>
      </c>
      <c r="I66" s="5" t="s">
        <v>29</v>
      </c>
      <c r="J66" s="5" t="s">
        <v>30</v>
      </c>
      <c r="K66" s="5" t="str">
        <f>_xlfn.CONCAT("221")</f>
        <v>221</v>
      </c>
      <c r="L66" s="5" t="str">
        <f>_xlfn.CONCAT("8 8.1 5e")</f>
        <v>8 8.1 5e</v>
      </c>
      <c r="M66" s="5" t="str">
        <f>_xlfn.CONCAT("01539420446")</f>
        <v>01539420446</v>
      </c>
      <c r="N66" s="5" t="s">
        <v>147</v>
      </c>
      <c r="O66" s="5" t="s">
        <v>148</v>
      </c>
      <c r="P66" s="6">
        <v>44166</v>
      </c>
      <c r="Q66" s="5" t="s">
        <v>31</v>
      </c>
      <c r="R66" s="5" t="s">
        <v>32</v>
      </c>
      <c r="S66" s="5" t="s">
        <v>33</v>
      </c>
      <c r="T66" s="5"/>
      <c r="U66" s="7">
        <v>3742.2</v>
      </c>
      <c r="V66" s="7">
        <v>1613.64</v>
      </c>
      <c r="W66" s="7">
        <v>1490.14</v>
      </c>
      <c r="X66" s="5">
        <v>0</v>
      </c>
      <c r="Y66" s="5">
        <v>638.41999999999996</v>
      </c>
    </row>
    <row r="67" spans="1:25" ht="24.75" x14ac:dyDescent="0.25">
      <c r="A67" s="5" t="s">
        <v>26</v>
      </c>
      <c r="B67" s="5" t="s">
        <v>27</v>
      </c>
      <c r="C67" s="5" t="s">
        <v>47</v>
      </c>
      <c r="D67" s="5" t="s">
        <v>51</v>
      </c>
      <c r="E67" s="5" t="s">
        <v>34</v>
      </c>
      <c r="F67" s="5" t="s">
        <v>149</v>
      </c>
      <c r="G67" s="5">
        <v>2020</v>
      </c>
      <c r="H67" s="5" t="str">
        <f>_xlfn.CONCAT("04780035327")</f>
        <v>04780035327</v>
      </c>
      <c r="I67" s="5" t="s">
        <v>29</v>
      </c>
      <c r="J67" s="5" t="s">
        <v>30</v>
      </c>
      <c r="K67" s="5" t="str">
        <f>_xlfn.CONCAT("221")</f>
        <v>221</v>
      </c>
      <c r="L67" s="5" t="str">
        <f>_xlfn.CONCAT("8 8.1 5e")</f>
        <v>8 8.1 5e</v>
      </c>
      <c r="M67" s="5" t="str">
        <f>_xlfn.CONCAT("SCRSRG55M06F665O")</f>
        <v>SCRSRG55M06F665O</v>
      </c>
      <c r="N67" s="5" t="s">
        <v>150</v>
      </c>
      <c r="O67" s="5" t="s">
        <v>148</v>
      </c>
      <c r="P67" s="6">
        <v>44166</v>
      </c>
      <c r="Q67" s="5" t="s">
        <v>31</v>
      </c>
      <c r="R67" s="5" t="s">
        <v>32</v>
      </c>
      <c r="S67" s="5" t="s">
        <v>33</v>
      </c>
      <c r="T67" s="5"/>
      <c r="U67" s="5">
        <v>235.24</v>
      </c>
      <c r="V67" s="5">
        <v>101.44</v>
      </c>
      <c r="W67" s="5">
        <v>93.67</v>
      </c>
      <c r="X67" s="5">
        <v>0</v>
      </c>
      <c r="Y67" s="5">
        <v>40.130000000000003</v>
      </c>
    </row>
    <row r="68" spans="1:25" ht="24.75" x14ac:dyDescent="0.25">
      <c r="A68" s="5" t="s">
        <v>26</v>
      </c>
      <c r="B68" s="5" t="s">
        <v>27</v>
      </c>
      <c r="C68" s="5" t="s">
        <v>47</v>
      </c>
      <c r="D68" s="5" t="s">
        <v>51</v>
      </c>
      <c r="E68" s="5" t="s">
        <v>34</v>
      </c>
      <c r="F68" s="5" t="s">
        <v>151</v>
      </c>
      <c r="G68" s="5">
        <v>2020</v>
      </c>
      <c r="H68" s="5" t="str">
        <f>_xlfn.CONCAT("04780038024")</f>
        <v>04780038024</v>
      </c>
      <c r="I68" s="5" t="s">
        <v>29</v>
      </c>
      <c r="J68" s="5" t="s">
        <v>30</v>
      </c>
      <c r="K68" s="5" t="str">
        <f>_xlfn.CONCAT("221")</f>
        <v>221</v>
      </c>
      <c r="L68" s="5" t="str">
        <f>_xlfn.CONCAT("8 8.1 5e")</f>
        <v>8 8.1 5e</v>
      </c>
      <c r="M68" s="5" t="str">
        <f>_xlfn.CONCAT("VLNLCN56H27F415X")</f>
        <v>VLNLCN56H27F415X</v>
      </c>
      <c r="N68" s="5" t="s">
        <v>152</v>
      </c>
      <c r="O68" s="5" t="s">
        <v>148</v>
      </c>
      <c r="P68" s="6">
        <v>44166</v>
      </c>
      <c r="Q68" s="5" t="s">
        <v>31</v>
      </c>
      <c r="R68" s="5" t="s">
        <v>32</v>
      </c>
      <c r="S68" s="5" t="s">
        <v>33</v>
      </c>
      <c r="T68" s="5"/>
      <c r="U68" s="5">
        <v>557.5</v>
      </c>
      <c r="V68" s="5">
        <v>240.39</v>
      </c>
      <c r="W68" s="5">
        <v>222</v>
      </c>
      <c r="X68" s="5">
        <v>0</v>
      </c>
      <c r="Y68" s="5">
        <v>95.11</v>
      </c>
    </row>
    <row r="69" spans="1:25" ht="24.75" x14ac:dyDescent="0.25">
      <c r="A69" s="5" t="s">
        <v>26</v>
      </c>
      <c r="B69" s="5" t="s">
        <v>27</v>
      </c>
      <c r="C69" s="5" t="s">
        <v>47</v>
      </c>
      <c r="D69" s="5" t="s">
        <v>51</v>
      </c>
      <c r="E69" s="5" t="s">
        <v>35</v>
      </c>
      <c r="F69" s="5" t="s">
        <v>153</v>
      </c>
      <c r="G69" s="5">
        <v>2020</v>
      </c>
      <c r="H69" s="5" t="str">
        <f>_xlfn.CONCAT("04780020931")</f>
        <v>04780020931</v>
      </c>
      <c r="I69" s="5" t="s">
        <v>29</v>
      </c>
      <c r="J69" s="5" t="s">
        <v>30</v>
      </c>
      <c r="K69" s="5" t="str">
        <f>_xlfn.CONCAT("221")</f>
        <v>221</v>
      </c>
      <c r="L69" s="5" t="str">
        <f>_xlfn.CONCAT("8 8.1 5e")</f>
        <v>8 8.1 5e</v>
      </c>
      <c r="M69" s="5" t="str">
        <f>_xlfn.CONCAT("CSSGNI62A04F501K")</f>
        <v>CSSGNI62A04F501K</v>
      </c>
      <c r="N69" s="5" t="s">
        <v>154</v>
      </c>
      <c r="O69" s="5" t="s">
        <v>148</v>
      </c>
      <c r="P69" s="6">
        <v>44166</v>
      </c>
      <c r="Q69" s="5" t="s">
        <v>31</v>
      </c>
      <c r="R69" s="5" t="s">
        <v>32</v>
      </c>
      <c r="S69" s="5" t="s">
        <v>33</v>
      </c>
      <c r="T69" s="5"/>
      <c r="U69" s="7">
        <v>2015.19</v>
      </c>
      <c r="V69" s="5">
        <v>868.95</v>
      </c>
      <c r="W69" s="5">
        <v>802.45</v>
      </c>
      <c r="X69" s="5">
        <v>0</v>
      </c>
      <c r="Y69" s="5">
        <v>343.79</v>
      </c>
    </row>
    <row r="70" spans="1:25" ht="24.75" x14ac:dyDescent="0.25">
      <c r="A70" s="5" t="s">
        <v>26</v>
      </c>
      <c r="B70" s="5" t="s">
        <v>27</v>
      </c>
      <c r="C70" s="5" t="s">
        <v>47</v>
      </c>
      <c r="D70" s="5" t="s">
        <v>51</v>
      </c>
      <c r="E70" s="5" t="s">
        <v>28</v>
      </c>
      <c r="F70" s="5" t="s">
        <v>155</v>
      </c>
      <c r="G70" s="5">
        <v>2020</v>
      </c>
      <c r="H70" s="5" t="str">
        <f>_xlfn.CONCAT("04780011575")</f>
        <v>04780011575</v>
      </c>
      <c r="I70" s="5" t="s">
        <v>29</v>
      </c>
      <c r="J70" s="5" t="s">
        <v>30</v>
      </c>
      <c r="K70" s="5" t="str">
        <f>_xlfn.CONCAT("221")</f>
        <v>221</v>
      </c>
      <c r="L70" s="5" t="str">
        <f>_xlfn.CONCAT("8 8.1 5e")</f>
        <v>8 8.1 5e</v>
      </c>
      <c r="M70" s="5" t="str">
        <f>_xlfn.CONCAT("01990830448")</f>
        <v>01990830448</v>
      </c>
      <c r="N70" s="5" t="s">
        <v>156</v>
      </c>
      <c r="O70" s="5" t="s">
        <v>148</v>
      </c>
      <c r="P70" s="6">
        <v>44166</v>
      </c>
      <c r="Q70" s="5" t="s">
        <v>31</v>
      </c>
      <c r="R70" s="5" t="s">
        <v>32</v>
      </c>
      <c r="S70" s="5" t="s">
        <v>33</v>
      </c>
      <c r="T70" s="5"/>
      <c r="U70" s="5">
        <v>555.97</v>
      </c>
      <c r="V70" s="5">
        <v>239.73</v>
      </c>
      <c r="W70" s="5">
        <v>221.39</v>
      </c>
      <c r="X70" s="5">
        <v>0</v>
      </c>
      <c r="Y70" s="5">
        <v>94.85</v>
      </c>
    </row>
    <row r="71" spans="1:25" ht="24.75" x14ac:dyDescent="0.25">
      <c r="A71" s="5" t="s">
        <v>26</v>
      </c>
      <c r="B71" s="5" t="s">
        <v>27</v>
      </c>
      <c r="C71" s="5" t="s">
        <v>47</v>
      </c>
      <c r="D71" s="5" t="s">
        <v>51</v>
      </c>
      <c r="E71" s="5" t="s">
        <v>34</v>
      </c>
      <c r="F71" s="5" t="s">
        <v>157</v>
      </c>
      <c r="G71" s="5">
        <v>2020</v>
      </c>
      <c r="H71" s="5" t="str">
        <f>_xlfn.CONCAT("04780038115")</f>
        <v>04780038115</v>
      </c>
      <c r="I71" s="5" t="s">
        <v>29</v>
      </c>
      <c r="J71" s="5" t="s">
        <v>30</v>
      </c>
      <c r="K71" s="5" t="str">
        <f>_xlfn.CONCAT("221")</f>
        <v>221</v>
      </c>
      <c r="L71" s="5" t="str">
        <f>_xlfn.CONCAT("8 8.1 5e")</f>
        <v>8 8.1 5e</v>
      </c>
      <c r="M71" s="5" t="str">
        <f>_xlfn.CONCAT("LLMFNC51P18H321J")</f>
        <v>LLMFNC51P18H321J</v>
      </c>
      <c r="N71" s="5" t="s">
        <v>158</v>
      </c>
      <c r="O71" s="5" t="s">
        <v>148</v>
      </c>
      <c r="P71" s="6">
        <v>44166</v>
      </c>
      <c r="Q71" s="5" t="s">
        <v>31</v>
      </c>
      <c r="R71" s="5" t="s">
        <v>32</v>
      </c>
      <c r="S71" s="5" t="s">
        <v>33</v>
      </c>
      <c r="T71" s="5"/>
      <c r="U71" s="5">
        <v>632.5</v>
      </c>
      <c r="V71" s="5">
        <v>272.73</v>
      </c>
      <c r="W71" s="5">
        <v>251.86</v>
      </c>
      <c r="X71" s="5">
        <v>0</v>
      </c>
      <c r="Y71" s="5">
        <v>107.91</v>
      </c>
    </row>
    <row r="72" spans="1:25" ht="24.75" x14ac:dyDescent="0.25">
      <c r="A72" s="5" t="s">
        <v>26</v>
      </c>
      <c r="B72" s="5" t="s">
        <v>27</v>
      </c>
      <c r="C72" s="5" t="s">
        <v>47</v>
      </c>
      <c r="D72" s="5" t="s">
        <v>92</v>
      </c>
      <c r="E72" s="5" t="s">
        <v>35</v>
      </c>
      <c r="F72" s="5" t="s">
        <v>159</v>
      </c>
      <c r="G72" s="5">
        <v>2020</v>
      </c>
      <c r="H72" s="5" t="str">
        <f>_xlfn.CONCAT("04780006831")</f>
        <v>04780006831</v>
      </c>
      <c r="I72" s="5" t="s">
        <v>29</v>
      </c>
      <c r="J72" s="5" t="s">
        <v>30</v>
      </c>
      <c r="K72" s="5" t="str">
        <f>_xlfn.CONCAT("221")</f>
        <v>221</v>
      </c>
      <c r="L72" s="5" t="str">
        <f>_xlfn.CONCAT("8 8.1 5e")</f>
        <v>8 8.1 5e</v>
      </c>
      <c r="M72" s="5" t="str">
        <f>_xlfn.CONCAT("FRTMNL54P41H501B")</f>
        <v>FRTMNL54P41H501B</v>
      </c>
      <c r="N72" s="5" t="s">
        <v>160</v>
      </c>
      <c r="O72" s="5" t="s">
        <v>148</v>
      </c>
      <c r="P72" s="6">
        <v>44166</v>
      </c>
      <c r="Q72" s="5" t="s">
        <v>31</v>
      </c>
      <c r="R72" s="5" t="s">
        <v>32</v>
      </c>
      <c r="S72" s="5" t="s">
        <v>33</v>
      </c>
      <c r="T72" s="5"/>
      <c r="U72" s="5">
        <v>530.77</v>
      </c>
      <c r="V72" s="5">
        <v>228.87</v>
      </c>
      <c r="W72" s="5">
        <v>211.35</v>
      </c>
      <c r="X72" s="5">
        <v>0</v>
      </c>
      <c r="Y72" s="5">
        <v>90.55</v>
      </c>
    </row>
    <row r="73" spans="1:25" ht="24.75" x14ac:dyDescent="0.25">
      <c r="A73" s="5" t="s">
        <v>26</v>
      </c>
      <c r="B73" s="5" t="s">
        <v>27</v>
      </c>
      <c r="C73" s="5" t="s">
        <v>47</v>
      </c>
      <c r="D73" s="5" t="s">
        <v>51</v>
      </c>
      <c r="E73" s="5" t="s">
        <v>35</v>
      </c>
      <c r="F73" s="5" t="s">
        <v>161</v>
      </c>
      <c r="G73" s="5">
        <v>2020</v>
      </c>
      <c r="H73" s="5" t="str">
        <f>_xlfn.CONCAT("04780045078")</f>
        <v>04780045078</v>
      </c>
      <c r="I73" s="5" t="s">
        <v>29</v>
      </c>
      <c r="J73" s="5" t="s">
        <v>30</v>
      </c>
      <c r="K73" s="5" t="str">
        <f>_xlfn.CONCAT("221")</f>
        <v>221</v>
      </c>
      <c r="L73" s="5" t="str">
        <f>_xlfn.CONCAT("8 8.1 5e")</f>
        <v>8 8.1 5e</v>
      </c>
      <c r="M73" s="5" t="str">
        <f>_xlfn.CONCAT("LLVFNC52C08A335K")</f>
        <v>LLVFNC52C08A335K</v>
      </c>
      <c r="N73" s="5" t="s">
        <v>162</v>
      </c>
      <c r="O73" s="5" t="s">
        <v>148</v>
      </c>
      <c r="P73" s="6">
        <v>44166</v>
      </c>
      <c r="Q73" s="5" t="s">
        <v>31</v>
      </c>
      <c r="R73" s="5" t="s">
        <v>32</v>
      </c>
      <c r="S73" s="5" t="s">
        <v>33</v>
      </c>
      <c r="T73" s="5"/>
      <c r="U73" s="5">
        <v>164.8</v>
      </c>
      <c r="V73" s="5">
        <v>71.06</v>
      </c>
      <c r="W73" s="5">
        <v>65.62</v>
      </c>
      <c r="X73" s="5">
        <v>0</v>
      </c>
      <c r="Y73" s="5">
        <v>28.12</v>
      </c>
    </row>
    <row r="74" spans="1:25" ht="24.75" x14ac:dyDescent="0.25">
      <c r="A74" s="5" t="s">
        <v>26</v>
      </c>
      <c r="B74" s="5" t="s">
        <v>27</v>
      </c>
      <c r="C74" s="5" t="s">
        <v>47</v>
      </c>
      <c r="D74" s="5" t="s">
        <v>51</v>
      </c>
      <c r="E74" s="5" t="s">
        <v>34</v>
      </c>
      <c r="F74" s="5" t="s">
        <v>97</v>
      </c>
      <c r="G74" s="5">
        <v>2020</v>
      </c>
      <c r="H74" s="5" t="str">
        <f>_xlfn.CONCAT("04780035574")</f>
        <v>04780035574</v>
      </c>
      <c r="I74" s="5" t="s">
        <v>29</v>
      </c>
      <c r="J74" s="5" t="s">
        <v>30</v>
      </c>
      <c r="K74" s="5" t="str">
        <f>_xlfn.CONCAT("221")</f>
        <v>221</v>
      </c>
      <c r="L74" s="5" t="str">
        <f>_xlfn.CONCAT("8 8.1 5e")</f>
        <v>8 8.1 5e</v>
      </c>
      <c r="M74" s="5" t="str">
        <f>_xlfn.CONCAT("CCCMSM51E04A462W")</f>
        <v>CCCMSM51E04A462W</v>
      </c>
      <c r="N74" s="5" t="s">
        <v>163</v>
      </c>
      <c r="O74" s="5" t="s">
        <v>148</v>
      </c>
      <c r="P74" s="6">
        <v>44166</v>
      </c>
      <c r="Q74" s="5" t="s">
        <v>31</v>
      </c>
      <c r="R74" s="5" t="s">
        <v>32</v>
      </c>
      <c r="S74" s="5" t="s">
        <v>33</v>
      </c>
      <c r="T74" s="5"/>
      <c r="U74" s="5">
        <v>86.5</v>
      </c>
      <c r="V74" s="5">
        <v>37.299999999999997</v>
      </c>
      <c r="W74" s="5">
        <v>34.44</v>
      </c>
      <c r="X74" s="5">
        <v>0</v>
      </c>
      <c r="Y74" s="5">
        <v>14.76</v>
      </c>
    </row>
    <row r="75" spans="1:25" ht="24.75" x14ac:dyDescent="0.25">
      <c r="A75" s="5" t="s">
        <v>26</v>
      </c>
      <c r="B75" s="5" t="s">
        <v>27</v>
      </c>
      <c r="C75" s="5" t="s">
        <v>47</v>
      </c>
      <c r="D75" s="5" t="s">
        <v>51</v>
      </c>
      <c r="E75" s="5" t="s">
        <v>34</v>
      </c>
      <c r="F75" s="5" t="s">
        <v>157</v>
      </c>
      <c r="G75" s="5">
        <v>2020</v>
      </c>
      <c r="H75" s="5" t="str">
        <f>_xlfn.CONCAT("04780038230")</f>
        <v>04780038230</v>
      </c>
      <c r="I75" s="5" t="s">
        <v>29</v>
      </c>
      <c r="J75" s="5" t="s">
        <v>30</v>
      </c>
      <c r="K75" s="5" t="str">
        <f>_xlfn.CONCAT("221")</f>
        <v>221</v>
      </c>
      <c r="L75" s="5" t="str">
        <f>_xlfn.CONCAT("8 8.1 5e")</f>
        <v>8 8.1 5e</v>
      </c>
      <c r="M75" s="5" t="str">
        <f>_xlfn.CONCAT("MBLBBR83E57H769P")</f>
        <v>MBLBBR83E57H769P</v>
      </c>
      <c r="N75" s="5" t="s">
        <v>164</v>
      </c>
      <c r="O75" s="5" t="s">
        <v>148</v>
      </c>
      <c r="P75" s="6">
        <v>44166</v>
      </c>
      <c r="Q75" s="5" t="s">
        <v>31</v>
      </c>
      <c r="R75" s="5" t="s">
        <v>32</v>
      </c>
      <c r="S75" s="5" t="s">
        <v>33</v>
      </c>
      <c r="T75" s="5"/>
      <c r="U75" s="5">
        <v>95.98</v>
      </c>
      <c r="V75" s="5">
        <v>41.39</v>
      </c>
      <c r="W75" s="5">
        <v>38.22</v>
      </c>
      <c r="X75" s="5">
        <v>0</v>
      </c>
      <c r="Y75" s="5">
        <v>16.37</v>
      </c>
    </row>
    <row r="76" spans="1:25" ht="24.75" x14ac:dyDescent="0.25">
      <c r="A76" s="5" t="s">
        <v>26</v>
      </c>
      <c r="B76" s="5" t="s">
        <v>27</v>
      </c>
      <c r="C76" s="5" t="s">
        <v>47</v>
      </c>
      <c r="D76" s="5" t="s">
        <v>51</v>
      </c>
      <c r="E76" s="5" t="s">
        <v>42</v>
      </c>
      <c r="F76" s="5" t="s">
        <v>165</v>
      </c>
      <c r="G76" s="5">
        <v>2020</v>
      </c>
      <c r="H76" s="5" t="str">
        <f>_xlfn.CONCAT("04780004471")</f>
        <v>04780004471</v>
      </c>
      <c r="I76" s="5" t="s">
        <v>29</v>
      </c>
      <c r="J76" s="5" t="s">
        <v>30</v>
      </c>
      <c r="K76" s="5" t="str">
        <f>_xlfn.CONCAT("221")</f>
        <v>221</v>
      </c>
      <c r="L76" s="5" t="str">
        <f>_xlfn.CONCAT("8 8.1 5e")</f>
        <v>8 8.1 5e</v>
      </c>
      <c r="M76" s="5" t="str">
        <f>_xlfn.CONCAT("BRCNTN52P50C070T")</f>
        <v>BRCNTN52P50C070T</v>
      </c>
      <c r="N76" s="5" t="s">
        <v>166</v>
      </c>
      <c r="O76" s="5" t="s">
        <v>148</v>
      </c>
      <c r="P76" s="6">
        <v>44166</v>
      </c>
      <c r="Q76" s="5" t="s">
        <v>31</v>
      </c>
      <c r="R76" s="5" t="s">
        <v>32</v>
      </c>
      <c r="S76" s="5" t="s">
        <v>33</v>
      </c>
      <c r="T76" s="5"/>
      <c r="U76" s="5">
        <v>427.39</v>
      </c>
      <c r="V76" s="5">
        <v>184.29</v>
      </c>
      <c r="W76" s="5">
        <v>170.19</v>
      </c>
      <c r="X76" s="5">
        <v>0</v>
      </c>
      <c r="Y76" s="5">
        <v>72.91</v>
      </c>
    </row>
    <row r="77" spans="1:25" ht="24.75" x14ac:dyDescent="0.25">
      <c r="A77" s="5" t="s">
        <v>26</v>
      </c>
      <c r="B77" s="5" t="s">
        <v>27</v>
      </c>
      <c r="C77" s="5" t="s">
        <v>47</v>
      </c>
      <c r="D77" s="5" t="s">
        <v>51</v>
      </c>
      <c r="E77" s="5" t="s">
        <v>34</v>
      </c>
      <c r="F77" s="5" t="s">
        <v>97</v>
      </c>
      <c r="G77" s="5">
        <v>2020</v>
      </c>
      <c r="H77" s="5" t="str">
        <f>_xlfn.CONCAT("04780035459")</f>
        <v>04780035459</v>
      </c>
      <c r="I77" s="5" t="s">
        <v>29</v>
      </c>
      <c r="J77" s="5" t="s">
        <v>30</v>
      </c>
      <c r="K77" s="5" t="str">
        <f>_xlfn.CONCAT("221")</f>
        <v>221</v>
      </c>
      <c r="L77" s="5" t="str">
        <f>_xlfn.CONCAT("8 8.1 5e")</f>
        <v>8 8.1 5e</v>
      </c>
      <c r="M77" s="5" t="str">
        <f>_xlfn.CONCAT("LLVFNC41B11A335I")</f>
        <v>LLVFNC41B11A335I</v>
      </c>
      <c r="N77" s="5" t="s">
        <v>162</v>
      </c>
      <c r="O77" s="5" t="s">
        <v>148</v>
      </c>
      <c r="P77" s="6">
        <v>44166</v>
      </c>
      <c r="Q77" s="5" t="s">
        <v>31</v>
      </c>
      <c r="R77" s="5" t="s">
        <v>32</v>
      </c>
      <c r="S77" s="5" t="s">
        <v>33</v>
      </c>
      <c r="T77" s="5"/>
      <c r="U77" s="5">
        <v>216</v>
      </c>
      <c r="V77" s="5">
        <v>93.14</v>
      </c>
      <c r="W77" s="5">
        <v>86.01</v>
      </c>
      <c r="X77" s="5">
        <v>0</v>
      </c>
      <c r="Y77" s="5">
        <v>36.85</v>
      </c>
    </row>
    <row r="78" spans="1:25" ht="24.75" x14ac:dyDescent="0.25">
      <c r="A78" s="5" t="s">
        <v>26</v>
      </c>
      <c r="B78" s="5" t="s">
        <v>27</v>
      </c>
      <c r="C78" s="5" t="s">
        <v>47</v>
      </c>
      <c r="D78" s="5" t="s">
        <v>51</v>
      </c>
      <c r="E78" s="5" t="s">
        <v>34</v>
      </c>
      <c r="F78" s="5" t="s">
        <v>149</v>
      </c>
      <c r="G78" s="5">
        <v>2020</v>
      </c>
      <c r="H78" s="5" t="str">
        <f>_xlfn.CONCAT("04780035400")</f>
        <v>04780035400</v>
      </c>
      <c r="I78" s="5" t="s">
        <v>29</v>
      </c>
      <c r="J78" s="5" t="s">
        <v>30</v>
      </c>
      <c r="K78" s="5" t="str">
        <f>_xlfn.CONCAT("221")</f>
        <v>221</v>
      </c>
      <c r="L78" s="5" t="str">
        <f>_xlfn.CONCAT("8 8.1 5e")</f>
        <v>8 8.1 5e</v>
      </c>
      <c r="M78" s="5" t="str">
        <f>_xlfn.CONCAT("00734400443")</f>
        <v>00734400443</v>
      </c>
      <c r="N78" s="5" t="s">
        <v>167</v>
      </c>
      <c r="O78" s="5" t="s">
        <v>148</v>
      </c>
      <c r="P78" s="6">
        <v>44166</v>
      </c>
      <c r="Q78" s="5" t="s">
        <v>31</v>
      </c>
      <c r="R78" s="5" t="s">
        <v>32</v>
      </c>
      <c r="S78" s="5" t="s">
        <v>33</v>
      </c>
      <c r="T78" s="5"/>
      <c r="U78" s="5">
        <v>225.19</v>
      </c>
      <c r="V78" s="5">
        <v>97.1</v>
      </c>
      <c r="W78" s="5">
        <v>89.67</v>
      </c>
      <c r="X78" s="5">
        <v>0</v>
      </c>
      <c r="Y78" s="5">
        <v>38.42</v>
      </c>
    </row>
    <row r="79" spans="1:25" ht="24.75" x14ac:dyDescent="0.25">
      <c r="A79" s="5" t="s">
        <v>26</v>
      </c>
      <c r="B79" s="5" t="s">
        <v>27</v>
      </c>
      <c r="C79" s="5" t="s">
        <v>47</v>
      </c>
      <c r="D79" s="5" t="s">
        <v>51</v>
      </c>
      <c r="E79" s="5" t="s">
        <v>42</v>
      </c>
      <c r="F79" s="5" t="s">
        <v>165</v>
      </c>
      <c r="G79" s="5">
        <v>2020</v>
      </c>
      <c r="H79" s="5" t="str">
        <f>_xlfn.CONCAT("04780004489")</f>
        <v>04780004489</v>
      </c>
      <c r="I79" s="5" t="s">
        <v>29</v>
      </c>
      <c r="J79" s="5" t="s">
        <v>30</v>
      </c>
      <c r="K79" s="5" t="str">
        <f>_xlfn.CONCAT("221")</f>
        <v>221</v>
      </c>
      <c r="L79" s="5" t="str">
        <f>_xlfn.CONCAT("8 8.1 5e")</f>
        <v>8 8.1 5e</v>
      </c>
      <c r="M79" s="5" t="str">
        <f>_xlfn.CONCAT("FGNGCR50H26F493O")</f>
        <v>FGNGCR50H26F493O</v>
      </c>
      <c r="N79" s="5" t="s">
        <v>168</v>
      </c>
      <c r="O79" s="5" t="s">
        <v>148</v>
      </c>
      <c r="P79" s="6">
        <v>44166</v>
      </c>
      <c r="Q79" s="5" t="s">
        <v>31</v>
      </c>
      <c r="R79" s="5" t="s">
        <v>32</v>
      </c>
      <c r="S79" s="5" t="s">
        <v>33</v>
      </c>
      <c r="T79" s="5"/>
      <c r="U79" s="5">
        <v>101.4</v>
      </c>
      <c r="V79" s="5">
        <v>43.72</v>
      </c>
      <c r="W79" s="5">
        <v>40.380000000000003</v>
      </c>
      <c r="X79" s="5">
        <v>0</v>
      </c>
      <c r="Y79" s="5">
        <v>17.3</v>
      </c>
    </row>
    <row r="80" spans="1:25" ht="24.75" x14ac:dyDescent="0.25">
      <c r="A80" s="5" t="s">
        <v>26</v>
      </c>
      <c r="B80" s="5" t="s">
        <v>27</v>
      </c>
      <c r="C80" s="5" t="s">
        <v>47</v>
      </c>
      <c r="D80" s="5" t="s">
        <v>92</v>
      </c>
      <c r="E80" s="5" t="s">
        <v>35</v>
      </c>
      <c r="F80" s="5" t="s">
        <v>159</v>
      </c>
      <c r="G80" s="5">
        <v>2020</v>
      </c>
      <c r="H80" s="5" t="str">
        <f>_xlfn.CONCAT("04780006823")</f>
        <v>04780006823</v>
      </c>
      <c r="I80" s="5" t="s">
        <v>29</v>
      </c>
      <c r="J80" s="5" t="s">
        <v>30</v>
      </c>
      <c r="K80" s="5" t="str">
        <f>_xlfn.CONCAT("221")</f>
        <v>221</v>
      </c>
      <c r="L80" s="5" t="str">
        <f>_xlfn.CONCAT("8 8.1 5e")</f>
        <v>8 8.1 5e</v>
      </c>
      <c r="M80" s="5" t="str">
        <f>_xlfn.CONCAT("MNNSRG55A02H703I")</f>
        <v>MNNSRG55A02H703I</v>
      </c>
      <c r="N80" s="5" t="s">
        <v>169</v>
      </c>
      <c r="O80" s="5" t="s">
        <v>148</v>
      </c>
      <c r="P80" s="6">
        <v>44166</v>
      </c>
      <c r="Q80" s="5" t="s">
        <v>31</v>
      </c>
      <c r="R80" s="5" t="s">
        <v>32</v>
      </c>
      <c r="S80" s="5" t="s">
        <v>33</v>
      </c>
      <c r="T80" s="5"/>
      <c r="U80" s="5">
        <v>675</v>
      </c>
      <c r="V80" s="5">
        <v>291.06</v>
      </c>
      <c r="W80" s="5">
        <v>268.79000000000002</v>
      </c>
      <c r="X80" s="5">
        <v>0</v>
      </c>
      <c r="Y80" s="5">
        <v>115.15</v>
      </c>
    </row>
    <row r="81" spans="1:25" ht="24.75" x14ac:dyDescent="0.25">
      <c r="A81" s="5" t="s">
        <v>26</v>
      </c>
      <c r="B81" s="5" t="s">
        <v>27</v>
      </c>
      <c r="C81" s="5" t="s">
        <v>47</v>
      </c>
      <c r="D81" s="5" t="s">
        <v>51</v>
      </c>
      <c r="E81" s="5" t="s">
        <v>34</v>
      </c>
      <c r="F81" s="5" t="s">
        <v>54</v>
      </c>
      <c r="G81" s="5">
        <v>2020</v>
      </c>
      <c r="H81" s="5" t="str">
        <f>_xlfn.CONCAT("04780036887")</f>
        <v>04780036887</v>
      </c>
      <c r="I81" s="5" t="s">
        <v>29</v>
      </c>
      <c r="J81" s="5" t="s">
        <v>30</v>
      </c>
      <c r="K81" s="5" t="str">
        <f>_xlfn.CONCAT("221")</f>
        <v>221</v>
      </c>
      <c r="L81" s="5" t="str">
        <f>_xlfn.CONCAT("8 8.1 5e")</f>
        <v>8 8.1 5e</v>
      </c>
      <c r="M81" s="5" t="str">
        <f>_xlfn.CONCAT("CCRVCN29R30G005W")</f>
        <v>CCRVCN29R30G005W</v>
      </c>
      <c r="N81" s="5" t="s">
        <v>170</v>
      </c>
      <c r="O81" s="5" t="s">
        <v>148</v>
      </c>
      <c r="P81" s="6">
        <v>44166</v>
      </c>
      <c r="Q81" s="5" t="s">
        <v>31</v>
      </c>
      <c r="R81" s="5" t="s">
        <v>32</v>
      </c>
      <c r="S81" s="5" t="s">
        <v>33</v>
      </c>
      <c r="T81" s="5"/>
      <c r="U81" s="7">
        <v>1621.98</v>
      </c>
      <c r="V81" s="5">
        <v>699.4</v>
      </c>
      <c r="W81" s="5">
        <v>645.87</v>
      </c>
      <c r="X81" s="5">
        <v>0</v>
      </c>
      <c r="Y81" s="5">
        <v>276.70999999999998</v>
      </c>
    </row>
    <row r="82" spans="1:25" ht="24.75" x14ac:dyDescent="0.25">
      <c r="A82" s="5" t="s">
        <v>26</v>
      </c>
      <c r="B82" s="5" t="s">
        <v>27</v>
      </c>
      <c r="C82" s="5" t="s">
        <v>47</v>
      </c>
      <c r="D82" s="5" t="s">
        <v>51</v>
      </c>
      <c r="E82" s="5" t="s">
        <v>34</v>
      </c>
      <c r="F82" s="5" t="s">
        <v>157</v>
      </c>
      <c r="G82" s="5">
        <v>2020</v>
      </c>
      <c r="H82" s="5" t="str">
        <f>_xlfn.CONCAT("04780040848")</f>
        <v>04780040848</v>
      </c>
      <c r="I82" s="5" t="s">
        <v>29</v>
      </c>
      <c r="J82" s="5" t="s">
        <v>30</v>
      </c>
      <c r="K82" s="5" t="str">
        <f>_xlfn.CONCAT("221")</f>
        <v>221</v>
      </c>
      <c r="L82" s="5" t="str">
        <f>_xlfn.CONCAT("8 8.1 5e")</f>
        <v>8 8.1 5e</v>
      </c>
      <c r="M82" s="5" t="str">
        <f>_xlfn.CONCAT("LFNSNO45A43Z301J")</f>
        <v>LFNSNO45A43Z301J</v>
      </c>
      <c r="N82" s="5" t="s">
        <v>171</v>
      </c>
      <c r="O82" s="5" t="s">
        <v>148</v>
      </c>
      <c r="P82" s="6">
        <v>44166</v>
      </c>
      <c r="Q82" s="5" t="s">
        <v>31</v>
      </c>
      <c r="R82" s="5" t="s">
        <v>32</v>
      </c>
      <c r="S82" s="5" t="s">
        <v>33</v>
      </c>
      <c r="T82" s="5"/>
      <c r="U82" s="7">
        <v>4061.06</v>
      </c>
      <c r="V82" s="7">
        <v>1751.13</v>
      </c>
      <c r="W82" s="7">
        <v>1617.11</v>
      </c>
      <c r="X82" s="5">
        <v>0</v>
      </c>
      <c r="Y82" s="5">
        <v>692.82</v>
      </c>
    </row>
    <row r="83" spans="1:25" ht="24.75" x14ac:dyDescent="0.25">
      <c r="A83" s="5" t="s">
        <v>26</v>
      </c>
      <c r="B83" s="5" t="s">
        <v>27</v>
      </c>
      <c r="C83" s="5" t="s">
        <v>47</v>
      </c>
      <c r="D83" s="5" t="s">
        <v>51</v>
      </c>
      <c r="E83" s="5" t="s">
        <v>35</v>
      </c>
      <c r="F83" s="5" t="s">
        <v>153</v>
      </c>
      <c r="G83" s="5">
        <v>2020</v>
      </c>
      <c r="H83" s="5" t="str">
        <f>_xlfn.CONCAT("04780019966")</f>
        <v>04780019966</v>
      </c>
      <c r="I83" s="5" t="s">
        <v>29</v>
      </c>
      <c r="J83" s="5" t="s">
        <v>30</v>
      </c>
      <c r="K83" s="5" t="str">
        <f>_xlfn.CONCAT("221")</f>
        <v>221</v>
      </c>
      <c r="L83" s="5" t="str">
        <f>_xlfn.CONCAT("8 8.1 5e")</f>
        <v>8 8.1 5e</v>
      </c>
      <c r="M83" s="5" t="str">
        <f>_xlfn.CONCAT("TRNDRN65B19A335K")</f>
        <v>TRNDRN65B19A335K</v>
      </c>
      <c r="N83" s="5" t="s">
        <v>172</v>
      </c>
      <c r="O83" s="5" t="s">
        <v>148</v>
      </c>
      <c r="P83" s="6">
        <v>44166</v>
      </c>
      <c r="Q83" s="5" t="s">
        <v>31</v>
      </c>
      <c r="R83" s="5" t="s">
        <v>32</v>
      </c>
      <c r="S83" s="5" t="s">
        <v>33</v>
      </c>
      <c r="T83" s="5"/>
      <c r="U83" s="5">
        <v>233.62</v>
      </c>
      <c r="V83" s="5">
        <v>100.74</v>
      </c>
      <c r="W83" s="5">
        <v>93.03</v>
      </c>
      <c r="X83" s="5">
        <v>0</v>
      </c>
      <c r="Y83" s="5">
        <v>39.85</v>
      </c>
    </row>
    <row r="84" spans="1:25" ht="24.75" x14ac:dyDescent="0.25">
      <c r="A84" s="5" t="s">
        <v>26</v>
      </c>
      <c r="B84" s="5" t="s">
        <v>27</v>
      </c>
      <c r="C84" s="5" t="s">
        <v>47</v>
      </c>
      <c r="D84" s="5" t="s">
        <v>51</v>
      </c>
      <c r="E84" s="5" t="s">
        <v>42</v>
      </c>
      <c r="F84" s="5" t="s">
        <v>165</v>
      </c>
      <c r="G84" s="5">
        <v>2020</v>
      </c>
      <c r="H84" s="5" t="str">
        <f>_xlfn.CONCAT("04780004463")</f>
        <v>04780004463</v>
      </c>
      <c r="I84" s="5" t="s">
        <v>29</v>
      </c>
      <c r="J84" s="5" t="s">
        <v>30</v>
      </c>
      <c r="K84" s="5" t="str">
        <f>_xlfn.CONCAT("221")</f>
        <v>221</v>
      </c>
      <c r="L84" s="5" t="str">
        <f>_xlfn.CONCAT("8 8.1 5e")</f>
        <v>8 8.1 5e</v>
      </c>
      <c r="M84" s="5" t="str">
        <f>_xlfn.CONCAT("SMNGTL29S56F415T")</f>
        <v>SMNGTL29S56F415T</v>
      </c>
      <c r="N84" s="5" t="s">
        <v>173</v>
      </c>
      <c r="O84" s="5" t="s">
        <v>148</v>
      </c>
      <c r="P84" s="6">
        <v>44166</v>
      </c>
      <c r="Q84" s="5" t="s">
        <v>31</v>
      </c>
      <c r="R84" s="5" t="s">
        <v>32</v>
      </c>
      <c r="S84" s="5" t="s">
        <v>33</v>
      </c>
      <c r="T84" s="5"/>
      <c r="U84" s="7">
        <v>1938</v>
      </c>
      <c r="V84" s="5">
        <v>835.67</v>
      </c>
      <c r="W84" s="5">
        <v>771.71</v>
      </c>
      <c r="X84" s="5">
        <v>0</v>
      </c>
      <c r="Y84" s="5">
        <v>330.62</v>
      </c>
    </row>
    <row r="85" spans="1:25" ht="24.75" x14ac:dyDescent="0.25">
      <c r="A85" s="5" t="s">
        <v>26</v>
      </c>
      <c r="B85" s="5" t="s">
        <v>27</v>
      </c>
      <c r="C85" s="5" t="s">
        <v>47</v>
      </c>
      <c r="D85" s="5" t="s">
        <v>51</v>
      </c>
      <c r="E85" s="5" t="s">
        <v>35</v>
      </c>
      <c r="F85" s="5" t="s">
        <v>174</v>
      </c>
      <c r="G85" s="5">
        <v>2020</v>
      </c>
      <c r="H85" s="5" t="str">
        <f>_xlfn.CONCAT("04780044378")</f>
        <v>04780044378</v>
      </c>
      <c r="I85" s="5" t="s">
        <v>29</v>
      </c>
      <c r="J85" s="5" t="s">
        <v>30</v>
      </c>
      <c r="K85" s="5" t="str">
        <f>_xlfn.CONCAT("221")</f>
        <v>221</v>
      </c>
      <c r="L85" s="5" t="str">
        <f>_xlfn.CONCAT("8 8.1 5e")</f>
        <v>8 8.1 5e</v>
      </c>
      <c r="M85" s="5" t="str">
        <f>_xlfn.CONCAT("TTOCLD57E27F517H")</f>
        <v>TTOCLD57E27F517H</v>
      </c>
      <c r="N85" s="5" t="s">
        <v>175</v>
      </c>
      <c r="O85" s="5" t="s">
        <v>148</v>
      </c>
      <c r="P85" s="6">
        <v>44166</v>
      </c>
      <c r="Q85" s="5" t="s">
        <v>31</v>
      </c>
      <c r="R85" s="5" t="s">
        <v>32</v>
      </c>
      <c r="S85" s="5" t="s">
        <v>33</v>
      </c>
      <c r="T85" s="5"/>
      <c r="U85" s="7">
        <v>1014.8</v>
      </c>
      <c r="V85" s="5">
        <v>437.58</v>
      </c>
      <c r="W85" s="5">
        <v>404.09</v>
      </c>
      <c r="X85" s="5">
        <v>0</v>
      </c>
      <c r="Y85" s="5">
        <v>173.13</v>
      </c>
    </row>
    <row r="86" spans="1:25" ht="24.75" x14ac:dyDescent="0.25">
      <c r="A86" s="5" t="s">
        <v>26</v>
      </c>
      <c r="B86" s="5" t="s">
        <v>27</v>
      </c>
      <c r="C86" s="5" t="s">
        <v>47</v>
      </c>
      <c r="D86" s="5" t="s">
        <v>51</v>
      </c>
      <c r="E86" s="5" t="s">
        <v>34</v>
      </c>
      <c r="F86" s="5" t="s">
        <v>149</v>
      </c>
      <c r="G86" s="5">
        <v>2020</v>
      </c>
      <c r="H86" s="5" t="str">
        <f>_xlfn.CONCAT("04780035467")</f>
        <v>04780035467</v>
      </c>
      <c r="I86" s="5" t="s">
        <v>29</v>
      </c>
      <c r="J86" s="5" t="s">
        <v>30</v>
      </c>
      <c r="K86" s="5" t="str">
        <f>_xlfn.CONCAT("221")</f>
        <v>221</v>
      </c>
      <c r="L86" s="5" t="str">
        <f>_xlfn.CONCAT("8 8.1 5e")</f>
        <v>8 8.1 5e</v>
      </c>
      <c r="M86" s="5" t="str">
        <f>_xlfn.CONCAT("DCHCLD59A10D542H")</f>
        <v>DCHCLD59A10D542H</v>
      </c>
      <c r="N86" s="5" t="s">
        <v>176</v>
      </c>
      <c r="O86" s="5" t="s">
        <v>148</v>
      </c>
      <c r="P86" s="6">
        <v>44166</v>
      </c>
      <c r="Q86" s="5" t="s">
        <v>31</v>
      </c>
      <c r="R86" s="5" t="s">
        <v>32</v>
      </c>
      <c r="S86" s="5" t="s">
        <v>33</v>
      </c>
      <c r="T86" s="5"/>
      <c r="U86" s="5">
        <v>153.94</v>
      </c>
      <c r="V86" s="5">
        <v>66.38</v>
      </c>
      <c r="W86" s="5">
        <v>61.3</v>
      </c>
      <c r="X86" s="5">
        <v>0</v>
      </c>
      <c r="Y86" s="5">
        <v>26.26</v>
      </c>
    </row>
    <row r="87" spans="1:25" ht="24.75" x14ac:dyDescent="0.25">
      <c r="A87" s="5" t="s">
        <v>26</v>
      </c>
      <c r="B87" s="5" t="s">
        <v>27</v>
      </c>
      <c r="C87" s="5" t="s">
        <v>47</v>
      </c>
      <c r="D87" s="5" t="s">
        <v>51</v>
      </c>
      <c r="E87" s="5" t="s">
        <v>42</v>
      </c>
      <c r="F87" s="5" t="s">
        <v>165</v>
      </c>
      <c r="G87" s="5">
        <v>2020</v>
      </c>
      <c r="H87" s="5" t="str">
        <f>_xlfn.CONCAT("04780004497")</f>
        <v>04780004497</v>
      </c>
      <c r="I87" s="5" t="s">
        <v>29</v>
      </c>
      <c r="J87" s="5" t="s">
        <v>30</v>
      </c>
      <c r="K87" s="5" t="str">
        <f>_xlfn.CONCAT("221")</f>
        <v>221</v>
      </c>
      <c r="L87" s="5" t="str">
        <f>_xlfn.CONCAT("8 8.1 5e")</f>
        <v>8 8.1 5e</v>
      </c>
      <c r="M87" s="5" t="str">
        <f>_xlfn.CONCAT("VRGGLI30H68F614J")</f>
        <v>VRGGLI30H68F614J</v>
      </c>
      <c r="N87" s="5" t="s">
        <v>177</v>
      </c>
      <c r="O87" s="5" t="s">
        <v>148</v>
      </c>
      <c r="P87" s="6">
        <v>44166</v>
      </c>
      <c r="Q87" s="5" t="s">
        <v>31</v>
      </c>
      <c r="R87" s="5" t="s">
        <v>32</v>
      </c>
      <c r="S87" s="5" t="s">
        <v>33</v>
      </c>
      <c r="T87" s="5"/>
      <c r="U87" s="5">
        <v>362.76</v>
      </c>
      <c r="V87" s="5">
        <v>156.41999999999999</v>
      </c>
      <c r="W87" s="5">
        <v>144.44999999999999</v>
      </c>
      <c r="X87" s="5">
        <v>0</v>
      </c>
      <c r="Y87" s="5">
        <v>61.89</v>
      </c>
    </row>
    <row r="88" spans="1:25" ht="24.75" x14ac:dyDescent="0.25">
      <c r="A88" s="5" t="s">
        <v>26</v>
      </c>
      <c r="B88" s="5" t="s">
        <v>27</v>
      </c>
      <c r="C88" s="5" t="s">
        <v>47</v>
      </c>
      <c r="D88" s="5" t="s">
        <v>51</v>
      </c>
      <c r="E88" s="5" t="s">
        <v>42</v>
      </c>
      <c r="F88" s="5" t="s">
        <v>178</v>
      </c>
      <c r="G88" s="5">
        <v>2020</v>
      </c>
      <c r="H88" s="5" t="str">
        <f>_xlfn.CONCAT("04780011203")</f>
        <v>04780011203</v>
      </c>
      <c r="I88" s="5" t="s">
        <v>29</v>
      </c>
      <c r="J88" s="5" t="s">
        <v>30</v>
      </c>
      <c r="K88" s="5" t="str">
        <f>_xlfn.CONCAT("221")</f>
        <v>221</v>
      </c>
      <c r="L88" s="5" t="str">
        <f>_xlfn.CONCAT("8 8.1 5e")</f>
        <v>8 8.1 5e</v>
      </c>
      <c r="M88" s="5" t="str">
        <f>_xlfn.CONCAT("ZZRGLZ49T22F520V")</f>
        <v>ZZRGLZ49T22F520V</v>
      </c>
      <c r="N88" s="5" t="s">
        <v>179</v>
      </c>
      <c r="O88" s="5" t="s">
        <v>148</v>
      </c>
      <c r="P88" s="6">
        <v>44166</v>
      </c>
      <c r="Q88" s="5" t="s">
        <v>31</v>
      </c>
      <c r="R88" s="5" t="s">
        <v>32</v>
      </c>
      <c r="S88" s="5" t="s">
        <v>33</v>
      </c>
      <c r="T88" s="5"/>
      <c r="U88" s="5">
        <v>632.5</v>
      </c>
      <c r="V88" s="5">
        <v>272.73</v>
      </c>
      <c r="W88" s="5">
        <v>251.86</v>
      </c>
      <c r="X88" s="5">
        <v>0</v>
      </c>
      <c r="Y88" s="5">
        <v>107.91</v>
      </c>
    </row>
    <row r="89" spans="1:25" ht="24.75" x14ac:dyDescent="0.25">
      <c r="A89" s="5" t="s">
        <v>26</v>
      </c>
      <c r="B89" s="5" t="s">
        <v>27</v>
      </c>
      <c r="C89" s="5" t="s">
        <v>47</v>
      </c>
      <c r="D89" s="5" t="s">
        <v>51</v>
      </c>
      <c r="E89" s="5" t="s">
        <v>42</v>
      </c>
      <c r="F89" s="5" t="s">
        <v>61</v>
      </c>
      <c r="G89" s="5">
        <v>2020</v>
      </c>
      <c r="H89" s="5" t="str">
        <f>_xlfn.CONCAT("04780046118")</f>
        <v>04780046118</v>
      </c>
      <c r="I89" s="5" t="s">
        <v>29</v>
      </c>
      <c r="J89" s="5" t="s">
        <v>30</v>
      </c>
      <c r="K89" s="5" t="str">
        <f>_xlfn.CONCAT("221")</f>
        <v>221</v>
      </c>
      <c r="L89" s="5" t="str">
        <f>_xlfn.CONCAT("8 8.1 5e")</f>
        <v>8 8.1 5e</v>
      </c>
      <c r="M89" s="5" t="str">
        <f>_xlfn.CONCAT("BSTGZN38C03D542W")</f>
        <v>BSTGZN38C03D542W</v>
      </c>
      <c r="N89" s="5" t="s">
        <v>180</v>
      </c>
      <c r="O89" s="5" t="s">
        <v>148</v>
      </c>
      <c r="P89" s="6">
        <v>44166</v>
      </c>
      <c r="Q89" s="5" t="s">
        <v>31</v>
      </c>
      <c r="R89" s="5" t="s">
        <v>32</v>
      </c>
      <c r="S89" s="5" t="s">
        <v>33</v>
      </c>
      <c r="T89" s="5"/>
      <c r="U89" s="5">
        <v>393.3</v>
      </c>
      <c r="V89" s="5">
        <v>169.59</v>
      </c>
      <c r="W89" s="5">
        <v>156.61000000000001</v>
      </c>
      <c r="X89" s="5">
        <v>0</v>
      </c>
      <c r="Y89" s="5">
        <v>67.099999999999994</v>
      </c>
    </row>
    <row r="90" spans="1:25" ht="24.75" x14ac:dyDescent="0.25">
      <c r="A90" s="5" t="s">
        <v>26</v>
      </c>
      <c r="B90" s="5" t="s">
        <v>27</v>
      </c>
      <c r="C90" s="5" t="s">
        <v>47</v>
      </c>
      <c r="D90" s="5" t="s">
        <v>51</v>
      </c>
      <c r="E90" s="5" t="s">
        <v>46</v>
      </c>
      <c r="F90" s="5" t="s">
        <v>146</v>
      </c>
      <c r="G90" s="5">
        <v>2020</v>
      </c>
      <c r="H90" s="5" t="str">
        <f>_xlfn.CONCAT("04780044154")</f>
        <v>04780044154</v>
      </c>
      <c r="I90" s="5" t="s">
        <v>29</v>
      </c>
      <c r="J90" s="5" t="s">
        <v>30</v>
      </c>
      <c r="K90" s="5" t="str">
        <f>_xlfn.CONCAT("221")</f>
        <v>221</v>
      </c>
      <c r="L90" s="5" t="str">
        <f>_xlfn.CONCAT("8 8.1 5e")</f>
        <v>8 8.1 5e</v>
      </c>
      <c r="M90" s="5" t="str">
        <f>_xlfn.CONCAT("BSCRNT42B53F626J")</f>
        <v>BSCRNT42B53F626J</v>
      </c>
      <c r="N90" s="5" t="s">
        <v>181</v>
      </c>
      <c r="O90" s="5" t="s">
        <v>148</v>
      </c>
      <c r="P90" s="6">
        <v>44166</v>
      </c>
      <c r="Q90" s="5" t="s">
        <v>31</v>
      </c>
      <c r="R90" s="5" t="s">
        <v>32</v>
      </c>
      <c r="S90" s="5" t="s">
        <v>33</v>
      </c>
      <c r="T90" s="5"/>
      <c r="U90" s="7">
        <v>1787.5</v>
      </c>
      <c r="V90" s="5">
        <v>770.77</v>
      </c>
      <c r="W90" s="5">
        <v>711.78</v>
      </c>
      <c r="X90" s="5">
        <v>0</v>
      </c>
      <c r="Y90" s="5">
        <v>304.95</v>
      </c>
    </row>
    <row r="91" spans="1:25" ht="24.75" x14ac:dyDescent="0.25">
      <c r="A91" s="5" t="s">
        <v>26</v>
      </c>
      <c r="B91" s="5" t="s">
        <v>27</v>
      </c>
      <c r="C91" s="5" t="s">
        <v>47</v>
      </c>
      <c r="D91" s="5" t="s">
        <v>51</v>
      </c>
      <c r="E91" s="5" t="s">
        <v>34</v>
      </c>
      <c r="F91" s="5" t="s">
        <v>149</v>
      </c>
      <c r="G91" s="5">
        <v>2020</v>
      </c>
      <c r="H91" s="5" t="str">
        <f>_xlfn.CONCAT("04780036127")</f>
        <v>04780036127</v>
      </c>
      <c r="I91" s="5" t="s">
        <v>29</v>
      </c>
      <c r="J91" s="5" t="s">
        <v>30</v>
      </c>
      <c r="K91" s="5" t="str">
        <f>_xlfn.CONCAT("221")</f>
        <v>221</v>
      </c>
      <c r="L91" s="5" t="str">
        <f>_xlfn.CONCAT("8 8.1 5e")</f>
        <v>8 8.1 5e</v>
      </c>
      <c r="M91" s="5" t="str">
        <f>_xlfn.CONCAT("CNCPLA74M21E783P")</f>
        <v>CNCPLA74M21E783P</v>
      </c>
      <c r="N91" s="5" t="s">
        <v>182</v>
      </c>
      <c r="O91" s="5" t="s">
        <v>148</v>
      </c>
      <c r="P91" s="6">
        <v>44166</v>
      </c>
      <c r="Q91" s="5" t="s">
        <v>31</v>
      </c>
      <c r="R91" s="5" t="s">
        <v>32</v>
      </c>
      <c r="S91" s="5" t="s">
        <v>33</v>
      </c>
      <c r="T91" s="5"/>
      <c r="U91" s="7">
        <v>5604.5</v>
      </c>
      <c r="V91" s="7">
        <v>2416.66</v>
      </c>
      <c r="W91" s="7">
        <v>2231.71</v>
      </c>
      <c r="X91" s="5">
        <v>0</v>
      </c>
      <c r="Y91" s="5">
        <v>956.13</v>
      </c>
    </row>
    <row r="92" spans="1:25" ht="24.75" x14ac:dyDescent="0.25">
      <c r="A92" s="5" t="s">
        <v>26</v>
      </c>
      <c r="B92" s="5" t="s">
        <v>27</v>
      </c>
      <c r="C92" s="5" t="s">
        <v>47</v>
      </c>
      <c r="D92" s="5" t="s">
        <v>51</v>
      </c>
      <c r="E92" s="5" t="s">
        <v>34</v>
      </c>
      <c r="F92" s="5" t="s">
        <v>157</v>
      </c>
      <c r="G92" s="5">
        <v>2020</v>
      </c>
      <c r="H92" s="5" t="str">
        <f>_xlfn.CONCAT("04780038073")</f>
        <v>04780038073</v>
      </c>
      <c r="I92" s="5" t="s">
        <v>29</v>
      </c>
      <c r="J92" s="5" t="s">
        <v>30</v>
      </c>
      <c r="K92" s="5" t="str">
        <f>_xlfn.CONCAT("221")</f>
        <v>221</v>
      </c>
      <c r="L92" s="5" t="str">
        <f>_xlfn.CONCAT("8 8.1 5e")</f>
        <v>8 8.1 5e</v>
      </c>
      <c r="M92" s="5" t="str">
        <f>_xlfn.CONCAT("LLMGRL59P54H321J")</f>
        <v>LLMGRL59P54H321J</v>
      </c>
      <c r="N92" s="5" t="s">
        <v>183</v>
      </c>
      <c r="O92" s="5" t="s">
        <v>148</v>
      </c>
      <c r="P92" s="6">
        <v>44166</v>
      </c>
      <c r="Q92" s="5" t="s">
        <v>31</v>
      </c>
      <c r="R92" s="5" t="s">
        <v>32</v>
      </c>
      <c r="S92" s="5" t="s">
        <v>33</v>
      </c>
      <c r="T92" s="5"/>
      <c r="U92" s="5">
        <v>137.63</v>
      </c>
      <c r="V92" s="5">
        <v>59.35</v>
      </c>
      <c r="W92" s="5">
        <v>54.8</v>
      </c>
      <c r="X92" s="5">
        <v>0</v>
      </c>
      <c r="Y92" s="5">
        <v>23.48</v>
      </c>
    </row>
    <row r="93" spans="1:25" ht="24.75" x14ac:dyDescent="0.25">
      <c r="A93" s="5" t="s">
        <v>26</v>
      </c>
      <c r="B93" s="5" t="s">
        <v>27</v>
      </c>
      <c r="C93" s="5" t="s">
        <v>47</v>
      </c>
      <c r="D93" s="5" t="s">
        <v>51</v>
      </c>
      <c r="E93" s="5" t="s">
        <v>34</v>
      </c>
      <c r="F93" s="5" t="s">
        <v>149</v>
      </c>
      <c r="G93" s="5">
        <v>2020</v>
      </c>
      <c r="H93" s="5" t="str">
        <f>_xlfn.CONCAT("04780035533")</f>
        <v>04780035533</v>
      </c>
      <c r="I93" s="5" t="s">
        <v>29</v>
      </c>
      <c r="J93" s="5" t="s">
        <v>30</v>
      </c>
      <c r="K93" s="5" t="str">
        <f>_xlfn.CONCAT("221")</f>
        <v>221</v>
      </c>
      <c r="L93" s="5" t="str">
        <f>_xlfn.CONCAT("8 8.1 5e")</f>
        <v>8 8.1 5e</v>
      </c>
      <c r="M93" s="5" t="str">
        <f>_xlfn.CONCAT("LVRLVR57S03F520B")</f>
        <v>LVRLVR57S03F520B</v>
      </c>
      <c r="N93" s="5" t="s">
        <v>184</v>
      </c>
      <c r="O93" s="5" t="s">
        <v>148</v>
      </c>
      <c r="P93" s="6">
        <v>44166</v>
      </c>
      <c r="Q93" s="5" t="s">
        <v>31</v>
      </c>
      <c r="R93" s="5" t="s">
        <v>32</v>
      </c>
      <c r="S93" s="5" t="s">
        <v>33</v>
      </c>
      <c r="T93" s="5"/>
      <c r="U93" s="5">
        <v>469.04</v>
      </c>
      <c r="V93" s="5">
        <v>202.25</v>
      </c>
      <c r="W93" s="5">
        <v>186.77</v>
      </c>
      <c r="X93" s="5">
        <v>0</v>
      </c>
      <c r="Y93" s="5">
        <v>80.02</v>
      </c>
    </row>
    <row r="94" spans="1:25" ht="24.75" x14ac:dyDescent="0.25">
      <c r="A94" s="5" t="s">
        <v>26</v>
      </c>
      <c r="B94" s="5" t="s">
        <v>27</v>
      </c>
      <c r="C94" s="5" t="s">
        <v>47</v>
      </c>
      <c r="D94" s="5" t="s">
        <v>51</v>
      </c>
      <c r="E94" s="5" t="s">
        <v>34</v>
      </c>
      <c r="F94" s="5" t="s">
        <v>97</v>
      </c>
      <c r="G94" s="5">
        <v>2020</v>
      </c>
      <c r="H94" s="5" t="str">
        <f>_xlfn.CONCAT("04780035616")</f>
        <v>04780035616</v>
      </c>
      <c r="I94" s="5" t="s">
        <v>29</v>
      </c>
      <c r="J94" s="5" t="s">
        <v>30</v>
      </c>
      <c r="K94" s="5" t="str">
        <f>_xlfn.CONCAT("221")</f>
        <v>221</v>
      </c>
      <c r="L94" s="5" t="str">
        <f>_xlfn.CONCAT("8 8.1 5e")</f>
        <v>8 8.1 5e</v>
      </c>
      <c r="M94" s="5" t="str">
        <f>_xlfn.CONCAT("PSSGLG42S16G157M")</f>
        <v>PSSGLG42S16G157M</v>
      </c>
      <c r="N94" s="5" t="s">
        <v>185</v>
      </c>
      <c r="O94" s="5" t="s">
        <v>148</v>
      </c>
      <c r="P94" s="6">
        <v>44166</v>
      </c>
      <c r="Q94" s="5" t="s">
        <v>31</v>
      </c>
      <c r="R94" s="5" t="s">
        <v>32</v>
      </c>
      <c r="S94" s="5" t="s">
        <v>33</v>
      </c>
      <c r="T94" s="5"/>
      <c r="U94" s="5">
        <v>286.13</v>
      </c>
      <c r="V94" s="5">
        <v>123.38</v>
      </c>
      <c r="W94" s="5">
        <v>113.94</v>
      </c>
      <c r="X94" s="5">
        <v>0</v>
      </c>
      <c r="Y94" s="5">
        <v>48.81</v>
      </c>
    </row>
    <row r="95" spans="1:25" ht="24.75" x14ac:dyDescent="0.25">
      <c r="A95" s="5" t="s">
        <v>26</v>
      </c>
      <c r="B95" s="5" t="s">
        <v>27</v>
      </c>
      <c r="C95" s="5" t="s">
        <v>47</v>
      </c>
      <c r="D95" s="5" t="s">
        <v>51</v>
      </c>
      <c r="E95" s="5" t="s">
        <v>28</v>
      </c>
      <c r="F95" s="5" t="s">
        <v>155</v>
      </c>
      <c r="G95" s="5">
        <v>2020</v>
      </c>
      <c r="H95" s="5" t="str">
        <f>_xlfn.CONCAT("04780012078")</f>
        <v>04780012078</v>
      </c>
      <c r="I95" s="5" t="s">
        <v>29</v>
      </c>
      <c r="J95" s="5" t="s">
        <v>30</v>
      </c>
      <c r="K95" s="5" t="str">
        <f>_xlfn.CONCAT("221")</f>
        <v>221</v>
      </c>
      <c r="L95" s="5" t="str">
        <f>_xlfn.CONCAT("8 8.1 5e")</f>
        <v>8 8.1 5e</v>
      </c>
      <c r="M95" s="5" t="str">
        <f>_xlfn.CONCAT("SCHSFN29R12F522Y")</f>
        <v>SCHSFN29R12F522Y</v>
      </c>
      <c r="N95" s="5" t="s">
        <v>186</v>
      </c>
      <c r="O95" s="5" t="s">
        <v>148</v>
      </c>
      <c r="P95" s="6">
        <v>44166</v>
      </c>
      <c r="Q95" s="5" t="s">
        <v>31</v>
      </c>
      <c r="R95" s="5" t="s">
        <v>32</v>
      </c>
      <c r="S95" s="5" t="s">
        <v>33</v>
      </c>
      <c r="T95" s="5"/>
      <c r="U95" s="7">
        <v>3569.83</v>
      </c>
      <c r="V95" s="7">
        <v>1539.31</v>
      </c>
      <c r="W95" s="7">
        <v>1421.51</v>
      </c>
      <c r="X95" s="5">
        <v>0</v>
      </c>
      <c r="Y95" s="5">
        <v>609.01</v>
      </c>
    </row>
    <row r="96" spans="1:25" ht="24.75" x14ac:dyDescent="0.25">
      <c r="A96" s="5" t="s">
        <v>26</v>
      </c>
      <c r="B96" s="5" t="s">
        <v>27</v>
      </c>
      <c r="C96" s="5" t="s">
        <v>47</v>
      </c>
      <c r="D96" s="5" t="s">
        <v>51</v>
      </c>
      <c r="E96" s="5" t="s">
        <v>34</v>
      </c>
      <c r="F96" s="5" t="s">
        <v>54</v>
      </c>
      <c r="G96" s="5">
        <v>2020</v>
      </c>
      <c r="H96" s="5" t="str">
        <f>_xlfn.CONCAT("04780037323")</f>
        <v>04780037323</v>
      </c>
      <c r="I96" s="5" t="s">
        <v>29</v>
      </c>
      <c r="J96" s="5" t="s">
        <v>30</v>
      </c>
      <c r="K96" s="5" t="str">
        <f>_xlfn.CONCAT("221")</f>
        <v>221</v>
      </c>
      <c r="L96" s="5" t="str">
        <f>_xlfn.CONCAT("8 8.1 5e")</f>
        <v>8 8.1 5e</v>
      </c>
      <c r="M96" s="5" t="str">
        <f>_xlfn.CONCAT("SGHMLE47T08G005U")</f>
        <v>SGHMLE47T08G005U</v>
      </c>
      <c r="N96" s="5" t="s">
        <v>187</v>
      </c>
      <c r="O96" s="5" t="s">
        <v>148</v>
      </c>
      <c r="P96" s="6">
        <v>44166</v>
      </c>
      <c r="Q96" s="5" t="s">
        <v>31</v>
      </c>
      <c r="R96" s="5" t="s">
        <v>32</v>
      </c>
      <c r="S96" s="5" t="s">
        <v>33</v>
      </c>
      <c r="T96" s="5"/>
      <c r="U96" s="5">
        <v>193.14</v>
      </c>
      <c r="V96" s="5">
        <v>83.28</v>
      </c>
      <c r="W96" s="5">
        <v>76.91</v>
      </c>
      <c r="X96" s="5">
        <v>0</v>
      </c>
      <c r="Y96" s="5">
        <v>32.950000000000003</v>
      </c>
    </row>
    <row r="97" spans="1:25" ht="24.75" x14ac:dyDescent="0.25">
      <c r="A97" s="5" t="s">
        <v>26</v>
      </c>
      <c r="B97" s="5" t="s">
        <v>27</v>
      </c>
      <c r="C97" s="5" t="s">
        <v>47</v>
      </c>
      <c r="D97" s="5" t="s">
        <v>51</v>
      </c>
      <c r="E97" s="5" t="s">
        <v>34</v>
      </c>
      <c r="F97" s="5" t="s">
        <v>149</v>
      </c>
      <c r="G97" s="5">
        <v>2020</v>
      </c>
      <c r="H97" s="5" t="str">
        <f>_xlfn.CONCAT("04780035376")</f>
        <v>04780035376</v>
      </c>
      <c r="I97" s="5" t="s">
        <v>29</v>
      </c>
      <c r="J97" s="5" t="s">
        <v>30</v>
      </c>
      <c r="K97" s="5" t="str">
        <f>_xlfn.CONCAT("221")</f>
        <v>221</v>
      </c>
      <c r="L97" s="5" t="str">
        <f>_xlfn.CONCAT("8 8.1 5e")</f>
        <v>8 8.1 5e</v>
      </c>
      <c r="M97" s="5" t="str">
        <f>_xlfn.CONCAT("02058790441")</f>
        <v>02058790441</v>
      </c>
      <c r="N97" s="5" t="s">
        <v>188</v>
      </c>
      <c r="O97" s="5" t="s">
        <v>148</v>
      </c>
      <c r="P97" s="6">
        <v>44166</v>
      </c>
      <c r="Q97" s="5" t="s">
        <v>31</v>
      </c>
      <c r="R97" s="5" t="s">
        <v>32</v>
      </c>
      <c r="S97" s="5" t="s">
        <v>33</v>
      </c>
      <c r="T97" s="5"/>
      <c r="U97" s="5">
        <v>488.97</v>
      </c>
      <c r="V97" s="5">
        <v>210.84</v>
      </c>
      <c r="W97" s="5">
        <v>194.71</v>
      </c>
      <c r="X97" s="5">
        <v>0</v>
      </c>
      <c r="Y97" s="5">
        <v>83.42</v>
      </c>
    </row>
    <row r="98" spans="1:25" ht="24.75" x14ac:dyDescent="0.25">
      <c r="A98" s="5" t="s">
        <v>26</v>
      </c>
      <c r="B98" s="5" t="s">
        <v>27</v>
      </c>
      <c r="C98" s="5" t="s">
        <v>47</v>
      </c>
      <c r="D98" s="5" t="s">
        <v>51</v>
      </c>
      <c r="E98" s="5" t="s">
        <v>35</v>
      </c>
      <c r="F98" s="5" t="s">
        <v>153</v>
      </c>
      <c r="G98" s="5">
        <v>2020</v>
      </c>
      <c r="H98" s="5" t="str">
        <f>_xlfn.CONCAT("04780019941")</f>
        <v>04780019941</v>
      </c>
      <c r="I98" s="5" t="s">
        <v>29</v>
      </c>
      <c r="J98" s="5" t="s">
        <v>30</v>
      </c>
      <c r="K98" s="5" t="str">
        <f>_xlfn.CONCAT("221")</f>
        <v>221</v>
      </c>
      <c r="L98" s="5" t="str">
        <f>_xlfn.CONCAT("8 8.1 5e")</f>
        <v>8 8.1 5e</v>
      </c>
      <c r="M98" s="5" t="str">
        <f>_xlfn.CONCAT("SPNFNC56E03C321Q")</f>
        <v>SPNFNC56E03C321Q</v>
      </c>
      <c r="N98" s="5" t="s">
        <v>189</v>
      </c>
      <c r="O98" s="5" t="s">
        <v>148</v>
      </c>
      <c r="P98" s="6">
        <v>44166</v>
      </c>
      <c r="Q98" s="5" t="s">
        <v>31</v>
      </c>
      <c r="R98" s="5" t="s">
        <v>32</v>
      </c>
      <c r="S98" s="5" t="s">
        <v>33</v>
      </c>
      <c r="T98" s="5"/>
      <c r="U98" s="7">
        <v>2710.59</v>
      </c>
      <c r="V98" s="7">
        <v>1168.81</v>
      </c>
      <c r="W98" s="7">
        <v>1079.3599999999999</v>
      </c>
      <c r="X98" s="5">
        <v>0</v>
      </c>
      <c r="Y98" s="5">
        <v>462.42</v>
      </c>
    </row>
    <row r="99" spans="1:25" ht="24.75" x14ac:dyDescent="0.25">
      <c r="A99" s="5" t="s">
        <v>26</v>
      </c>
      <c r="B99" s="5" t="s">
        <v>27</v>
      </c>
      <c r="C99" s="5" t="s">
        <v>47</v>
      </c>
      <c r="D99" s="5" t="s">
        <v>51</v>
      </c>
      <c r="E99" s="5" t="s">
        <v>35</v>
      </c>
      <c r="F99" s="5" t="s">
        <v>190</v>
      </c>
      <c r="G99" s="5">
        <v>2020</v>
      </c>
      <c r="H99" s="5" t="str">
        <f>_xlfn.CONCAT("04780044675")</f>
        <v>04780044675</v>
      </c>
      <c r="I99" s="5" t="s">
        <v>29</v>
      </c>
      <c r="J99" s="5" t="s">
        <v>30</v>
      </c>
      <c r="K99" s="5" t="str">
        <f>_xlfn.CONCAT("221")</f>
        <v>221</v>
      </c>
      <c r="L99" s="5" t="str">
        <f>_xlfn.CONCAT("8 8.1 5e")</f>
        <v>8 8.1 5e</v>
      </c>
      <c r="M99" s="5" t="str">
        <f>_xlfn.CONCAT("TMSSDR73A48D542T")</f>
        <v>TMSSDR73A48D542T</v>
      </c>
      <c r="N99" s="5" t="s">
        <v>191</v>
      </c>
      <c r="O99" s="5" t="s">
        <v>148</v>
      </c>
      <c r="P99" s="6">
        <v>44166</v>
      </c>
      <c r="Q99" s="5" t="s">
        <v>31</v>
      </c>
      <c r="R99" s="5" t="s">
        <v>32</v>
      </c>
      <c r="S99" s="5" t="s">
        <v>33</v>
      </c>
      <c r="T99" s="5"/>
      <c r="U99" s="5">
        <v>523.38</v>
      </c>
      <c r="V99" s="5">
        <v>225.68</v>
      </c>
      <c r="W99" s="5">
        <v>208.41</v>
      </c>
      <c r="X99" s="5">
        <v>0</v>
      </c>
      <c r="Y99" s="5">
        <v>89.29</v>
      </c>
    </row>
    <row r="100" spans="1:25" ht="24.75" x14ac:dyDescent="0.25">
      <c r="A100" s="5" t="s">
        <v>26</v>
      </c>
      <c r="B100" s="5" t="s">
        <v>27</v>
      </c>
      <c r="C100" s="5" t="s">
        <v>47</v>
      </c>
      <c r="D100" s="5" t="s">
        <v>51</v>
      </c>
      <c r="E100" s="5" t="s">
        <v>34</v>
      </c>
      <c r="F100" s="5" t="s">
        <v>157</v>
      </c>
      <c r="G100" s="5">
        <v>2020</v>
      </c>
      <c r="H100" s="5" t="str">
        <f>_xlfn.CONCAT("04780037828")</f>
        <v>04780037828</v>
      </c>
      <c r="I100" s="5" t="s">
        <v>29</v>
      </c>
      <c r="J100" s="5" t="s">
        <v>30</v>
      </c>
      <c r="K100" s="5" t="str">
        <f>_xlfn.CONCAT("221")</f>
        <v>221</v>
      </c>
      <c r="L100" s="5" t="str">
        <f>_xlfn.CONCAT("8 8.1 5e")</f>
        <v>8 8.1 5e</v>
      </c>
      <c r="M100" s="5" t="str">
        <f>_xlfn.CONCAT("VGNDRA37P01H321C")</f>
        <v>VGNDRA37P01H321C</v>
      </c>
      <c r="N100" s="5" t="s">
        <v>192</v>
      </c>
      <c r="O100" s="5" t="s">
        <v>148</v>
      </c>
      <c r="P100" s="6">
        <v>44166</v>
      </c>
      <c r="Q100" s="5" t="s">
        <v>31</v>
      </c>
      <c r="R100" s="5" t="s">
        <v>32</v>
      </c>
      <c r="S100" s="5" t="s">
        <v>33</v>
      </c>
      <c r="T100" s="5"/>
      <c r="U100" s="5">
        <v>696.11</v>
      </c>
      <c r="V100" s="5">
        <v>300.16000000000003</v>
      </c>
      <c r="W100" s="5">
        <v>277.19</v>
      </c>
      <c r="X100" s="5">
        <v>0</v>
      </c>
      <c r="Y100" s="5">
        <v>118.76</v>
      </c>
    </row>
    <row r="101" spans="1:25" ht="24.75" x14ac:dyDescent="0.25">
      <c r="A101" s="5" t="s">
        <v>26</v>
      </c>
      <c r="B101" s="5" t="s">
        <v>27</v>
      </c>
      <c r="C101" s="5" t="s">
        <v>47</v>
      </c>
      <c r="D101" s="5" t="s">
        <v>51</v>
      </c>
      <c r="E101" s="5" t="s">
        <v>46</v>
      </c>
      <c r="F101" s="5" t="s">
        <v>146</v>
      </c>
      <c r="G101" s="5">
        <v>2020</v>
      </c>
      <c r="H101" s="5" t="str">
        <f>_xlfn.CONCAT("04780043701")</f>
        <v>04780043701</v>
      </c>
      <c r="I101" s="5" t="s">
        <v>29</v>
      </c>
      <c r="J101" s="5" t="s">
        <v>30</v>
      </c>
      <c r="K101" s="5" t="str">
        <f>_xlfn.CONCAT("221")</f>
        <v>221</v>
      </c>
      <c r="L101" s="5" t="str">
        <f>_xlfn.CONCAT("8 8.1 5e")</f>
        <v>8 8.1 5e</v>
      </c>
      <c r="M101" s="5" t="str">
        <f>_xlfn.CONCAT("BRCDNC76C20D542Z")</f>
        <v>BRCDNC76C20D542Z</v>
      </c>
      <c r="N101" s="5" t="s">
        <v>193</v>
      </c>
      <c r="O101" s="5" t="s">
        <v>148</v>
      </c>
      <c r="P101" s="6">
        <v>44166</v>
      </c>
      <c r="Q101" s="5" t="s">
        <v>31</v>
      </c>
      <c r="R101" s="5" t="s">
        <v>32</v>
      </c>
      <c r="S101" s="5" t="s">
        <v>33</v>
      </c>
      <c r="T101" s="5"/>
      <c r="U101" s="7">
        <v>3047</v>
      </c>
      <c r="V101" s="7">
        <v>1313.87</v>
      </c>
      <c r="W101" s="7">
        <v>1213.32</v>
      </c>
      <c r="X101" s="5">
        <v>0</v>
      </c>
      <c r="Y101" s="5">
        <v>519.80999999999995</v>
      </c>
    </row>
    <row r="102" spans="1:25" ht="24.75" x14ac:dyDescent="0.25">
      <c r="A102" s="5" t="s">
        <v>26</v>
      </c>
      <c r="B102" s="5" t="s">
        <v>27</v>
      </c>
      <c r="C102" s="5" t="s">
        <v>47</v>
      </c>
      <c r="D102" s="5" t="s">
        <v>51</v>
      </c>
      <c r="E102" s="5" t="s">
        <v>34</v>
      </c>
      <c r="F102" s="5" t="s">
        <v>54</v>
      </c>
      <c r="G102" s="5">
        <v>2020</v>
      </c>
      <c r="H102" s="5" t="str">
        <f>_xlfn.CONCAT("04780036820")</f>
        <v>04780036820</v>
      </c>
      <c r="I102" s="5" t="s">
        <v>29</v>
      </c>
      <c r="J102" s="5" t="s">
        <v>30</v>
      </c>
      <c r="K102" s="5" t="str">
        <f>_xlfn.CONCAT("221")</f>
        <v>221</v>
      </c>
      <c r="L102" s="5" t="str">
        <f>_xlfn.CONCAT("8 8.1 5e")</f>
        <v>8 8.1 5e</v>
      </c>
      <c r="M102" s="5" t="str">
        <f>_xlfn.CONCAT("PTRLGU73H07G005U")</f>
        <v>PTRLGU73H07G005U</v>
      </c>
      <c r="N102" s="5" t="s">
        <v>194</v>
      </c>
      <c r="O102" s="5" t="s">
        <v>148</v>
      </c>
      <c r="P102" s="6">
        <v>44166</v>
      </c>
      <c r="Q102" s="5" t="s">
        <v>31</v>
      </c>
      <c r="R102" s="5" t="s">
        <v>32</v>
      </c>
      <c r="S102" s="5" t="s">
        <v>33</v>
      </c>
      <c r="T102" s="5"/>
      <c r="U102" s="5">
        <v>126.76</v>
      </c>
      <c r="V102" s="5">
        <v>54.66</v>
      </c>
      <c r="W102" s="5">
        <v>50.48</v>
      </c>
      <c r="X102" s="5">
        <v>0</v>
      </c>
      <c r="Y102" s="5">
        <v>21.62</v>
      </c>
    </row>
    <row r="103" spans="1:25" ht="24.75" x14ac:dyDescent="0.25">
      <c r="A103" s="5" t="s">
        <v>26</v>
      </c>
      <c r="B103" s="5" t="s">
        <v>27</v>
      </c>
      <c r="C103" s="5" t="s">
        <v>47</v>
      </c>
      <c r="D103" s="5" t="s">
        <v>51</v>
      </c>
      <c r="E103" s="5" t="s">
        <v>34</v>
      </c>
      <c r="F103" s="5" t="s">
        <v>151</v>
      </c>
      <c r="G103" s="5">
        <v>2020</v>
      </c>
      <c r="H103" s="5" t="str">
        <f>_xlfn.CONCAT("04780038149")</f>
        <v>04780038149</v>
      </c>
      <c r="I103" s="5" t="s">
        <v>29</v>
      </c>
      <c r="J103" s="5" t="s">
        <v>30</v>
      </c>
      <c r="K103" s="5" t="str">
        <f>_xlfn.CONCAT("221")</f>
        <v>221</v>
      </c>
      <c r="L103" s="5" t="str">
        <f>_xlfn.CONCAT("8 8.1 5e")</f>
        <v>8 8.1 5e</v>
      </c>
      <c r="M103" s="5" t="str">
        <f>_xlfn.CONCAT("PTRRLF50B24I315F")</f>
        <v>PTRRLF50B24I315F</v>
      </c>
      <c r="N103" s="5" t="s">
        <v>195</v>
      </c>
      <c r="O103" s="5" t="s">
        <v>148</v>
      </c>
      <c r="P103" s="6">
        <v>44166</v>
      </c>
      <c r="Q103" s="5" t="s">
        <v>31</v>
      </c>
      <c r="R103" s="5" t="s">
        <v>32</v>
      </c>
      <c r="S103" s="5" t="s">
        <v>33</v>
      </c>
      <c r="T103" s="5"/>
      <c r="U103" s="5">
        <v>532.74</v>
      </c>
      <c r="V103" s="5">
        <v>229.72</v>
      </c>
      <c r="W103" s="5">
        <v>212.14</v>
      </c>
      <c r="X103" s="5">
        <v>0</v>
      </c>
      <c r="Y103" s="5">
        <v>90.88</v>
      </c>
    </row>
    <row r="104" spans="1:25" ht="24.75" x14ac:dyDescent="0.25">
      <c r="A104" s="5" t="s">
        <v>26</v>
      </c>
      <c r="B104" s="5" t="s">
        <v>27</v>
      </c>
      <c r="C104" s="5" t="s">
        <v>47</v>
      </c>
      <c r="D104" s="5" t="s">
        <v>51</v>
      </c>
      <c r="E104" s="5" t="s">
        <v>34</v>
      </c>
      <c r="F104" s="5" t="s">
        <v>97</v>
      </c>
      <c r="G104" s="5">
        <v>2020</v>
      </c>
      <c r="H104" s="5" t="str">
        <f>_xlfn.CONCAT("04780035525")</f>
        <v>04780035525</v>
      </c>
      <c r="I104" s="5" t="s">
        <v>29</v>
      </c>
      <c r="J104" s="5" t="s">
        <v>30</v>
      </c>
      <c r="K104" s="5" t="str">
        <f>_xlfn.CONCAT("221")</f>
        <v>221</v>
      </c>
      <c r="L104" s="5" t="str">
        <f>_xlfn.CONCAT("8 8.1 5e")</f>
        <v>8 8.1 5e</v>
      </c>
      <c r="M104" s="5" t="str">
        <f>_xlfn.CONCAT("NGLPLA56M19C321P")</f>
        <v>NGLPLA56M19C321P</v>
      </c>
      <c r="N104" s="5" t="s">
        <v>196</v>
      </c>
      <c r="O104" s="5" t="s">
        <v>148</v>
      </c>
      <c r="P104" s="6">
        <v>44166</v>
      </c>
      <c r="Q104" s="5" t="s">
        <v>31</v>
      </c>
      <c r="R104" s="5" t="s">
        <v>32</v>
      </c>
      <c r="S104" s="5" t="s">
        <v>33</v>
      </c>
      <c r="T104" s="5"/>
      <c r="U104" s="5">
        <v>186.48</v>
      </c>
      <c r="V104" s="5">
        <v>80.41</v>
      </c>
      <c r="W104" s="5">
        <v>74.260000000000005</v>
      </c>
      <c r="X104" s="5">
        <v>0</v>
      </c>
      <c r="Y104" s="5">
        <v>31.81</v>
      </c>
    </row>
    <row r="105" spans="1:25" ht="24.75" x14ac:dyDescent="0.25">
      <c r="A105" s="5" t="s">
        <v>26</v>
      </c>
      <c r="B105" s="5" t="s">
        <v>27</v>
      </c>
      <c r="C105" s="5" t="s">
        <v>47</v>
      </c>
      <c r="D105" s="5" t="s">
        <v>51</v>
      </c>
      <c r="E105" s="5" t="s">
        <v>34</v>
      </c>
      <c r="F105" s="5" t="s">
        <v>157</v>
      </c>
      <c r="G105" s="5">
        <v>2020</v>
      </c>
      <c r="H105" s="5" t="str">
        <f>_xlfn.CONCAT("04780040798")</f>
        <v>04780040798</v>
      </c>
      <c r="I105" s="5" t="s">
        <v>29</v>
      </c>
      <c r="J105" s="5" t="s">
        <v>30</v>
      </c>
      <c r="K105" s="5" t="str">
        <f>_xlfn.CONCAT("221")</f>
        <v>221</v>
      </c>
      <c r="L105" s="5" t="str">
        <f>_xlfn.CONCAT("8 8.1 5e")</f>
        <v>8 8.1 5e</v>
      </c>
      <c r="M105" s="5" t="str">
        <f>_xlfn.CONCAT("CHCLRN45H41C316F")</f>
        <v>CHCLRN45H41C316F</v>
      </c>
      <c r="N105" s="5" t="s">
        <v>197</v>
      </c>
      <c r="O105" s="5" t="s">
        <v>148</v>
      </c>
      <c r="P105" s="6">
        <v>44166</v>
      </c>
      <c r="Q105" s="5" t="s">
        <v>31</v>
      </c>
      <c r="R105" s="5" t="s">
        <v>32</v>
      </c>
      <c r="S105" s="5" t="s">
        <v>33</v>
      </c>
      <c r="T105" s="5"/>
      <c r="U105" s="5">
        <v>996</v>
      </c>
      <c r="V105" s="5">
        <v>429.48</v>
      </c>
      <c r="W105" s="5">
        <v>396.61</v>
      </c>
      <c r="X105" s="5">
        <v>0</v>
      </c>
      <c r="Y105" s="5">
        <v>169.91</v>
      </c>
    </row>
    <row r="106" spans="1:25" ht="24.75" x14ac:dyDescent="0.25">
      <c r="A106" s="5" t="s">
        <v>26</v>
      </c>
      <c r="B106" s="5" t="s">
        <v>27</v>
      </c>
      <c r="C106" s="5" t="s">
        <v>47</v>
      </c>
      <c r="D106" s="5" t="s">
        <v>51</v>
      </c>
      <c r="E106" s="5" t="s">
        <v>34</v>
      </c>
      <c r="F106" s="5" t="s">
        <v>149</v>
      </c>
      <c r="G106" s="5">
        <v>2020</v>
      </c>
      <c r="H106" s="5" t="str">
        <f>_xlfn.CONCAT("04780035293")</f>
        <v>04780035293</v>
      </c>
      <c r="I106" s="5" t="s">
        <v>29</v>
      </c>
      <c r="J106" s="5" t="s">
        <v>30</v>
      </c>
      <c r="K106" s="5" t="str">
        <f>_xlfn.CONCAT("221")</f>
        <v>221</v>
      </c>
      <c r="L106" s="5" t="str">
        <f>_xlfn.CONCAT("8 8.1 5e")</f>
        <v>8 8.1 5e</v>
      </c>
      <c r="M106" s="5" t="str">
        <f>_xlfn.CONCAT("FGNDLE34M21F021L")</f>
        <v>FGNDLE34M21F021L</v>
      </c>
      <c r="N106" s="5" t="s">
        <v>198</v>
      </c>
      <c r="O106" s="5" t="s">
        <v>148</v>
      </c>
      <c r="P106" s="6">
        <v>44166</v>
      </c>
      <c r="Q106" s="5" t="s">
        <v>31</v>
      </c>
      <c r="R106" s="5" t="s">
        <v>32</v>
      </c>
      <c r="S106" s="5" t="s">
        <v>33</v>
      </c>
      <c r="T106" s="5"/>
      <c r="U106" s="5">
        <v>162.63999999999999</v>
      </c>
      <c r="V106" s="5">
        <v>70.13</v>
      </c>
      <c r="W106" s="5">
        <v>64.760000000000005</v>
      </c>
      <c r="X106" s="5">
        <v>0</v>
      </c>
      <c r="Y106" s="5">
        <v>27.75</v>
      </c>
    </row>
    <row r="107" spans="1:25" ht="24.75" x14ac:dyDescent="0.25">
      <c r="A107" s="5" t="s">
        <v>26</v>
      </c>
      <c r="B107" s="5" t="s">
        <v>27</v>
      </c>
      <c r="C107" s="5" t="s">
        <v>47</v>
      </c>
      <c r="D107" s="5" t="s">
        <v>51</v>
      </c>
      <c r="E107" s="5" t="s">
        <v>34</v>
      </c>
      <c r="F107" s="5" t="s">
        <v>151</v>
      </c>
      <c r="G107" s="5">
        <v>2020</v>
      </c>
      <c r="H107" s="5" t="str">
        <f>_xlfn.CONCAT("04780038990")</f>
        <v>04780038990</v>
      </c>
      <c r="I107" s="5" t="s">
        <v>29</v>
      </c>
      <c r="J107" s="5" t="s">
        <v>30</v>
      </c>
      <c r="K107" s="5" t="str">
        <f>_xlfn.CONCAT("221")</f>
        <v>221</v>
      </c>
      <c r="L107" s="5" t="str">
        <f>_xlfn.CONCAT("8 8.1 5e")</f>
        <v>8 8.1 5e</v>
      </c>
      <c r="M107" s="5" t="str">
        <f>_xlfn.CONCAT("PLCLCN60M52G516W")</f>
        <v>PLCLCN60M52G516W</v>
      </c>
      <c r="N107" s="5" t="s">
        <v>199</v>
      </c>
      <c r="O107" s="5" t="s">
        <v>148</v>
      </c>
      <c r="P107" s="6">
        <v>44166</v>
      </c>
      <c r="Q107" s="5" t="s">
        <v>31</v>
      </c>
      <c r="R107" s="5" t="s">
        <v>32</v>
      </c>
      <c r="S107" s="5" t="s">
        <v>33</v>
      </c>
      <c r="T107" s="5"/>
      <c r="U107" s="5">
        <v>428.88</v>
      </c>
      <c r="V107" s="5">
        <v>184.93</v>
      </c>
      <c r="W107" s="5">
        <v>170.78</v>
      </c>
      <c r="X107" s="5">
        <v>0</v>
      </c>
      <c r="Y107" s="5">
        <v>73.17</v>
      </c>
    </row>
    <row r="108" spans="1:25" ht="24.75" x14ac:dyDescent="0.25">
      <c r="A108" s="5" t="s">
        <v>26</v>
      </c>
      <c r="B108" s="5" t="s">
        <v>27</v>
      </c>
      <c r="C108" s="5" t="s">
        <v>47</v>
      </c>
      <c r="D108" s="5" t="s">
        <v>51</v>
      </c>
      <c r="E108" s="5" t="s">
        <v>34</v>
      </c>
      <c r="F108" s="5" t="s">
        <v>149</v>
      </c>
      <c r="G108" s="5">
        <v>2020</v>
      </c>
      <c r="H108" s="5" t="str">
        <f>_xlfn.CONCAT("04780036770")</f>
        <v>04780036770</v>
      </c>
      <c r="I108" s="5" t="s">
        <v>29</v>
      </c>
      <c r="J108" s="5" t="s">
        <v>30</v>
      </c>
      <c r="K108" s="5" t="str">
        <f>_xlfn.CONCAT("221")</f>
        <v>221</v>
      </c>
      <c r="L108" s="5" t="str">
        <f>_xlfn.CONCAT("8 8.1 5e")</f>
        <v>8 8.1 5e</v>
      </c>
      <c r="M108" s="5" t="str">
        <f>_xlfn.CONCAT("SCRMRS56S66F520D")</f>
        <v>SCRMRS56S66F520D</v>
      </c>
      <c r="N108" s="5" t="s">
        <v>200</v>
      </c>
      <c r="O108" s="5" t="s">
        <v>148</v>
      </c>
      <c r="P108" s="6">
        <v>44166</v>
      </c>
      <c r="Q108" s="5" t="s">
        <v>31</v>
      </c>
      <c r="R108" s="5" t="s">
        <v>32</v>
      </c>
      <c r="S108" s="5" t="s">
        <v>33</v>
      </c>
      <c r="T108" s="5"/>
      <c r="U108" s="5">
        <v>99.6</v>
      </c>
      <c r="V108" s="5">
        <v>42.95</v>
      </c>
      <c r="W108" s="5">
        <v>39.659999999999997</v>
      </c>
      <c r="X108" s="5">
        <v>0</v>
      </c>
      <c r="Y108" s="5">
        <v>16.989999999999998</v>
      </c>
    </row>
    <row r="109" spans="1:25" ht="24.75" x14ac:dyDescent="0.25">
      <c r="A109" s="5" t="s">
        <v>26</v>
      </c>
      <c r="B109" s="5" t="s">
        <v>27</v>
      </c>
      <c r="C109" s="5" t="s">
        <v>47</v>
      </c>
      <c r="D109" s="5" t="s">
        <v>51</v>
      </c>
      <c r="E109" s="5" t="s">
        <v>35</v>
      </c>
      <c r="F109" s="5" t="s">
        <v>153</v>
      </c>
      <c r="G109" s="5">
        <v>2020</v>
      </c>
      <c r="H109" s="5" t="str">
        <f>_xlfn.CONCAT("04780019958")</f>
        <v>04780019958</v>
      </c>
      <c r="I109" s="5" t="s">
        <v>29</v>
      </c>
      <c r="J109" s="5" t="s">
        <v>30</v>
      </c>
      <c r="K109" s="5" t="str">
        <f>_xlfn.CONCAT("221")</f>
        <v>221</v>
      </c>
      <c r="L109" s="5" t="str">
        <f>_xlfn.CONCAT("8 8.1 5e")</f>
        <v>8 8.1 5e</v>
      </c>
      <c r="M109" s="5" t="str">
        <f>_xlfn.CONCAT("VLLDNC44P17C321R")</f>
        <v>VLLDNC44P17C321R</v>
      </c>
      <c r="N109" s="5" t="s">
        <v>201</v>
      </c>
      <c r="O109" s="5" t="s">
        <v>148</v>
      </c>
      <c r="P109" s="6">
        <v>44166</v>
      </c>
      <c r="Q109" s="5" t="s">
        <v>31</v>
      </c>
      <c r="R109" s="5" t="s">
        <v>32</v>
      </c>
      <c r="S109" s="5" t="s">
        <v>33</v>
      </c>
      <c r="T109" s="5"/>
      <c r="U109" s="5">
        <v>146.69</v>
      </c>
      <c r="V109" s="5">
        <v>63.25</v>
      </c>
      <c r="W109" s="5">
        <v>58.41</v>
      </c>
      <c r="X109" s="5">
        <v>0</v>
      </c>
      <c r="Y109" s="5">
        <v>25.03</v>
      </c>
    </row>
    <row r="110" spans="1:25" ht="24.75" x14ac:dyDescent="0.25">
      <c r="A110" s="5" t="s">
        <v>26</v>
      </c>
      <c r="B110" s="5" t="s">
        <v>27</v>
      </c>
      <c r="C110" s="5" t="s">
        <v>47</v>
      </c>
      <c r="D110" s="5" t="s">
        <v>51</v>
      </c>
      <c r="E110" s="5" t="s">
        <v>34</v>
      </c>
      <c r="F110" s="5" t="s">
        <v>151</v>
      </c>
      <c r="G110" s="5">
        <v>2020</v>
      </c>
      <c r="H110" s="5" t="str">
        <f>_xlfn.CONCAT("04780038180")</f>
        <v>04780038180</v>
      </c>
      <c r="I110" s="5" t="s">
        <v>29</v>
      </c>
      <c r="J110" s="5" t="s">
        <v>30</v>
      </c>
      <c r="K110" s="5" t="str">
        <f>_xlfn.CONCAT("221")</f>
        <v>221</v>
      </c>
      <c r="L110" s="5" t="str">
        <f>_xlfn.CONCAT("8 8.1 5e")</f>
        <v>8 8.1 5e</v>
      </c>
      <c r="M110" s="5" t="str">
        <f>_xlfn.CONCAT("PLNLGU53C23B727R")</f>
        <v>PLNLGU53C23B727R</v>
      </c>
      <c r="N110" s="5" t="s">
        <v>202</v>
      </c>
      <c r="O110" s="5" t="s">
        <v>148</v>
      </c>
      <c r="P110" s="6">
        <v>44166</v>
      </c>
      <c r="Q110" s="5" t="s">
        <v>31</v>
      </c>
      <c r="R110" s="5" t="s">
        <v>32</v>
      </c>
      <c r="S110" s="5" t="s">
        <v>33</v>
      </c>
      <c r="T110" s="5"/>
      <c r="U110" s="5">
        <v>348</v>
      </c>
      <c r="V110" s="5">
        <v>150.06</v>
      </c>
      <c r="W110" s="5">
        <v>138.57</v>
      </c>
      <c r="X110" s="5">
        <v>0</v>
      </c>
      <c r="Y110" s="5">
        <v>59.37</v>
      </c>
    </row>
    <row r="111" spans="1:25" ht="24.75" x14ac:dyDescent="0.25">
      <c r="A111" s="5" t="s">
        <v>26</v>
      </c>
      <c r="B111" s="5" t="s">
        <v>27</v>
      </c>
      <c r="C111" s="5" t="s">
        <v>47</v>
      </c>
      <c r="D111" s="5" t="s">
        <v>51</v>
      </c>
      <c r="E111" s="5" t="s">
        <v>35</v>
      </c>
      <c r="F111" s="5" t="s">
        <v>153</v>
      </c>
      <c r="G111" s="5">
        <v>2020</v>
      </c>
      <c r="H111" s="5" t="str">
        <f>_xlfn.CONCAT("04780019974")</f>
        <v>04780019974</v>
      </c>
      <c r="I111" s="5" t="s">
        <v>29</v>
      </c>
      <c r="J111" s="5" t="s">
        <v>30</v>
      </c>
      <c r="K111" s="5" t="str">
        <f>_xlfn.CONCAT("221")</f>
        <v>221</v>
      </c>
      <c r="L111" s="5" t="str">
        <f>_xlfn.CONCAT("8 8.1 5e")</f>
        <v>8 8.1 5e</v>
      </c>
      <c r="M111" s="5" t="str">
        <f>_xlfn.CONCAT("VLLRTI43A48C321H")</f>
        <v>VLLRTI43A48C321H</v>
      </c>
      <c r="N111" s="5" t="s">
        <v>203</v>
      </c>
      <c r="O111" s="5" t="s">
        <v>148</v>
      </c>
      <c r="P111" s="6">
        <v>44166</v>
      </c>
      <c r="Q111" s="5" t="s">
        <v>31</v>
      </c>
      <c r="R111" s="5" t="s">
        <v>32</v>
      </c>
      <c r="S111" s="5" t="s">
        <v>33</v>
      </c>
      <c r="T111" s="5"/>
      <c r="U111" s="5">
        <v>124.96</v>
      </c>
      <c r="V111" s="5">
        <v>53.88</v>
      </c>
      <c r="W111" s="5">
        <v>49.76</v>
      </c>
      <c r="X111" s="5">
        <v>0</v>
      </c>
      <c r="Y111" s="5">
        <v>21.32</v>
      </c>
    </row>
    <row r="112" spans="1:25" ht="24.75" x14ac:dyDescent="0.25">
      <c r="A112" s="5" t="s">
        <v>26</v>
      </c>
      <c r="B112" s="5" t="s">
        <v>27</v>
      </c>
      <c r="C112" s="5" t="s">
        <v>47</v>
      </c>
      <c r="D112" s="5" t="s">
        <v>51</v>
      </c>
      <c r="E112" s="5" t="s">
        <v>34</v>
      </c>
      <c r="F112" s="5" t="s">
        <v>151</v>
      </c>
      <c r="G112" s="5">
        <v>2020</v>
      </c>
      <c r="H112" s="5" t="str">
        <f>_xlfn.CONCAT("04780038800")</f>
        <v>04780038800</v>
      </c>
      <c r="I112" s="5" t="s">
        <v>29</v>
      </c>
      <c r="J112" s="5" t="s">
        <v>30</v>
      </c>
      <c r="K112" s="5" t="str">
        <f>_xlfn.CONCAT("221")</f>
        <v>221</v>
      </c>
      <c r="L112" s="5" t="str">
        <f>_xlfn.CONCAT("8 8.1 5e")</f>
        <v>8 8.1 5e</v>
      </c>
      <c r="M112" s="5" t="str">
        <f>_xlfn.CONCAT("VZZMSM81A30D542O")</f>
        <v>VZZMSM81A30D542O</v>
      </c>
      <c r="N112" s="5" t="s">
        <v>204</v>
      </c>
      <c r="O112" s="5" t="s">
        <v>148</v>
      </c>
      <c r="P112" s="6">
        <v>44166</v>
      </c>
      <c r="Q112" s="5" t="s">
        <v>31</v>
      </c>
      <c r="R112" s="5" t="s">
        <v>32</v>
      </c>
      <c r="S112" s="5" t="s">
        <v>33</v>
      </c>
      <c r="T112" s="5"/>
      <c r="U112" s="5">
        <v>756</v>
      </c>
      <c r="V112" s="5">
        <v>325.99</v>
      </c>
      <c r="W112" s="5">
        <v>301.04000000000002</v>
      </c>
      <c r="X112" s="5">
        <v>0</v>
      </c>
      <c r="Y112" s="5">
        <v>128.97</v>
      </c>
    </row>
    <row r="113" spans="1:25" ht="24.75" x14ac:dyDescent="0.25">
      <c r="A113" s="5" t="s">
        <v>26</v>
      </c>
      <c r="B113" s="5" t="s">
        <v>27</v>
      </c>
      <c r="C113" s="5" t="s">
        <v>47</v>
      </c>
      <c r="D113" s="5" t="s">
        <v>51</v>
      </c>
      <c r="E113" s="5" t="s">
        <v>34</v>
      </c>
      <c r="F113" s="5" t="s">
        <v>157</v>
      </c>
      <c r="G113" s="5">
        <v>2020</v>
      </c>
      <c r="H113" s="5" t="str">
        <f>_xlfn.CONCAT("04780038156")</f>
        <v>04780038156</v>
      </c>
      <c r="I113" s="5" t="s">
        <v>29</v>
      </c>
      <c r="J113" s="5" t="s">
        <v>30</v>
      </c>
      <c r="K113" s="5" t="str">
        <f>_xlfn.CONCAT("221")</f>
        <v>221</v>
      </c>
      <c r="L113" s="5" t="str">
        <f>_xlfn.CONCAT("8 8.1 5e")</f>
        <v>8 8.1 5e</v>
      </c>
      <c r="M113" s="5" t="str">
        <f>_xlfn.CONCAT("FRTLRA69C51A940T")</f>
        <v>FRTLRA69C51A940T</v>
      </c>
      <c r="N113" s="5" t="s">
        <v>205</v>
      </c>
      <c r="O113" s="5" t="s">
        <v>148</v>
      </c>
      <c r="P113" s="6">
        <v>44166</v>
      </c>
      <c r="Q113" s="5" t="s">
        <v>31</v>
      </c>
      <c r="R113" s="5" t="s">
        <v>32</v>
      </c>
      <c r="S113" s="5" t="s">
        <v>33</v>
      </c>
      <c r="T113" s="5"/>
      <c r="U113" s="5">
        <v>556.79999999999995</v>
      </c>
      <c r="V113" s="5">
        <v>240.09</v>
      </c>
      <c r="W113" s="5">
        <v>221.72</v>
      </c>
      <c r="X113" s="5">
        <v>0</v>
      </c>
      <c r="Y113" s="5">
        <v>94.99</v>
      </c>
    </row>
    <row r="114" spans="1:25" ht="24.75" x14ac:dyDescent="0.25">
      <c r="A114" s="5" t="s">
        <v>26</v>
      </c>
      <c r="B114" s="5" t="s">
        <v>27</v>
      </c>
      <c r="C114" s="5" t="s">
        <v>47</v>
      </c>
      <c r="D114" s="5" t="s">
        <v>51</v>
      </c>
      <c r="E114" s="5" t="s">
        <v>34</v>
      </c>
      <c r="F114" s="5" t="s">
        <v>149</v>
      </c>
      <c r="G114" s="5">
        <v>2020</v>
      </c>
      <c r="H114" s="5" t="str">
        <f>_xlfn.CONCAT("04780034361")</f>
        <v>04780034361</v>
      </c>
      <c r="I114" s="5" t="s">
        <v>29</v>
      </c>
      <c r="J114" s="5" t="s">
        <v>30</v>
      </c>
      <c r="K114" s="5" t="str">
        <f>_xlfn.CONCAT("221")</f>
        <v>221</v>
      </c>
      <c r="L114" s="5" t="str">
        <f>_xlfn.CONCAT("8 8.1 5e")</f>
        <v>8 8.1 5e</v>
      </c>
      <c r="M114" s="5" t="str">
        <f>_xlfn.CONCAT("RSSRSO47P57F626D")</f>
        <v>RSSRSO47P57F626D</v>
      </c>
      <c r="N114" s="5" t="s">
        <v>206</v>
      </c>
      <c r="O114" s="5" t="s">
        <v>148</v>
      </c>
      <c r="P114" s="6">
        <v>44166</v>
      </c>
      <c r="Q114" s="5" t="s">
        <v>31</v>
      </c>
      <c r="R114" s="5" t="s">
        <v>32</v>
      </c>
      <c r="S114" s="5" t="s">
        <v>33</v>
      </c>
      <c r="T114" s="5"/>
      <c r="U114" s="5">
        <v>249.92</v>
      </c>
      <c r="V114" s="5">
        <v>107.77</v>
      </c>
      <c r="W114" s="5">
        <v>99.52</v>
      </c>
      <c r="X114" s="5">
        <v>0</v>
      </c>
      <c r="Y114" s="5">
        <v>42.63</v>
      </c>
    </row>
    <row r="115" spans="1:25" ht="24.75" x14ac:dyDescent="0.25">
      <c r="A115" s="5" t="s">
        <v>26</v>
      </c>
      <c r="B115" s="5" t="s">
        <v>27</v>
      </c>
      <c r="C115" s="5" t="s">
        <v>47</v>
      </c>
      <c r="D115" s="5" t="s">
        <v>51</v>
      </c>
      <c r="E115" s="5" t="s">
        <v>28</v>
      </c>
      <c r="F115" s="5" t="s">
        <v>155</v>
      </c>
      <c r="G115" s="5">
        <v>2020</v>
      </c>
      <c r="H115" s="5" t="str">
        <f>_xlfn.CONCAT("04780010650")</f>
        <v>04780010650</v>
      </c>
      <c r="I115" s="5" t="s">
        <v>29</v>
      </c>
      <c r="J115" s="5" t="s">
        <v>30</v>
      </c>
      <c r="K115" s="5" t="str">
        <f>_xlfn.CONCAT("221")</f>
        <v>221</v>
      </c>
      <c r="L115" s="5" t="str">
        <f>_xlfn.CONCAT("8 8.1 5e")</f>
        <v>8 8.1 5e</v>
      </c>
      <c r="M115" s="5" t="str">
        <f>_xlfn.CONCAT("FRNMRN44P02F697U")</f>
        <v>FRNMRN44P02F697U</v>
      </c>
      <c r="N115" s="5" t="s">
        <v>207</v>
      </c>
      <c r="O115" s="5" t="s">
        <v>148</v>
      </c>
      <c r="P115" s="6">
        <v>44166</v>
      </c>
      <c r="Q115" s="5" t="s">
        <v>31</v>
      </c>
      <c r="R115" s="5" t="s">
        <v>32</v>
      </c>
      <c r="S115" s="5" t="s">
        <v>33</v>
      </c>
      <c r="T115" s="5"/>
      <c r="U115" s="5">
        <v>186.53</v>
      </c>
      <c r="V115" s="5">
        <v>80.430000000000007</v>
      </c>
      <c r="W115" s="5">
        <v>74.28</v>
      </c>
      <c r="X115" s="5">
        <v>0</v>
      </c>
      <c r="Y115" s="5">
        <v>31.82</v>
      </c>
    </row>
    <row r="116" spans="1:25" ht="24.75" x14ac:dyDescent="0.25">
      <c r="A116" s="5" t="s">
        <v>26</v>
      </c>
      <c r="B116" s="5" t="s">
        <v>27</v>
      </c>
      <c r="C116" s="5" t="s">
        <v>47</v>
      </c>
      <c r="D116" s="5" t="s">
        <v>51</v>
      </c>
      <c r="E116" s="5" t="s">
        <v>28</v>
      </c>
      <c r="F116" s="5" t="s">
        <v>155</v>
      </c>
      <c r="G116" s="5">
        <v>2020</v>
      </c>
      <c r="H116" s="5" t="str">
        <f>_xlfn.CONCAT("04780005809")</f>
        <v>04780005809</v>
      </c>
      <c r="I116" s="5" t="s">
        <v>29</v>
      </c>
      <c r="J116" s="5" t="s">
        <v>30</v>
      </c>
      <c r="K116" s="5" t="str">
        <f>_xlfn.CONCAT("221")</f>
        <v>221</v>
      </c>
      <c r="L116" s="5" t="str">
        <f>_xlfn.CONCAT("8 8.1 5e")</f>
        <v>8 8.1 5e</v>
      </c>
      <c r="M116" s="5" t="str">
        <f>_xlfn.CONCAT("LBRTLI41B14A462G")</f>
        <v>LBRTLI41B14A462G</v>
      </c>
      <c r="N116" s="5" t="s">
        <v>208</v>
      </c>
      <c r="O116" s="5" t="s">
        <v>148</v>
      </c>
      <c r="P116" s="6">
        <v>44166</v>
      </c>
      <c r="Q116" s="5" t="s">
        <v>31</v>
      </c>
      <c r="R116" s="5" t="s">
        <v>32</v>
      </c>
      <c r="S116" s="5" t="s">
        <v>33</v>
      </c>
      <c r="T116" s="5"/>
      <c r="U116" s="5">
        <v>90.5</v>
      </c>
      <c r="V116" s="5">
        <v>39.020000000000003</v>
      </c>
      <c r="W116" s="5">
        <v>36.04</v>
      </c>
      <c r="X116" s="5">
        <v>0</v>
      </c>
      <c r="Y116" s="5">
        <v>15.44</v>
      </c>
    </row>
    <row r="117" spans="1:25" ht="24.75" x14ac:dyDescent="0.25">
      <c r="A117" s="5" t="s">
        <v>26</v>
      </c>
      <c r="B117" s="5" t="s">
        <v>27</v>
      </c>
      <c r="C117" s="5" t="s">
        <v>47</v>
      </c>
      <c r="D117" s="5" t="s">
        <v>51</v>
      </c>
      <c r="E117" s="5" t="s">
        <v>28</v>
      </c>
      <c r="F117" s="5" t="s">
        <v>155</v>
      </c>
      <c r="G117" s="5">
        <v>2020</v>
      </c>
      <c r="H117" s="5" t="str">
        <f>_xlfn.CONCAT("04780010676")</f>
        <v>04780010676</v>
      </c>
      <c r="I117" s="5" t="s">
        <v>29</v>
      </c>
      <c r="J117" s="5" t="s">
        <v>30</v>
      </c>
      <c r="K117" s="5" t="str">
        <f>_xlfn.CONCAT("221")</f>
        <v>221</v>
      </c>
      <c r="L117" s="5" t="str">
        <f>_xlfn.CONCAT("8 8.1 5e")</f>
        <v>8 8.1 5e</v>
      </c>
      <c r="M117" s="5" t="str">
        <f>_xlfn.CONCAT("GLLRRT56H06D542U")</f>
        <v>GLLRRT56H06D542U</v>
      </c>
      <c r="N117" s="5" t="s">
        <v>209</v>
      </c>
      <c r="O117" s="5" t="s">
        <v>148</v>
      </c>
      <c r="P117" s="6">
        <v>44166</v>
      </c>
      <c r="Q117" s="5" t="s">
        <v>31</v>
      </c>
      <c r="R117" s="5" t="s">
        <v>32</v>
      </c>
      <c r="S117" s="5" t="s">
        <v>33</v>
      </c>
      <c r="T117" s="5"/>
      <c r="U117" s="5">
        <v>210.07</v>
      </c>
      <c r="V117" s="5">
        <v>90.58</v>
      </c>
      <c r="W117" s="5">
        <v>83.65</v>
      </c>
      <c r="X117" s="5">
        <v>0</v>
      </c>
      <c r="Y117" s="5">
        <v>35.840000000000003</v>
      </c>
    </row>
    <row r="118" spans="1:25" ht="24.75" x14ac:dyDescent="0.25">
      <c r="A118" s="5" t="s">
        <v>26</v>
      </c>
      <c r="B118" s="5" t="s">
        <v>27</v>
      </c>
      <c r="C118" s="5" t="s">
        <v>47</v>
      </c>
      <c r="D118" s="5" t="s">
        <v>51</v>
      </c>
      <c r="E118" s="5" t="s">
        <v>35</v>
      </c>
      <c r="F118" s="5" t="s">
        <v>161</v>
      </c>
      <c r="G118" s="5">
        <v>2020</v>
      </c>
      <c r="H118" s="5" t="str">
        <f>_xlfn.CONCAT("04780045060")</f>
        <v>04780045060</v>
      </c>
      <c r="I118" s="5" t="s">
        <v>29</v>
      </c>
      <c r="J118" s="5" t="s">
        <v>30</v>
      </c>
      <c r="K118" s="5" t="str">
        <f>_xlfn.CONCAT("221")</f>
        <v>221</v>
      </c>
      <c r="L118" s="5" t="str">
        <f>_xlfn.CONCAT("8 8.1 5e")</f>
        <v>8 8.1 5e</v>
      </c>
      <c r="M118" s="5" t="str">
        <f>_xlfn.CONCAT("PLLRRT67S53A233T")</f>
        <v>PLLRRT67S53A233T</v>
      </c>
      <c r="N118" s="5" t="s">
        <v>210</v>
      </c>
      <c r="O118" s="5" t="s">
        <v>148</v>
      </c>
      <c r="P118" s="6">
        <v>44166</v>
      </c>
      <c r="Q118" s="5" t="s">
        <v>31</v>
      </c>
      <c r="R118" s="5" t="s">
        <v>32</v>
      </c>
      <c r="S118" s="5" t="s">
        <v>33</v>
      </c>
      <c r="T118" s="5"/>
      <c r="U118" s="5">
        <v>639.28</v>
      </c>
      <c r="V118" s="5">
        <v>275.66000000000003</v>
      </c>
      <c r="W118" s="5">
        <v>254.56</v>
      </c>
      <c r="X118" s="5">
        <v>0</v>
      </c>
      <c r="Y118" s="5">
        <v>109.06</v>
      </c>
    </row>
    <row r="119" spans="1:25" ht="24.75" x14ac:dyDescent="0.25">
      <c r="A119" s="5" t="s">
        <v>26</v>
      </c>
      <c r="B119" s="5" t="s">
        <v>27</v>
      </c>
      <c r="C119" s="5" t="s">
        <v>47</v>
      </c>
      <c r="D119" s="5" t="s">
        <v>51</v>
      </c>
      <c r="E119" s="5" t="s">
        <v>45</v>
      </c>
      <c r="F119" s="5" t="s">
        <v>211</v>
      </c>
      <c r="G119" s="5">
        <v>2020</v>
      </c>
      <c r="H119" s="5" t="str">
        <f>_xlfn.CONCAT("04780031896")</f>
        <v>04780031896</v>
      </c>
      <c r="I119" s="5" t="s">
        <v>29</v>
      </c>
      <c r="J119" s="5" t="s">
        <v>30</v>
      </c>
      <c r="K119" s="5" t="str">
        <f>_xlfn.CONCAT("221")</f>
        <v>221</v>
      </c>
      <c r="L119" s="5" t="str">
        <f>_xlfn.CONCAT("8 8.1 5e")</f>
        <v>8 8.1 5e</v>
      </c>
      <c r="M119" s="5" t="str">
        <f>_xlfn.CONCAT("SCRPRM31L31C321F")</f>
        <v>SCRPRM31L31C321F</v>
      </c>
      <c r="N119" s="5" t="s">
        <v>212</v>
      </c>
      <c r="O119" s="5" t="s">
        <v>148</v>
      </c>
      <c r="P119" s="6">
        <v>44166</v>
      </c>
      <c r="Q119" s="5" t="s">
        <v>31</v>
      </c>
      <c r="R119" s="5" t="s">
        <v>32</v>
      </c>
      <c r="S119" s="5" t="s">
        <v>33</v>
      </c>
      <c r="T119" s="5"/>
      <c r="U119" s="7">
        <v>2022.57</v>
      </c>
      <c r="V119" s="5">
        <v>872.13</v>
      </c>
      <c r="W119" s="5">
        <v>805.39</v>
      </c>
      <c r="X119" s="5">
        <v>0</v>
      </c>
      <c r="Y119" s="5">
        <v>345.05</v>
      </c>
    </row>
    <row r="120" spans="1:25" ht="24.75" x14ac:dyDescent="0.25">
      <c r="A120" s="5" t="s">
        <v>26</v>
      </c>
      <c r="B120" s="5" t="s">
        <v>27</v>
      </c>
      <c r="C120" s="5" t="s">
        <v>47</v>
      </c>
      <c r="D120" s="5" t="s">
        <v>51</v>
      </c>
      <c r="E120" s="5" t="s">
        <v>35</v>
      </c>
      <c r="F120" s="5" t="s">
        <v>153</v>
      </c>
      <c r="G120" s="5">
        <v>2020</v>
      </c>
      <c r="H120" s="5" t="str">
        <f>_xlfn.CONCAT("04780020907")</f>
        <v>04780020907</v>
      </c>
      <c r="I120" s="5" t="s">
        <v>29</v>
      </c>
      <c r="J120" s="5" t="s">
        <v>30</v>
      </c>
      <c r="K120" s="5" t="str">
        <f>_xlfn.CONCAT("221")</f>
        <v>221</v>
      </c>
      <c r="L120" s="5" t="str">
        <f>_xlfn.CONCAT("8 8.1 5e")</f>
        <v>8 8.1 5e</v>
      </c>
      <c r="M120" s="5" t="str">
        <f>_xlfn.CONCAT("CLLGPP45D56A462B")</f>
        <v>CLLGPP45D56A462B</v>
      </c>
      <c r="N120" s="5" t="s">
        <v>213</v>
      </c>
      <c r="O120" s="5" t="s">
        <v>148</v>
      </c>
      <c r="P120" s="6">
        <v>44166</v>
      </c>
      <c r="Q120" s="5" t="s">
        <v>31</v>
      </c>
      <c r="R120" s="5" t="s">
        <v>32</v>
      </c>
      <c r="S120" s="5" t="s">
        <v>33</v>
      </c>
      <c r="T120" s="5"/>
      <c r="U120" s="7">
        <v>3643.36</v>
      </c>
      <c r="V120" s="7">
        <v>1571.02</v>
      </c>
      <c r="W120" s="7">
        <v>1450.79</v>
      </c>
      <c r="X120" s="5">
        <v>0</v>
      </c>
      <c r="Y120" s="5">
        <v>621.54999999999995</v>
      </c>
    </row>
    <row r="121" spans="1:25" ht="24.75" x14ac:dyDescent="0.25">
      <c r="A121" s="5" t="s">
        <v>26</v>
      </c>
      <c r="B121" s="5" t="s">
        <v>27</v>
      </c>
      <c r="C121" s="5" t="s">
        <v>47</v>
      </c>
      <c r="D121" s="5" t="s">
        <v>51</v>
      </c>
      <c r="E121" s="5" t="s">
        <v>34</v>
      </c>
      <c r="F121" s="5" t="s">
        <v>54</v>
      </c>
      <c r="G121" s="5">
        <v>2020</v>
      </c>
      <c r="H121" s="5" t="str">
        <f>_xlfn.CONCAT("04780036234")</f>
        <v>04780036234</v>
      </c>
      <c r="I121" s="5" t="s">
        <v>29</v>
      </c>
      <c r="J121" s="5" t="s">
        <v>30</v>
      </c>
      <c r="K121" s="5" t="str">
        <f>_xlfn.CONCAT("221")</f>
        <v>221</v>
      </c>
      <c r="L121" s="5" t="str">
        <f>_xlfn.CONCAT("8 8.1 5e")</f>
        <v>8 8.1 5e</v>
      </c>
      <c r="M121" s="5" t="str">
        <f>_xlfn.CONCAT("DNGSTN35A45C321R")</f>
        <v>DNGSTN35A45C321R</v>
      </c>
      <c r="N121" s="5" t="s">
        <v>214</v>
      </c>
      <c r="O121" s="5" t="s">
        <v>148</v>
      </c>
      <c r="P121" s="6">
        <v>44166</v>
      </c>
      <c r="Q121" s="5" t="s">
        <v>31</v>
      </c>
      <c r="R121" s="5" t="s">
        <v>32</v>
      </c>
      <c r="S121" s="5" t="s">
        <v>33</v>
      </c>
      <c r="T121" s="5"/>
      <c r="U121" s="5">
        <v>271.64</v>
      </c>
      <c r="V121" s="5">
        <v>117.13</v>
      </c>
      <c r="W121" s="5">
        <v>108.17</v>
      </c>
      <c r="X121" s="5">
        <v>0</v>
      </c>
      <c r="Y121" s="5">
        <v>46.34</v>
      </c>
    </row>
    <row r="122" spans="1:25" ht="24.75" x14ac:dyDescent="0.25">
      <c r="A122" s="5" t="s">
        <v>26</v>
      </c>
      <c r="B122" s="5" t="s">
        <v>27</v>
      </c>
      <c r="C122" s="5" t="s">
        <v>47</v>
      </c>
      <c r="D122" s="5" t="s">
        <v>51</v>
      </c>
      <c r="E122" s="5" t="s">
        <v>45</v>
      </c>
      <c r="F122" s="5" t="s">
        <v>211</v>
      </c>
      <c r="G122" s="5">
        <v>2020</v>
      </c>
      <c r="H122" s="5" t="str">
        <f>_xlfn.CONCAT("04780031920")</f>
        <v>04780031920</v>
      </c>
      <c r="I122" s="5" t="s">
        <v>29</v>
      </c>
      <c r="J122" s="5" t="s">
        <v>30</v>
      </c>
      <c r="K122" s="5" t="str">
        <f>_xlfn.CONCAT("221")</f>
        <v>221</v>
      </c>
      <c r="L122" s="5" t="str">
        <f>_xlfn.CONCAT("8 8.1 5e")</f>
        <v>8 8.1 5e</v>
      </c>
      <c r="M122" s="5" t="str">
        <f>_xlfn.CONCAT("TMSGNN57H12G516Z")</f>
        <v>TMSGNN57H12G516Z</v>
      </c>
      <c r="N122" s="5" t="s">
        <v>215</v>
      </c>
      <c r="O122" s="5" t="s">
        <v>148</v>
      </c>
      <c r="P122" s="6">
        <v>44166</v>
      </c>
      <c r="Q122" s="5" t="s">
        <v>31</v>
      </c>
      <c r="R122" s="5" t="s">
        <v>32</v>
      </c>
      <c r="S122" s="5" t="s">
        <v>33</v>
      </c>
      <c r="T122" s="5"/>
      <c r="U122" s="7">
        <v>1320</v>
      </c>
      <c r="V122" s="5">
        <v>569.17999999999995</v>
      </c>
      <c r="W122" s="5">
        <v>525.62</v>
      </c>
      <c r="X122" s="5">
        <v>0</v>
      </c>
      <c r="Y122" s="5">
        <v>225.2</v>
      </c>
    </row>
    <row r="123" spans="1:25" ht="24.75" x14ac:dyDescent="0.25">
      <c r="A123" s="5" t="s">
        <v>26</v>
      </c>
      <c r="B123" s="5" t="s">
        <v>27</v>
      </c>
      <c r="C123" s="5" t="s">
        <v>47</v>
      </c>
      <c r="D123" s="5" t="s">
        <v>51</v>
      </c>
      <c r="E123" s="5" t="s">
        <v>34</v>
      </c>
      <c r="F123" s="5" t="s">
        <v>54</v>
      </c>
      <c r="G123" s="5">
        <v>2020</v>
      </c>
      <c r="H123" s="5" t="str">
        <f>_xlfn.CONCAT("04780036200")</f>
        <v>04780036200</v>
      </c>
      <c r="I123" s="5" t="s">
        <v>29</v>
      </c>
      <c r="J123" s="5" t="s">
        <v>30</v>
      </c>
      <c r="K123" s="5" t="str">
        <f>_xlfn.CONCAT("221")</f>
        <v>221</v>
      </c>
      <c r="L123" s="5" t="str">
        <f>_xlfn.CONCAT("8 8.1 5e")</f>
        <v>8 8.1 5e</v>
      </c>
      <c r="M123" s="5" t="str">
        <f>_xlfn.CONCAT("SRGMDE37H09G005J")</f>
        <v>SRGMDE37H09G005J</v>
      </c>
      <c r="N123" s="5" t="s">
        <v>216</v>
      </c>
      <c r="O123" s="5" t="s">
        <v>148</v>
      </c>
      <c r="P123" s="6">
        <v>44166</v>
      </c>
      <c r="Q123" s="5" t="s">
        <v>31</v>
      </c>
      <c r="R123" s="5" t="s">
        <v>32</v>
      </c>
      <c r="S123" s="5" t="s">
        <v>33</v>
      </c>
      <c r="T123" s="5"/>
      <c r="U123" s="5">
        <v>819.5</v>
      </c>
      <c r="V123" s="5">
        <v>353.37</v>
      </c>
      <c r="W123" s="5">
        <v>326.32</v>
      </c>
      <c r="X123" s="5">
        <v>0</v>
      </c>
      <c r="Y123" s="5">
        <v>139.81</v>
      </c>
    </row>
    <row r="124" spans="1:25" ht="24.75" x14ac:dyDescent="0.25">
      <c r="A124" s="5" t="s">
        <v>26</v>
      </c>
      <c r="B124" s="5" t="s">
        <v>27</v>
      </c>
      <c r="C124" s="5" t="s">
        <v>47</v>
      </c>
      <c r="D124" s="5" t="s">
        <v>51</v>
      </c>
      <c r="E124" s="5" t="s">
        <v>34</v>
      </c>
      <c r="F124" s="5" t="s">
        <v>149</v>
      </c>
      <c r="G124" s="5">
        <v>2020</v>
      </c>
      <c r="H124" s="5" t="str">
        <f>_xlfn.CONCAT("04780036267")</f>
        <v>04780036267</v>
      </c>
      <c r="I124" s="5" t="s">
        <v>29</v>
      </c>
      <c r="J124" s="5" t="s">
        <v>30</v>
      </c>
      <c r="K124" s="5" t="str">
        <f>_xlfn.CONCAT("221")</f>
        <v>221</v>
      </c>
      <c r="L124" s="5" t="str">
        <f>_xlfn.CONCAT("8 8.1 5e")</f>
        <v>8 8.1 5e</v>
      </c>
      <c r="M124" s="5" t="str">
        <f>_xlfn.CONCAT("GLNGRG71D23G920A")</f>
        <v>GLNGRG71D23G920A</v>
      </c>
      <c r="N124" s="5" t="s">
        <v>217</v>
      </c>
      <c r="O124" s="5" t="s">
        <v>148</v>
      </c>
      <c r="P124" s="6">
        <v>44166</v>
      </c>
      <c r="Q124" s="5" t="s">
        <v>31</v>
      </c>
      <c r="R124" s="5" t="s">
        <v>32</v>
      </c>
      <c r="S124" s="5" t="s">
        <v>33</v>
      </c>
      <c r="T124" s="5"/>
      <c r="U124" s="5">
        <v>210.07</v>
      </c>
      <c r="V124" s="5">
        <v>90.58</v>
      </c>
      <c r="W124" s="5">
        <v>83.65</v>
      </c>
      <c r="X124" s="5">
        <v>0</v>
      </c>
      <c r="Y124" s="5">
        <v>35.840000000000003</v>
      </c>
    </row>
    <row r="125" spans="1:25" ht="24.75" x14ac:dyDescent="0.25">
      <c r="A125" s="5" t="s">
        <v>26</v>
      </c>
      <c r="B125" s="5" t="s">
        <v>27</v>
      </c>
      <c r="C125" s="5" t="s">
        <v>47</v>
      </c>
      <c r="D125" s="5" t="s">
        <v>51</v>
      </c>
      <c r="E125" s="5" t="s">
        <v>34</v>
      </c>
      <c r="F125" s="5" t="s">
        <v>149</v>
      </c>
      <c r="G125" s="5">
        <v>2020</v>
      </c>
      <c r="H125" s="5" t="str">
        <f>_xlfn.CONCAT("04780034395")</f>
        <v>04780034395</v>
      </c>
      <c r="I125" s="5" t="s">
        <v>29</v>
      </c>
      <c r="J125" s="5" t="s">
        <v>30</v>
      </c>
      <c r="K125" s="5" t="str">
        <f>_xlfn.CONCAT("221")</f>
        <v>221</v>
      </c>
      <c r="L125" s="5" t="str">
        <f>_xlfn.CONCAT("8 8.1 5e")</f>
        <v>8 8.1 5e</v>
      </c>
      <c r="M125" s="5" t="str">
        <f>_xlfn.CONCAT("TRPLTR35B44F520S")</f>
        <v>TRPLTR35B44F520S</v>
      </c>
      <c r="N125" s="5" t="s">
        <v>218</v>
      </c>
      <c r="O125" s="5" t="s">
        <v>148</v>
      </c>
      <c r="P125" s="6">
        <v>44166</v>
      </c>
      <c r="Q125" s="5" t="s">
        <v>31</v>
      </c>
      <c r="R125" s="5" t="s">
        <v>32</v>
      </c>
      <c r="S125" s="5" t="s">
        <v>33</v>
      </c>
      <c r="T125" s="5"/>
      <c r="U125" s="5">
        <v>92.36</v>
      </c>
      <c r="V125" s="5">
        <v>39.83</v>
      </c>
      <c r="W125" s="5">
        <v>36.78</v>
      </c>
      <c r="X125" s="5">
        <v>0</v>
      </c>
      <c r="Y125" s="5">
        <v>15.75</v>
      </c>
    </row>
    <row r="126" spans="1:25" ht="24.75" x14ac:dyDescent="0.25">
      <c r="A126" s="5" t="s">
        <v>26</v>
      </c>
      <c r="B126" s="5" t="s">
        <v>27</v>
      </c>
      <c r="C126" s="5" t="s">
        <v>47</v>
      </c>
      <c r="D126" s="5" t="s">
        <v>51</v>
      </c>
      <c r="E126" s="5" t="s">
        <v>34</v>
      </c>
      <c r="F126" s="5" t="s">
        <v>97</v>
      </c>
      <c r="G126" s="5">
        <v>2020</v>
      </c>
      <c r="H126" s="5" t="str">
        <f>_xlfn.CONCAT("04780035608")</f>
        <v>04780035608</v>
      </c>
      <c r="I126" s="5" t="s">
        <v>29</v>
      </c>
      <c r="J126" s="5" t="s">
        <v>30</v>
      </c>
      <c r="K126" s="5" t="str">
        <f>_xlfn.CONCAT("221")</f>
        <v>221</v>
      </c>
      <c r="L126" s="5" t="str">
        <f>_xlfn.CONCAT("8 8.1 5e")</f>
        <v>8 8.1 5e</v>
      </c>
      <c r="M126" s="5" t="str">
        <f>_xlfn.CONCAT("GCHMRZ62R23A462D")</f>
        <v>GCHMRZ62R23A462D</v>
      </c>
      <c r="N126" s="5" t="s">
        <v>219</v>
      </c>
      <c r="O126" s="5" t="s">
        <v>148</v>
      </c>
      <c r="P126" s="6">
        <v>44166</v>
      </c>
      <c r="Q126" s="5" t="s">
        <v>31</v>
      </c>
      <c r="R126" s="5" t="s">
        <v>32</v>
      </c>
      <c r="S126" s="5" t="s">
        <v>33</v>
      </c>
      <c r="T126" s="5"/>
      <c r="U126" s="5">
        <v>28.97</v>
      </c>
      <c r="V126" s="5">
        <v>12.49</v>
      </c>
      <c r="W126" s="5">
        <v>11.54</v>
      </c>
      <c r="X126" s="5">
        <v>0</v>
      </c>
      <c r="Y126" s="5">
        <v>4.9400000000000004</v>
      </c>
    </row>
    <row r="127" spans="1:25" ht="24.75" x14ac:dyDescent="0.25">
      <c r="A127" s="5" t="s">
        <v>26</v>
      </c>
      <c r="B127" s="5" t="s">
        <v>27</v>
      </c>
      <c r="C127" s="5" t="s">
        <v>47</v>
      </c>
      <c r="D127" s="5" t="s">
        <v>51</v>
      </c>
      <c r="E127" s="5" t="s">
        <v>34</v>
      </c>
      <c r="F127" s="5" t="s">
        <v>157</v>
      </c>
      <c r="G127" s="5">
        <v>2020</v>
      </c>
      <c r="H127" s="5" t="str">
        <f>_xlfn.CONCAT("04780037976")</f>
        <v>04780037976</v>
      </c>
      <c r="I127" s="5" t="s">
        <v>29</v>
      </c>
      <c r="J127" s="5" t="s">
        <v>30</v>
      </c>
      <c r="K127" s="5" t="str">
        <f>_xlfn.CONCAT("221")</f>
        <v>221</v>
      </c>
      <c r="L127" s="5" t="str">
        <f>_xlfn.CONCAT("8 8.1 5e")</f>
        <v>8 8.1 5e</v>
      </c>
      <c r="M127" s="5" t="str">
        <f>_xlfn.CONCAT("LNCGTN52C29D096W")</f>
        <v>LNCGTN52C29D096W</v>
      </c>
      <c r="N127" s="5" t="s">
        <v>220</v>
      </c>
      <c r="O127" s="5" t="s">
        <v>148</v>
      </c>
      <c r="P127" s="6">
        <v>44166</v>
      </c>
      <c r="Q127" s="5" t="s">
        <v>31</v>
      </c>
      <c r="R127" s="5" t="s">
        <v>32</v>
      </c>
      <c r="S127" s="5" t="s">
        <v>33</v>
      </c>
      <c r="T127" s="5"/>
      <c r="U127" s="7">
        <v>2517.9299999999998</v>
      </c>
      <c r="V127" s="7">
        <v>1085.73</v>
      </c>
      <c r="W127" s="7">
        <v>1002.64</v>
      </c>
      <c r="X127" s="5">
        <v>0</v>
      </c>
      <c r="Y127" s="5">
        <v>429.56</v>
      </c>
    </row>
    <row r="128" spans="1:25" ht="24.75" x14ac:dyDescent="0.25">
      <c r="A128" s="5" t="s">
        <v>26</v>
      </c>
      <c r="B128" s="5" t="s">
        <v>27</v>
      </c>
      <c r="C128" s="5" t="s">
        <v>47</v>
      </c>
      <c r="D128" s="5" t="s">
        <v>51</v>
      </c>
      <c r="E128" s="5" t="s">
        <v>35</v>
      </c>
      <c r="F128" s="5" t="s">
        <v>190</v>
      </c>
      <c r="G128" s="5">
        <v>2020</v>
      </c>
      <c r="H128" s="5" t="str">
        <f>_xlfn.CONCAT("04780044683")</f>
        <v>04780044683</v>
      </c>
      <c r="I128" s="5" t="s">
        <v>29</v>
      </c>
      <c r="J128" s="5" t="s">
        <v>30</v>
      </c>
      <c r="K128" s="5" t="str">
        <f>_xlfn.CONCAT("221")</f>
        <v>221</v>
      </c>
      <c r="L128" s="5" t="str">
        <f>_xlfn.CONCAT("8 8.1 5e")</f>
        <v>8 8.1 5e</v>
      </c>
      <c r="M128" s="5" t="str">
        <f>_xlfn.CONCAT("MTRMTR44M59D691Q")</f>
        <v>MTRMTR44M59D691Q</v>
      </c>
      <c r="N128" s="5" t="s">
        <v>221</v>
      </c>
      <c r="O128" s="5" t="s">
        <v>148</v>
      </c>
      <c r="P128" s="6">
        <v>44166</v>
      </c>
      <c r="Q128" s="5" t="s">
        <v>31</v>
      </c>
      <c r="R128" s="5" t="s">
        <v>32</v>
      </c>
      <c r="S128" s="5" t="s">
        <v>33</v>
      </c>
      <c r="T128" s="5"/>
      <c r="U128" s="5">
        <v>203.62</v>
      </c>
      <c r="V128" s="5">
        <v>87.8</v>
      </c>
      <c r="W128" s="5">
        <v>81.08</v>
      </c>
      <c r="X128" s="5">
        <v>0</v>
      </c>
      <c r="Y128" s="5">
        <v>34.74</v>
      </c>
    </row>
    <row r="129" spans="1:25" ht="24.75" x14ac:dyDescent="0.25">
      <c r="A129" s="5" t="s">
        <v>26</v>
      </c>
      <c r="B129" s="5" t="s">
        <v>27</v>
      </c>
      <c r="C129" s="5" t="s">
        <v>47</v>
      </c>
      <c r="D129" s="5" t="s">
        <v>51</v>
      </c>
      <c r="E129" s="5" t="s">
        <v>34</v>
      </c>
      <c r="F129" s="5" t="s">
        <v>157</v>
      </c>
      <c r="G129" s="5">
        <v>2020</v>
      </c>
      <c r="H129" s="5" t="str">
        <f>_xlfn.CONCAT("04780037885")</f>
        <v>04780037885</v>
      </c>
      <c r="I129" s="5" t="s">
        <v>29</v>
      </c>
      <c r="J129" s="5" t="s">
        <v>30</v>
      </c>
      <c r="K129" s="5" t="str">
        <f>_xlfn.CONCAT("221")</f>
        <v>221</v>
      </c>
      <c r="L129" s="5" t="str">
        <f>_xlfn.CONCAT("8 8.1 5e")</f>
        <v>8 8.1 5e</v>
      </c>
      <c r="M129" s="5" t="str">
        <f>_xlfn.CONCAT("01905910442")</f>
        <v>01905910442</v>
      </c>
      <c r="N129" s="5" t="s">
        <v>222</v>
      </c>
      <c r="O129" s="5" t="s">
        <v>148</v>
      </c>
      <c r="P129" s="6">
        <v>44166</v>
      </c>
      <c r="Q129" s="5" t="s">
        <v>31</v>
      </c>
      <c r="R129" s="5" t="s">
        <v>32</v>
      </c>
      <c r="S129" s="5" t="s">
        <v>33</v>
      </c>
      <c r="T129" s="5"/>
      <c r="U129" s="5">
        <v>173.85</v>
      </c>
      <c r="V129" s="5">
        <v>74.959999999999994</v>
      </c>
      <c r="W129" s="5">
        <v>69.23</v>
      </c>
      <c r="X129" s="5">
        <v>0</v>
      </c>
      <c r="Y129" s="5">
        <v>29.66</v>
      </c>
    </row>
    <row r="130" spans="1:25" ht="24.75" x14ac:dyDescent="0.25">
      <c r="A130" s="5" t="s">
        <v>26</v>
      </c>
      <c r="B130" s="5" t="s">
        <v>27</v>
      </c>
      <c r="C130" s="5" t="s">
        <v>47</v>
      </c>
      <c r="D130" s="5" t="s">
        <v>51</v>
      </c>
      <c r="E130" s="5" t="s">
        <v>34</v>
      </c>
      <c r="F130" s="5" t="s">
        <v>157</v>
      </c>
      <c r="G130" s="5">
        <v>2020</v>
      </c>
      <c r="H130" s="5" t="str">
        <f>_xlfn.CONCAT("04780037745")</f>
        <v>04780037745</v>
      </c>
      <c r="I130" s="5" t="s">
        <v>29</v>
      </c>
      <c r="J130" s="5" t="s">
        <v>30</v>
      </c>
      <c r="K130" s="5" t="str">
        <f>_xlfn.CONCAT("221")</f>
        <v>221</v>
      </c>
      <c r="L130" s="5" t="str">
        <f>_xlfn.CONCAT("8 8.1 5e")</f>
        <v>8 8.1 5e</v>
      </c>
      <c r="M130" s="5" t="str">
        <f>_xlfn.CONCAT("VSPRNZ55R15F501V")</f>
        <v>VSPRNZ55R15F501V</v>
      </c>
      <c r="N130" s="5" t="s">
        <v>223</v>
      </c>
      <c r="O130" s="5" t="s">
        <v>148</v>
      </c>
      <c r="P130" s="6">
        <v>44166</v>
      </c>
      <c r="Q130" s="5" t="s">
        <v>31</v>
      </c>
      <c r="R130" s="5" t="s">
        <v>32</v>
      </c>
      <c r="S130" s="5" t="s">
        <v>33</v>
      </c>
      <c r="T130" s="5"/>
      <c r="U130" s="5">
        <v>93.93</v>
      </c>
      <c r="V130" s="5">
        <v>40.5</v>
      </c>
      <c r="W130" s="5">
        <v>37.4</v>
      </c>
      <c r="X130" s="5">
        <v>0</v>
      </c>
      <c r="Y130" s="5">
        <v>16.03</v>
      </c>
    </row>
    <row r="131" spans="1:25" ht="24.75" x14ac:dyDescent="0.25">
      <c r="A131" s="5" t="s">
        <v>26</v>
      </c>
      <c r="B131" s="5" t="s">
        <v>27</v>
      </c>
      <c r="C131" s="5" t="s">
        <v>47</v>
      </c>
      <c r="D131" s="5" t="s">
        <v>51</v>
      </c>
      <c r="E131" s="5" t="s">
        <v>35</v>
      </c>
      <c r="F131" s="5" t="s">
        <v>153</v>
      </c>
      <c r="G131" s="5">
        <v>2020</v>
      </c>
      <c r="H131" s="5" t="str">
        <f>_xlfn.CONCAT("04780019925")</f>
        <v>04780019925</v>
      </c>
      <c r="I131" s="5" t="s">
        <v>29</v>
      </c>
      <c r="J131" s="5" t="s">
        <v>30</v>
      </c>
      <c r="K131" s="5" t="str">
        <f>_xlfn.CONCAT("221")</f>
        <v>221</v>
      </c>
      <c r="L131" s="5" t="str">
        <f>_xlfn.CONCAT("8 8.1 5e")</f>
        <v>8 8.1 5e</v>
      </c>
      <c r="M131" s="5" t="str">
        <f>_xlfn.CONCAT("SRGMRA63B01G005Y")</f>
        <v>SRGMRA63B01G005Y</v>
      </c>
      <c r="N131" s="5" t="s">
        <v>224</v>
      </c>
      <c r="O131" s="5" t="s">
        <v>148</v>
      </c>
      <c r="P131" s="6">
        <v>44166</v>
      </c>
      <c r="Q131" s="5" t="s">
        <v>31</v>
      </c>
      <c r="R131" s="5" t="s">
        <v>32</v>
      </c>
      <c r="S131" s="5" t="s">
        <v>33</v>
      </c>
      <c r="T131" s="5"/>
      <c r="U131" s="5">
        <v>106.84</v>
      </c>
      <c r="V131" s="5">
        <v>46.07</v>
      </c>
      <c r="W131" s="5">
        <v>42.54</v>
      </c>
      <c r="X131" s="5">
        <v>0</v>
      </c>
      <c r="Y131" s="5">
        <v>18.23</v>
      </c>
    </row>
  </sheetData>
  <mergeCells count="2">
    <mergeCell ref="A1:Y1"/>
    <mergeCell ref="A2:Y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Dettaglio_Domande_Pagabili_AGEA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</dc:creator>
  <cp:lastModifiedBy>Michele</cp:lastModifiedBy>
  <dcterms:created xsi:type="dcterms:W3CDTF">2020-12-28T09:55:26Z</dcterms:created>
  <dcterms:modified xsi:type="dcterms:W3CDTF">2020-12-28T09:56:21Z</dcterms:modified>
</cp:coreProperties>
</file>