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22\"/>
    </mc:Choice>
  </mc:AlternateContent>
  <xr:revisionPtr revIDLastSave="0" documentId="8_{42936764-6CF9-4C39-B71C-730AD3B90576}" xr6:coauthVersionLast="45" xr6:coauthVersionMax="45" xr10:uidLastSave="{00000000-0000-0000-0000-000000000000}"/>
  <bookViews>
    <workbookView xWindow="-120" yWindow="-120" windowWidth="20730" windowHeight="11160" xr2:uid="{B99F827C-B4C7-46CE-ABF4-8DB7B1E43F9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4" i="1" l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<sst xmlns="http://schemas.openxmlformats.org/spreadsheetml/2006/main" count="1469" uniqueCount="222">
  <si>
    <t>Dettaglio Domande Pagabili Decreto 422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</si>
  <si>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</si>
  <si>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</si>
  <si>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</si>
  <si>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</si>
  <si>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</si>
  <si>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</si>
  <si>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</si>
  <si>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</si>
  <si>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</si>
  <si>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</si>
  <si>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</si>
  <si>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</si>
  <si>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</si>
  <si>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</si>
  <si>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</si>
  <si>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</si>
  <si>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</si>
  <si>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</si>
  <si>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</si>
  <si>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</si>
  <si>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</si>
  <si>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</si>
  <si>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</si>
  <si>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</si>
  <si>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</si>
  <si>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</si>
  <si>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</si>
  <si>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</si>
  <si>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</si>
  <si>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</si>
  <si>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</si>
  <si>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</si>
  <si>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Confagricoltura srl</t>
  </si>
  <si>
    <t>Trascinamenti</t>
  </si>
  <si>
    <t>CAA LiberiAgricoltori srl già CAA AGCI srl</t>
  </si>
  <si>
    <t>CAA UNICAA srl</t>
  </si>
  <si>
    <t>CAA CIA srl</t>
  </si>
  <si>
    <t>SI</t>
  </si>
  <si>
    <t>CAA Coldiretti srl</t>
  </si>
  <si>
    <t>CAA-CAF AGRI S.R.L.</t>
  </si>
  <si>
    <t>Misure Strutturali</t>
  </si>
  <si>
    <t>IN PROPRIO</t>
  </si>
  <si>
    <t>Anticipo</t>
  </si>
  <si>
    <t>SAL</t>
  </si>
  <si>
    <t>CAA Coldiretti - VITERBO - 007</t>
  </si>
  <si>
    <t>MARCHE</t>
  </si>
  <si>
    <t>SERV. DEC. AGRICOLTURA E ALIMENTAZIONE - ANCONA</t>
  </si>
  <si>
    <t>CAA Coldiretti - ANCONA - 002</t>
  </si>
  <si>
    <t>PAGLIONI GUIDO</t>
  </si>
  <si>
    <t>AGEA.ASR.2020.0338201</t>
  </si>
  <si>
    <t>CIAPPELLONI PIERINO</t>
  </si>
  <si>
    <t>AGEA.ASR.2020.0600232</t>
  </si>
  <si>
    <t>SERV. DEC. AGRICOLTURA E ALIM. - MACERATA</t>
  </si>
  <si>
    <t>CAA LiberiAgricoltori - MACERATA - 001</t>
  </si>
  <si>
    <t>SOCIETA' AGRICOLA GENTILESCHI ANDREA E CONTIGIANI CINZIA S.S</t>
  </si>
  <si>
    <t>AGEA.ASR.2020.0724392</t>
  </si>
  <si>
    <t>SOCIETA' AGRICOLA DRSILENZI S.S.</t>
  </si>
  <si>
    <t>SERV. DEC. AGRICOLTURA E ALIMENTAZIONE - PESARO</t>
  </si>
  <si>
    <t>CAA CIA - PESARO E URBINO - 008</t>
  </si>
  <si>
    <t>BERARDI FABRIZIO</t>
  </si>
  <si>
    <t>AGEA.ASR.2020.1653835</t>
  </si>
  <si>
    <t>CAA Coldiretti - PESARO E URBINO - 010</t>
  </si>
  <si>
    <t>FALLERI MARIA ANGELA</t>
  </si>
  <si>
    <t>CAA Coldiretti - PESARO E URBINO - 004</t>
  </si>
  <si>
    <t>FONTI LUIGIA</t>
  </si>
  <si>
    <t>CAA CIA - PESARO E URBINO - 007</t>
  </si>
  <si>
    <t>MARIANELLI LUCIO</t>
  </si>
  <si>
    <t>CAA CAF AGRI - PESARO E URBINO - 221</t>
  </si>
  <si>
    <t>MARTELLI SILVANO</t>
  </si>
  <si>
    <t>CAA CIA - PESARO E URBINO - 001</t>
  </si>
  <si>
    <t>PANTALEONI RITA</t>
  </si>
  <si>
    <t>CAA CIA - PESARO E URBINO - 005</t>
  </si>
  <si>
    <t>BARTOLUCCI MARIA - PIA</t>
  </si>
  <si>
    <t>CAA Coldiretti - PESARO E URBINO - 008</t>
  </si>
  <si>
    <t>VALENTINI ALESSANDRO</t>
  </si>
  <si>
    <t>BALDELLI OLIVIERO</t>
  </si>
  <si>
    <t>CAA CIA - PESARO E URBINO - 006</t>
  </si>
  <si>
    <t>ORAZIETTI GIACOMO</t>
  </si>
  <si>
    <t>PIERUCCI ROBERTO</t>
  </si>
  <si>
    <t>CAA Coldiretti - PESARO E URBINO - 013</t>
  </si>
  <si>
    <t>MENCARINI DANIELE</t>
  </si>
  <si>
    <t>ROMAGNOLI EMILIO</t>
  </si>
  <si>
    <t>MANENTI STEFANO</t>
  </si>
  <si>
    <t>MAZZOLI ERIKA</t>
  </si>
  <si>
    <t>MONTEFELTRO SVILUPPO SOC. CONS. A R.L.</t>
  </si>
  <si>
    <t>AGEA.ASR.2020.1769610</t>
  </si>
  <si>
    <t>SOCIETA' AGRICOLA SAN CASSIANO DA FABRIANO DI CORVATTA E C. SOCIETA' S</t>
  </si>
  <si>
    <t>AGEA.ASR.2020.1769016</t>
  </si>
  <si>
    <t>PARADISO IN COLLINA S.S.</t>
  </si>
  <si>
    <t>AGEA.ASR.2020.1713913</t>
  </si>
  <si>
    <t>UNIONE MONTANA MARCA DI CAMERINO</t>
  </si>
  <si>
    <t>AGEA.ASR.2020.1775070</t>
  </si>
  <si>
    <t>CAA CIA - ANCONA - 005</t>
  </si>
  <si>
    <t>MONTEROSSO SOCIETA' AGRICOLA FORESTALE A R.L</t>
  </si>
  <si>
    <t>AGEA.ASR.2020.1768916</t>
  </si>
  <si>
    <t>ORLANDI GIANCARLO</t>
  </si>
  <si>
    <t>CAA Copagri srl</t>
  </si>
  <si>
    <t>CAA Copagri - ANCONA - 502</t>
  </si>
  <si>
    <t>SASSAROLI MARIA ZENOBIA</t>
  </si>
  <si>
    <t>TARABELLI ANDREA</t>
  </si>
  <si>
    <t>CAA CIA - ANCONA - 004</t>
  </si>
  <si>
    <t>CALIA CLAUDIA</t>
  </si>
  <si>
    <t>AGEA.ASR.2020.1766430</t>
  </si>
  <si>
    <t>CAA Coldiretti - ANCONA - 006</t>
  </si>
  <si>
    <t>BERNO MAURIZIO</t>
  </si>
  <si>
    <t>CAA CAF AGRI - ANCONA - 221</t>
  </si>
  <si>
    <t>CAIROLA FLAVIO</t>
  </si>
  <si>
    <t>CAA Coldiretti - MACERATA - 007</t>
  </si>
  <si>
    <t>FRANCIA STEFANO</t>
  </si>
  <si>
    <t>AGEA.ASR.2020.1766415</t>
  </si>
  <si>
    <t>SOCIETA' AGRICOLA IL MONTANARO SOCIETA' SEMPLICE</t>
  </si>
  <si>
    <t>AGEA.ASR.2020.1772453</t>
  </si>
  <si>
    <t>CAA CIA - ANCONA - 006</t>
  </si>
  <si>
    <t>SOC.AGR.FOR.DI GESTIONE DIE BENI AGRO SILVO PASTORALI MARCHE</t>
  </si>
  <si>
    <t>AGEA.ASR.2020.1842755</t>
  </si>
  <si>
    <t>COMUNE DI AMANDOLA</t>
  </si>
  <si>
    <t>AGEA.ASR.2020.1775273</t>
  </si>
  <si>
    <t>COMUNE DI MONTE RINALDO</t>
  </si>
  <si>
    <t>COMUNE DI SMERILLO</t>
  </si>
  <si>
    <t>SOC.AGRICOLA CA' QUATTROCCHI S.S</t>
  </si>
  <si>
    <t>AGEA.ASR.2020.1842474</t>
  </si>
  <si>
    <t>BOVINMARCHE ALLEVATORI MARCHIGIANI SOCIETA' COOPERATIVA CONSORTILE AGR</t>
  </si>
  <si>
    <t>AGEA.ASR.2020.1842802</t>
  </si>
  <si>
    <t>CONSORZIO MARCHE BIOLOGICHE SOC.COOP AGR</t>
  </si>
  <si>
    <t>SERV. DEC. AGRICOLTURA E ALIM. -ASCOLI PICENO</t>
  </si>
  <si>
    <t>VAGNONI LUCIA</t>
  </si>
  <si>
    <t>AGEA.ASR.2020.1771200</t>
  </si>
  <si>
    <t>SOC. AGR. TRE CASTELLI S.S.</t>
  </si>
  <si>
    <t>CAA CAF AGRI - ANCONA - 225</t>
  </si>
  <si>
    <t>TRUFFELLINI ADRIO</t>
  </si>
  <si>
    <t>CAA CIA - ANCONA - 001</t>
  </si>
  <si>
    <t>BATTISTONI ARIANNA</t>
  </si>
  <si>
    <t>BUSCIONOVI PIERINO</t>
  </si>
  <si>
    <t>CAA Coldiretti - MACERATA - 017</t>
  </si>
  <si>
    <t>CALMANTI FABIO</t>
  </si>
  <si>
    <t>PAGANELLI FURIO</t>
  </si>
  <si>
    <t>AGEA.ASR.2020.1842435</t>
  </si>
  <si>
    <t>COMUNE DI MONTELEONE DI FERMO</t>
  </si>
  <si>
    <t>CAA Coldiretti - MACERATA - 018</t>
  </si>
  <si>
    <t>SEJDINI JAISH</t>
  </si>
  <si>
    <t>SOC.AGR.VILLA LE CASE DI ARNAUTOVICI C.</t>
  </si>
  <si>
    <t>SOCIETA' AGRICOLA L'ORCHIDEA S.R.L.</t>
  </si>
  <si>
    <t>SCOLASTICI MARCO</t>
  </si>
  <si>
    <t>CAA UNICAA - MACERATA - 002</t>
  </si>
  <si>
    <t>MARAVIGLIA STEFANO &amp; C. SOCIETA' AGRICOLA</t>
  </si>
  <si>
    <t>PIERSANTI ALFIO</t>
  </si>
  <si>
    <t>CAA CIA - ASCOLI PICENO - 001</t>
  </si>
  <si>
    <t>VAGNONI LILIANA</t>
  </si>
  <si>
    <t>AGEA.ASR.2020.1768980</t>
  </si>
  <si>
    <t>MATTEI MARIA</t>
  </si>
  <si>
    <t>TAMBURINI GIANCARLO E VALENTINO SOCIETA' SEMPLICE</t>
  </si>
  <si>
    <t>SCOLASTICI RAIMONDO</t>
  </si>
  <si>
    <t>AGEA.ASR.2020.1842353</t>
  </si>
  <si>
    <t>CAA Coldiretti - ANCONA - 003</t>
  </si>
  <si>
    <t>SOCIETA' AGRICOLA MOSCI PAOLO-ROBERTO-LORENZO SOCIETA' SEMPLICE</t>
  </si>
  <si>
    <t>CAA LiberiAgricoltori - PESARO E URBINO - 002</t>
  </si>
  <si>
    <t>ALLEGRUCCI ROBERTO</t>
  </si>
  <si>
    <t>AGEA.ASR.2020.1770313</t>
  </si>
  <si>
    <t>CAA UNICAA - ASCOLI PICENO - 004</t>
  </si>
  <si>
    <t>CONSORZIO TUTELA VINI PICENI</t>
  </si>
  <si>
    <t>AGEA.ASR.2020.1774844</t>
  </si>
  <si>
    <t>IMPRESA VERDE MARCHE SRL</t>
  </si>
  <si>
    <t>AGEA.ASR.2020.1842885</t>
  </si>
  <si>
    <t>MERCURI MICHELE</t>
  </si>
  <si>
    <t>AGEA.ASR.2020.1768806</t>
  </si>
  <si>
    <t>AZ. AGR. BARBONI DI BARBONI DAVIDE E GIANCARLA SOCIETA' SEMPLICE AGRIC</t>
  </si>
  <si>
    <t>AGEA.ASR.2020.1771739</t>
  </si>
  <si>
    <t>CAA Coldiretti - ASCOLI PICENO - 040</t>
  </si>
  <si>
    <t>AURELI DANIELE</t>
  </si>
  <si>
    <t>AGEA.ASR.2020.1842870</t>
  </si>
  <si>
    <t>MANFREDI CLARISSA</t>
  </si>
  <si>
    <t>AGEA.ASR.2020.1768841</t>
  </si>
  <si>
    <t>AMBROSIO ARCANGELO</t>
  </si>
  <si>
    <t>AGEA.ASR.2020.1768938</t>
  </si>
  <si>
    <t>AGEA.ASR.2020.1771761</t>
  </si>
  <si>
    <t>WINE &amp; WELLNESS S.R.L.</t>
  </si>
  <si>
    <t>AGEA.ASR.2020.1772458</t>
  </si>
  <si>
    <t>CAA Coldiretti - PESARO E URBINO - 001</t>
  </si>
  <si>
    <t>SOCIETA' AGRICOLA LA CARDA SRL</t>
  </si>
  <si>
    <t>CAA Coldiretti - PERUGIA - 003</t>
  </si>
  <si>
    <t>TEZIO FARM SOCIETA' AGRICOLA S.R.L.</t>
  </si>
  <si>
    <t>BALDISSERRI ANDREA</t>
  </si>
  <si>
    <t>PIERFEDERICI TOMMASO</t>
  </si>
  <si>
    <t>BIONDI ANNA</t>
  </si>
  <si>
    <t>BERLONI ROBERTO</t>
  </si>
  <si>
    <t>SANTI ROSA</t>
  </si>
  <si>
    <t>CATANI SONIA</t>
  </si>
  <si>
    <t>DI DOMENICO NICOLETTA</t>
  </si>
  <si>
    <t>CAA CIA - ASCOLI PICENO - 004</t>
  </si>
  <si>
    <t>MAROZZI ANNA</t>
  </si>
  <si>
    <t>VALLORANI BERNARDINA</t>
  </si>
  <si>
    <t>CAA CIA - MACERATA - 001</t>
  </si>
  <si>
    <t>MARAVIGLIA SAURO</t>
  </si>
  <si>
    <t>FARANO STEFANO</t>
  </si>
  <si>
    <t>CAA CIA - ASCOLI PICENO - 002</t>
  </si>
  <si>
    <t>MOSTO SELVATICO SOCIETA' SEMPLICE AGRICOLA DI CESONI RAFFAELLO E PARME</t>
  </si>
  <si>
    <t>INFRICCIOLI GIUSEPPE</t>
  </si>
  <si>
    <t>AURORA DI GABRIELLI-SPACCASASSI-PIGNATI-PUGLIESE-CIOMMI SOC.SEMPL.AGRI</t>
  </si>
  <si>
    <t>AGEA.ASR.2020.1774611</t>
  </si>
  <si>
    <t>AZIENDA AGRICOLA MORESCHINI DI MORESCHINI PATRIZIO E PIERLUIGI SO CIET</t>
  </si>
  <si>
    <t>FERRI PAOLO</t>
  </si>
  <si>
    <t>CAA Coldiretti - ASCOLI PICENO - 025</t>
  </si>
  <si>
    <t>MAZZONI GIANNI</t>
  </si>
  <si>
    <t>CAA LiberiAgricoltori - PESARO E URBINO - 001</t>
  </si>
  <si>
    <t>SOCIETA' AGRICOLA F.LLI LONDEI S.S.</t>
  </si>
  <si>
    <t>PANZIRONI SIMONETTA</t>
  </si>
  <si>
    <t>CAA Coldiretti - ASCOLI PICENO - 010</t>
  </si>
  <si>
    <t>SOCIETA' AGRICOLA RICCIOTTI DANIELA &amp; MILENA SOCIETA' SEMPLICE</t>
  </si>
  <si>
    <t>COLLI ESINI SAN VICINO SRL</t>
  </si>
  <si>
    <t>AGEA.ASR.2020.1769573</t>
  </si>
  <si>
    <t>FLAMINIA CESANO S.R.L.</t>
  </si>
  <si>
    <t>CAA CIA - PESARO E URBINO - 003</t>
  </si>
  <si>
    <t>ALESSANDRINI LOREDANA</t>
  </si>
  <si>
    <t>AGEA.ASR.2020.1842363</t>
  </si>
  <si>
    <t>CAA CIA - MODENA - 001</t>
  </si>
  <si>
    <t>S. LUCIA SRL</t>
  </si>
  <si>
    <t>AZ. AGR. CA' ROSINO SOCIETA' SEMPLICE</t>
  </si>
  <si>
    <t>GIRONI FRANCESCA</t>
  </si>
  <si>
    <t>CALVANI LAURA</t>
  </si>
  <si>
    <t>CAA Confagricoltura - MACERATA - 001</t>
  </si>
  <si>
    <t>ROCCHETTI CLAUDIO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</si>
</sst>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DD5B-DAB8-4D7E-9F9C-38E9FC802FEE}">
  <dimension ref="A1:Y114"/>
  <sheetViews>
    <sheetView showGridLines="0" tabSelected="1" workbookViewId="0">
      <selection activeCell="F114" sqref="F11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46</v>
      </c>
      <c r="D4" s="5" t="s">
        <v>47</v>
      </c>
      <c r="E4" s="5" t="s">
        <v>39</v>
      </c>
      <c r="F4" s="5" t="s">
        <v>48</v>
      </c>
      <c r="G4" s="5">
        <v>2019</v>
      </c>
      <c r="H4" s="5" t="str">
        <f>_xlfn.CONCAT("94210235647")</f>
        <v>94210235647</v>
      </c>
      <c r="I4" s="5" t="s">
        <v>28</v>
      </c>
      <c r="J4" s="5" t="s">
        <v>29</v>
      </c>
      <c r="K4" s="5" t="str">
        <f>_xlfn.CONCAT("")</f>
        <v/>
      </c>
      <c r="L4" s="5" t="str">
        <f>_xlfn.CONCAT("13 13.1 4a")</f>
        <v>13 13.1 4a</v>
      </c>
      <c r="M4" s="5" t="str">
        <f>_xlfn.CONCAT("PGLGDU34E08I653Q")</f>
        <v>PGLGDU34E08I653Q</v>
      </c>
      <c r="N4" s="5" t="s">
        <v>49</v>
      </c>
      <c r="O4" s="5" t="s">
        <v>50</v>
      </c>
      <c r="P4" s="6">
        <v>43945</v>
      </c>
      <c r="Q4" s="5" t="s">
        <v>30</v>
      </c>
      <c r="R4" s="5" t="s">
        <v>31</v>
      </c>
      <c r="S4" s="5" t="s">
        <v>32</v>
      </c>
      <c r="T4" s="5"/>
      <c r="U4" s="5">
        <v>146.96</v>
      </c>
      <c r="V4" s="5">
        <v>63.37</v>
      </c>
      <c r="W4" s="5">
        <v>58.52</v>
      </c>
      <c r="X4" s="5">
        <v>0</v>
      </c>
      <c r="Y4" s="5">
        <v>25.07</v>
      </c>
    </row>
    <row r="5" spans="1:25" ht="24.75" x14ac:dyDescent="0.25">
      <c r="A5" s="5" t="s">
        <v>26</v>
      </c>
      <c r="B5" s="5" t="s">
        <v>27</v>
      </c>
      <c r="C5" s="5" t="s">
        <v>46</v>
      </c>
      <c r="D5" s="5" t="s">
        <v>47</v>
      </c>
      <c r="E5" s="5" t="s">
        <v>39</v>
      </c>
      <c r="F5" s="5" t="s">
        <v>48</v>
      </c>
      <c r="G5" s="5">
        <v>2019</v>
      </c>
      <c r="H5" s="5" t="str">
        <f>_xlfn.CONCAT("94210552264")</f>
        <v>94210552264</v>
      </c>
      <c r="I5" s="5" t="s">
        <v>28</v>
      </c>
      <c r="J5" s="5" t="s">
        <v>29</v>
      </c>
      <c r="K5" s="5" t="str">
        <f>_xlfn.CONCAT("")</f>
        <v/>
      </c>
      <c r="L5" s="5" t="str">
        <f>_xlfn.CONCAT("13 13.1 4a")</f>
        <v>13 13.1 4a</v>
      </c>
      <c r="M5" s="5" t="str">
        <f>_xlfn.CONCAT("CPPPRN59A12D429T")</f>
        <v>CPPPRN59A12D429T</v>
      </c>
      <c r="N5" s="5" t="s">
        <v>51</v>
      </c>
      <c r="O5" s="5" t="s">
        <v>52</v>
      </c>
      <c r="P5" s="6">
        <v>44000</v>
      </c>
      <c r="Q5" s="5" t="s">
        <v>30</v>
      </c>
      <c r="R5" s="5" t="s">
        <v>31</v>
      </c>
      <c r="S5" s="5" t="s">
        <v>32</v>
      </c>
      <c r="T5" s="5"/>
      <c r="U5" s="5">
        <v>31.97</v>
      </c>
      <c r="V5" s="5">
        <v>13.79</v>
      </c>
      <c r="W5" s="5">
        <v>12.73</v>
      </c>
      <c r="X5" s="5">
        <v>0</v>
      </c>
      <c r="Y5" s="5">
        <v>5.45</v>
      </c>
    </row>
    <row r="6" spans="1:25" ht="24.75" x14ac:dyDescent="0.25">
      <c r="A6" s="5" t="s">
        <v>26</v>
      </c>
      <c r="B6" s="5" t="s">
        <v>27</v>
      </c>
      <c r="C6" s="5" t="s">
        <v>46</v>
      </c>
      <c r="D6" s="5" t="s">
        <v>53</v>
      </c>
      <c r="E6" s="5" t="s">
        <v>35</v>
      </c>
      <c r="F6" s="5" t="s">
        <v>54</v>
      </c>
      <c r="G6" s="5">
        <v>2019</v>
      </c>
      <c r="H6" s="5" t="str">
        <f>_xlfn.CONCAT("94241018483")</f>
        <v>94241018483</v>
      </c>
      <c r="I6" s="5" t="s">
        <v>28</v>
      </c>
      <c r="J6" s="5" t="s">
        <v>29</v>
      </c>
      <c r="K6" s="5" t="str">
        <f>_xlfn.CONCAT("")</f>
        <v/>
      </c>
      <c r="L6" s="5" t="str">
        <f>_xlfn.CONCAT("10 10.1 4a")</f>
        <v>10 10.1 4a</v>
      </c>
      <c r="M6" s="5" t="str">
        <f>_xlfn.CONCAT("01913780431")</f>
        <v>01913780431</v>
      </c>
      <c r="N6" s="5" t="s">
        <v>55</v>
      </c>
      <c r="O6" s="5" t="s">
        <v>56</v>
      </c>
      <c r="P6" s="6">
        <v>44004</v>
      </c>
      <c r="Q6" s="5" t="s">
        <v>30</v>
      </c>
      <c r="R6" s="5" t="s">
        <v>31</v>
      </c>
      <c r="S6" s="5" t="s">
        <v>32</v>
      </c>
      <c r="T6" s="5"/>
      <c r="U6" s="7">
        <v>1378.21</v>
      </c>
      <c r="V6" s="5">
        <v>594.28</v>
      </c>
      <c r="W6" s="5">
        <v>548.79999999999995</v>
      </c>
      <c r="X6" s="5">
        <v>0</v>
      </c>
      <c r="Y6" s="5">
        <v>235.13</v>
      </c>
    </row>
    <row r="7" spans="1:25" x14ac:dyDescent="0.25">
      <c r="A7" s="5" t="s">
        <v>26</v>
      </c>
      <c r="B7" s="5" t="s">
        <v>27</v>
      </c>
      <c r="C7" s="5" t="s">
        <v>46</v>
      </c>
      <c r="D7" s="5" t="s">
        <v>53</v>
      </c>
      <c r="E7" s="5" t="s">
        <v>35</v>
      </c>
      <c r="F7" s="5" t="s">
        <v>54</v>
      </c>
      <c r="G7" s="5">
        <v>2019</v>
      </c>
      <c r="H7" s="5" t="str">
        <f>_xlfn.CONCAT("94241048274")</f>
        <v>94241048274</v>
      </c>
      <c r="I7" s="5" t="s">
        <v>28</v>
      </c>
      <c r="J7" s="5" t="s">
        <v>29</v>
      </c>
      <c r="K7" s="5" t="str">
        <f>_xlfn.CONCAT("")</f>
        <v/>
      </c>
      <c r="L7" s="5" t="str">
        <f>_xlfn.CONCAT("10 10.1 4a")</f>
        <v>10 10.1 4a</v>
      </c>
      <c r="M7" s="5" t="str">
        <f>_xlfn.CONCAT("01741610438")</f>
        <v>01741610438</v>
      </c>
      <c r="N7" s="5" t="s">
        <v>57</v>
      </c>
      <c r="O7" s="5" t="s">
        <v>56</v>
      </c>
      <c r="P7" s="6">
        <v>44004</v>
      </c>
      <c r="Q7" s="5" t="s">
        <v>30</v>
      </c>
      <c r="R7" s="5" t="s">
        <v>31</v>
      </c>
      <c r="S7" s="5" t="s">
        <v>32</v>
      </c>
      <c r="T7" s="5"/>
      <c r="U7" s="7">
        <v>1233.48</v>
      </c>
      <c r="V7" s="5">
        <v>531.88</v>
      </c>
      <c r="W7" s="5">
        <v>491.17</v>
      </c>
      <c r="X7" s="5">
        <v>0</v>
      </c>
      <c r="Y7" s="5">
        <v>210.43</v>
      </c>
    </row>
    <row r="8" spans="1:25" ht="24.75" x14ac:dyDescent="0.25">
      <c r="A8" s="5" t="s">
        <v>26</v>
      </c>
      <c r="B8" s="5" t="s">
        <v>27</v>
      </c>
      <c r="C8" s="5" t="s">
        <v>46</v>
      </c>
      <c r="D8" s="5" t="s">
        <v>58</v>
      </c>
      <c r="E8" s="5" t="s">
        <v>37</v>
      </c>
      <c r="F8" s="5" t="s">
        <v>59</v>
      </c>
      <c r="G8" s="5">
        <v>2020</v>
      </c>
      <c r="H8" s="5" t="str">
        <f>_xlfn.CONCAT("04780038131")</f>
        <v>04780038131</v>
      </c>
      <c r="I8" s="5" t="s">
        <v>28</v>
      </c>
      <c r="J8" s="5" t="s">
        <v>34</v>
      </c>
      <c r="K8" s="5" t="str">
        <f>_xlfn.CONCAT("221")</f>
        <v>221</v>
      </c>
      <c r="L8" s="5" t="str">
        <f>_xlfn.CONCAT("8 8.1 5e")</f>
        <v>8 8.1 5e</v>
      </c>
      <c r="M8" s="5" t="str">
        <f>_xlfn.CONCAT("BRRFRZ64E10E785F")</f>
        <v>BRRFRZ64E10E785F</v>
      </c>
      <c r="N8" s="5" t="s">
        <v>60</v>
      </c>
      <c r="O8" s="5" t="s">
        <v>61</v>
      </c>
      <c r="P8" s="6">
        <v>44166</v>
      </c>
      <c r="Q8" s="5" t="s">
        <v>30</v>
      </c>
      <c r="R8" s="5" t="s">
        <v>31</v>
      </c>
      <c r="S8" s="5" t="s">
        <v>32</v>
      </c>
      <c r="T8" s="5"/>
      <c r="U8" s="5">
        <v>940</v>
      </c>
      <c r="V8" s="5">
        <v>405.33</v>
      </c>
      <c r="W8" s="5">
        <v>374.31</v>
      </c>
      <c r="X8" s="5">
        <v>0</v>
      </c>
      <c r="Y8" s="5">
        <v>160.36000000000001</v>
      </c>
    </row>
    <row r="9" spans="1:25" ht="24.75" x14ac:dyDescent="0.25">
      <c r="A9" s="5" t="s">
        <v>26</v>
      </c>
      <c r="B9" s="5" t="s">
        <v>27</v>
      </c>
      <c r="C9" s="5" t="s">
        <v>46</v>
      </c>
      <c r="D9" s="5" t="s">
        <v>58</v>
      </c>
      <c r="E9" s="5" t="s">
        <v>39</v>
      </c>
      <c r="F9" s="5" t="s">
        <v>62</v>
      </c>
      <c r="G9" s="5">
        <v>2020</v>
      </c>
      <c r="H9" s="5" t="str">
        <f>_xlfn.CONCAT("04780043685")</f>
        <v>04780043685</v>
      </c>
      <c r="I9" s="5" t="s">
        <v>28</v>
      </c>
      <c r="J9" s="5" t="s">
        <v>34</v>
      </c>
      <c r="K9" s="5" t="str">
        <f>_xlfn.CONCAT("221")</f>
        <v>221</v>
      </c>
      <c r="L9" s="5" t="str">
        <f>_xlfn.CONCAT("8 8.1 5e")</f>
        <v>8 8.1 5e</v>
      </c>
      <c r="M9" s="5" t="str">
        <f>_xlfn.CONCAT("FLLMNG55H60A327E")</f>
        <v>FLLMNG55H60A327E</v>
      </c>
      <c r="N9" s="5" t="s">
        <v>63</v>
      </c>
      <c r="O9" s="5" t="s">
        <v>61</v>
      </c>
      <c r="P9" s="6">
        <v>44166</v>
      </c>
      <c r="Q9" s="5" t="s">
        <v>30</v>
      </c>
      <c r="R9" s="5" t="s">
        <v>31</v>
      </c>
      <c r="S9" s="5" t="s">
        <v>32</v>
      </c>
      <c r="T9" s="5"/>
      <c r="U9" s="7">
        <v>1060</v>
      </c>
      <c r="V9" s="5">
        <v>457.07</v>
      </c>
      <c r="W9" s="5">
        <v>422.09</v>
      </c>
      <c r="X9" s="5">
        <v>0</v>
      </c>
      <c r="Y9" s="5">
        <v>180.84</v>
      </c>
    </row>
    <row r="10" spans="1:25" ht="24.75" x14ac:dyDescent="0.25">
      <c r="A10" s="5" t="s">
        <v>26</v>
      </c>
      <c r="B10" s="5" t="s">
        <v>27</v>
      </c>
      <c r="C10" s="5" t="s">
        <v>46</v>
      </c>
      <c r="D10" s="5" t="s">
        <v>58</v>
      </c>
      <c r="E10" s="5" t="s">
        <v>39</v>
      </c>
      <c r="F10" s="5" t="s">
        <v>64</v>
      </c>
      <c r="G10" s="5">
        <v>2020</v>
      </c>
      <c r="H10" s="5" t="str">
        <f>_xlfn.CONCAT("04780001022")</f>
        <v>04780001022</v>
      </c>
      <c r="I10" s="5" t="s">
        <v>28</v>
      </c>
      <c r="J10" s="5" t="s">
        <v>34</v>
      </c>
      <c r="K10" s="5" t="str">
        <f>_xlfn.CONCAT("221")</f>
        <v>221</v>
      </c>
      <c r="L10" s="5" t="str">
        <f>_xlfn.CONCAT("8 8.1 5e")</f>
        <v>8 8.1 5e</v>
      </c>
      <c r="M10" s="5" t="str">
        <f>_xlfn.CONCAT("FNTLGU31P47F478C")</f>
        <v>FNTLGU31P47F478C</v>
      </c>
      <c r="N10" s="5" t="s">
        <v>65</v>
      </c>
      <c r="O10" s="5" t="s">
        <v>61</v>
      </c>
      <c r="P10" s="6">
        <v>44166</v>
      </c>
      <c r="Q10" s="5" t="s">
        <v>30</v>
      </c>
      <c r="R10" s="5" t="s">
        <v>31</v>
      </c>
      <c r="S10" s="5" t="s">
        <v>32</v>
      </c>
      <c r="T10" s="5"/>
      <c r="U10" s="5">
        <v>586.12</v>
      </c>
      <c r="V10" s="5">
        <v>252.73</v>
      </c>
      <c r="W10" s="5">
        <v>233.39</v>
      </c>
      <c r="X10" s="5">
        <v>0</v>
      </c>
      <c r="Y10" s="5">
        <v>100</v>
      </c>
    </row>
    <row r="11" spans="1:25" ht="24.75" x14ac:dyDescent="0.25">
      <c r="A11" s="5" t="s">
        <v>26</v>
      </c>
      <c r="B11" s="5" t="s">
        <v>27</v>
      </c>
      <c r="C11" s="5" t="s">
        <v>46</v>
      </c>
      <c r="D11" s="5" t="s">
        <v>58</v>
      </c>
      <c r="E11" s="5" t="s">
        <v>37</v>
      </c>
      <c r="F11" s="5" t="s">
        <v>66</v>
      </c>
      <c r="G11" s="5">
        <v>2020</v>
      </c>
      <c r="H11" s="5" t="str">
        <f>_xlfn.CONCAT("04780002160")</f>
        <v>04780002160</v>
      </c>
      <c r="I11" s="5" t="s">
        <v>28</v>
      </c>
      <c r="J11" s="5" t="s">
        <v>34</v>
      </c>
      <c r="K11" s="5" t="str">
        <f>_xlfn.CONCAT("221")</f>
        <v>221</v>
      </c>
      <c r="L11" s="5" t="str">
        <f>_xlfn.CONCAT("8 8.1 5e")</f>
        <v>8 8.1 5e</v>
      </c>
      <c r="M11" s="5" t="str">
        <f>_xlfn.CONCAT("MRNLCU66D04D488L")</f>
        <v>MRNLCU66D04D488L</v>
      </c>
      <c r="N11" s="5" t="s">
        <v>67</v>
      </c>
      <c r="O11" s="5" t="s">
        <v>61</v>
      </c>
      <c r="P11" s="6">
        <v>44166</v>
      </c>
      <c r="Q11" s="5" t="s">
        <v>30</v>
      </c>
      <c r="R11" s="5" t="s">
        <v>31</v>
      </c>
      <c r="S11" s="5" t="s">
        <v>32</v>
      </c>
      <c r="T11" s="5"/>
      <c r="U11" s="7">
        <v>1287.5</v>
      </c>
      <c r="V11" s="5">
        <v>555.16999999999996</v>
      </c>
      <c r="W11" s="5">
        <v>512.67999999999995</v>
      </c>
      <c r="X11" s="5">
        <v>0</v>
      </c>
      <c r="Y11" s="5">
        <v>219.65</v>
      </c>
    </row>
    <row r="12" spans="1:25" ht="24.75" x14ac:dyDescent="0.25">
      <c r="A12" s="5" t="s">
        <v>26</v>
      </c>
      <c r="B12" s="5" t="s">
        <v>27</v>
      </c>
      <c r="C12" s="5" t="s">
        <v>46</v>
      </c>
      <c r="D12" s="5" t="s">
        <v>58</v>
      </c>
      <c r="E12" s="5" t="s">
        <v>40</v>
      </c>
      <c r="F12" s="5" t="s">
        <v>68</v>
      </c>
      <c r="G12" s="5">
        <v>2020</v>
      </c>
      <c r="H12" s="5" t="str">
        <f>_xlfn.CONCAT("04780045409")</f>
        <v>04780045409</v>
      </c>
      <c r="I12" s="5" t="s">
        <v>28</v>
      </c>
      <c r="J12" s="5" t="s">
        <v>34</v>
      </c>
      <c r="K12" s="5" t="str">
        <f>_xlfn.CONCAT("221")</f>
        <v>221</v>
      </c>
      <c r="L12" s="5" t="str">
        <f>_xlfn.CONCAT("8 8.1 5e")</f>
        <v>8 8.1 5e</v>
      </c>
      <c r="M12" s="5" t="str">
        <f>_xlfn.CONCAT("MRTSVN63R23I459M")</f>
        <v>MRTSVN63R23I459M</v>
      </c>
      <c r="N12" s="5" t="s">
        <v>69</v>
      </c>
      <c r="O12" s="5" t="s">
        <v>61</v>
      </c>
      <c r="P12" s="6">
        <v>44166</v>
      </c>
      <c r="Q12" s="5" t="s">
        <v>30</v>
      </c>
      <c r="R12" s="5" t="s">
        <v>31</v>
      </c>
      <c r="S12" s="5" t="s">
        <v>32</v>
      </c>
      <c r="T12" s="5"/>
      <c r="U12" s="7">
        <v>1068.1400000000001</v>
      </c>
      <c r="V12" s="5">
        <v>460.58</v>
      </c>
      <c r="W12" s="5">
        <v>425.33</v>
      </c>
      <c r="X12" s="5">
        <v>0</v>
      </c>
      <c r="Y12" s="5">
        <v>182.23</v>
      </c>
    </row>
    <row r="13" spans="1:25" ht="24.75" x14ac:dyDescent="0.25">
      <c r="A13" s="5" t="s">
        <v>26</v>
      </c>
      <c r="B13" s="5" t="s">
        <v>27</v>
      </c>
      <c r="C13" s="5" t="s">
        <v>46</v>
      </c>
      <c r="D13" s="5" t="s">
        <v>58</v>
      </c>
      <c r="E13" s="5" t="s">
        <v>37</v>
      </c>
      <c r="F13" s="5" t="s">
        <v>70</v>
      </c>
      <c r="G13" s="5">
        <v>2020</v>
      </c>
      <c r="H13" s="5" t="str">
        <f>_xlfn.CONCAT("04780009777")</f>
        <v>04780009777</v>
      </c>
      <c r="I13" s="5" t="s">
        <v>28</v>
      </c>
      <c r="J13" s="5" t="s">
        <v>34</v>
      </c>
      <c r="K13" s="5" t="str">
        <f>_xlfn.CONCAT("221")</f>
        <v>221</v>
      </c>
      <c r="L13" s="5" t="str">
        <f>_xlfn.CONCAT("8 8.1 5e")</f>
        <v>8 8.1 5e</v>
      </c>
      <c r="M13" s="5" t="str">
        <f>_xlfn.CONCAT("PNTRTI58M69H501Z")</f>
        <v>PNTRTI58M69H501Z</v>
      </c>
      <c r="N13" s="5" t="s">
        <v>71</v>
      </c>
      <c r="O13" s="5" t="s">
        <v>61</v>
      </c>
      <c r="P13" s="6">
        <v>44166</v>
      </c>
      <c r="Q13" s="5" t="s">
        <v>30</v>
      </c>
      <c r="R13" s="5" t="s">
        <v>31</v>
      </c>
      <c r="S13" s="5" t="s">
        <v>32</v>
      </c>
      <c r="T13" s="5"/>
      <c r="U13" s="5">
        <v>77.7</v>
      </c>
      <c r="V13" s="5">
        <v>33.5</v>
      </c>
      <c r="W13" s="5">
        <v>30.94</v>
      </c>
      <c r="X13" s="5">
        <v>0</v>
      </c>
      <c r="Y13" s="5">
        <v>13.26</v>
      </c>
    </row>
    <row r="14" spans="1:25" ht="24.75" x14ac:dyDescent="0.25">
      <c r="A14" s="5" t="s">
        <v>26</v>
      </c>
      <c r="B14" s="5" t="s">
        <v>27</v>
      </c>
      <c r="C14" s="5" t="s">
        <v>46</v>
      </c>
      <c r="D14" s="5" t="s">
        <v>58</v>
      </c>
      <c r="E14" s="5" t="s">
        <v>37</v>
      </c>
      <c r="F14" s="5" t="s">
        <v>72</v>
      </c>
      <c r="G14" s="5">
        <v>2020</v>
      </c>
      <c r="H14" s="5" t="str">
        <f>_xlfn.CONCAT("04780030112")</f>
        <v>04780030112</v>
      </c>
      <c r="I14" s="5" t="s">
        <v>28</v>
      </c>
      <c r="J14" s="5" t="s">
        <v>34</v>
      </c>
      <c r="K14" s="5" t="str">
        <f>_xlfn.CONCAT("221")</f>
        <v>221</v>
      </c>
      <c r="L14" s="5" t="str">
        <f>_xlfn.CONCAT("8 8.1 5e")</f>
        <v>8 8.1 5e</v>
      </c>
      <c r="M14" s="5" t="str">
        <f>_xlfn.CONCAT("BRTMRP53A53D749K")</f>
        <v>BRTMRP53A53D749K</v>
      </c>
      <c r="N14" s="5" t="s">
        <v>73</v>
      </c>
      <c r="O14" s="5" t="s">
        <v>61</v>
      </c>
      <c r="P14" s="6">
        <v>44166</v>
      </c>
      <c r="Q14" s="5" t="s">
        <v>30</v>
      </c>
      <c r="R14" s="5" t="s">
        <v>31</v>
      </c>
      <c r="S14" s="5" t="s">
        <v>32</v>
      </c>
      <c r="T14" s="5"/>
      <c r="U14" s="5">
        <v>88.89</v>
      </c>
      <c r="V14" s="5">
        <v>38.33</v>
      </c>
      <c r="W14" s="5">
        <v>35.4</v>
      </c>
      <c r="X14" s="5">
        <v>0</v>
      </c>
      <c r="Y14" s="5">
        <v>15.16</v>
      </c>
    </row>
    <row r="15" spans="1:25" ht="24.75" x14ac:dyDescent="0.25">
      <c r="A15" s="5" t="s">
        <v>26</v>
      </c>
      <c r="B15" s="5" t="s">
        <v>27</v>
      </c>
      <c r="C15" s="5" t="s">
        <v>46</v>
      </c>
      <c r="D15" s="5" t="s">
        <v>58</v>
      </c>
      <c r="E15" s="5" t="s">
        <v>39</v>
      </c>
      <c r="F15" s="5" t="s">
        <v>74</v>
      </c>
      <c r="G15" s="5">
        <v>2020</v>
      </c>
      <c r="H15" s="5" t="str">
        <f>_xlfn.CONCAT("04780039790")</f>
        <v>04780039790</v>
      </c>
      <c r="I15" s="5" t="s">
        <v>28</v>
      </c>
      <c r="J15" s="5" t="s">
        <v>34</v>
      </c>
      <c r="K15" s="5" t="str">
        <f>_xlfn.CONCAT("221")</f>
        <v>221</v>
      </c>
      <c r="L15" s="5" t="str">
        <f>_xlfn.CONCAT("8 8.1 5e")</f>
        <v>8 8.1 5e</v>
      </c>
      <c r="M15" s="5" t="str">
        <f>_xlfn.CONCAT("VLNLSN65L29L500T")</f>
        <v>VLNLSN65L29L500T</v>
      </c>
      <c r="N15" s="5" t="s">
        <v>75</v>
      </c>
      <c r="O15" s="5" t="s">
        <v>61</v>
      </c>
      <c r="P15" s="6">
        <v>44166</v>
      </c>
      <c r="Q15" s="5" t="s">
        <v>30</v>
      </c>
      <c r="R15" s="5" t="s">
        <v>31</v>
      </c>
      <c r="S15" s="5" t="s">
        <v>32</v>
      </c>
      <c r="T15" s="5"/>
      <c r="U15" s="5">
        <v>870</v>
      </c>
      <c r="V15" s="5">
        <v>375.14</v>
      </c>
      <c r="W15" s="5">
        <v>346.43</v>
      </c>
      <c r="X15" s="5">
        <v>0</v>
      </c>
      <c r="Y15" s="5">
        <v>148.43</v>
      </c>
    </row>
    <row r="16" spans="1:25" ht="24.75" x14ac:dyDescent="0.25">
      <c r="A16" s="5" t="s">
        <v>26</v>
      </c>
      <c r="B16" s="5" t="s">
        <v>27</v>
      </c>
      <c r="C16" s="5" t="s">
        <v>46</v>
      </c>
      <c r="D16" s="5" t="s">
        <v>58</v>
      </c>
      <c r="E16" s="5" t="s">
        <v>37</v>
      </c>
      <c r="F16" s="5" t="s">
        <v>66</v>
      </c>
      <c r="G16" s="5">
        <v>2020</v>
      </c>
      <c r="H16" s="5" t="str">
        <f>_xlfn.CONCAT("04780001493")</f>
        <v>04780001493</v>
      </c>
      <c r="I16" s="5" t="s">
        <v>28</v>
      </c>
      <c r="J16" s="5" t="s">
        <v>34</v>
      </c>
      <c r="K16" s="5" t="str">
        <f>_xlfn.CONCAT("221")</f>
        <v>221</v>
      </c>
      <c r="L16" s="5" t="str">
        <f>_xlfn.CONCAT("8 8.1 5e")</f>
        <v>8 8.1 5e</v>
      </c>
      <c r="M16" s="5" t="str">
        <f>_xlfn.CONCAT("BLDLVR54B18L500O")</f>
        <v>BLDLVR54B18L500O</v>
      </c>
      <c r="N16" s="5" t="s">
        <v>76</v>
      </c>
      <c r="O16" s="5" t="s">
        <v>61</v>
      </c>
      <c r="P16" s="6">
        <v>44166</v>
      </c>
      <c r="Q16" s="5" t="s">
        <v>30</v>
      </c>
      <c r="R16" s="5" t="s">
        <v>31</v>
      </c>
      <c r="S16" s="5" t="s">
        <v>32</v>
      </c>
      <c r="T16" s="5"/>
      <c r="U16" s="5">
        <v>127.5</v>
      </c>
      <c r="V16" s="5">
        <v>54.98</v>
      </c>
      <c r="W16" s="5">
        <v>50.77</v>
      </c>
      <c r="X16" s="5">
        <v>0</v>
      </c>
      <c r="Y16" s="5">
        <v>21.75</v>
      </c>
    </row>
    <row r="17" spans="1:25" ht="24.75" x14ac:dyDescent="0.25">
      <c r="A17" s="5" t="s">
        <v>26</v>
      </c>
      <c r="B17" s="5" t="s">
        <v>27</v>
      </c>
      <c r="C17" s="5" t="s">
        <v>46</v>
      </c>
      <c r="D17" s="5" t="s">
        <v>58</v>
      </c>
      <c r="E17" s="5" t="s">
        <v>37</v>
      </c>
      <c r="F17" s="5" t="s">
        <v>77</v>
      </c>
      <c r="G17" s="5">
        <v>2020</v>
      </c>
      <c r="H17" s="5" t="str">
        <f>_xlfn.CONCAT("04780008209")</f>
        <v>04780008209</v>
      </c>
      <c r="I17" s="5" t="s">
        <v>28</v>
      </c>
      <c r="J17" s="5" t="s">
        <v>34</v>
      </c>
      <c r="K17" s="5" t="str">
        <f>_xlfn.CONCAT("221")</f>
        <v>221</v>
      </c>
      <c r="L17" s="5" t="str">
        <f>_xlfn.CONCAT("8 8.1 5e")</f>
        <v>8 8.1 5e</v>
      </c>
      <c r="M17" s="5" t="str">
        <f>_xlfn.CONCAT("RZTGCM72H15D488D")</f>
        <v>RZTGCM72H15D488D</v>
      </c>
      <c r="N17" s="5" t="s">
        <v>78</v>
      </c>
      <c r="O17" s="5" t="s">
        <v>61</v>
      </c>
      <c r="P17" s="6">
        <v>44166</v>
      </c>
      <c r="Q17" s="5" t="s">
        <v>30</v>
      </c>
      <c r="R17" s="5" t="s">
        <v>31</v>
      </c>
      <c r="S17" s="5" t="s">
        <v>32</v>
      </c>
      <c r="T17" s="5"/>
      <c r="U17" s="5">
        <v>943.5</v>
      </c>
      <c r="V17" s="5">
        <v>406.84</v>
      </c>
      <c r="W17" s="5">
        <v>375.7</v>
      </c>
      <c r="X17" s="5">
        <v>0</v>
      </c>
      <c r="Y17" s="5">
        <v>160.96</v>
      </c>
    </row>
    <row r="18" spans="1:25" ht="24.75" x14ac:dyDescent="0.25">
      <c r="A18" s="5" t="s">
        <v>26</v>
      </c>
      <c r="B18" s="5" t="s">
        <v>27</v>
      </c>
      <c r="C18" s="5" t="s">
        <v>46</v>
      </c>
      <c r="D18" s="5" t="s">
        <v>58</v>
      </c>
      <c r="E18" s="5" t="s">
        <v>40</v>
      </c>
      <c r="F18" s="5" t="s">
        <v>68</v>
      </c>
      <c r="G18" s="5">
        <v>2020</v>
      </c>
      <c r="H18" s="5" t="str">
        <f>_xlfn.CONCAT("04780045425")</f>
        <v>04780045425</v>
      </c>
      <c r="I18" s="5" t="s">
        <v>28</v>
      </c>
      <c r="J18" s="5" t="s">
        <v>34</v>
      </c>
      <c r="K18" s="5" t="str">
        <f>_xlfn.CONCAT("221")</f>
        <v>221</v>
      </c>
      <c r="L18" s="5" t="str">
        <f>_xlfn.CONCAT("8 8.1 5e")</f>
        <v>8 8.1 5e</v>
      </c>
      <c r="M18" s="5" t="str">
        <f>_xlfn.CONCAT("PRCRRT62E25I459X")</f>
        <v>PRCRRT62E25I459X</v>
      </c>
      <c r="N18" s="5" t="s">
        <v>79</v>
      </c>
      <c r="O18" s="5" t="s">
        <v>61</v>
      </c>
      <c r="P18" s="6">
        <v>44166</v>
      </c>
      <c r="Q18" s="5" t="s">
        <v>30</v>
      </c>
      <c r="R18" s="5" t="s">
        <v>31</v>
      </c>
      <c r="S18" s="5" t="s">
        <v>32</v>
      </c>
      <c r="T18" s="5"/>
      <c r="U18" s="5">
        <v>812</v>
      </c>
      <c r="V18" s="5">
        <v>350.13</v>
      </c>
      <c r="W18" s="5">
        <v>323.33999999999997</v>
      </c>
      <c r="X18" s="5">
        <v>0</v>
      </c>
      <c r="Y18" s="5">
        <v>138.53</v>
      </c>
    </row>
    <row r="19" spans="1:25" ht="24.75" x14ac:dyDescent="0.25">
      <c r="A19" s="5" t="s">
        <v>26</v>
      </c>
      <c r="B19" s="5" t="s">
        <v>27</v>
      </c>
      <c r="C19" s="5" t="s">
        <v>46</v>
      </c>
      <c r="D19" s="5" t="s">
        <v>58</v>
      </c>
      <c r="E19" s="5" t="s">
        <v>39</v>
      </c>
      <c r="F19" s="5" t="s">
        <v>80</v>
      </c>
      <c r="G19" s="5">
        <v>2020</v>
      </c>
      <c r="H19" s="5" t="str">
        <f>_xlfn.CONCAT("04780045318")</f>
        <v>04780045318</v>
      </c>
      <c r="I19" s="5" t="s">
        <v>28</v>
      </c>
      <c r="J19" s="5" t="s">
        <v>34</v>
      </c>
      <c r="K19" s="5" t="str">
        <f>_xlfn.CONCAT("221")</f>
        <v>221</v>
      </c>
      <c r="L19" s="5" t="str">
        <f>_xlfn.CONCAT("8 8.1 5e")</f>
        <v>8 8.1 5e</v>
      </c>
      <c r="M19" s="5" t="str">
        <f>_xlfn.CONCAT("MNCDNL83R15D749D")</f>
        <v>MNCDNL83R15D749D</v>
      </c>
      <c r="N19" s="5" t="s">
        <v>81</v>
      </c>
      <c r="O19" s="5" t="s">
        <v>61</v>
      </c>
      <c r="P19" s="6">
        <v>44166</v>
      </c>
      <c r="Q19" s="5" t="s">
        <v>30</v>
      </c>
      <c r="R19" s="5" t="s">
        <v>31</v>
      </c>
      <c r="S19" s="5" t="s">
        <v>32</v>
      </c>
      <c r="T19" s="5"/>
      <c r="U19" s="5">
        <v>698.4</v>
      </c>
      <c r="V19" s="5">
        <v>301.14999999999998</v>
      </c>
      <c r="W19" s="5">
        <v>278.10000000000002</v>
      </c>
      <c r="X19" s="5">
        <v>0</v>
      </c>
      <c r="Y19" s="5">
        <v>119.15</v>
      </c>
    </row>
    <row r="20" spans="1:25" ht="24.75" x14ac:dyDescent="0.25">
      <c r="A20" s="5" t="s">
        <v>26</v>
      </c>
      <c r="B20" s="5" t="s">
        <v>27</v>
      </c>
      <c r="C20" s="5" t="s">
        <v>46</v>
      </c>
      <c r="D20" s="5" t="s">
        <v>58</v>
      </c>
      <c r="E20" s="5" t="s">
        <v>39</v>
      </c>
      <c r="F20" s="5" t="s">
        <v>74</v>
      </c>
      <c r="G20" s="5">
        <v>2020</v>
      </c>
      <c r="H20" s="5" t="str">
        <f>_xlfn.CONCAT("04780039550")</f>
        <v>04780039550</v>
      </c>
      <c r="I20" s="5" t="s">
        <v>28</v>
      </c>
      <c r="J20" s="5" t="s">
        <v>34</v>
      </c>
      <c r="K20" s="5" t="str">
        <f>_xlfn.CONCAT("221")</f>
        <v>221</v>
      </c>
      <c r="L20" s="5" t="str">
        <f>_xlfn.CONCAT("8 8.1 5e")</f>
        <v>8 8.1 5e</v>
      </c>
      <c r="M20" s="5" t="str">
        <f>_xlfn.CONCAT("RMGMLE63H25L500A")</f>
        <v>RMGMLE63H25L500A</v>
      </c>
      <c r="N20" s="5" t="s">
        <v>82</v>
      </c>
      <c r="O20" s="5" t="s">
        <v>61</v>
      </c>
      <c r="P20" s="6">
        <v>44166</v>
      </c>
      <c r="Q20" s="5" t="s">
        <v>30</v>
      </c>
      <c r="R20" s="5" t="s">
        <v>31</v>
      </c>
      <c r="S20" s="5" t="s">
        <v>32</v>
      </c>
      <c r="T20" s="5"/>
      <c r="U20" s="7">
        <v>4550</v>
      </c>
      <c r="V20" s="7">
        <v>1961.96</v>
      </c>
      <c r="W20" s="7">
        <v>1811.81</v>
      </c>
      <c r="X20" s="5">
        <v>0</v>
      </c>
      <c r="Y20" s="5">
        <v>776.23</v>
      </c>
    </row>
    <row r="21" spans="1:25" ht="24.75" x14ac:dyDescent="0.25">
      <c r="A21" s="5" t="s">
        <v>26</v>
      </c>
      <c r="B21" s="5" t="s">
        <v>27</v>
      </c>
      <c r="C21" s="5" t="s">
        <v>46</v>
      </c>
      <c r="D21" s="5" t="s">
        <v>58</v>
      </c>
      <c r="E21" s="5" t="s">
        <v>39</v>
      </c>
      <c r="F21" s="5" t="s">
        <v>64</v>
      </c>
      <c r="G21" s="5">
        <v>2020</v>
      </c>
      <c r="H21" s="5" t="str">
        <f>_xlfn.CONCAT("04780001030")</f>
        <v>04780001030</v>
      </c>
      <c r="I21" s="5" t="s">
        <v>28</v>
      </c>
      <c r="J21" s="5" t="s">
        <v>34</v>
      </c>
      <c r="K21" s="5" t="str">
        <f>_xlfn.CONCAT("221")</f>
        <v>221</v>
      </c>
      <c r="L21" s="5" t="str">
        <f>_xlfn.CONCAT("8 8.1 5e")</f>
        <v>8 8.1 5e</v>
      </c>
      <c r="M21" s="5" t="str">
        <f>_xlfn.CONCAT("MNNSFN65S14I459Y")</f>
        <v>MNNSFN65S14I459Y</v>
      </c>
      <c r="N21" s="5" t="s">
        <v>83</v>
      </c>
      <c r="O21" s="5" t="s">
        <v>61</v>
      </c>
      <c r="P21" s="6">
        <v>44166</v>
      </c>
      <c r="Q21" s="5" t="s">
        <v>30</v>
      </c>
      <c r="R21" s="5" t="s">
        <v>31</v>
      </c>
      <c r="S21" s="5" t="s">
        <v>32</v>
      </c>
      <c r="T21" s="5"/>
      <c r="U21" s="5">
        <v>890</v>
      </c>
      <c r="V21" s="5">
        <v>383.77</v>
      </c>
      <c r="W21" s="5">
        <v>354.4</v>
      </c>
      <c r="X21" s="5">
        <v>0</v>
      </c>
      <c r="Y21" s="5">
        <v>151.83000000000001</v>
      </c>
    </row>
    <row r="22" spans="1:25" ht="24.75" x14ac:dyDescent="0.25">
      <c r="A22" s="5" t="s">
        <v>26</v>
      </c>
      <c r="B22" s="5" t="s">
        <v>27</v>
      </c>
      <c r="C22" s="5" t="s">
        <v>46</v>
      </c>
      <c r="D22" s="5" t="s">
        <v>58</v>
      </c>
      <c r="E22" s="5" t="s">
        <v>37</v>
      </c>
      <c r="F22" s="5" t="s">
        <v>72</v>
      </c>
      <c r="G22" s="5">
        <v>2020</v>
      </c>
      <c r="H22" s="5" t="str">
        <f>_xlfn.CONCAT("04780030369")</f>
        <v>04780030369</v>
      </c>
      <c r="I22" s="5" t="s">
        <v>28</v>
      </c>
      <c r="J22" s="5" t="s">
        <v>34</v>
      </c>
      <c r="K22" s="5" t="str">
        <f>_xlfn.CONCAT("221")</f>
        <v>221</v>
      </c>
      <c r="L22" s="5" t="str">
        <f>_xlfn.CONCAT("8 8.1 5e")</f>
        <v>8 8.1 5e</v>
      </c>
      <c r="M22" s="5" t="str">
        <f>_xlfn.CONCAT("MZZRKE86C41L500S")</f>
        <v>MZZRKE86C41L500S</v>
      </c>
      <c r="N22" s="5" t="s">
        <v>84</v>
      </c>
      <c r="O22" s="5" t="s">
        <v>61</v>
      </c>
      <c r="P22" s="6">
        <v>44166</v>
      </c>
      <c r="Q22" s="5" t="s">
        <v>30</v>
      </c>
      <c r="R22" s="5" t="s">
        <v>31</v>
      </c>
      <c r="S22" s="5" t="s">
        <v>32</v>
      </c>
      <c r="T22" s="5"/>
      <c r="U22" s="5">
        <v>147.30000000000001</v>
      </c>
      <c r="V22" s="5">
        <v>63.52</v>
      </c>
      <c r="W22" s="5">
        <v>58.65</v>
      </c>
      <c r="X22" s="5">
        <v>0</v>
      </c>
      <c r="Y22" s="5">
        <v>25.13</v>
      </c>
    </row>
    <row r="23" spans="1:25" ht="24.75" x14ac:dyDescent="0.25">
      <c r="A23" s="5" t="s">
        <v>26</v>
      </c>
      <c r="B23" s="5" t="s">
        <v>41</v>
      </c>
      <c r="C23" s="5" t="s">
        <v>46</v>
      </c>
      <c r="D23" s="5" t="s">
        <v>47</v>
      </c>
      <c r="E23" s="5" t="s">
        <v>42</v>
      </c>
      <c r="F23" s="5" t="s">
        <v>42</v>
      </c>
      <c r="G23" s="5">
        <v>2017</v>
      </c>
      <c r="H23" s="5" t="str">
        <f>_xlfn.CONCAT("04270206446")</f>
        <v>04270206446</v>
      </c>
      <c r="I23" s="5" t="s">
        <v>28</v>
      </c>
      <c r="J23" s="5" t="s">
        <v>29</v>
      </c>
      <c r="K23" s="5" t="str">
        <f>_xlfn.CONCAT("")</f>
        <v/>
      </c>
      <c r="L23" s="5" t="str">
        <f>_xlfn.CONCAT("19 19.4 6b")</f>
        <v>19 19.4 6b</v>
      </c>
      <c r="M23" s="5" t="str">
        <f>_xlfn.CONCAT("01377860414")</f>
        <v>01377860414</v>
      </c>
      <c r="N23" s="5" t="s">
        <v>85</v>
      </c>
      <c r="O23" s="5" t="s">
        <v>86</v>
      </c>
      <c r="P23" s="6">
        <v>44181</v>
      </c>
      <c r="Q23" s="5" t="s">
        <v>30</v>
      </c>
      <c r="R23" s="5" t="s">
        <v>44</v>
      </c>
      <c r="S23" s="5" t="s">
        <v>32</v>
      </c>
      <c r="T23" s="5"/>
      <c r="U23" s="7">
        <v>204013.27</v>
      </c>
      <c r="V23" s="7">
        <v>87970.52</v>
      </c>
      <c r="W23" s="7">
        <v>81238.080000000002</v>
      </c>
      <c r="X23" s="5">
        <v>0</v>
      </c>
      <c r="Y23" s="7">
        <v>34804.67</v>
      </c>
    </row>
    <row r="24" spans="1:25" ht="24.75" x14ac:dyDescent="0.25">
      <c r="A24" s="5" t="s">
        <v>26</v>
      </c>
      <c r="B24" s="5" t="s">
        <v>41</v>
      </c>
      <c r="C24" s="5" t="s">
        <v>46</v>
      </c>
      <c r="D24" s="5" t="s">
        <v>47</v>
      </c>
      <c r="E24" s="5" t="s">
        <v>42</v>
      </c>
      <c r="F24" s="5" t="s">
        <v>42</v>
      </c>
      <c r="G24" s="5">
        <v>2017</v>
      </c>
      <c r="H24" s="5" t="str">
        <f>_xlfn.CONCAT("04270205885")</f>
        <v>04270205885</v>
      </c>
      <c r="I24" s="5" t="s">
        <v>28</v>
      </c>
      <c r="J24" s="5" t="s">
        <v>29</v>
      </c>
      <c r="K24" s="5" t="str">
        <f>_xlfn.CONCAT("")</f>
        <v/>
      </c>
      <c r="L24" s="5" t="str">
        <f>_xlfn.CONCAT("4 4.1 2a")</f>
        <v>4 4.1 2a</v>
      </c>
      <c r="M24" s="5" t="str">
        <f>_xlfn.CONCAT("02795480421")</f>
        <v>02795480421</v>
      </c>
      <c r="N24" s="5" t="s">
        <v>87</v>
      </c>
      <c r="O24" s="5" t="s">
        <v>88</v>
      </c>
      <c r="P24" s="6">
        <v>44181</v>
      </c>
      <c r="Q24" s="5" t="s">
        <v>30</v>
      </c>
      <c r="R24" s="5" t="s">
        <v>43</v>
      </c>
      <c r="S24" s="5" t="s">
        <v>32</v>
      </c>
      <c r="T24" s="5"/>
      <c r="U24" s="7">
        <v>129352.4</v>
      </c>
      <c r="V24" s="7">
        <v>55776.75</v>
      </c>
      <c r="W24" s="7">
        <v>51508.13</v>
      </c>
      <c r="X24" s="5">
        <v>0</v>
      </c>
      <c r="Y24" s="7">
        <v>22067.52</v>
      </c>
    </row>
    <row r="25" spans="1:25" ht="24.75" x14ac:dyDescent="0.25">
      <c r="A25" s="5" t="s">
        <v>26</v>
      </c>
      <c r="B25" s="5" t="s">
        <v>27</v>
      </c>
      <c r="C25" s="5" t="s">
        <v>46</v>
      </c>
      <c r="D25" s="5" t="s">
        <v>58</v>
      </c>
      <c r="E25" s="5" t="s">
        <v>37</v>
      </c>
      <c r="F25" s="5" t="s">
        <v>70</v>
      </c>
      <c r="G25" s="5">
        <v>2019</v>
      </c>
      <c r="H25" s="5" t="str">
        <f>_xlfn.CONCAT("94240254675")</f>
        <v>94240254675</v>
      </c>
      <c r="I25" s="5" t="s">
        <v>28</v>
      </c>
      <c r="J25" s="5" t="s">
        <v>29</v>
      </c>
      <c r="K25" s="5" t="str">
        <f>_xlfn.CONCAT("")</f>
        <v/>
      </c>
      <c r="L25" s="5" t="str">
        <f>_xlfn.CONCAT("11 11.2 4b")</f>
        <v>11 11.2 4b</v>
      </c>
      <c r="M25" s="5" t="str">
        <f>_xlfn.CONCAT("02686380417")</f>
        <v>02686380417</v>
      </c>
      <c r="N25" s="5" t="s">
        <v>89</v>
      </c>
      <c r="O25" s="5" t="s">
        <v>90</v>
      </c>
      <c r="P25" s="6">
        <v>44176</v>
      </c>
      <c r="Q25" s="5" t="s">
        <v>30</v>
      </c>
      <c r="R25" s="5" t="s">
        <v>31</v>
      </c>
      <c r="S25" s="5" t="s">
        <v>32</v>
      </c>
      <c r="T25" s="5"/>
      <c r="U25" s="5">
        <v>303.12</v>
      </c>
      <c r="V25" s="5">
        <v>130.71</v>
      </c>
      <c r="W25" s="5">
        <v>120.7</v>
      </c>
      <c r="X25" s="5">
        <v>0</v>
      </c>
      <c r="Y25" s="5">
        <v>51.71</v>
      </c>
    </row>
    <row r="26" spans="1:25" x14ac:dyDescent="0.25">
      <c r="A26" s="5" t="s">
        <v>26</v>
      </c>
      <c r="B26" s="5" t="s">
        <v>41</v>
      </c>
      <c r="C26" s="5" t="s">
        <v>46</v>
      </c>
      <c r="D26" s="5" t="s">
        <v>53</v>
      </c>
      <c r="E26" s="5" t="s">
        <v>42</v>
      </c>
      <c r="F26" s="5" t="s">
        <v>42</v>
      </c>
      <c r="G26" s="5">
        <v>2017</v>
      </c>
      <c r="H26" s="5" t="str">
        <f>_xlfn.CONCAT("04270206438")</f>
        <v>04270206438</v>
      </c>
      <c r="I26" s="5" t="s">
        <v>28</v>
      </c>
      <c r="J26" s="5" t="s">
        <v>29</v>
      </c>
      <c r="K26" s="5" t="str">
        <f>_xlfn.CONCAT("")</f>
        <v/>
      </c>
      <c r="L26" s="5" t="str">
        <f>_xlfn.CONCAT("16 16.8 5e")</f>
        <v>16 16.8 5e</v>
      </c>
      <c r="M26" s="5" t="str">
        <f>_xlfn.CONCAT("01874730433")</f>
        <v>01874730433</v>
      </c>
      <c r="N26" s="5" t="s">
        <v>91</v>
      </c>
      <c r="O26" s="5" t="s">
        <v>92</v>
      </c>
      <c r="P26" s="6">
        <v>44181</v>
      </c>
      <c r="Q26" s="5" t="s">
        <v>30</v>
      </c>
      <c r="R26" s="5" t="s">
        <v>31</v>
      </c>
      <c r="S26" s="5" t="s">
        <v>32</v>
      </c>
      <c r="T26" s="5"/>
      <c r="U26" s="7">
        <v>43614.68</v>
      </c>
      <c r="V26" s="7">
        <v>18806.650000000001</v>
      </c>
      <c r="W26" s="7">
        <v>17367.37</v>
      </c>
      <c r="X26" s="5">
        <v>0</v>
      </c>
      <c r="Y26" s="7">
        <v>7440.66</v>
      </c>
    </row>
    <row r="27" spans="1:25" ht="24.75" x14ac:dyDescent="0.25">
      <c r="A27" s="5" t="s">
        <v>26</v>
      </c>
      <c r="B27" s="5" t="s">
        <v>41</v>
      </c>
      <c r="C27" s="5" t="s">
        <v>46</v>
      </c>
      <c r="D27" s="5" t="s">
        <v>47</v>
      </c>
      <c r="E27" s="5" t="s">
        <v>37</v>
      </c>
      <c r="F27" s="5" t="s">
        <v>93</v>
      </c>
      <c r="G27" s="5">
        <v>2017</v>
      </c>
      <c r="H27" s="5" t="str">
        <f>_xlfn.CONCAT("04270185186")</f>
        <v>04270185186</v>
      </c>
      <c r="I27" s="5" t="s">
        <v>28</v>
      </c>
      <c r="J27" s="5" t="s">
        <v>29</v>
      </c>
      <c r="K27" s="5" t="str">
        <f>_xlfn.CONCAT("")</f>
        <v/>
      </c>
      <c r="L27" s="5" t="str">
        <f>_xlfn.CONCAT("4 4.1 2a")</f>
        <v>4 4.1 2a</v>
      </c>
      <c r="M27" s="5" t="str">
        <f>_xlfn.CONCAT("01411670423")</f>
        <v>01411670423</v>
      </c>
      <c r="N27" s="5" t="s">
        <v>94</v>
      </c>
      <c r="O27" s="5" t="s">
        <v>95</v>
      </c>
      <c r="P27" s="6">
        <v>44181</v>
      </c>
      <c r="Q27" s="5" t="s">
        <v>30</v>
      </c>
      <c r="R27" s="5" t="s">
        <v>31</v>
      </c>
      <c r="S27" s="5" t="s">
        <v>32</v>
      </c>
      <c r="T27" s="5"/>
      <c r="U27" s="7">
        <v>25161.35</v>
      </c>
      <c r="V27" s="7">
        <v>10849.57</v>
      </c>
      <c r="W27" s="7">
        <v>10019.25</v>
      </c>
      <c r="X27" s="5">
        <v>0</v>
      </c>
      <c r="Y27" s="7">
        <v>4292.53</v>
      </c>
    </row>
    <row r="28" spans="1:25" ht="24.75" x14ac:dyDescent="0.25">
      <c r="A28" s="5" t="s">
        <v>26</v>
      </c>
      <c r="B28" s="5" t="s">
        <v>41</v>
      </c>
      <c r="C28" s="5" t="s">
        <v>46</v>
      </c>
      <c r="D28" s="5" t="s">
        <v>47</v>
      </c>
      <c r="E28" s="5" t="s">
        <v>42</v>
      </c>
      <c r="F28" s="5" t="s">
        <v>42</v>
      </c>
      <c r="G28" s="5">
        <v>2017</v>
      </c>
      <c r="H28" s="5" t="str">
        <f>_xlfn.CONCAT("04270205562")</f>
        <v>04270205562</v>
      </c>
      <c r="I28" s="5" t="s">
        <v>28</v>
      </c>
      <c r="J28" s="5" t="s">
        <v>29</v>
      </c>
      <c r="K28" s="5" t="str">
        <f>_xlfn.CONCAT("")</f>
        <v/>
      </c>
      <c r="L28" s="5" t="str">
        <f>_xlfn.CONCAT("4 4.1 2a")</f>
        <v>4 4.1 2a</v>
      </c>
      <c r="M28" s="5" t="str">
        <f>_xlfn.CONCAT("RLNGCR72A04E388E")</f>
        <v>RLNGCR72A04E388E</v>
      </c>
      <c r="N28" s="5" t="s">
        <v>96</v>
      </c>
      <c r="O28" s="5" t="s">
        <v>95</v>
      </c>
      <c r="P28" s="6">
        <v>44181</v>
      </c>
      <c r="Q28" s="5" t="s">
        <v>30</v>
      </c>
      <c r="R28" s="5" t="s">
        <v>31</v>
      </c>
      <c r="S28" s="5" t="s">
        <v>32</v>
      </c>
      <c r="T28" s="5"/>
      <c r="U28" s="7">
        <v>27371.7</v>
      </c>
      <c r="V28" s="7">
        <v>11802.68</v>
      </c>
      <c r="W28" s="7">
        <v>10899.41</v>
      </c>
      <c r="X28" s="5">
        <v>0</v>
      </c>
      <c r="Y28" s="7">
        <v>4669.6099999999997</v>
      </c>
    </row>
    <row r="29" spans="1:25" ht="24.75" x14ac:dyDescent="0.25">
      <c r="A29" s="5" t="s">
        <v>26</v>
      </c>
      <c r="B29" s="5" t="s">
        <v>41</v>
      </c>
      <c r="C29" s="5" t="s">
        <v>46</v>
      </c>
      <c r="D29" s="5" t="s">
        <v>47</v>
      </c>
      <c r="E29" s="5" t="s">
        <v>97</v>
      </c>
      <c r="F29" s="5" t="s">
        <v>98</v>
      </c>
      <c r="G29" s="5">
        <v>2017</v>
      </c>
      <c r="H29" s="5" t="str">
        <f>_xlfn.CONCAT("04270205570")</f>
        <v>04270205570</v>
      </c>
      <c r="I29" s="5" t="s">
        <v>28</v>
      </c>
      <c r="J29" s="5" t="s">
        <v>29</v>
      </c>
      <c r="K29" s="5" t="str">
        <f>_xlfn.CONCAT("")</f>
        <v/>
      </c>
      <c r="L29" s="5" t="str">
        <f>_xlfn.CONCAT("4 4.1 2a")</f>
        <v>4 4.1 2a</v>
      </c>
      <c r="M29" s="5" t="str">
        <f>_xlfn.CONCAT("SSSMZN62B62D211X")</f>
        <v>SSSMZN62B62D211X</v>
      </c>
      <c r="N29" s="5" t="s">
        <v>99</v>
      </c>
      <c r="O29" s="5" t="s">
        <v>95</v>
      </c>
      <c r="P29" s="6">
        <v>44181</v>
      </c>
      <c r="Q29" s="5" t="s">
        <v>30</v>
      </c>
      <c r="R29" s="5" t="s">
        <v>43</v>
      </c>
      <c r="S29" s="5" t="s">
        <v>32</v>
      </c>
      <c r="T29" s="5"/>
      <c r="U29" s="7">
        <v>22064.92</v>
      </c>
      <c r="V29" s="7">
        <v>9514.39</v>
      </c>
      <c r="W29" s="7">
        <v>8786.25</v>
      </c>
      <c r="X29" s="5">
        <v>0</v>
      </c>
      <c r="Y29" s="7">
        <v>3764.28</v>
      </c>
    </row>
    <row r="30" spans="1:25" ht="24.75" x14ac:dyDescent="0.25">
      <c r="A30" s="5" t="s">
        <v>26</v>
      </c>
      <c r="B30" s="5" t="s">
        <v>41</v>
      </c>
      <c r="C30" s="5" t="s">
        <v>46</v>
      </c>
      <c r="D30" s="5" t="s">
        <v>47</v>
      </c>
      <c r="E30" s="5" t="s">
        <v>42</v>
      </c>
      <c r="F30" s="5" t="s">
        <v>42</v>
      </c>
      <c r="G30" s="5">
        <v>2017</v>
      </c>
      <c r="H30" s="5" t="str">
        <f>_xlfn.CONCAT("04270205588")</f>
        <v>04270205588</v>
      </c>
      <c r="I30" s="5" t="s">
        <v>28</v>
      </c>
      <c r="J30" s="5" t="s">
        <v>29</v>
      </c>
      <c r="K30" s="5" t="str">
        <f>_xlfn.CONCAT("")</f>
        <v/>
      </c>
      <c r="L30" s="5" t="str">
        <f>_xlfn.CONCAT("4 4.1 2a")</f>
        <v>4 4.1 2a</v>
      </c>
      <c r="M30" s="5" t="str">
        <f>_xlfn.CONCAT("TRBNDR69T10D597U")</f>
        <v>TRBNDR69T10D597U</v>
      </c>
      <c r="N30" s="5" t="s">
        <v>100</v>
      </c>
      <c r="O30" s="5" t="s">
        <v>95</v>
      </c>
      <c r="P30" s="6">
        <v>44181</v>
      </c>
      <c r="Q30" s="5" t="s">
        <v>30</v>
      </c>
      <c r="R30" s="5" t="s">
        <v>31</v>
      </c>
      <c r="S30" s="5" t="s">
        <v>32</v>
      </c>
      <c r="T30" s="5"/>
      <c r="U30" s="7">
        <v>10500</v>
      </c>
      <c r="V30" s="7">
        <v>4527.6000000000004</v>
      </c>
      <c r="W30" s="7">
        <v>4181.1000000000004</v>
      </c>
      <c r="X30" s="5">
        <v>0</v>
      </c>
      <c r="Y30" s="7">
        <v>1791.3</v>
      </c>
    </row>
    <row r="31" spans="1:25" ht="24.75" x14ac:dyDescent="0.25">
      <c r="A31" s="5" t="s">
        <v>26</v>
      </c>
      <c r="B31" s="5" t="s">
        <v>27</v>
      </c>
      <c r="C31" s="5" t="s">
        <v>46</v>
      </c>
      <c r="D31" s="5" t="s">
        <v>47</v>
      </c>
      <c r="E31" s="5" t="s">
        <v>37</v>
      </c>
      <c r="F31" s="5" t="s">
        <v>101</v>
      </c>
      <c r="G31" s="5">
        <v>2018</v>
      </c>
      <c r="H31" s="5" t="str">
        <f>_xlfn.CONCAT("84780033639")</f>
        <v>84780033639</v>
      </c>
      <c r="I31" s="5" t="s">
        <v>28</v>
      </c>
      <c r="J31" s="5" t="s">
        <v>34</v>
      </c>
      <c r="K31" s="5" t="str">
        <f>_xlfn.CONCAT("221")</f>
        <v>221</v>
      </c>
      <c r="L31" s="5" t="str">
        <f>_xlfn.CONCAT("8 8.1 5e")</f>
        <v>8 8.1 5e</v>
      </c>
      <c r="M31" s="5" t="str">
        <f>_xlfn.CONCAT("CLACLD78D68L219R")</f>
        <v>CLACLD78D68L219R</v>
      </c>
      <c r="N31" s="5" t="s">
        <v>102</v>
      </c>
      <c r="O31" s="5" t="s">
        <v>103</v>
      </c>
      <c r="P31" s="6">
        <v>44182</v>
      </c>
      <c r="Q31" s="5" t="s">
        <v>30</v>
      </c>
      <c r="R31" s="5" t="s">
        <v>31</v>
      </c>
      <c r="S31" s="5" t="s">
        <v>32</v>
      </c>
      <c r="T31" s="5"/>
      <c r="U31" s="5">
        <v>309.68</v>
      </c>
      <c r="V31" s="5">
        <v>133.53</v>
      </c>
      <c r="W31" s="5">
        <v>123.31</v>
      </c>
      <c r="X31" s="5">
        <v>0</v>
      </c>
      <c r="Y31" s="5">
        <v>52.84</v>
      </c>
    </row>
    <row r="32" spans="1:25" ht="24.75" x14ac:dyDescent="0.25">
      <c r="A32" s="5" t="s">
        <v>26</v>
      </c>
      <c r="B32" s="5" t="s">
        <v>27</v>
      </c>
      <c r="C32" s="5" t="s">
        <v>46</v>
      </c>
      <c r="D32" s="5" t="s">
        <v>47</v>
      </c>
      <c r="E32" s="5" t="s">
        <v>39</v>
      </c>
      <c r="F32" s="5" t="s">
        <v>104</v>
      </c>
      <c r="G32" s="5">
        <v>2018</v>
      </c>
      <c r="H32" s="5" t="str">
        <f>_xlfn.CONCAT("84780010751")</f>
        <v>84780010751</v>
      </c>
      <c r="I32" s="5" t="s">
        <v>28</v>
      </c>
      <c r="J32" s="5" t="s">
        <v>34</v>
      </c>
      <c r="K32" s="5" t="str">
        <f>_xlfn.CONCAT("221")</f>
        <v>221</v>
      </c>
      <c r="L32" s="5" t="str">
        <f>_xlfn.CONCAT("8 8.1 5e")</f>
        <v>8 8.1 5e</v>
      </c>
      <c r="M32" s="5" t="str">
        <f>_xlfn.CONCAT("BRNMRZ56B08I932B")</f>
        <v>BRNMRZ56B08I932B</v>
      </c>
      <c r="N32" s="5" t="s">
        <v>105</v>
      </c>
      <c r="O32" s="5" t="s">
        <v>103</v>
      </c>
      <c r="P32" s="6">
        <v>44182</v>
      </c>
      <c r="Q32" s="5" t="s">
        <v>30</v>
      </c>
      <c r="R32" s="5" t="s">
        <v>31</v>
      </c>
      <c r="S32" s="5" t="s">
        <v>32</v>
      </c>
      <c r="T32" s="5"/>
      <c r="U32" s="5">
        <v>451</v>
      </c>
      <c r="V32" s="5">
        <v>194.47</v>
      </c>
      <c r="W32" s="5">
        <v>179.59</v>
      </c>
      <c r="X32" s="5">
        <v>0</v>
      </c>
      <c r="Y32" s="5">
        <v>76.94</v>
      </c>
    </row>
    <row r="33" spans="1:25" ht="24.75" x14ac:dyDescent="0.25">
      <c r="A33" s="5" t="s">
        <v>26</v>
      </c>
      <c r="B33" s="5" t="s">
        <v>27</v>
      </c>
      <c r="C33" s="5" t="s">
        <v>46</v>
      </c>
      <c r="D33" s="5" t="s">
        <v>47</v>
      </c>
      <c r="E33" s="5" t="s">
        <v>40</v>
      </c>
      <c r="F33" s="5" t="s">
        <v>106</v>
      </c>
      <c r="G33" s="5">
        <v>2018</v>
      </c>
      <c r="H33" s="5" t="str">
        <f>_xlfn.CONCAT("84780003558")</f>
        <v>84780003558</v>
      </c>
      <c r="I33" s="5" t="s">
        <v>28</v>
      </c>
      <c r="J33" s="5" t="s">
        <v>34</v>
      </c>
      <c r="K33" s="5" t="str">
        <f>_xlfn.CONCAT("221")</f>
        <v>221</v>
      </c>
      <c r="L33" s="5" t="str">
        <f>_xlfn.CONCAT("8 8.1 5e")</f>
        <v>8 8.1 5e</v>
      </c>
      <c r="M33" s="5" t="str">
        <f>_xlfn.CONCAT("CRLFLV71M07A271R")</f>
        <v>CRLFLV71M07A271R</v>
      </c>
      <c r="N33" s="5" t="s">
        <v>107</v>
      </c>
      <c r="O33" s="5" t="s">
        <v>103</v>
      </c>
      <c r="P33" s="6">
        <v>44182</v>
      </c>
      <c r="Q33" s="5" t="s">
        <v>30</v>
      </c>
      <c r="R33" s="5" t="s">
        <v>31</v>
      </c>
      <c r="S33" s="5" t="s">
        <v>32</v>
      </c>
      <c r="T33" s="5"/>
      <c r="U33" s="5">
        <v>590.38</v>
      </c>
      <c r="V33" s="5">
        <v>254.57</v>
      </c>
      <c r="W33" s="5">
        <v>235.09</v>
      </c>
      <c r="X33" s="5">
        <v>0</v>
      </c>
      <c r="Y33" s="5">
        <v>100.72</v>
      </c>
    </row>
    <row r="34" spans="1:25" x14ac:dyDescent="0.25">
      <c r="A34" s="5" t="s">
        <v>26</v>
      </c>
      <c r="B34" s="5" t="s">
        <v>27</v>
      </c>
      <c r="C34" s="5" t="s">
        <v>46</v>
      </c>
      <c r="D34" s="5" t="s">
        <v>53</v>
      </c>
      <c r="E34" s="5" t="s">
        <v>39</v>
      </c>
      <c r="F34" s="5" t="s">
        <v>108</v>
      </c>
      <c r="G34" s="5">
        <v>2017</v>
      </c>
      <c r="H34" s="5" t="str">
        <f>_xlfn.CONCAT("74780069048")</f>
        <v>74780069048</v>
      </c>
      <c r="I34" s="5" t="s">
        <v>28</v>
      </c>
      <c r="J34" s="5" t="s">
        <v>34</v>
      </c>
      <c r="K34" s="5" t="str">
        <f>_xlfn.CONCAT("221")</f>
        <v>221</v>
      </c>
      <c r="L34" s="5" t="str">
        <f>_xlfn.CONCAT("8 8.1 5e")</f>
        <v>8 8.1 5e</v>
      </c>
      <c r="M34" s="5" t="str">
        <f>_xlfn.CONCAT("FRNSFN79A22E783I")</f>
        <v>FRNSFN79A22E783I</v>
      </c>
      <c r="N34" s="5" t="s">
        <v>109</v>
      </c>
      <c r="O34" s="5" t="s">
        <v>110</v>
      </c>
      <c r="P34" s="6">
        <v>44182</v>
      </c>
      <c r="Q34" s="5" t="s">
        <v>30</v>
      </c>
      <c r="R34" s="5" t="s">
        <v>31</v>
      </c>
      <c r="S34" s="5" t="s">
        <v>32</v>
      </c>
      <c r="T34" s="5"/>
      <c r="U34" s="5">
        <v>280.27999999999997</v>
      </c>
      <c r="V34" s="5">
        <v>120.86</v>
      </c>
      <c r="W34" s="5">
        <v>111.61</v>
      </c>
      <c r="X34" s="5">
        <v>0</v>
      </c>
      <c r="Y34" s="5">
        <v>47.81</v>
      </c>
    </row>
    <row r="35" spans="1:25" ht="24.75" x14ac:dyDescent="0.25">
      <c r="A35" s="5" t="s">
        <v>26</v>
      </c>
      <c r="B35" s="5" t="s">
        <v>27</v>
      </c>
      <c r="C35" s="5" t="s">
        <v>46</v>
      </c>
      <c r="D35" s="5" t="s">
        <v>53</v>
      </c>
      <c r="E35" s="5" t="s">
        <v>35</v>
      </c>
      <c r="F35" s="5" t="s">
        <v>54</v>
      </c>
      <c r="G35" s="5">
        <v>2019</v>
      </c>
      <c r="H35" s="5" t="str">
        <f>_xlfn.CONCAT("94241692345")</f>
        <v>94241692345</v>
      </c>
      <c r="I35" s="5" t="s">
        <v>28</v>
      </c>
      <c r="J35" s="5" t="s">
        <v>29</v>
      </c>
      <c r="K35" s="5" t="str">
        <f>_xlfn.CONCAT("")</f>
        <v/>
      </c>
      <c r="L35" s="5" t="str">
        <f>_xlfn.CONCAT("10 10.1 4a")</f>
        <v>10 10.1 4a</v>
      </c>
      <c r="M35" s="5" t="str">
        <f>_xlfn.CONCAT("01626490435")</f>
        <v>01626490435</v>
      </c>
      <c r="N35" s="5" t="s">
        <v>111</v>
      </c>
      <c r="O35" s="5" t="s">
        <v>112</v>
      </c>
      <c r="P35" s="6">
        <v>44181</v>
      </c>
      <c r="Q35" s="5" t="s">
        <v>30</v>
      </c>
      <c r="R35" s="5" t="s">
        <v>31</v>
      </c>
      <c r="S35" s="5" t="s">
        <v>32</v>
      </c>
      <c r="T35" s="5"/>
      <c r="U35" s="7">
        <v>17443.54</v>
      </c>
      <c r="V35" s="7">
        <v>7521.65</v>
      </c>
      <c r="W35" s="7">
        <v>6946.02</v>
      </c>
      <c r="X35" s="5">
        <v>0</v>
      </c>
      <c r="Y35" s="7">
        <v>2975.87</v>
      </c>
    </row>
    <row r="36" spans="1:25" ht="24.75" x14ac:dyDescent="0.25">
      <c r="A36" s="5" t="s">
        <v>26</v>
      </c>
      <c r="B36" s="5" t="s">
        <v>41</v>
      </c>
      <c r="C36" s="5" t="s">
        <v>46</v>
      </c>
      <c r="D36" s="5" t="s">
        <v>47</v>
      </c>
      <c r="E36" s="5" t="s">
        <v>37</v>
      </c>
      <c r="F36" s="5" t="s">
        <v>113</v>
      </c>
      <c r="G36" s="5">
        <v>2017</v>
      </c>
      <c r="H36" s="5" t="str">
        <f>_xlfn.CONCAT("04270129408")</f>
        <v>04270129408</v>
      </c>
      <c r="I36" s="5" t="s">
        <v>28</v>
      </c>
      <c r="J36" s="5" t="s">
        <v>29</v>
      </c>
      <c r="K36" s="5" t="str">
        <f>_xlfn.CONCAT("")</f>
        <v/>
      </c>
      <c r="L36" s="5" t="str">
        <f>_xlfn.CONCAT("8 8.5 4a")</f>
        <v>8 8.5 4a</v>
      </c>
      <c r="M36" s="5" t="str">
        <f>_xlfn.CONCAT("02419450420")</f>
        <v>02419450420</v>
      </c>
      <c r="N36" s="5" t="s">
        <v>114</v>
      </c>
      <c r="O36" s="5" t="s">
        <v>115</v>
      </c>
      <c r="P36" s="6">
        <v>44182</v>
      </c>
      <c r="Q36" s="5" t="s">
        <v>30</v>
      </c>
      <c r="R36" s="5" t="s">
        <v>43</v>
      </c>
      <c r="S36" s="5" t="s">
        <v>32</v>
      </c>
      <c r="T36" s="5"/>
      <c r="U36" s="7">
        <v>226797.49</v>
      </c>
      <c r="V36" s="7">
        <v>97795.08</v>
      </c>
      <c r="W36" s="7">
        <v>90310.76</v>
      </c>
      <c r="X36" s="5">
        <v>0</v>
      </c>
      <c r="Y36" s="7">
        <v>38691.65</v>
      </c>
    </row>
    <row r="37" spans="1:25" x14ac:dyDescent="0.25">
      <c r="A37" s="5" t="s">
        <v>26</v>
      </c>
      <c r="B37" s="5" t="s">
        <v>41</v>
      </c>
      <c r="C37" s="5" t="s">
        <v>46</v>
      </c>
      <c r="D37" s="5" t="s">
        <v>46</v>
      </c>
      <c r="E37" s="5" t="s">
        <v>42</v>
      </c>
      <c r="F37" s="5" t="s">
        <v>42</v>
      </c>
      <c r="G37" s="5">
        <v>2017</v>
      </c>
      <c r="H37" s="5" t="str">
        <f>_xlfn.CONCAT("04270208111")</f>
        <v>04270208111</v>
      </c>
      <c r="I37" s="5" t="s">
        <v>28</v>
      </c>
      <c r="J37" s="5" t="s">
        <v>29</v>
      </c>
      <c r="K37" s="5" t="str">
        <f>_xlfn.CONCAT("")</f>
        <v/>
      </c>
      <c r="L37" s="5" t="str">
        <f>_xlfn.CONCAT("19 19.2 6b")</f>
        <v>19 19.2 6b</v>
      </c>
      <c r="M37" s="5" t="str">
        <f>_xlfn.CONCAT("80001030446")</f>
        <v>80001030446</v>
      </c>
      <c r="N37" s="5" t="s">
        <v>116</v>
      </c>
      <c r="O37" s="5" t="s">
        <v>117</v>
      </c>
      <c r="P37" s="6">
        <v>44182</v>
      </c>
      <c r="Q37" s="5" t="s">
        <v>30</v>
      </c>
      <c r="R37" s="5" t="s">
        <v>31</v>
      </c>
      <c r="S37" s="5" t="s">
        <v>32</v>
      </c>
      <c r="T37" s="5"/>
      <c r="U37" s="7">
        <v>60000</v>
      </c>
      <c r="V37" s="7">
        <v>25872</v>
      </c>
      <c r="W37" s="7">
        <v>23892</v>
      </c>
      <c r="X37" s="5">
        <v>0</v>
      </c>
      <c r="Y37" s="7">
        <v>10236</v>
      </c>
    </row>
    <row r="38" spans="1:25" x14ac:dyDescent="0.25">
      <c r="A38" s="5" t="s">
        <v>26</v>
      </c>
      <c r="B38" s="5" t="s">
        <v>41</v>
      </c>
      <c r="C38" s="5" t="s">
        <v>46</v>
      </c>
      <c r="D38" s="5" t="s">
        <v>46</v>
      </c>
      <c r="E38" s="5" t="s">
        <v>42</v>
      </c>
      <c r="F38" s="5" t="s">
        <v>42</v>
      </c>
      <c r="G38" s="5">
        <v>2017</v>
      </c>
      <c r="H38" s="5" t="str">
        <f>_xlfn.CONCAT("04270208103")</f>
        <v>04270208103</v>
      </c>
      <c r="I38" s="5" t="s">
        <v>28</v>
      </c>
      <c r="J38" s="5" t="s">
        <v>29</v>
      </c>
      <c r="K38" s="5" t="str">
        <f>_xlfn.CONCAT("")</f>
        <v/>
      </c>
      <c r="L38" s="5" t="str">
        <f>_xlfn.CONCAT("19 19.2 6b")</f>
        <v>19 19.2 6b</v>
      </c>
      <c r="M38" s="5" t="str">
        <f>_xlfn.CONCAT("00396470445")</f>
        <v>00396470445</v>
      </c>
      <c r="N38" s="5" t="s">
        <v>118</v>
      </c>
      <c r="O38" s="5" t="s">
        <v>117</v>
      </c>
      <c r="P38" s="6">
        <v>44182</v>
      </c>
      <c r="Q38" s="5" t="s">
        <v>30</v>
      </c>
      <c r="R38" s="5" t="s">
        <v>31</v>
      </c>
      <c r="S38" s="5" t="s">
        <v>32</v>
      </c>
      <c r="T38" s="5"/>
      <c r="U38" s="7">
        <v>59678.25</v>
      </c>
      <c r="V38" s="7">
        <v>25733.26</v>
      </c>
      <c r="W38" s="7">
        <v>23763.88</v>
      </c>
      <c r="X38" s="5">
        <v>0</v>
      </c>
      <c r="Y38" s="7">
        <v>10181.11</v>
      </c>
    </row>
    <row r="39" spans="1:25" x14ac:dyDescent="0.25">
      <c r="A39" s="5" t="s">
        <v>26</v>
      </c>
      <c r="B39" s="5" t="s">
        <v>41</v>
      </c>
      <c r="C39" s="5" t="s">
        <v>46</v>
      </c>
      <c r="D39" s="5" t="s">
        <v>46</v>
      </c>
      <c r="E39" s="5" t="s">
        <v>42</v>
      </c>
      <c r="F39" s="5" t="s">
        <v>42</v>
      </c>
      <c r="G39" s="5">
        <v>2017</v>
      </c>
      <c r="H39" s="5" t="str">
        <f>_xlfn.CONCAT("04270208129")</f>
        <v>04270208129</v>
      </c>
      <c r="I39" s="5" t="s">
        <v>28</v>
      </c>
      <c r="J39" s="5" t="s">
        <v>29</v>
      </c>
      <c r="K39" s="5" t="str">
        <f>_xlfn.CONCAT("")</f>
        <v/>
      </c>
      <c r="L39" s="5" t="str">
        <f>_xlfn.CONCAT("19 19.2 6b")</f>
        <v>19 19.2 6b</v>
      </c>
      <c r="M39" s="5" t="str">
        <f>_xlfn.CONCAT("80000970444")</f>
        <v>80000970444</v>
      </c>
      <c r="N39" s="5" t="s">
        <v>119</v>
      </c>
      <c r="O39" s="5" t="s">
        <v>117</v>
      </c>
      <c r="P39" s="6">
        <v>44182</v>
      </c>
      <c r="Q39" s="5" t="s">
        <v>30</v>
      </c>
      <c r="R39" s="5" t="s">
        <v>31</v>
      </c>
      <c r="S39" s="5" t="s">
        <v>32</v>
      </c>
      <c r="T39" s="5"/>
      <c r="U39" s="7">
        <v>34502.43</v>
      </c>
      <c r="V39" s="7">
        <v>14877.45</v>
      </c>
      <c r="W39" s="7">
        <v>13738.87</v>
      </c>
      <c r="X39" s="5">
        <v>0</v>
      </c>
      <c r="Y39" s="7">
        <v>5886.11</v>
      </c>
    </row>
    <row r="40" spans="1:25" ht="24.75" x14ac:dyDescent="0.25">
      <c r="A40" s="5" t="s">
        <v>26</v>
      </c>
      <c r="B40" s="5" t="s">
        <v>27</v>
      </c>
      <c r="C40" s="5" t="s">
        <v>46</v>
      </c>
      <c r="D40" s="5" t="s">
        <v>58</v>
      </c>
      <c r="E40" s="5" t="s">
        <v>37</v>
      </c>
      <c r="F40" s="5" t="s">
        <v>66</v>
      </c>
      <c r="G40" s="5">
        <v>2018</v>
      </c>
      <c r="H40" s="5" t="str">
        <f>_xlfn.CONCAT("84211086735")</f>
        <v>84211086735</v>
      </c>
      <c r="I40" s="5" t="s">
        <v>28</v>
      </c>
      <c r="J40" s="5" t="s">
        <v>29</v>
      </c>
      <c r="K40" s="5" t="str">
        <f>_xlfn.CONCAT("")</f>
        <v/>
      </c>
      <c r="L40" s="5" t="str">
        <f>_xlfn.CONCAT("13 13.1 4a")</f>
        <v>13 13.1 4a</v>
      </c>
      <c r="M40" s="5" t="str">
        <f>_xlfn.CONCAT("02596960415")</f>
        <v>02596960415</v>
      </c>
      <c r="N40" s="5" t="s">
        <v>120</v>
      </c>
      <c r="O40" s="5" t="s">
        <v>121</v>
      </c>
      <c r="P40" s="6">
        <v>44182</v>
      </c>
      <c r="Q40" s="5" t="s">
        <v>30</v>
      </c>
      <c r="R40" s="5" t="s">
        <v>31</v>
      </c>
      <c r="S40" s="5" t="s">
        <v>32</v>
      </c>
      <c r="T40" s="5"/>
      <c r="U40" s="7">
        <v>2517.41</v>
      </c>
      <c r="V40" s="7">
        <v>1085.51</v>
      </c>
      <c r="W40" s="7">
        <v>1002.43</v>
      </c>
      <c r="X40" s="5">
        <v>0</v>
      </c>
      <c r="Y40" s="5">
        <v>429.47</v>
      </c>
    </row>
    <row r="41" spans="1:25" ht="24.75" x14ac:dyDescent="0.25">
      <c r="A41" s="5" t="s">
        <v>26</v>
      </c>
      <c r="B41" s="5" t="s">
        <v>41</v>
      </c>
      <c r="C41" s="5" t="s">
        <v>46</v>
      </c>
      <c r="D41" s="5" t="s">
        <v>47</v>
      </c>
      <c r="E41" s="5" t="s">
        <v>42</v>
      </c>
      <c r="F41" s="5" t="s">
        <v>42</v>
      </c>
      <c r="G41" s="5">
        <v>2017</v>
      </c>
      <c r="H41" s="5" t="str">
        <f>_xlfn.CONCAT("04270208582")</f>
        <v>04270208582</v>
      </c>
      <c r="I41" s="5" t="s">
        <v>28</v>
      </c>
      <c r="J41" s="5" t="s">
        <v>29</v>
      </c>
      <c r="K41" s="5" t="str">
        <f>_xlfn.CONCAT("")</f>
        <v/>
      </c>
      <c r="L41" s="5" t="str">
        <f>_xlfn.CONCAT("16 16.2 2a")</f>
        <v>16 16.2 2a</v>
      </c>
      <c r="M41" s="5" t="str">
        <f>_xlfn.CONCAT("93018000427")</f>
        <v>93018000427</v>
      </c>
      <c r="N41" s="5" t="s">
        <v>122</v>
      </c>
      <c r="O41" s="5" t="s">
        <v>123</v>
      </c>
      <c r="P41" s="6">
        <v>44182</v>
      </c>
      <c r="Q41" s="5" t="s">
        <v>30</v>
      </c>
      <c r="R41" s="5" t="s">
        <v>44</v>
      </c>
      <c r="S41" s="5" t="s">
        <v>32</v>
      </c>
      <c r="T41" s="5"/>
      <c r="U41" s="7">
        <v>75699.89</v>
      </c>
      <c r="V41" s="7">
        <v>32641.79</v>
      </c>
      <c r="W41" s="7">
        <v>30143.7</v>
      </c>
      <c r="X41" s="5">
        <v>0</v>
      </c>
      <c r="Y41" s="7">
        <v>12914.4</v>
      </c>
    </row>
    <row r="42" spans="1:25" ht="24.75" x14ac:dyDescent="0.25">
      <c r="A42" s="5" t="s">
        <v>26</v>
      </c>
      <c r="B42" s="5" t="s">
        <v>41</v>
      </c>
      <c r="C42" s="5" t="s">
        <v>46</v>
      </c>
      <c r="D42" s="5" t="s">
        <v>47</v>
      </c>
      <c r="E42" s="5" t="s">
        <v>42</v>
      </c>
      <c r="F42" s="5" t="s">
        <v>42</v>
      </c>
      <c r="G42" s="5">
        <v>2017</v>
      </c>
      <c r="H42" s="5" t="str">
        <f>_xlfn.CONCAT("94270174678")</f>
        <v>94270174678</v>
      </c>
      <c r="I42" s="5" t="s">
        <v>28</v>
      </c>
      <c r="J42" s="5" t="s">
        <v>29</v>
      </c>
      <c r="K42" s="5" t="str">
        <f>_xlfn.CONCAT("")</f>
        <v/>
      </c>
      <c r="L42" s="5" t="str">
        <f>_xlfn.CONCAT("16 16.2 2a")</f>
        <v>16 16.2 2a</v>
      </c>
      <c r="M42" s="5" t="str">
        <f>_xlfn.CONCAT("02464490420")</f>
        <v>02464490420</v>
      </c>
      <c r="N42" s="5" t="s">
        <v>124</v>
      </c>
      <c r="O42" s="5" t="s">
        <v>123</v>
      </c>
      <c r="P42" s="6">
        <v>44182</v>
      </c>
      <c r="Q42" s="5" t="s">
        <v>30</v>
      </c>
      <c r="R42" s="5" t="s">
        <v>44</v>
      </c>
      <c r="S42" s="5" t="s">
        <v>32</v>
      </c>
      <c r="T42" s="5"/>
      <c r="U42" s="7">
        <v>97724.29</v>
      </c>
      <c r="V42" s="7">
        <v>42138.71</v>
      </c>
      <c r="W42" s="7">
        <v>38913.81</v>
      </c>
      <c r="X42" s="5">
        <v>0</v>
      </c>
      <c r="Y42" s="7">
        <v>16671.77</v>
      </c>
    </row>
    <row r="43" spans="1:25" ht="24.75" x14ac:dyDescent="0.25">
      <c r="A43" s="5" t="s">
        <v>26</v>
      </c>
      <c r="B43" s="5" t="s">
        <v>41</v>
      </c>
      <c r="C43" s="5" t="s">
        <v>46</v>
      </c>
      <c r="D43" s="5" t="s">
        <v>125</v>
      </c>
      <c r="E43" s="5" t="s">
        <v>42</v>
      </c>
      <c r="F43" s="5" t="s">
        <v>42</v>
      </c>
      <c r="G43" s="5">
        <v>2017</v>
      </c>
      <c r="H43" s="5" t="str">
        <f>_xlfn.CONCAT("04270205703")</f>
        <v>04270205703</v>
      </c>
      <c r="I43" s="5" t="s">
        <v>28</v>
      </c>
      <c r="J43" s="5" t="s">
        <v>29</v>
      </c>
      <c r="K43" s="5" t="str">
        <f>_xlfn.CONCAT("")</f>
        <v/>
      </c>
      <c r="L43" s="5" t="str">
        <f>_xlfn.CONCAT("8 8.1 5e")</f>
        <v>8 8.1 5e</v>
      </c>
      <c r="M43" s="5" t="str">
        <f>_xlfn.CONCAT("VGNLCU51T43A335E")</f>
        <v>VGNLCU51T43A335E</v>
      </c>
      <c r="N43" s="5" t="s">
        <v>126</v>
      </c>
      <c r="O43" s="5" t="s">
        <v>127</v>
      </c>
      <c r="P43" s="6">
        <v>44181</v>
      </c>
      <c r="Q43" s="5" t="s">
        <v>30</v>
      </c>
      <c r="R43" s="5" t="s">
        <v>31</v>
      </c>
      <c r="S43" s="5" t="s">
        <v>32</v>
      </c>
      <c r="T43" s="5"/>
      <c r="U43" s="7">
        <v>16652.52</v>
      </c>
      <c r="V43" s="7">
        <v>7180.57</v>
      </c>
      <c r="W43" s="7">
        <v>6631.03</v>
      </c>
      <c r="X43" s="5">
        <v>0</v>
      </c>
      <c r="Y43" s="7">
        <v>2840.92</v>
      </c>
    </row>
    <row r="44" spans="1:25" ht="24.75" x14ac:dyDescent="0.25">
      <c r="A44" s="5" t="s">
        <v>26</v>
      </c>
      <c r="B44" s="5" t="s">
        <v>41</v>
      </c>
      <c r="C44" s="5" t="s">
        <v>46</v>
      </c>
      <c r="D44" s="5" t="s">
        <v>47</v>
      </c>
      <c r="E44" s="5" t="s">
        <v>42</v>
      </c>
      <c r="F44" s="5" t="s">
        <v>42</v>
      </c>
      <c r="G44" s="5">
        <v>2017</v>
      </c>
      <c r="H44" s="5" t="str">
        <f>_xlfn.CONCAT("04270185202")</f>
        <v>04270185202</v>
      </c>
      <c r="I44" s="5" t="s">
        <v>28</v>
      </c>
      <c r="J44" s="5" t="s">
        <v>29</v>
      </c>
      <c r="K44" s="5" t="str">
        <f>_xlfn.CONCAT("")</f>
        <v/>
      </c>
      <c r="L44" s="5" t="str">
        <f>_xlfn.CONCAT("4 4.1 2a")</f>
        <v>4 4.1 2a</v>
      </c>
      <c r="M44" s="5" t="str">
        <f>_xlfn.CONCAT("01580170429")</f>
        <v>01580170429</v>
      </c>
      <c r="N44" s="5" t="s">
        <v>128</v>
      </c>
      <c r="O44" s="5" t="s">
        <v>95</v>
      </c>
      <c r="P44" s="6">
        <v>44181</v>
      </c>
      <c r="Q44" s="5" t="s">
        <v>30</v>
      </c>
      <c r="R44" s="5" t="s">
        <v>43</v>
      </c>
      <c r="S44" s="5" t="s">
        <v>32</v>
      </c>
      <c r="T44" s="5"/>
      <c r="U44" s="7">
        <v>227022.11</v>
      </c>
      <c r="V44" s="7">
        <v>97891.93</v>
      </c>
      <c r="W44" s="7">
        <v>90400.2</v>
      </c>
      <c r="X44" s="5">
        <v>0</v>
      </c>
      <c r="Y44" s="7">
        <v>38729.980000000003</v>
      </c>
    </row>
    <row r="45" spans="1:25" ht="24.75" x14ac:dyDescent="0.25">
      <c r="A45" s="5" t="s">
        <v>26</v>
      </c>
      <c r="B45" s="5" t="s">
        <v>27</v>
      </c>
      <c r="C45" s="5" t="s">
        <v>46</v>
      </c>
      <c r="D45" s="5" t="s">
        <v>47</v>
      </c>
      <c r="E45" s="5" t="s">
        <v>40</v>
      </c>
      <c r="F45" s="5" t="s">
        <v>129</v>
      </c>
      <c r="G45" s="5">
        <v>2018</v>
      </c>
      <c r="H45" s="5" t="str">
        <f>_xlfn.CONCAT("84780025809")</f>
        <v>84780025809</v>
      </c>
      <c r="I45" s="5" t="s">
        <v>28</v>
      </c>
      <c r="J45" s="5" t="s">
        <v>34</v>
      </c>
      <c r="K45" s="5" t="str">
        <f>_xlfn.CONCAT("221")</f>
        <v>221</v>
      </c>
      <c r="L45" s="5" t="str">
        <f>_xlfn.CONCAT("8 8.1 5e")</f>
        <v>8 8.1 5e</v>
      </c>
      <c r="M45" s="5" t="str">
        <f>_xlfn.CONCAT("TRFDRA58A27A366U")</f>
        <v>TRFDRA58A27A366U</v>
      </c>
      <c r="N45" s="5" t="s">
        <v>130</v>
      </c>
      <c r="O45" s="5" t="s">
        <v>103</v>
      </c>
      <c r="P45" s="6">
        <v>44182</v>
      </c>
      <c r="Q45" s="5" t="s">
        <v>30</v>
      </c>
      <c r="R45" s="5" t="s">
        <v>31</v>
      </c>
      <c r="S45" s="5" t="s">
        <v>32</v>
      </c>
      <c r="T45" s="5"/>
      <c r="U45" s="5">
        <v>101.42</v>
      </c>
      <c r="V45" s="5">
        <v>43.73</v>
      </c>
      <c r="W45" s="5">
        <v>40.39</v>
      </c>
      <c r="X45" s="5">
        <v>0</v>
      </c>
      <c r="Y45" s="5">
        <v>17.3</v>
      </c>
    </row>
    <row r="46" spans="1:25" ht="24.75" x14ac:dyDescent="0.25">
      <c r="A46" s="5" t="s">
        <v>26</v>
      </c>
      <c r="B46" s="5" t="s">
        <v>27</v>
      </c>
      <c r="C46" s="5" t="s">
        <v>46</v>
      </c>
      <c r="D46" s="5" t="s">
        <v>47</v>
      </c>
      <c r="E46" s="5" t="s">
        <v>37</v>
      </c>
      <c r="F46" s="5" t="s">
        <v>131</v>
      </c>
      <c r="G46" s="5">
        <v>2018</v>
      </c>
      <c r="H46" s="5" t="str">
        <f>_xlfn.CONCAT("84780039263")</f>
        <v>84780039263</v>
      </c>
      <c r="I46" s="5" t="s">
        <v>28</v>
      </c>
      <c r="J46" s="5" t="s">
        <v>34</v>
      </c>
      <c r="K46" s="5" t="str">
        <f>_xlfn.CONCAT("221")</f>
        <v>221</v>
      </c>
      <c r="L46" s="5" t="str">
        <f>_xlfn.CONCAT("8 8.1 5e")</f>
        <v>8 8.1 5e</v>
      </c>
      <c r="M46" s="5" t="str">
        <f>_xlfn.CONCAT("BTTRNN81A59A271M")</f>
        <v>BTTRNN81A59A271M</v>
      </c>
      <c r="N46" s="5" t="s">
        <v>132</v>
      </c>
      <c r="O46" s="5" t="s">
        <v>103</v>
      </c>
      <c r="P46" s="6">
        <v>44182</v>
      </c>
      <c r="Q46" s="5" t="s">
        <v>30</v>
      </c>
      <c r="R46" s="5" t="s">
        <v>31</v>
      </c>
      <c r="S46" s="5" t="s">
        <v>32</v>
      </c>
      <c r="T46" s="5"/>
      <c r="U46" s="5">
        <v>759</v>
      </c>
      <c r="V46" s="5">
        <v>327.27999999999997</v>
      </c>
      <c r="W46" s="5">
        <v>302.23</v>
      </c>
      <c r="X46" s="5">
        <v>0</v>
      </c>
      <c r="Y46" s="5">
        <v>129.49</v>
      </c>
    </row>
    <row r="47" spans="1:25" ht="24.75" x14ac:dyDescent="0.25">
      <c r="A47" s="5" t="s">
        <v>26</v>
      </c>
      <c r="B47" s="5" t="s">
        <v>27</v>
      </c>
      <c r="C47" s="5" t="s">
        <v>46</v>
      </c>
      <c r="D47" s="5" t="s">
        <v>47</v>
      </c>
      <c r="E47" s="5" t="s">
        <v>39</v>
      </c>
      <c r="F47" s="5" t="s">
        <v>48</v>
      </c>
      <c r="G47" s="5">
        <v>2018</v>
      </c>
      <c r="H47" s="5" t="str">
        <f>_xlfn.CONCAT("84780023002")</f>
        <v>84780023002</v>
      </c>
      <c r="I47" s="5" t="s">
        <v>28</v>
      </c>
      <c r="J47" s="5" t="s">
        <v>34</v>
      </c>
      <c r="K47" s="5" t="str">
        <f>_xlfn.CONCAT("221")</f>
        <v>221</v>
      </c>
      <c r="L47" s="5" t="str">
        <f>_xlfn.CONCAT("8 8.1 5e")</f>
        <v>8 8.1 5e</v>
      </c>
      <c r="M47" s="5" t="str">
        <f>_xlfn.CONCAT("BSCPRN57H02D965O")</f>
        <v>BSCPRN57H02D965O</v>
      </c>
      <c r="N47" s="5" t="s">
        <v>133</v>
      </c>
      <c r="O47" s="5" t="s">
        <v>103</v>
      </c>
      <c r="P47" s="6">
        <v>44182</v>
      </c>
      <c r="Q47" s="5" t="s">
        <v>30</v>
      </c>
      <c r="R47" s="5" t="s">
        <v>31</v>
      </c>
      <c r="S47" s="5" t="s">
        <v>32</v>
      </c>
      <c r="T47" s="5"/>
      <c r="U47" s="5">
        <v>126.77</v>
      </c>
      <c r="V47" s="5">
        <v>54.66</v>
      </c>
      <c r="W47" s="5">
        <v>50.48</v>
      </c>
      <c r="X47" s="5">
        <v>0</v>
      </c>
      <c r="Y47" s="5">
        <v>21.63</v>
      </c>
    </row>
    <row r="48" spans="1:25" x14ac:dyDescent="0.25">
      <c r="A48" s="5" t="s">
        <v>26</v>
      </c>
      <c r="B48" s="5" t="s">
        <v>27</v>
      </c>
      <c r="C48" s="5" t="s">
        <v>46</v>
      </c>
      <c r="D48" s="5" t="s">
        <v>53</v>
      </c>
      <c r="E48" s="5" t="s">
        <v>39</v>
      </c>
      <c r="F48" s="5" t="s">
        <v>134</v>
      </c>
      <c r="G48" s="5">
        <v>2017</v>
      </c>
      <c r="H48" s="5" t="str">
        <f>_xlfn.CONCAT("74780054099")</f>
        <v>74780054099</v>
      </c>
      <c r="I48" s="5" t="s">
        <v>28</v>
      </c>
      <c r="J48" s="5" t="s">
        <v>34</v>
      </c>
      <c r="K48" s="5" t="str">
        <f>_xlfn.CONCAT("221")</f>
        <v>221</v>
      </c>
      <c r="L48" s="5" t="str">
        <f>_xlfn.CONCAT("8 8.1 5e")</f>
        <v>8 8.1 5e</v>
      </c>
      <c r="M48" s="5" t="str">
        <f>_xlfn.CONCAT("CLMFBA69S11B474Y")</f>
        <v>CLMFBA69S11B474Y</v>
      </c>
      <c r="N48" s="5" t="s">
        <v>135</v>
      </c>
      <c r="O48" s="5" t="s">
        <v>110</v>
      </c>
      <c r="P48" s="6">
        <v>44182</v>
      </c>
      <c r="Q48" s="5" t="s">
        <v>30</v>
      </c>
      <c r="R48" s="5" t="s">
        <v>31</v>
      </c>
      <c r="S48" s="5" t="s">
        <v>32</v>
      </c>
      <c r="T48" s="5"/>
      <c r="U48" s="5">
        <v>301.36</v>
      </c>
      <c r="V48" s="5">
        <v>129.94999999999999</v>
      </c>
      <c r="W48" s="5">
        <v>120</v>
      </c>
      <c r="X48" s="5">
        <v>0</v>
      </c>
      <c r="Y48" s="5">
        <v>51.41</v>
      </c>
    </row>
    <row r="49" spans="1:25" ht="24.75" x14ac:dyDescent="0.25">
      <c r="A49" s="5" t="s">
        <v>26</v>
      </c>
      <c r="B49" s="5" t="s">
        <v>27</v>
      </c>
      <c r="C49" s="5" t="s">
        <v>46</v>
      </c>
      <c r="D49" s="5" t="s">
        <v>58</v>
      </c>
      <c r="E49" s="5" t="s">
        <v>39</v>
      </c>
      <c r="F49" s="5" t="s">
        <v>80</v>
      </c>
      <c r="G49" s="5">
        <v>2018</v>
      </c>
      <c r="H49" s="5" t="str">
        <f>_xlfn.CONCAT("84210859629")</f>
        <v>84210859629</v>
      </c>
      <c r="I49" s="5" t="s">
        <v>28</v>
      </c>
      <c r="J49" s="5" t="s">
        <v>29</v>
      </c>
      <c r="K49" s="5" t="str">
        <f>_xlfn.CONCAT("")</f>
        <v/>
      </c>
      <c r="L49" s="5" t="str">
        <f>_xlfn.CONCAT("13 13.1 4a")</f>
        <v>13 13.1 4a</v>
      </c>
      <c r="M49" s="5" t="str">
        <f>_xlfn.CONCAT("PGNFRU35P07D749J")</f>
        <v>PGNFRU35P07D749J</v>
      </c>
      <c r="N49" s="5" t="s">
        <v>136</v>
      </c>
      <c r="O49" s="5" t="s">
        <v>137</v>
      </c>
      <c r="P49" s="6">
        <v>44182</v>
      </c>
      <c r="Q49" s="5" t="s">
        <v>30</v>
      </c>
      <c r="R49" s="5" t="s">
        <v>31</v>
      </c>
      <c r="S49" s="5" t="s">
        <v>32</v>
      </c>
      <c r="T49" s="5"/>
      <c r="U49" s="5">
        <v>192.68</v>
      </c>
      <c r="V49" s="5">
        <v>83.08</v>
      </c>
      <c r="W49" s="5">
        <v>76.73</v>
      </c>
      <c r="X49" s="5">
        <v>0</v>
      </c>
      <c r="Y49" s="5">
        <v>32.869999999999997</v>
      </c>
    </row>
    <row r="50" spans="1:25" x14ac:dyDescent="0.25">
      <c r="A50" s="5" t="s">
        <v>26</v>
      </c>
      <c r="B50" s="5" t="s">
        <v>41</v>
      </c>
      <c r="C50" s="5" t="s">
        <v>46</v>
      </c>
      <c r="D50" s="5" t="s">
        <v>46</v>
      </c>
      <c r="E50" s="5" t="s">
        <v>42</v>
      </c>
      <c r="F50" s="5" t="s">
        <v>42</v>
      </c>
      <c r="G50" s="5">
        <v>2017</v>
      </c>
      <c r="H50" s="5" t="str">
        <f>_xlfn.CONCAT("04270208095")</f>
        <v>04270208095</v>
      </c>
      <c r="I50" s="5" t="s">
        <v>28</v>
      </c>
      <c r="J50" s="5" t="s">
        <v>29</v>
      </c>
      <c r="K50" s="5" t="str">
        <f>_xlfn.CONCAT("")</f>
        <v/>
      </c>
      <c r="L50" s="5" t="str">
        <f>_xlfn.CONCAT("19 19.2 6b")</f>
        <v>19 19.2 6b</v>
      </c>
      <c r="M50" s="5" t="str">
        <f>_xlfn.CONCAT("81001850445")</f>
        <v>81001850445</v>
      </c>
      <c r="N50" s="5" t="s">
        <v>138</v>
      </c>
      <c r="O50" s="5" t="s">
        <v>117</v>
      </c>
      <c r="P50" s="6">
        <v>44182</v>
      </c>
      <c r="Q50" s="5" t="s">
        <v>30</v>
      </c>
      <c r="R50" s="5" t="s">
        <v>31</v>
      </c>
      <c r="S50" s="5" t="s">
        <v>32</v>
      </c>
      <c r="T50" s="5"/>
      <c r="U50" s="7">
        <v>29927.7</v>
      </c>
      <c r="V50" s="7">
        <v>12904.82</v>
      </c>
      <c r="W50" s="7">
        <v>11917.21</v>
      </c>
      <c r="X50" s="5">
        <v>0</v>
      </c>
      <c r="Y50" s="7">
        <v>5105.67</v>
      </c>
    </row>
    <row r="51" spans="1:25" x14ac:dyDescent="0.25">
      <c r="A51" s="5" t="s">
        <v>26</v>
      </c>
      <c r="B51" s="5" t="s">
        <v>27</v>
      </c>
      <c r="C51" s="5" t="s">
        <v>46</v>
      </c>
      <c r="D51" s="5" t="s">
        <v>53</v>
      </c>
      <c r="E51" s="5" t="s">
        <v>39</v>
      </c>
      <c r="F51" s="5" t="s">
        <v>139</v>
      </c>
      <c r="G51" s="5">
        <v>2019</v>
      </c>
      <c r="H51" s="5" t="str">
        <f>_xlfn.CONCAT("94240848708")</f>
        <v>94240848708</v>
      </c>
      <c r="I51" s="5" t="s">
        <v>28</v>
      </c>
      <c r="J51" s="5" t="s">
        <v>29</v>
      </c>
      <c r="K51" s="5" t="str">
        <f>_xlfn.CONCAT("")</f>
        <v/>
      </c>
      <c r="L51" s="5" t="str">
        <f>_xlfn.CONCAT("10 10.1 4a")</f>
        <v>10 10.1 4a</v>
      </c>
      <c r="M51" s="5" t="str">
        <f>_xlfn.CONCAT("SJDJSH63T01Z148G")</f>
        <v>SJDJSH63T01Z148G</v>
      </c>
      <c r="N51" s="5" t="s">
        <v>140</v>
      </c>
      <c r="O51" s="5" t="s">
        <v>112</v>
      </c>
      <c r="P51" s="6">
        <v>44181</v>
      </c>
      <c r="Q51" s="5" t="s">
        <v>30</v>
      </c>
      <c r="R51" s="5" t="s">
        <v>31</v>
      </c>
      <c r="S51" s="5" t="s">
        <v>32</v>
      </c>
      <c r="T51" s="5"/>
      <c r="U51" s="7">
        <v>15581.14</v>
      </c>
      <c r="V51" s="7">
        <v>6718.59</v>
      </c>
      <c r="W51" s="7">
        <v>6204.41</v>
      </c>
      <c r="X51" s="5">
        <v>0</v>
      </c>
      <c r="Y51" s="7">
        <v>2658.14</v>
      </c>
    </row>
    <row r="52" spans="1:25" x14ac:dyDescent="0.25">
      <c r="A52" s="5" t="s">
        <v>26</v>
      </c>
      <c r="B52" s="5" t="s">
        <v>27</v>
      </c>
      <c r="C52" s="5" t="s">
        <v>46</v>
      </c>
      <c r="D52" s="5" t="s">
        <v>53</v>
      </c>
      <c r="E52" s="5" t="s">
        <v>39</v>
      </c>
      <c r="F52" s="5" t="s">
        <v>108</v>
      </c>
      <c r="G52" s="5">
        <v>2017</v>
      </c>
      <c r="H52" s="5" t="str">
        <f>_xlfn.CONCAT("74780074170")</f>
        <v>74780074170</v>
      </c>
      <c r="I52" s="5" t="s">
        <v>28</v>
      </c>
      <c r="J52" s="5" t="s">
        <v>34</v>
      </c>
      <c r="K52" s="5" t="str">
        <f>_xlfn.CONCAT("221")</f>
        <v>221</v>
      </c>
      <c r="L52" s="5" t="str">
        <f>_xlfn.CONCAT("8 8.1 5e")</f>
        <v>8 8.1 5e</v>
      </c>
      <c r="M52" s="5" t="str">
        <f>_xlfn.CONCAT("01909520437")</f>
        <v>01909520437</v>
      </c>
      <c r="N52" s="5" t="s">
        <v>141</v>
      </c>
      <c r="O52" s="5" t="s">
        <v>110</v>
      </c>
      <c r="P52" s="6">
        <v>44182</v>
      </c>
      <c r="Q52" s="5" t="s">
        <v>30</v>
      </c>
      <c r="R52" s="5" t="s">
        <v>31</v>
      </c>
      <c r="S52" s="5" t="s">
        <v>32</v>
      </c>
      <c r="T52" s="5"/>
      <c r="U52" s="5">
        <v>332</v>
      </c>
      <c r="V52" s="5">
        <v>143.16</v>
      </c>
      <c r="W52" s="5">
        <v>132.19999999999999</v>
      </c>
      <c r="X52" s="5">
        <v>0</v>
      </c>
      <c r="Y52" s="5">
        <v>56.64</v>
      </c>
    </row>
    <row r="53" spans="1:25" x14ac:dyDescent="0.25">
      <c r="A53" s="5" t="s">
        <v>26</v>
      </c>
      <c r="B53" s="5" t="s">
        <v>27</v>
      </c>
      <c r="C53" s="5" t="s">
        <v>46</v>
      </c>
      <c r="D53" s="5" t="s">
        <v>53</v>
      </c>
      <c r="E53" s="5" t="s">
        <v>39</v>
      </c>
      <c r="F53" s="5" t="s">
        <v>134</v>
      </c>
      <c r="G53" s="5">
        <v>2017</v>
      </c>
      <c r="H53" s="5" t="str">
        <f>_xlfn.CONCAT("74780054149")</f>
        <v>74780054149</v>
      </c>
      <c r="I53" s="5" t="s">
        <v>28</v>
      </c>
      <c r="J53" s="5" t="s">
        <v>34</v>
      </c>
      <c r="K53" s="5" t="str">
        <f>_xlfn.CONCAT("221")</f>
        <v>221</v>
      </c>
      <c r="L53" s="5" t="str">
        <f>_xlfn.CONCAT("8 8.1 5e")</f>
        <v>8 8.1 5e</v>
      </c>
      <c r="M53" s="5" t="str">
        <f>_xlfn.CONCAT("01766390437")</f>
        <v>01766390437</v>
      </c>
      <c r="N53" s="5" t="s">
        <v>142</v>
      </c>
      <c r="O53" s="5" t="s">
        <v>110</v>
      </c>
      <c r="P53" s="6">
        <v>44182</v>
      </c>
      <c r="Q53" s="5" t="s">
        <v>30</v>
      </c>
      <c r="R53" s="5" t="s">
        <v>31</v>
      </c>
      <c r="S53" s="5" t="s">
        <v>32</v>
      </c>
      <c r="T53" s="5"/>
      <c r="U53" s="5">
        <v>350.46</v>
      </c>
      <c r="V53" s="5">
        <v>151.12</v>
      </c>
      <c r="W53" s="5">
        <v>139.55000000000001</v>
      </c>
      <c r="X53" s="5">
        <v>0</v>
      </c>
      <c r="Y53" s="5">
        <v>59.79</v>
      </c>
    </row>
    <row r="54" spans="1:25" x14ac:dyDescent="0.25">
      <c r="A54" s="5" t="s">
        <v>26</v>
      </c>
      <c r="B54" s="5" t="s">
        <v>27</v>
      </c>
      <c r="C54" s="5" t="s">
        <v>46</v>
      </c>
      <c r="D54" s="5" t="s">
        <v>53</v>
      </c>
      <c r="E54" s="5" t="s">
        <v>39</v>
      </c>
      <c r="F54" s="5" t="s">
        <v>45</v>
      </c>
      <c r="G54" s="5">
        <v>2018</v>
      </c>
      <c r="H54" s="5" t="str">
        <f>_xlfn.CONCAT("84240989123")</f>
        <v>84240989123</v>
      </c>
      <c r="I54" s="5" t="s">
        <v>28</v>
      </c>
      <c r="J54" s="5" t="s">
        <v>29</v>
      </c>
      <c r="K54" s="5" t="str">
        <f>_xlfn.CONCAT("")</f>
        <v/>
      </c>
      <c r="L54" s="5" t="str">
        <f>_xlfn.CONCAT("10 10.1 4a")</f>
        <v>10 10.1 4a</v>
      </c>
      <c r="M54" s="5" t="str">
        <f>_xlfn.CONCAT("SCLMRC88D03D024S")</f>
        <v>SCLMRC88D03D024S</v>
      </c>
      <c r="N54" s="5" t="s">
        <v>143</v>
      </c>
      <c r="O54" s="5" t="s">
        <v>112</v>
      </c>
      <c r="P54" s="6">
        <v>44181</v>
      </c>
      <c r="Q54" s="5" t="s">
        <v>30</v>
      </c>
      <c r="R54" s="5" t="s">
        <v>31</v>
      </c>
      <c r="S54" s="5" t="s">
        <v>32</v>
      </c>
      <c r="T54" s="5"/>
      <c r="U54" s="7">
        <v>10527.93</v>
      </c>
      <c r="V54" s="7">
        <v>4539.6400000000003</v>
      </c>
      <c r="W54" s="7">
        <v>4192.22</v>
      </c>
      <c r="X54" s="5">
        <v>0</v>
      </c>
      <c r="Y54" s="7">
        <v>1796.07</v>
      </c>
    </row>
    <row r="55" spans="1:25" x14ac:dyDescent="0.25">
      <c r="A55" s="5" t="s">
        <v>26</v>
      </c>
      <c r="B55" s="5" t="s">
        <v>27</v>
      </c>
      <c r="C55" s="5" t="s">
        <v>46</v>
      </c>
      <c r="D55" s="5" t="s">
        <v>53</v>
      </c>
      <c r="E55" s="5" t="s">
        <v>39</v>
      </c>
      <c r="F55" s="5" t="s">
        <v>45</v>
      </c>
      <c r="G55" s="5">
        <v>2019</v>
      </c>
      <c r="H55" s="5" t="str">
        <f>_xlfn.CONCAT("94240771363")</f>
        <v>94240771363</v>
      </c>
      <c r="I55" s="5" t="s">
        <v>28</v>
      </c>
      <c r="J55" s="5" t="s">
        <v>29</v>
      </c>
      <c r="K55" s="5" t="str">
        <f>_xlfn.CONCAT("")</f>
        <v/>
      </c>
      <c r="L55" s="5" t="str">
        <f>_xlfn.CONCAT("10 10.1 4a")</f>
        <v>10 10.1 4a</v>
      </c>
      <c r="M55" s="5" t="str">
        <f>_xlfn.CONCAT("SCLMRC88D03D024S")</f>
        <v>SCLMRC88D03D024S</v>
      </c>
      <c r="N55" s="5" t="s">
        <v>143</v>
      </c>
      <c r="O55" s="5" t="s">
        <v>112</v>
      </c>
      <c r="P55" s="6">
        <v>44181</v>
      </c>
      <c r="Q55" s="5" t="s">
        <v>30</v>
      </c>
      <c r="R55" s="5" t="s">
        <v>31</v>
      </c>
      <c r="S55" s="5" t="s">
        <v>32</v>
      </c>
      <c r="T55" s="5"/>
      <c r="U55" s="7">
        <v>10527.93</v>
      </c>
      <c r="V55" s="7">
        <v>4539.6400000000003</v>
      </c>
      <c r="W55" s="7">
        <v>4192.22</v>
      </c>
      <c r="X55" s="5">
        <v>0</v>
      </c>
      <c r="Y55" s="7">
        <v>1796.07</v>
      </c>
    </row>
    <row r="56" spans="1:25" x14ac:dyDescent="0.25">
      <c r="A56" s="5" t="s">
        <v>26</v>
      </c>
      <c r="B56" s="5" t="s">
        <v>27</v>
      </c>
      <c r="C56" s="5" t="s">
        <v>46</v>
      </c>
      <c r="D56" s="5" t="s">
        <v>53</v>
      </c>
      <c r="E56" s="5" t="s">
        <v>39</v>
      </c>
      <c r="F56" s="5" t="s">
        <v>45</v>
      </c>
      <c r="G56" s="5">
        <v>2018</v>
      </c>
      <c r="H56" s="5" t="str">
        <f>_xlfn.CONCAT("84240989008")</f>
        <v>84240989008</v>
      </c>
      <c r="I56" s="5" t="s">
        <v>28</v>
      </c>
      <c r="J56" s="5" t="s">
        <v>29</v>
      </c>
      <c r="K56" s="5" t="str">
        <f>_xlfn.CONCAT("")</f>
        <v/>
      </c>
      <c r="L56" s="5" t="str">
        <f>_xlfn.CONCAT("10 10.1 4a")</f>
        <v>10 10.1 4a</v>
      </c>
      <c r="M56" s="5" t="str">
        <f>_xlfn.CONCAT("SCLMRC88D03D024S")</f>
        <v>SCLMRC88D03D024S</v>
      </c>
      <c r="N56" s="5" t="s">
        <v>143</v>
      </c>
      <c r="O56" s="5" t="s">
        <v>112</v>
      </c>
      <c r="P56" s="6">
        <v>44181</v>
      </c>
      <c r="Q56" s="5" t="s">
        <v>30</v>
      </c>
      <c r="R56" s="5" t="s">
        <v>31</v>
      </c>
      <c r="S56" s="5" t="s">
        <v>32</v>
      </c>
      <c r="T56" s="5"/>
      <c r="U56" s="7">
        <v>7144.75</v>
      </c>
      <c r="V56" s="7">
        <v>3080.82</v>
      </c>
      <c r="W56" s="7">
        <v>2845.04</v>
      </c>
      <c r="X56" s="5">
        <v>0</v>
      </c>
      <c r="Y56" s="7">
        <v>1218.8900000000001</v>
      </c>
    </row>
    <row r="57" spans="1:25" x14ac:dyDescent="0.25">
      <c r="A57" s="5" t="s">
        <v>26</v>
      </c>
      <c r="B57" s="5" t="s">
        <v>27</v>
      </c>
      <c r="C57" s="5" t="s">
        <v>46</v>
      </c>
      <c r="D57" s="5" t="s">
        <v>53</v>
      </c>
      <c r="E57" s="5" t="s">
        <v>39</v>
      </c>
      <c r="F57" s="5" t="s">
        <v>45</v>
      </c>
      <c r="G57" s="5">
        <v>2017</v>
      </c>
      <c r="H57" s="5" t="str">
        <f>_xlfn.CONCAT("74240690284")</f>
        <v>74240690284</v>
      </c>
      <c r="I57" s="5" t="s">
        <v>28</v>
      </c>
      <c r="J57" s="5" t="s">
        <v>29</v>
      </c>
      <c r="K57" s="5" t="str">
        <f>_xlfn.CONCAT("")</f>
        <v/>
      </c>
      <c r="L57" s="5" t="str">
        <f>_xlfn.CONCAT("10 10.1 4a")</f>
        <v>10 10.1 4a</v>
      </c>
      <c r="M57" s="5" t="str">
        <f>_xlfn.CONCAT("SCLMRC88D03D024S")</f>
        <v>SCLMRC88D03D024S</v>
      </c>
      <c r="N57" s="5" t="s">
        <v>143</v>
      </c>
      <c r="O57" s="5" t="s">
        <v>112</v>
      </c>
      <c r="P57" s="6">
        <v>44181</v>
      </c>
      <c r="Q57" s="5" t="s">
        <v>30</v>
      </c>
      <c r="R57" s="5" t="s">
        <v>31</v>
      </c>
      <c r="S57" s="5" t="s">
        <v>32</v>
      </c>
      <c r="T57" s="5"/>
      <c r="U57" s="7">
        <v>7582.01</v>
      </c>
      <c r="V57" s="7">
        <v>3269.36</v>
      </c>
      <c r="W57" s="7">
        <v>3019.16</v>
      </c>
      <c r="X57" s="5">
        <v>0</v>
      </c>
      <c r="Y57" s="7">
        <v>1293.49</v>
      </c>
    </row>
    <row r="58" spans="1:25" x14ac:dyDescent="0.25">
      <c r="A58" s="5" t="s">
        <v>26</v>
      </c>
      <c r="B58" s="5" t="s">
        <v>27</v>
      </c>
      <c r="C58" s="5" t="s">
        <v>46</v>
      </c>
      <c r="D58" s="5" t="s">
        <v>53</v>
      </c>
      <c r="E58" s="5" t="s">
        <v>36</v>
      </c>
      <c r="F58" s="5" t="s">
        <v>144</v>
      </c>
      <c r="G58" s="5">
        <v>2020</v>
      </c>
      <c r="H58" s="5" t="str">
        <f>_xlfn.CONCAT("04210423879")</f>
        <v>04210423879</v>
      </c>
      <c r="I58" s="5" t="s">
        <v>28</v>
      </c>
      <c r="J58" s="5" t="s">
        <v>29</v>
      </c>
      <c r="K58" s="5" t="str">
        <f>_xlfn.CONCAT("")</f>
        <v/>
      </c>
      <c r="L58" s="5" t="str">
        <f>_xlfn.CONCAT("13 13.1 4a")</f>
        <v>13 13.1 4a</v>
      </c>
      <c r="M58" s="5" t="str">
        <f>_xlfn.CONCAT("00389840430")</f>
        <v>00389840430</v>
      </c>
      <c r="N58" s="5" t="s">
        <v>145</v>
      </c>
      <c r="O58" s="5" t="s">
        <v>137</v>
      </c>
      <c r="P58" s="6">
        <v>44182</v>
      </c>
      <c r="Q58" s="5" t="s">
        <v>30</v>
      </c>
      <c r="R58" s="5" t="s">
        <v>31</v>
      </c>
      <c r="S58" s="5" t="s">
        <v>32</v>
      </c>
      <c r="T58" s="5"/>
      <c r="U58" s="7">
        <v>5512.54</v>
      </c>
      <c r="V58" s="7">
        <v>2377.0100000000002</v>
      </c>
      <c r="W58" s="7">
        <v>2195.09</v>
      </c>
      <c r="X58" s="5">
        <v>0</v>
      </c>
      <c r="Y58" s="5">
        <v>940.44</v>
      </c>
    </row>
    <row r="59" spans="1:25" ht="24.75" x14ac:dyDescent="0.25">
      <c r="A59" s="5" t="s">
        <v>26</v>
      </c>
      <c r="B59" s="5" t="s">
        <v>27</v>
      </c>
      <c r="C59" s="5" t="s">
        <v>46</v>
      </c>
      <c r="D59" s="5" t="s">
        <v>58</v>
      </c>
      <c r="E59" s="5" t="s">
        <v>39</v>
      </c>
      <c r="F59" s="5" t="s">
        <v>80</v>
      </c>
      <c r="G59" s="5">
        <v>2018</v>
      </c>
      <c r="H59" s="5" t="str">
        <f>_xlfn.CONCAT("84210625145")</f>
        <v>84210625145</v>
      </c>
      <c r="I59" s="5" t="s">
        <v>28</v>
      </c>
      <c r="J59" s="5" t="s">
        <v>29</v>
      </c>
      <c r="K59" s="5" t="str">
        <f>_xlfn.CONCAT("")</f>
        <v/>
      </c>
      <c r="L59" s="5" t="str">
        <f>_xlfn.CONCAT("13 13.1 4a")</f>
        <v>13 13.1 4a</v>
      </c>
      <c r="M59" s="5" t="str">
        <f>_xlfn.CONCAT("PRSLFA23H15F497F")</f>
        <v>PRSLFA23H15F497F</v>
      </c>
      <c r="N59" s="5" t="s">
        <v>146</v>
      </c>
      <c r="O59" s="5" t="s">
        <v>137</v>
      </c>
      <c r="P59" s="6">
        <v>44182</v>
      </c>
      <c r="Q59" s="5" t="s">
        <v>30</v>
      </c>
      <c r="R59" s="5" t="s">
        <v>31</v>
      </c>
      <c r="S59" s="5" t="s">
        <v>32</v>
      </c>
      <c r="T59" s="5"/>
      <c r="U59" s="5">
        <v>209.4</v>
      </c>
      <c r="V59" s="5">
        <v>90.29</v>
      </c>
      <c r="W59" s="5">
        <v>83.38</v>
      </c>
      <c r="X59" s="5">
        <v>0</v>
      </c>
      <c r="Y59" s="5">
        <v>35.729999999999997</v>
      </c>
    </row>
    <row r="60" spans="1:25" ht="24.75" x14ac:dyDescent="0.25">
      <c r="A60" s="5" t="s">
        <v>26</v>
      </c>
      <c r="B60" s="5" t="s">
        <v>41</v>
      </c>
      <c r="C60" s="5" t="s">
        <v>46</v>
      </c>
      <c r="D60" s="5" t="s">
        <v>125</v>
      </c>
      <c r="E60" s="5" t="s">
        <v>37</v>
      </c>
      <c r="F60" s="5" t="s">
        <v>147</v>
      </c>
      <c r="G60" s="5">
        <v>2017</v>
      </c>
      <c r="H60" s="5" t="str">
        <f>_xlfn.CONCAT("04270205836")</f>
        <v>04270205836</v>
      </c>
      <c r="I60" s="5" t="s">
        <v>28</v>
      </c>
      <c r="J60" s="5" t="s">
        <v>29</v>
      </c>
      <c r="K60" s="5" t="str">
        <f>_xlfn.CONCAT("")</f>
        <v/>
      </c>
      <c r="L60" s="5" t="str">
        <f>_xlfn.CONCAT("4 4.1 2a")</f>
        <v>4 4.1 2a</v>
      </c>
      <c r="M60" s="5" t="str">
        <f>_xlfn.CONCAT("VGNLLN61M50Z110B")</f>
        <v>VGNLLN61M50Z110B</v>
      </c>
      <c r="N60" s="5" t="s">
        <v>148</v>
      </c>
      <c r="O60" s="5" t="s">
        <v>149</v>
      </c>
      <c r="P60" s="6">
        <v>44181</v>
      </c>
      <c r="Q60" s="5" t="s">
        <v>30</v>
      </c>
      <c r="R60" s="5" t="s">
        <v>43</v>
      </c>
      <c r="S60" s="5" t="s">
        <v>32</v>
      </c>
      <c r="T60" s="5"/>
      <c r="U60" s="7">
        <v>169000</v>
      </c>
      <c r="V60" s="7">
        <v>72872.800000000003</v>
      </c>
      <c r="W60" s="7">
        <v>67295.8</v>
      </c>
      <c r="X60" s="5">
        <v>0</v>
      </c>
      <c r="Y60" s="7">
        <v>28831.4</v>
      </c>
    </row>
    <row r="61" spans="1:25" ht="24.75" x14ac:dyDescent="0.25">
      <c r="A61" s="5" t="s">
        <v>26</v>
      </c>
      <c r="B61" s="5" t="s">
        <v>27</v>
      </c>
      <c r="C61" s="5" t="s">
        <v>46</v>
      </c>
      <c r="D61" s="5" t="s">
        <v>58</v>
      </c>
      <c r="E61" s="5" t="s">
        <v>37</v>
      </c>
      <c r="F61" s="5" t="s">
        <v>72</v>
      </c>
      <c r="G61" s="5">
        <v>2018</v>
      </c>
      <c r="H61" s="5" t="str">
        <f>_xlfn.CONCAT("84210539312")</f>
        <v>84210539312</v>
      </c>
      <c r="I61" s="5" t="s">
        <v>38</v>
      </c>
      <c r="J61" s="5" t="s">
        <v>29</v>
      </c>
      <c r="K61" s="5" t="str">
        <f>_xlfn.CONCAT("")</f>
        <v/>
      </c>
      <c r="L61" s="5" t="str">
        <f>_xlfn.CONCAT("13 13.1 4a")</f>
        <v>13 13.1 4a</v>
      </c>
      <c r="M61" s="5" t="str">
        <f>_xlfn.CONCAT("MTTMRA45M43D541E")</f>
        <v>MTTMRA45M43D541E</v>
      </c>
      <c r="N61" s="5" t="s">
        <v>150</v>
      </c>
      <c r="O61" s="5" t="s">
        <v>137</v>
      </c>
      <c r="P61" s="6">
        <v>44182</v>
      </c>
      <c r="Q61" s="5" t="s">
        <v>30</v>
      </c>
      <c r="R61" s="5" t="s">
        <v>31</v>
      </c>
      <c r="S61" s="5" t="s">
        <v>32</v>
      </c>
      <c r="T61" s="5"/>
      <c r="U61" s="5">
        <v>340.92</v>
      </c>
      <c r="V61" s="5">
        <v>147</v>
      </c>
      <c r="W61" s="5">
        <v>135.75</v>
      </c>
      <c r="X61" s="5">
        <v>0</v>
      </c>
      <c r="Y61" s="5">
        <v>58.17</v>
      </c>
    </row>
    <row r="62" spans="1:25" ht="24.75" x14ac:dyDescent="0.25">
      <c r="A62" s="5" t="s">
        <v>26</v>
      </c>
      <c r="B62" s="5" t="s">
        <v>27</v>
      </c>
      <c r="C62" s="5" t="s">
        <v>46</v>
      </c>
      <c r="D62" s="5" t="s">
        <v>58</v>
      </c>
      <c r="E62" s="5" t="s">
        <v>39</v>
      </c>
      <c r="F62" s="5" t="s">
        <v>80</v>
      </c>
      <c r="G62" s="5">
        <v>2018</v>
      </c>
      <c r="H62" s="5" t="str">
        <f>_xlfn.CONCAT("84211634682")</f>
        <v>84211634682</v>
      </c>
      <c r="I62" s="5" t="s">
        <v>28</v>
      </c>
      <c r="J62" s="5" t="s">
        <v>29</v>
      </c>
      <c r="K62" s="5" t="str">
        <f>_xlfn.CONCAT("")</f>
        <v/>
      </c>
      <c r="L62" s="5" t="str">
        <f>_xlfn.CONCAT("13 13.1 4a")</f>
        <v>13 13.1 4a</v>
      </c>
      <c r="M62" s="5" t="str">
        <f>_xlfn.CONCAT("01406540417")</f>
        <v>01406540417</v>
      </c>
      <c r="N62" s="5" t="s">
        <v>151</v>
      </c>
      <c r="O62" s="5" t="s">
        <v>137</v>
      </c>
      <c r="P62" s="6">
        <v>44182</v>
      </c>
      <c r="Q62" s="5" t="s">
        <v>30</v>
      </c>
      <c r="R62" s="5" t="s">
        <v>31</v>
      </c>
      <c r="S62" s="5" t="s">
        <v>32</v>
      </c>
      <c r="T62" s="5"/>
      <c r="U62" s="7">
        <v>8468.1</v>
      </c>
      <c r="V62" s="7">
        <v>3651.44</v>
      </c>
      <c r="W62" s="7">
        <v>3372</v>
      </c>
      <c r="X62" s="5">
        <v>0</v>
      </c>
      <c r="Y62" s="7">
        <v>1444.66</v>
      </c>
    </row>
    <row r="63" spans="1:25" x14ac:dyDescent="0.25">
      <c r="A63" s="5" t="s">
        <v>26</v>
      </c>
      <c r="B63" s="5" t="s">
        <v>27</v>
      </c>
      <c r="C63" s="5" t="s">
        <v>46</v>
      </c>
      <c r="D63" s="5" t="s">
        <v>53</v>
      </c>
      <c r="E63" s="5" t="s">
        <v>39</v>
      </c>
      <c r="F63" s="5" t="s">
        <v>45</v>
      </c>
      <c r="G63" s="5">
        <v>2019</v>
      </c>
      <c r="H63" s="5" t="str">
        <f>_xlfn.CONCAT("94240690498")</f>
        <v>94240690498</v>
      </c>
      <c r="I63" s="5" t="s">
        <v>28</v>
      </c>
      <c r="J63" s="5" t="s">
        <v>29</v>
      </c>
      <c r="K63" s="5" t="str">
        <f>_xlfn.CONCAT("")</f>
        <v/>
      </c>
      <c r="L63" s="5" t="str">
        <f>_xlfn.CONCAT("10 10.1 4a")</f>
        <v>10 10.1 4a</v>
      </c>
      <c r="M63" s="5" t="str">
        <f>_xlfn.CONCAT("SCLRND93L22D024E")</f>
        <v>SCLRND93L22D024E</v>
      </c>
      <c r="N63" s="5" t="s">
        <v>152</v>
      </c>
      <c r="O63" s="5" t="s">
        <v>153</v>
      </c>
      <c r="P63" s="6">
        <v>44182</v>
      </c>
      <c r="Q63" s="5" t="s">
        <v>30</v>
      </c>
      <c r="R63" s="5" t="s">
        <v>31</v>
      </c>
      <c r="S63" s="5" t="s">
        <v>32</v>
      </c>
      <c r="T63" s="5"/>
      <c r="U63" s="7">
        <v>6100.08</v>
      </c>
      <c r="V63" s="7">
        <v>2630.35</v>
      </c>
      <c r="W63" s="7">
        <v>2429.0500000000002</v>
      </c>
      <c r="X63" s="5">
        <v>0</v>
      </c>
      <c r="Y63" s="7">
        <v>1040.68</v>
      </c>
    </row>
    <row r="64" spans="1:25" x14ac:dyDescent="0.25">
      <c r="A64" s="5" t="s">
        <v>26</v>
      </c>
      <c r="B64" s="5" t="s">
        <v>27</v>
      </c>
      <c r="C64" s="5" t="s">
        <v>46</v>
      </c>
      <c r="D64" s="5" t="s">
        <v>53</v>
      </c>
      <c r="E64" s="5" t="s">
        <v>39</v>
      </c>
      <c r="F64" s="5" t="s">
        <v>45</v>
      </c>
      <c r="G64" s="5">
        <v>2019</v>
      </c>
      <c r="H64" s="5" t="str">
        <f>_xlfn.CONCAT("94240690126")</f>
        <v>94240690126</v>
      </c>
      <c r="I64" s="5" t="s">
        <v>28</v>
      </c>
      <c r="J64" s="5" t="s">
        <v>29</v>
      </c>
      <c r="K64" s="5" t="str">
        <f>_xlfn.CONCAT("")</f>
        <v/>
      </c>
      <c r="L64" s="5" t="str">
        <f>_xlfn.CONCAT("10 10.1 4a")</f>
        <v>10 10.1 4a</v>
      </c>
      <c r="M64" s="5" t="str">
        <f>_xlfn.CONCAT("SCLRND93L22D024E")</f>
        <v>SCLRND93L22D024E</v>
      </c>
      <c r="N64" s="5" t="s">
        <v>152</v>
      </c>
      <c r="O64" s="5" t="s">
        <v>153</v>
      </c>
      <c r="P64" s="6">
        <v>44182</v>
      </c>
      <c r="Q64" s="5" t="s">
        <v>30</v>
      </c>
      <c r="R64" s="5" t="s">
        <v>31</v>
      </c>
      <c r="S64" s="5" t="s">
        <v>32</v>
      </c>
      <c r="T64" s="5"/>
      <c r="U64" s="7">
        <v>8155.24</v>
      </c>
      <c r="V64" s="7">
        <v>3516.54</v>
      </c>
      <c r="W64" s="7">
        <v>3247.42</v>
      </c>
      <c r="X64" s="5">
        <v>0</v>
      </c>
      <c r="Y64" s="7">
        <v>1391.28</v>
      </c>
    </row>
    <row r="65" spans="1:25" ht="24.75" x14ac:dyDescent="0.25">
      <c r="A65" s="5" t="s">
        <v>26</v>
      </c>
      <c r="B65" s="5" t="s">
        <v>27</v>
      </c>
      <c r="C65" s="5" t="s">
        <v>46</v>
      </c>
      <c r="D65" s="5" t="s">
        <v>47</v>
      </c>
      <c r="E65" s="5" t="s">
        <v>39</v>
      </c>
      <c r="F65" s="5" t="s">
        <v>154</v>
      </c>
      <c r="G65" s="5">
        <v>2018</v>
      </c>
      <c r="H65" s="5" t="str">
        <f>_xlfn.CONCAT("84241310139")</f>
        <v>84241310139</v>
      </c>
      <c r="I65" s="5" t="s">
        <v>28</v>
      </c>
      <c r="J65" s="5" t="s">
        <v>29</v>
      </c>
      <c r="K65" s="5" t="str">
        <f>_xlfn.CONCAT("")</f>
        <v/>
      </c>
      <c r="L65" s="5" t="str">
        <f>_xlfn.CONCAT("10 10.1 4a")</f>
        <v>10 10.1 4a</v>
      </c>
      <c r="M65" s="5" t="str">
        <f>_xlfn.CONCAT("01474980420")</f>
        <v>01474980420</v>
      </c>
      <c r="N65" s="5" t="s">
        <v>155</v>
      </c>
      <c r="O65" s="5" t="s">
        <v>153</v>
      </c>
      <c r="P65" s="6">
        <v>44182</v>
      </c>
      <c r="Q65" s="5" t="s">
        <v>30</v>
      </c>
      <c r="R65" s="5" t="s">
        <v>31</v>
      </c>
      <c r="S65" s="5" t="s">
        <v>32</v>
      </c>
      <c r="T65" s="5"/>
      <c r="U65" s="5">
        <v>910.99</v>
      </c>
      <c r="V65" s="5">
        <v>392.82</v>
      </c>
      <c r="W65" s="5">
        <v>362.76</v>
      </c>
      <c r="X65" s="5">
        <v>0</v>
      </c>
      <c r="Y65" s="5">
        <v>155.41</v>
      </c>
    </row>
    <row r="66" spans="1:25" ht="24.75" x14ac:dyDescent="0.25">
      <c r="A66" s="5" t="s">
        <v>26</v>
      </c>
      <c r="B66" s="5" t="s">
        <v>27</v>
      </c>
      <c r="C66" s="5" t="s">
        <v>46</v>
      </c>
      <c r="D66" s="5" t="s">
        <v>58</v>
      </c>
      <c r="E66" s="5" t="s">
        <v>35</v>
      </c>
      <c r="F66" s="5" t="s">
        <v>156</v>
      </c>
      <c r="G66" s="5">
        <v>2020</v>
      </c>
      <c r="H66" s="5" t="str">
        <f>_xlfn.CONCAT("04780021012")</f>
        <v>04780021012</v>
      </c>
      <c r="I66" s="5" t="s">
        <v>28</v>
      </c>
      <c r="J66" s="5" t="s">
        <v>34</v>
      </c>
      <c r="K66" s="5" t="str">
        <f>_xlfn.CONCAT("221")</f>
        <v>221</v>
      </c>
      <c r="L66" s="5" t="str">
        <f>_xlfn.CONCAT("8 8.1 5e")</f>
        <v>8 8.1 5e</v>
      </c>
      <c r="M66" s="5" t="str">
        <f>_xlfn.CONCAT("LLGRRT69D25G479H")</f>
        <v>LLGRRT69D25G479H</v>
      </c>
      <c r="N66" s="5" t="s">
        <v>157</v>
      </c>
      <c r="O66" s="5" t="s">
        <v>158</v>
      </c>
      <c r="P66" s="6">
        <v>44182</v>
      </c>
      <c r="Q66" s="5" t="s">
        <v>30</v>
      </c>
      <c r="R66" s="5" t="s">
        <v>31</v>
      </c>
      <c r="S66" s="5" t="s">
        <v>32</v>
      </c>
      <c r="T66" s="5"/>
      <c r="U66" s="7">
        <v>3026.6</v>
      </c>
      <c r="V66" s="7">
        <v>1305.07</v>
      </c>
      <c r="W66" s="7">
        <v>1205.19</v>
      </c>
      <c r="X66" s="5">
        <v>0</v>
      </c>
      <c r="Y66" s="5">
        <v>516.34</v>
      </c>
    </row>
    <row r="67" spans="1:25" ht="24.75" x14ac:dyDescent="0.25">
      <c r="A67" s="5" t="s">
        <v>26</v>
      </c>
      <c r="B67" s="5" t="s">
        <v>41</v>
      </c>
      <c r="C67" s="5" t="s">
        <v>46</v>
      </c>
      <c r="D67" s="5" t="s">
        <v>125</v>
      </c>
      <c r="E67" s="5" t="s">
        <v>36</v>
      </c>
      <c r="F67" s="5" t="s">
        <v>159</v>
      </c>
      <c r="G67" s="5">
        <v>2017</v>
      </c>
      <c r="H67" s="5" t="str">
        <f>_xlfn.CONCAT("04270208236")</f>
        <v>04270208236</v>
      </c>
      <c r="I67" s="5" t="s">
        <v>28</v>
      </c>
      <c r="J67" s="5" t="s">
        <v>29</v>
      </c>
      <c r="K67" s="5" t="str">
        <f>_xlfn.CONCAT("")</f>
        <v/>
      </c>
      <c r="L67" s="5" t="str">
        <f>_xlfn.CONCAT("3 3.2 3a")</f>
        <v>3 3.2 3a</v>
      </c>
      <c r="M67" s="5" t="str">
        <f>_xlfn.CONCAT("01717810442")</f>
        <v>01717810442</v>
      </c>
      <c r="N67" s="5" t="s">
        <v>160</v>
      </c>
      <c r="O67" s="5" t="s">
        <v>161</v>
      </c>
      <c r="P67" s="6">
        <v>44181</v>
      </c>
      <c r="Q67" s="5" t="s">
        <v>30</v>
      </c>
      <c r="R67" s="5" t="s">
        <v>31</v>
      </c>
      <c r="S67" s="5" t="s">
        <v>32</v>
      </c>
      <c r="T67" s="5"/>
      <c r="U67" s="7">
        <v>327472.08</v>
      </c>
      <c r="V67" s="7">
        <v>141205.96</v>
      </c>
      <c r="W67" s="7">
        <v>130399.38</v>
      </c>
      <c r="X67" s="5">
        <v>0</v>
      </c>
      <c r="Y67" s="7">
        <v>55866.74</v>
      </c>
    </row>
    <row r="68" spans="1:25" ht="24.75" x14ac:dyDescent="0.25">
      <c r="A68" s="5" t="s">
        <v>26</v>
      </c>
      <c r="B68" s="5" t="s">
        <v>41</v>
      </c>
      <c r="C68" s="5" t="s">
        <v>46</v>
      </c>
      <c r="D68" s="5" t="s">
        <v>58</v>
      </c>
      <c r="E68" s="5" t="s">
        <v>42</v>
      </c>
      <c r="F68" s="5" t="s">
        <v>42</v>
      </c>
      <c r="G68" s="5">
        <v>2017</v>
      </c>
      <c r="H68" s="5" t="str">
        <f>_xlfn.CONCAT("04270184882")</f>
        <v>04270184882</v>
      </c>
      <c r="I68" s="5" t="s">
        <v>28</v>
      </c>
      <c r="J68" s="5" t="s">
        <v>29</v>
      </c>
      <c r="K68" s="5" t="str">
        <f>_xlfn.CONCAT("")</f>
        <v/>
      </c>
      <c r="L68" s="5" t="str">
        <f>_xlfn.CONCAT("1 1.1 2a")</f>
        <v>1 1.1 2a</v>
      </c>
      <c r="M68" s="5" t="str">
        <f>_xlfn.CONCAT("02051370423")</f>
        <v>02051370423</v>
      </c>
      <c r="N68" s="5" t="s">
        <v>162</v>
      </c>
      <c r="O68" s="5" t="s">
        <v>163</v>
      </c>
      <c r="P68" s="6">
        <v>44182</v>
      </c>
      <c r="Q68" s="5" t="s">
        <v>30</v>
      </c>
      <c r="R68" s="5" t="s">
        <v>31</v>
      </c>
      <c r="S68" s="5" t="s">
        <v>32</v>
      </c>
      <c r="T68" s="5"/>
      <c r="U68" s="7">
        <v>3234</v>
      </c>
      <c r="V68" s="7">
        <v>1394.5</v>
      </c>
      <c r="W68" s="7">
        <v>1287.78</v>
      </c>
      <c r="X68" s="5">
        <v>0</v>
      </c>
      <c r="Y68" s="5">
        <v>551.72</v>
      </c>
    </row>
    <row r="69" spans="1:25" ht="24.75" x14ac:dyDescent="0.25">
      <c r="A69" s="5" t="s">
        <v>26</v>
      </c>
      <c r="B69" s="5" t="s">
        <v>41</v>
      </c>
      <c r="C69" s="5" t="s">
        <v>46</v>
      </c>
      <c r="D69" s="5" t="s">
        <v>125</v>
      </c>
      <c r="E69" s="5" t="s">
        <v>36</v>
      </c>
      <c r="F69" s="5" t="s">
        <v>159</v>
      </c>
      <c r="G69" s="5">
        <v>2017</v>
      </c>
      <c r="H69" s="5" t="str">
        <f>_xlfn.CONCAT("04270205778")</f>
        <v>04270205778</v>
      </c>
      <c r="I69" s="5" t="s">
        <v>28</v>
      </c>
      <c r="J69" s="5" t="s">
        <v>29</v>
      </c>
      <c r="K69" s="5" t="str">
        <f>_xlfn.CONCAT("")</f>
        <v/>
      </c>
      <c r="L69" s="5" t="str">
        <f>_xlfn.CONCAT("6 6.1 2b")</f>
        <v>6 6.1 2b</v>
      </c>
      <c r="M69" s="5" t="str">
        <f>_xlfn.CONCAT("MRCMHL89S22A252M")</f>
        <v>MRCMHL89S22A252M</v>
      </c>
      <c r="N69" s="5" t="s">
        <v>164</v>
      </c>
      <c r="O69" s="5" t="s">
        <v>165</v>
      </c>
      <c r="P69" s="6">
        <v>44181</v>
      </c>
      <c r="Q69" s="5" t="s">
        <v>30</v>
      </c>
      <c r="R69" s="5" t="s">
        <v>31</v>
      </c>
      <c r="S69" s="5" t="s">
        <v>32</v>
      </c>
      <c r="T69" s="5"/>
      <c r="U69" s="7">
        <v>10500</v>
      </c>
      <c r="V69" s="7">
        <v>4527.6000000000004</v>
      </c>
      <c r="W69" s="7">
        <v>4181.1000000000004</v>
      </c>
      <c r="X69" s="5">
        <v>0</v>
      </c>
      <c r="Y69" s="7">
        <v>1791.3</v>
      </c>
    </row>
    <row r="70" spans="1:25" ht="24.75" x14ac:dyDescent="0.25">
      <c r="A70" s="5" t="s">
        <v>26</v>
      </c>
      <c r="B70" s="5" t="s">
        <v>41</v>
      </c>
      <c r="C70" s="5" t="s">
        <v>46</v>
      </c>
      <c r="D70" s="5" t="s">
        <v>47</v>
      </c>
      <c r="E70" s="5" t="s">
        <v>37</v>
      </c>
      <c r="F70" s="5" t="s">
        <v>113</v>
      </c>
      <c r="G70" s="5">
        <v>2017</v>
      </c>
      <c r="H70" s="5" t="str">
        <f>_xlfn.CONCAT("94270174660")</f>
        <v>94270174660</v>
      </c>
      <c r="I70" s="5" t="s">
        <v>28</v>
      </c>
      <c r="J70" s="5" t="s">
        <v>29</v>
      </c>
      <c r="K70" s="5" t="str">
        <f>_xlfn.CONCAT("")</f>
        <v/>
      </c>
      <c r="L70" s="5" t="str">
        <f>_xlfn.CONCAT("6 6.1 2b")</f>
        <v>6 6.1 2b</v>
      </c>
      <c r="M70" s="5" t="str">
        <f>_xlfn.CONCAT("02699800427")</f>
        <v>02699800427</v>
      </c>
      <c r="N70" s="5" t="s">
        <v>166</v>
      </c>
      <c r="O70" s="5" t="s">
        <v>167</v>
      </c>
      <c r="P70" s="6">
        <v>44181</v>
      </c>
      <c r="Q70" s="5" t="s">
        <v>30</v>
      </c>
      <c r="R70" s="5" t="s">
        <v>31</v>
      </c>
      <c r="S70" s="5" t="s">
        <v>32</v>
      </c>
      <c r="T70" s="5"/>
      <c r="U70" s="7">
        <v>21000</v>
      </c>
      <c r="V70" s="7">
        <v>9055.2000000000007</v>
      </c>
      <c r="W70" s="7">
        <v>8362.2000000000007</v>
      </c>
      <c r="X70" s="5">
        <v>0</v>
      </c>
      <c r="Y70" s="7">
        <v>3582.6</v>
      </c>
    </row>
    <row r="71" spans="1:25" ht="24.75" x14ac:dyDescent="0.25">
      <c r="A71" s="5" t="s">
        <v>26</v>
      </c>
      <c r="B71" s="5" t="s">
        <v>41</v>
      </c>
      <c r="C71" s="5" t="s">
        <v>46</v>
      </c>
      <c r="D71" s="5" t="s">
        <v>125</v>
      </c>
      <c r="E71" s="5" t="s">
        <v>39</v>
      </c>
      <c r="F71" s="5" t="s">
        <v>168</v>
      </c>
      <c r="G71" s="5">
        <v>2017</v>
      </c>
      <c r="H71" s="5" t="str">
        <f>_xlfn.CONCAT("04270150537")</f>
        <v>04270150537</v>
      </c>
      <c r="I71" s="5" t="s">
        <v>28</v>
      </c>
      <c r="J71" s="5" t="s">
        <v>29</v>
      </c>
      <c r="K71" s="5" t="str">
        <f>_xlfn.CONCAT("")</f>
        <v/>
      </c>
      <c r="L71" s="5" t="str">
        <f>_xlfn.CONCAT("6 6.1 2b")</f>
        <v>6 6.1 2b</v>
      </c>
      <c r="M71" s="5" t="str">
        <f>_xlfn.CONCAT("RLADNL93L10H769F")</f>
        <v>RLADNL93L10H769F</v>
      </c>
      <c r="N71" s="5" t="s">
        <v>169</v>
      </c>
      <c r="O71" s="5" t="s">
        <v>170</v>
      </c>
      <c r="P71" s="6">
        <v>44182</v>
      </c>
      <c r="Q71" s="5" t="s">
        <v>30</v>
      </c>
      <c r="R71" s="5" t="s">
        <v>44</v>
      </c>
      <c r="S71" s="5" t="s">
        <v>32</v>
      </c>
      <c r="T71" s="5"/>
      <c r="U71" s="7">
        <v>28000</v>
      </c>
      <c r="V71" s="7">
        <v>12073.6</v>
      </c>
      <c r="W71" s="7">
        <v>11149.6</v>
      </c>
      <c r="X71" s="5">
        <v>0</v>
      </c>
      <c r="Y71" s="7">
        <v>4776.8</v>
      </c>
    </row>
    <row r="72" spans="1:25" ht="24.75" x14ac:dyDescent="0.25">
      <c r="A72" s="5" t="s">
        <v>26</v>
      </c>
      <c r="B72" s="5" t="s">
        <v>41</v>
      </c>
      <c r="C72" s="5" t="s">
        <v>46</v>
      </c>
      <c r="D72" s="5" t="s">
        <v>47</v>
      </c>
      <c r="E72" s="5" t="s">
        <v>37</v>
      </c>
      <c r="F72" s="5" t="s">
        <v>113</v>
      </c>
      <c r="G72" s="5">
        <v>2017</v>
      </c>
      <c r="H72" s="5" t="str">
        <f>_xlfn.CONCAT("04270150529")</f>
        <v>04270150529</v>
      </c>
      <c r="I72" s="5" t="s">
        <v>28</v>
      </c>
      <c r="J72" s="5" t="s">
        <v>29</v>
      </c>
      <c r="K72" s="5" t="str">
        <f>_xlfn.CONCAT("")</f>
        <v/>
      </c>
      <c r="L72" s="5" t="str">
        <f>_xlfn.CONCAT("6 6.1 2b")</f>
        <v>6 6.1 2b</v>
      </c>
      <c r="M72" s="5" t="str">
        <f>_xlfn.CONCAT("MNFCRS92C49D451M")</f>
        <v>MNFCRS92C49D451M</v>
      </c>
      <c r="N72" s="5" t="s">
        <v>171</v>
      </c>
      <c r="O72" s="5" t="s">
        <v>170</v>
      </c>
      <c r="P72" s="6">
        <v>44182</v>
      </c>
      <c r="Q72" s="5" t="s">
        <v>30</v>
      </c>
      <c r="R72" s="5" t="s">
        <v>44</v>
      </c>
      <c r="S72" s="5" t="s">
        <v>32</v>
      </c>
      <c r="T72" s="5"/>
      <c r="U72" s="7">
        <v>42000</v>
      </c>
      <c r="V72" s="7">
        <v>18110.400000000001</v>
      </c>
      <c r="W72" s="7">
        <v>16724.400000000001</v>
      </c>
      <c r="X72" s="5">
        <v>0</v>
      </c>
      <c r="Y72" s="7">
        <v>7165.2</v>
      </c>
    </row>
    <row r="73" spans="1:25" ht="24.75" x14ac:dyDescent="0.25">
      <c r="A73" s="5" t="s">
        <v>26</v>
      </c>
      <c r="B73" s="5" t="s">
        <v>41</v>
      </c>
      <c r="C73" s="5" t="s">
        <v>46</v>
      </c>
      <c r="D73" s="5" t="s">
        <v>125</v>
      </c>
      <c r="E73" s="5" t="s">
        <v>36</v>
      </c>
      <c r="F73" s="5" t="s">
        <v>159</v>
      </c>
      <c r="G73" s="5">
        <v>2017</v>
      </c>
      <c r="H73" s="5" t="str">
        <f>_xlfn.CONCAT("04270205794")</f>
        <v>04270205794</v>
      </c>
      <c r="I73" s="5" t="s">
        <v>28</v>
      </c>
      <c r="J73" s="5" t="s">
        <v>29</v>
      </c>
      <c r="K73" s="5" t="str">
        <f>_xlfn.CONCAT("")</f>
        <v/>
      </c>
      <c r="L73" s="5" t="str">
        <f>_xlfn.CONCAT("4 4.1 2a")</f>
        <v>4 4.1 2a</v>
      </c>
      <c r="M73" s="5" t="str">
        <f>_xlfn.CONCAT("MRCMHL89S22A252M")</f>
        <v>MRCMHL89S22A252M</v>
      </c>
      <c r="N73" s="5" t="s">
        <v>164</v>
      </c>
      <c r="O73" s="5" t="s">
        <v>172</v>
      </c>
      <c r="P73" s="6">
        <v>44181</v>
      </c>
      <c r="Q73" s="5" t="s">
        <v>30</v>
      </c>
      <c r="R73" s="5" t="s">
        <v>31</v>
      </c>
      <c r="S73" s="5" t="s">
        <v>32</v>
      </c>
      <c r="T73" s="5"/>
      <c r="U73" s="7">
        <v>126059.8</v>
      </c>
      <c r="V73" s="7">
        <v>54356.99</v>
      </c>
      <c r="W73" s="7">
        <v>50197.01</v>
      </c>
      <c r="X73" s="5">
        <v>0</v>
      </c>
      <c r="Y73" s="7">
        <v>21505.8</v>
      </c>
    </row>
    <row r="74" spans="1:25" ht="24.75" x14ac:dyDescent="0.25">
      <c r="A74" s="5" t="s">
        <v>26</v>
      </c>
      <c r="B74" s="5" t="s">
        <v>41</v>
      </c>
      <c r="C74" s="5" t="s">
        <v>46</v>
      </c>
      <c r="D74" s="5" t="s">
        <v>58</v>
      </c>
      <c r="E74" s="5" t="s">
        <v>35</v>
      </c>
      <c r="F74" s="5" t="s">
        <v>156</v>
      </c>
      <c r="G74" s="5">
        <v>2017</v>
      </c>
      <c r="H74" s="5" t="str">
        <f>_xlfn.CONCAT("04270205646")</f>
        <v>04270205646</v>
      </c>
      <c r="I74" s="5" t="s">
        <v>28</v>
      </c>
      <c r="J74" s="5" t="s">
        <v>29</v>
      </c>
      <c r="K74" s="5" t="str">
        <f>_xlfn.CONCAT("")</f>
        <v/>
      </c>
      <c r="L74" s="5" t="str">
        <f>_xlfn.CONCAT("4 4.1 2a")</f>
        <v>4 4.1 2a</v>
      </c>
      <c r="M74" s="5" t="str">
        <f>_xlfn.CONCAT("MBRRNG69A28F839I")</f>
        <v>MBRRNG69A28F839I</v>
      </c>
      <c r="N74" s="5" t="s">
        <v>173</v>
      </c>
      <c r="O74" s="5" t="s">
        <v>174</v>
      </c>
      <c r="P74" s="6">
        <v>44181</v>
      </c>
      <c r="Q74" s="5" t="s">
        <v>30</v>
      </c>
      <c r="R74" s="5" t="s">
        <v>31</v>
      </c>
      <c r="S74" s="5" t="s">
        <v>32</v>
      </c>
      <c r="T74" s="5"/>
      <c r="U74" s="7">
        <v>61874.29</v>
      </c>
      <c r="V74" s="7">
        <v>26680.19</v>
      </c>
      <c r="W74" s="7">
        <v>24638.34</v>
      </c>
      <c r="X74" s="5">
        <v>0</v>
      </c>
      <c r="Y74" s="7">
        <v>10555.76</v>
      </c>
    </row>
    <row r="75" spans="1:25" ht="24.75" x14ac:dyDescent="0.25">
      <c r="A75" s="5" t="s">
        <v>26</v>
      </c>
      <c r="B75" s="5" t="s">
        <v>41</v>
      </c>
      <c r="C75" s="5" t="s">
        <v>46</v>
      </c>
      <c r="D75" s="5" t="s">
        <v>47</v>
      </c>
      <c r="E75" s="5" t="s">
        <v>37</v>
      </c>
      <c r="F75" s="5" t="s">
        <v>113</v>
      </c>
      <c r="G75" s="5">
        <v>2017</v>
      </c>
      <c r="H75" s="5" t="str">
        <f>_xlfn.CONCAT("94270174652")</f>
        <v>94270174652</v>
      </c>
      <c r="I75" s="5" t="s">
        <v>28</v>
      </c>
      <c r="J75" s="5" t="s">
        <v>29</v>
      </c>
      <c r="K75" s="5" t="str">
        <f>_xlfn.CONCAT("")</f>
        <v/>
      </c>
      <c r="L75" s="5" t="str">
        <f>_xlfn.CONCAT("4 4.1 2a")</f>
        <v>4 4.1 2a</v>
      </c>
      <c r="M75" s="5" t="str">
        <f>_xlfn.CONCAT("02699800427")</f>
        <v>02699800427</v>
      </c>
      <c r="N75" s="5" t="s">
        <v>166</v>
      </c>
      <c r="O75" s="5" t="s">
        <v>175</v>
      </c>
      <c r="P75" s="6">
        <v>44181</v>
      </c>
      <c r="Q75" s="5" t="s">
        <v>30</v>
      </c>
      <c r="R75" s="5" t="s">
        <v>31</v>
      </c>
      <c r="S75" s="5" t="s">
        <v>32</v>
      </c>
      <c r="T75" s="5"/>
      <c r="U75" s="7">
        <v>7476.95</v>
      </c>
      <c r="V75" s="7">
        <v>3224.06</v>
      </c>
      <c r="W75" s="7">
        <v>2977.32</v>
      </c>
      <c r="X75" s="5">
        <v>0</v>
      </c>
      <c r="Y75" s="7">
        <v>1275.57</v>
      </c>
    </row>
    <row r="76" spans="1:25" x14ac:dyDescent="0.25">
      <c r="A76" s="5" t="s">
        <v>26</v>
      </c>
      <c r="B76" s="5" t="s">
        <v>27</v>
      </c>
      <c r="C76" s="5" t="s">
        <v>46</v>
      </c>
      <c r="D76" s="5" t="s">
        <v>53</v>
      </c>
      <c r="E76" s="5" t="s">
        <v>39</v>
      </c>
      <c r="F76" s="5" t="s">
        <v>134</v>
      </c>
      <c r="G76" s="5">
        <v>2018</v>
      </c>
      <c r="H76" s="5" t="str">
        <f>_xlfn.CONCAT("84241058274")</f>
        <v>84241058274</v>
      </c>
      <c r="I76" s="5" t="s">
        <v>28</v>
      </c>
      <c r="J76" s="5" t="s">
        <v>29</v>
      </c>
      <c r="K76" s="5" t="str">
        <f>_xlfn.CONCAT("")</f>
        <v/>
      </c>
      <c r="L76" s="5" t="str">
        <f>_xlfn.CONCAT("11 11.2 4b")</f>
        <v>11 11.2 4b</v>
      </c>
      <c r="M76" s="5" t="str">
        <f>_xlfn.CONCAT("01488310432")</f>
        <v>01488310432</v>
      </c>
      <c r="N76" s="5" t="s">
        <v>176</v>
      </c>
      <c r="O76" s="5" t="s">
        <v>177</v>
      </c>
      <c r="P76" s="6">
        <v>44181</v>
      </c>
      <c r="Q76" s="5" t="s">
        <v>30</v>
      </c>
      <c r="R76" s="5" t="s">
        <v>31</v>
      </c>
      <c r="S76" s="5" t="s">
        <v>32</v>
      </c>
      <c r="T76" s="5"/>
      <c r="U76" s="5">
        <v>538.14</v>
      </c>
      <c r="V76" s="5">
        <v>232.05</v>
      </c>
      <c r="W76" s="5">
        <v>214.29</v>
      </c>
      <c r="X76" s="5">
        <v>0</v>
      </c>
      <c r="Y76" s="5">
        <v>91.8</v>
      </c>
    </row>
    <row r="77" spans="1:25" x14ac:dyDescent="0.25">
      <c r="A77" s="5" t="s">
        <v>26</v>
      </c>
      <c r="B77" s="5" t="s">
        <v>27</v>
      </c>
      <c r="C77" s="5" t="s">
        <v>46</v>
      </c>
      <c r="D77" s="5" t="s">
        <v>53</v>
      </c>
      <c r="E77" s="5" t="s">
        <v>39</v>
      </c>
      <c r="F77" s="5" t="s">
        <v>139</v>
      </c>
      <c r="G77" s="5">
        <v>2019</v>
      </c>
      <c r="H77" s="5" t="str">
        <f>_xlfn.CONCAT("94240845431")</f>
        <v>94240845431</v>
      </c>
      <c r="I77" s="5" t="s">
        <v>28</v>
      </c>
      <c r="J77" s="5" t="s">
        <v>29</v>
      </c>
      <c r="K77" s="5" t="str">
        <f>_xlfn.CONCAT("")</f>
        <v/>
      </c>
      <c r="L77" s="5" t="str">
        <f>_xlfn.CONCAT("11 11.2 4b")</f>
        <v>11 11.2 4b</v>
      </c>
      <c r="M77" s="5" t="str">
        <f>_xlfn.CONCAT("SJDJSH63T01Z148G")</f>
        <v>SJDJSH63T01Z148G</v>
      </c>
      <c r="N77" s="5" t="s">
        <v>140</v>
      </c>
      <c r="O77" s="5" t="s">
        <v>177</v>
      </c>
      <c r="P77" s="6">
        <v>44181</v>
      </c>
      <c r="Q77" s="5" t="s">
        <v>30</v>
      </c>
      <c r="R77" s="5" t="s">
        <v>31</v>
      </c>
      <c r="S77" s="5" t="s">
        <v>32</v>
      </c>
      <c r="T77" s="5"/>
      <c r="U77" s="7">
        <v>16993.22</v>
      </c>
      <c r="V77" s="7">
        <v>7327.48</v>
      </c>
      <c r="W77" s="7">
        <v>6766.7</v>
      </c>
      <c r="X77" s="5">
        <v>0</v>
      </c>
      <c r="Y77" s="7">
        <v>2899.04</v>
      </c>
    </row>
    <row r="78" spans="1:25" x14ac:dyDescent="0.25">
      <c r="A78" s="5" t="s">
        <v>26</v>
      </c>
      <c r="B78" s="5" t="s">
        <v>27</v>
      </c>
      <c r="C78" s="5" t="s">
        <v>46</v>
      </c>
      <c r="D78" s="5" t="s">
        <v>53</v>
      </c>
      <c r="E78" s="5" t="s">
        <v>39</v>
      </c>
      <c r="F78" s="5" t="s">
        <v>139</v>
      </c>
      <c r="G78" s="5">
        <v>2018</v>
      </c>
      <c r="H78" s="5" t="str">
        <f>_xlfn.CONCAT("84240700009")</f>
        <v>84240700009</v>
      </c>
      <c r="I78" s="5" t="s">
        <v>28</v>
      </c>
      <c r="J78" s="5" t="s">
        <v>29</v>
      </c>
      <c r="K78" s="5" t="str">
        <f>_xlfn.CONCAT("")</f>
        <v/>
      </c>
      <c r="L78" s="5" t="str">
        <f>_xlfn.CONCAT("11 11.2 4b")</f>
        <v>11 11.2 4b</v>
      </c>
      <c r="M78" s="5" t="str">
        <f>_xlfn.CONCAT("SJDJSH63T01Z148G")</f>
        <v>SJDJSH63T01Z148G</v>
      </c>
      <c r="N78" s="5" t="s">
        <v>140</v>
      </c>
      <c r="O78" s="5" t="s">
        <v>177</v>
      </c>
      <c r="P78" s="6">
        <v>44181</v>
      </c>
      <c r="Q78" s="5" t="s">
        <v>30</v>
      </c>
      <c r="R78" s="5" t="s">
        <v>31</v>
      </c>
      <c r="S78" s="5" t="s">
        <v>32</v>
      </c>
      <c r="T78" s="5"/>
      <c r="U78" s="7">
        <v>4013.03</v>
      </c>
      <c r="V78" s="7">
        <v>1730.42</v>
      </c>
      <c r="W78" s="7">
        <v>1597.99</v>
      </c>
      <c r="X78" s="5">
        <v>0</v>
      </c>
      <c r="Y78" s="5">
        <v>684.62</v>
      </c>
    </row>
    <row r="79" spans="1:25" ht="24.75" x14ac:dyDescent="0.25">
      <c r="A79" s="5" t="s">
        <v>26</v>
      </c>
      <c r="B79" s="5" t="s">
        <v>27</v>
      </c>
      <c r="C79" s="5" t="s">
        <v>46</v>
      </c>
      <c r="D79" s="5" t="s">
        <v>53</v>
      </c>
      <c r="E79" s="5" t="s">
        <v>35</v>
      </c>
      <c r="F79" s="5" t="s">
        <v>54</v>
      </c>
      <c r="G79" s="5">
        <v>2019</v>
      </c>
      <c r="H79" s="5" t="str">
        <f>_xlfn.CONCAT("94241084816")</f>
        <v>94241084816</v>
      </c>
      <c r="I79" s="5" t="s">
        <v>28</v>
      </c>
      <c r="J79" s="5" t="s">
        <v>29</v>
      </c>
      <c r="K79" s="5" t="str">
        <f>_xlfn.CONCAT("")</f>
        <v/>
      </c>
      <c r="L79" s="5" t="str">
        <f>_xlfn.CONCAT("11 11.2 4b")</f>
        <v>11 11.2 4b</v>
      </c>
      <c r="M79" s="5" t="str">
        <f>_xlfn.CONCAT("01626490435")</f>
        <v>01626490435</v>
      </c>
      <c r="N79" s="5" t="s">
        <v>111</v>
      </c>
      <c r="O79" s="5" t="s">
        <v>177</v>
      </c>
      <c r="P79" s="6">
        <v>44181</v>
      </c>
      <c r="Q79" s="5" t="s">
        <v>30</v>
      </c>
      <c r="R79" s="5" t="s">
        <v>31</v>
      </c>
      <c r="S79" s="5" t="s">
        <v>32</v>
      </c>
      <c r="T79" s="5"/>
      <c r="U79" s="7">
        <v>25191.72</v>
      </c>
      <c r="V79" s="7">
        <v>10862.67</v>
      </c>
      <c r="W79" s="7">
        <v>10031.34</v>
      </c>
      <c r="X79" s="5">
        <v>0</v>
      </c>
      <c r="Y79" s="7">
        <v>4297.71</v>
      </c>
    </row>
    <row r="80" spans="1:25" ht="24.75" x14ac:dyDescent="0.25">
      <c r="A80" s="5" t="s">
        <v>26</v>
      </c>
      <c r="B80" s="5" t="s">
        <v>27</v>
      </c>
      <c r="C80" s="5" t="s">
        <v>46</v>
      </c>
      <c r="D80" s="5" t="s">
        <v>58</v>
      </c>
      <c r="E80" s="5" t="s">
        <v>39</v>
      </c>
      <c r="F80" s="5" t="s">
        <v>178</v>
      </c>
      <c r="G80" s="5">
        <v>2017</v>
      </c>
      <c r="H80" s="5" t="str">
        <f>_xlfn.CONCAT("74240946546")</f>
        <v>74240946546</v>
      </c>
      <c r="I80" s="5" t="s">
        <v>28</v>
      </c>
      <c r="J80" s="5" t="s">
        <v>29</v>
      </c>
      <c r="K80" s="5" t="str">
        <f>_xlfn.CONCAT("")</f>
        <v/>
      </c>
      <c r="L80" s="5" t="str">
        <f>_xlfn.CONCAT("10 10.1 4a")</f>
        <v>10 10.1 4a</v>
      </c>
      <c r="M80" s="5" t="str">
        <f>_xlfn.CONCAT("02212780411")</f>
        <v>02212780411</v>
      </c>
      <c r="N80" s="5" t="s">
        <v>179</v>
      </c>
      <c r="O80" s="5" t="s">
        <v>153</v>
      </c>
      <c r="P80" s="6">
        <v>44182</v>
      </c>
      <c r="Q80" s="5" t="s">
        <v>30</v>
      </c>
      <c r="R80" s="5" t="s">
        <v>31</v>
      </c>
      <c r="S80" s="5" t="s">
        <v>32</v>
      </c>
      <c r="T80" s="5"/>
      <c r="U80" s="7">
        <v>7602.29</v>
      </c>
      <c r="V80" s="7">
        <v>3278.11</v>
      </c>
      <c r="W80" s="7">
        <v>3027.23</v>
      </c>
      <c r="X80" s="5">
        <v>0</v>
      </c>
      <c r="Y80" s="7">
        <v>1296.95</v>
      </c>
    </row>
    <row r="81" spans="1:25" ht="24.75" x14ac:dyDescent="0.25">
      <c r="A81" s="5" t="s">
        <v>26</v>
      </c>
      <c r="B81" s="5" t="s">
        <v>27</v>
      </c>
      <c r="C81" s="5" t="s">
        <v>46</v>
      </c>
      <c r="D81" s="5" t="s">
        <v>58</v>
      </c>
      <c r="E81" s="5" t="s">
        <v>39</v>
      </c>
      <c r="F81" s="5" t="s">
        <v>178</v>
      </c>
      <c r="G81" s="5">
        <v>2018</v>
      </c>
      <c r="H81" s="5" t="str">
        <f>_xlfn.CONCAT("84241052277")</f>
        <v>84241052277</v>
      </c>
      <c r="I81" s="5" t="s">
        <v>28</v>
      </c>
      <c r="J81" s="5" t="s">
        <v>29</v>
      </c>
      <c r="K81" s="5" t="str">
        <f>_xlfn.CONCAT("")</f>
        <v/>
      </c>
      <c r="L81" s="5" t="str">
        <f>_xlfn.CONCAT("10 10.1 4a")</f>
        <v>10 10.1 4a</v>
      </c>
      <c r="M81" s="5" t="str">
        <f>_xlfn.CONCAT("02212780411")</f>
        <v>02212780411</v>
      </c>
      <c r="N81" s="5" t="s">
        <v>179</v>
      </c>
      <c r="O81" s="5" t="s">
        <v>153</v>
      </c>
      <c r="P81" s="6">
        <v>44182</v>
      </c>
      <c r="Q81" s="5" t="s">
        <v>30</v>
      </c>
      <c r="R81" s="5" t="s">
        <v>31</v>
      </c>
      <c r="S81" s="5" t="s">
        <v>32</v>
      </c>
      <c r="T81" s="5"/>
      <c r="U81" s="7">
        <v>7069.91</v>
      </c>
      <c r="V81" s="7">
        <v>3048.55</v>
      </c>
      <c r="W81" s="7">
        <v>2815.24</v>
      </c>
      <c r="X81" s="5">
        <v>0</v>
      </c>
      <c r="Y81" s="7">
        <v>1206.1199999999999</v>
      </c>
    </row>
    <row r="82" spans="1:25" ht="24.75" x14ac:dyDescent="0.25">
      <c r="A82" s="5" t="s">
        <v>26</v>
      </c>
      <c r="B82" s="5" t="s">
        <v>27</v>
      </c>
      <c r="C82" s="5" t="s">
        <v>46</v>
      </c>
      <c r="D82" s="5" t="s">
        <v>58</v>
      </c>
      <c r="E82" s="5" t="s">
        <v>39</v>
      </c>
      <c r="F82" s="5" t="s">
        <v>178</v>
      </c>
      <c r="G82" s="5">
        <v>2019</v>
      </c>
      <c r="H82" s="5" t="str">
        <f>_xlfn.CONCAT("94241173163")</f>
        <v>94241173163</v>
      </c>
      <c r="I82" s="5" t="s">
        <v>28</v>
      </c>
      <c r="J82" s="5" t="s">
        <v>29</v>
      </c>
      <c r="K82" s="5" t="str">
        <f>_xlfn.CONCAT("")</f>
        <v/>
      </c>
      <c r="L82" s="5" t="str">
        <f>_xlfn.CONCAT("10 10.1 4a")</f>
        <v>10 10.1 4a</v>
      </c>
      <c r="M82" s="5" t="str">
        <f>_xlfn.CONCAT("02212780411")</f>
        <v>02212780411</v>
      </c>
      <c r="N82" s="5" t="s">
        <v>179</v>
      </c>
      <c r="O82" s="5" t="s">
        <v>153</v>
      </c>
      <c r="P82" s="6">
        <v>44182</v>
      </c>
      <c r="Q82" s="5" t="s">
        <v>30</v>
      </c>
      <c r="R82" s="5" t="s">
        <v>31</v>
      </c>
      <c r="S82" s="5" t="s">
        <v>32</v>
      </c>
      <c r="T82" s="5"/>
      <c r="U82" s="7">
        <v>6696.02</v>
      </c>
      <c r="V82" s="7">
        <v>2887.32</v>
      </c>
      <c r="W82" s="7">
        <v>2666.36</v>
      </c>
      <c r="X82" s="5">
        <v>0</v>
      </c>
      <c r="Y82" s="7">
        <v>1142.3399999999999</v>
      </c>
    </row>
    <row r="83" spans="1:25" x14ac:dyDescent="0.25">
      <c r="A83" s="5" t="s">
        <v>26</v>
      </c>
      <c r="B83" s="5" t="s">
        <v>27</v>
      </c>
      <c r="C83" s="5" t="s">
        <v>46</v>
      </c>
      <c r="D83" s="5" t="s">
        <v>53</v>
      </c>
      <c r="E83" s="5" t="s">
        <v>39</v>
      </c>
      <c r="F83" s="5" t="s">
        <v>180</v>
      </c>
      <c r="G83" s="5">
        <v>2019</v>
      </c>
      <c r="H83" s="5" t="str">
        <f>_xlfn.CONCAT("94240847874")</f>
        <v>94240847874</v>
      </c>
      <c r="I83" s="5" t="s">
        <v>28</v>
      </c>
      <c r="J83" s="5" t="s">
        <v>29</v>
      </c>
      <c r="K83" s="5" t="str">
        <f>_xlfn.CONCAT("")</f>
        <v/>
      </c>
      <c r="L83" s="5" t="str">
        <f>_xlfn.CONCAT("10 10.1 4a")</f>
        <v>10 10.1 4a</v>
      </c>
      <c r="M83" s="5" t="str">
        <f>_xlfn.CONCAT("03589610546")</f>
        <v>03589610546</v>
      </c>
      <c r="N83" s="5" t="s">
        <v>181</v>
      </c>
      <c r="O83" s="5" t="s">
        <v>153</v>
      </c>
      <c r="P83" s="6">
        <v>44182</v>
      </c>
      <c r="Q83" s="5" t="s">
        <v>30</v>
      </c>
      <c r="R83" s="5" t="s">
        <v>31</v>
      </c>
      <c r="S83" s="5" t="s">
        <v>32</v>
      </c>
      <c r="T83" s="5"/>
      <c r="U83" s="7">
        <v>19103.939999999999</v>
      </c>
      <c r="V83" s="7">
        <v>8237.6200000000008</v>
      </c>
      <c r="W83" s="7">
        <v>7607.19</v>
      </c>
      <c r="X83" s="5">
        <v>0</v>
      </c>
      <c r="Y83" s="7">
        <v>3259.13</v>
      </c>
    </row>
    <row r="84" spans="1:25" ht="24.75" x14ac:dyDescent="0.25">
      <c r="A84" s="5" t="s">
        <v>26</v>
      </c>
      <c r="B84" s="5" t="s">
        <v>27</v>
      </c>
      <c r="C84" s="5" t="s">
        <v>46</v>
      </c>
      <c r="D84" s="5" t="s">
        <v>58</v>
      </c>
      <c r="E84" s="5" t="s">
        <v>37</v>
      </c>
      <c r="F84" s="5" t="s">
        <v>59</v>
      </c>
      <c r="G84" s="5">
        <v>2020</v>
      </c>
      <c r="H84" s="5" t="str">
        <f>_xlfn.CONCAT("04780026177")</f>
        <v>04780026177</v>
      </c>
      <c r="I84" s="5" t="s">
        <v>28</v>
      </c>
      <c r="J84" s="5" t="s">
        <v>34</v>
      </c>
      <c r="K84" s="5" t="str">
        <f>_xlfn.CONCAT("221")</f>
        <v>221</v>
      </c>
      <c r="L84" s="5" t="str">
        <f>_xlfn.CONCAT("8 8.1 5e")</f>
        <v>8 8.1 5e</v>
      </c>
      <c r="M84" s="5" t="str">
        <f>_xlfn.CONCAT("BLDNDR51M21G551J")</f>
        <v>BLDNDR51M21G551J</v>
      </c>
      <c r="N84" s="5" t="s">
        <v>182</v>
      </c>
      <c r="O84" s="5" t="s">
        <v>158</v>
      </c>
      <c r="P84" s="6">
        <v>44182</v>
      </c>
      <c r="Q84" s="5" t="s">
        <v>30</v>
      </c>
      <c r="R84" s="5" t="s">
        <v>31</v>
      </c>
      <c r="S84" s="5" t="s">
        <v>32</v>
      </c>
      <c r="T84" s="5"/>
      <c r="U84" s="5">
        <v>580</v>
      </c>
      <c r="V84" s="5">
        <v>250.1</v>
      </c>
      <c r="W84" s="5">
        <v>230.96</v>
      </c>
      <c r="X84" s="5">
        <v>0</v>
      </c>
      <c r="Y84" s="5">
        <v>98.94</v>
      </c>
    </row>
    <row r="85" spans="1:25" ht="24.75" x14ac:dyDescent="0.25">
      <c r="A85" s="5" t="s">
        <v>26</v>
      </c>
      <c r="B85" s="5" t="s">
        <v>27</v>
      </c>
      <c r="C85" s="5" t="s">
        <v>46</v>
      </c>
      <c r="D85" s="5" t="s">
        <v>58</v>
      </c>
      <c r="E85" s="5" t="s">
        <v>37</v>
      </c>
      <c r="F85" s="5" t="s">
        <v>72</v>
      </c>
      <c r="G85" s="5">
        <v>2020</v>
      </c>
      <c r="H85" s="5" t="str">
        <f>_xlfn.CONCAT("04780030385")</f>
        <v>04780030385</v>
      </c>
      <c r="I85" s="5" t="s">
        <v>28</v>
      </c>
      <c r="J85" s="5" t="s">
        <v>34</v>
      </c>
      <c r="K85" s="5" t="str">
        <f>_xlfn.CONCAT("221")</f>
        <v>221</v>
      </c>
      <c r="L85" s="5" t="str">
        <f>_xlfn.CONCAT("8 8.1 5e")</f>
        <v>8 8.1 5e</v>
      </c>
      <c r="M85" s="5" t="str">
        <f>_xlfn.CONCAT("PRFTMS58H27F347W")</f>
        <v>PRFTMS58H27F347W</v>
      </c>
      <c r="N85" s="5" t="s">
        <v>183</v>
      </c>
      <c r="O85" s="5" t="s">
        <v>158</v>
      </c>
      <c r="P85" s="6">
        <v>44182</v>
      </c>
      <c r="Q85" s="5" t="s">
        <v>30</v>
      </c>
      <c r="R85" s="5" t="s">
        <v>31</v>
      </c>
      <c r="S85" s="5" t="s">
        <v>32</v>
      </c>
      <c r="T85" s="5"/>
      <c r="U85" s="5">
        <v>300.57</v>
      </c>
      <c r="V85" s="5">
        <v>129.61000000000001</v>
      </c>
      <c r="W85" s="5">
        <v>119.69</v>
      </c>
      <c r="X85" s="5">
        <v>0</v>
      </c>
      <c r="Y85" s="5">
        <v>51.27</v>
      </c>
    </row>
    <row r="86" spans="1:25" ht="24.75" x14ac:dyDescent="0.25">
      <c r="A86" s="5" t="s">
        <v>26</v>
      </c>
      <c r="B86" s="5" t="s">
        <v>27</v>
      </c>
      <c r="C86" s="5" t="s">
        <v>46</v>
      </c>
      <c r="D86" s="5" t="s">
        <v>58</v>
      </c>
      <c r="E86" s="5" t="s">
        <v>37</v>
      </c>
      <c r="F86" s="5" t="s">
        <v>72</v>
      </c>
      <c r="G86" s="5">
        <v>2020</v>
      </c>
      <c r="H86" s="5" t="str">
        <f>_xlfn.CONCAT("04780030500")</f>
        <v>04780030500</v>
      </c>
      <c r="I86" s="5" t="s">
        <v>28</v>
      </c>
      <c r="J86" s="5" t="s">
        <v>34</v>
      </c>
      <c r="K86" s="5" t="str">
        <f>_xlfn.CONCAT("221")</f>
        <v>221</v>
      </c>
      <c r="L86" s="5" t="str">
        <f>_xlfn.CONCAT("8 8.1 5e")</f>
        <v>8 8.1 5e</v>
      </c>
      <c r="M86" s="5" t="str">
        <f>_xlfn.CONCAT("BNDNNA40E41D541R")</f>
        <v>BNDNNA40E41D541R</v>
      </c>
      <c r="N86" s="5" t="s">
        <v>184</v>
      </c>
      <c r="O86" s="5" t="s">
        <v>158</v>
      </c>
      <c r="P86" s="6">
        <v>44182</v>
      </c>
      <c r="Q86" s="5" t="s">
        <v>30</v>
      </c>
      <c r="R86" s="5" t="s">
        <v>31</v>
      </c>
      <c r="S86" s="5" t="s">
        <v>32</v>
      </c>
      <c r="T86" s="5"/>
      <c r="U86" s="5">
        <v>147.47999999999999</v>
      </c>
      <c r="V86" s="5">
        <v>63.59</v>
      </c>
      <c r="W86" s="5">
        <v>58.73</v>
      </c>
      <c r="X86" s="5">
        <v>0</v>
      </c>
      <c r="Y86" s="5">
        <v>25.16</v>
      </c>
    </row>
    <row r="87" spans="1:25" ht="24.75" x14ac:dyDescent="0.25">
      <c r="A87" s="5" t="s">
        <v>26</v>
      </c>
      <c r="B87" s="5" t="s">
        <v>27</v>
      </c>
      <c r="C87" s="5" t="s">
        <v>46</v>
      </c>
      <c r="D87" s="5" t="s">
        <v>58</v>
      </c>
      <c r="E87" s="5" t="s">
        <v>39</v>
      </c>
      <c r="F87" s="5" t="s">
        <v>80</v>
      </c>
      <c r="G87" s="5">
        <v>2020</v>
      </c>
      <c r="H87" s="5" t="str">
        <f>_xlfn.CONCAT("04780045243")</f>
        <v>04780045243</v>
      </c>
      <c r="I87" s="5" t="s">
        <v>28</v>
      </c>
      <c r="J87" s="5" t="s">
        <v>34</v>
      </c>
      <c r="K87" s="5" t="str">
        <f>_xlfn.CONCAT("221")</f>
        <v>221</v>
      </c>
      <c r="L87" s="5" t="str">
        <f>_xlfn.CONCAT("8 8.1 5e")</f>
        <v>8 8.1 5e</v>
      </c>
      <c r="M87" s="5" t="str">
        <f>_xlfn.CONCAT("BRLRRT69A11D749G")</f>
        <v>BRLRRT69A11D749G</v>
      </c>
      <c r="N87" s="5" t="s">
        <v>185</v>
      </c>
      <c r="O87" s="5" t="s">
        <v>158</v>
      </c>
      <c r="P87" s="6">
        <v>44182</v>
      </c>
      <c r="Q87" s="5" t="s">
        <v>30</v>
      </c>
      <c r="R87" s="5" t="s">
        <v>31</v>
      </c>
      <c r="S87" s="5" t="s">
        <v>32</v>
      </c>
      <c r="T87" s="5"/>
      <c r="U87" s="7">
        <v>1363.16</v>
      </c>
      <c r="V87" s="5">
        <v>587.79</v>
      </c>
      <c r="W87" s="5">
        <v>542.80999999999995</v>
      </c>
      <c r="X87" s="5">
        <v>0</v>
      </c>
      <c r="Y87" s="5">
        <v>232.56</v>
      </c>
    </row>
    <row r="88" spans="1:25" ht="24.75" x14ac:dyDescent="0.25">
      <c r="A88" s="5" t="s">
        <v>26</v>
      </c>
      <c r="B88" s="5" t="s">
        <v>27</v>
      </c>
      <c r="C88" s="5" t="s">
        <v>46</v>
      </c>
      <c r="D88" s="5" t="s">
        <v>58</v>
      </c>
      <c r="E88" s="5" t="s">
        <v>37</v>
      </c>
      <c r="F88" s="5" t="s">
        <v>66</v>
      </c>
      <c r="G88" s="5">
        <v>2020</v>
      </c>
      <c r="H88" s="5" t="str">
        <f>_xlfn.CONCAT("04780002996")</f>
        <v>04780002996</v>
      </c>
      <c r="I88" s="5" t="s">
        <v>28</v>
      </c>
      <c r="J88" s="5" t="s">
        <v>34</v>
      </c>
      <c r="K88" s="5" t="str">
        <f>_xlfn.CONCAT("221")</f>
        <v>221</v>
      </c>
      <c r="L88" s="5" t="str">
        <f>_xlfn.CONCAT("8 8.1 5e")</f>
        <v>8 8.1 5e</v>
      </c>
      <c r="M88" s="5" t="str">
        <f>_xlfn.CONCAT("SNTRSO54T49I654T")</f>
        <v>SNTRSO54T49I654T</v>
      </c>
      <c r="N88" s="5" t="s">
        <v>186</v>
      </c>
      <c r="O88" s="5" t="s">
        <v>158</v>
      </c>
      <c r="P88" s="6">
        <v>44182</v>
      </c>
      <c r="Q88" s="5" t="s">
        <v>30</v>
      </c>
      <c r="R88" s="5" t="s">
        <v>31</v>
      </c>
      <c r="S88" s="5" t="s">
        <v>32</v>
      </c>
      <c r="T88" s="5"/>
      <c r="U88" s="5">
        <v>75</v>
      </c>
      <c r="V88" s="5">
        <v>32.340000000000003</v>
      </c>
      <c r="W88" s="5">
        <v>29.87</v>
      </c>
      <c r="X88" s="5">
        <v>0</v>
      </c>
      <c r="Y88" s="5">
        <v>12.79</v>
      </c>
    </row>
    <row r="89" spans="1:25" ht="24.75" x14ac:dyDescent="0.25">
      <c r="A89" s="5" t="s">
        <v>26</v>
      </c>
      <c r="B89" s="5" t="s">
        <v>27</v>
      </c>
      <c r="C89" s="5" t="s">
        <v>46</v>
      </c>
      <c r="D89" s="5" t="s">
        <v>58</v>
      </c>
      <c r="E89" s="5" t="s">
        <v>39</v>
      </c>
      <c r="F89" s="5" t="s">
        <v>178</v>
      </c>
      <c r="G89" s="5">
        <v>2020</v>
      </c>
      <c r="H89" s="5" t="str">
        <f>_xlfn.CONCAT("04780045698")</f>
        <v>04780045698</v>
      </c>
      <c r="I89" s="5" t="s">
        <v>28</v>
      </c>
      <c r="J89" s="5" t="s">
        <v>34</v>
      </c>
      <c r="K89" s="5" t="str">
        <f>_xlfn.CONCAT("221")</f>
        <v>221</v>
      </c>
      <c r="L89" s="5" t="str">
        <f>_xlfn.CONCAT("8 8.1 5e")</f>
        <v>8 8.1 5e</v>
      </c>
      <c r="M89" s="5" t="str">
        <f>_xlfn.CONCAT("CTNSNO63R48G479G")</f>
        <v>CTNSNO63R48G479G</v>
      </c>
      <c r="N89" s="5" t="s">
        <v>187</v>
      </c>
      <c r="O89" s="5" t="s">
        <v>158</v>
      </c>
      <c r="P89" s="6">
        <v>44182</v>
      </c>
      <c r="Q89" s="5" t="s">
        <v>30</v>
      </c>
      <c r="R89" s="5" t="s">
        <v>31</v>
      </c>
      <c r="S89" s="5" t="s">
        <v>32</v>
      </c>
      <c r="T89" s="5"/>
      <c r="U89" s="5">
        <v>355.2</v>
      </c>
      <c r="V89" s="5">
        <v>153.16</v>
      </c>
      <c r="W89" s="5">
        <v>141.44</v>
      </c>
      <c r="X89" s="5">
        <v>0</v>
      </c>
      <c r="Y89" s="5">
        <v>60.6</v>
      </c>
    </row>
    <row r="90" spans="1:25" ht="24.75" x14ac:dyDescent="0.25">
      <c r="A90" s="5" t="s">
        <v>26</v>
      </c>
      <c r="B90" s="5" t="s">
        <v>27</v>
      </c>
      <c r="C90" s="5" t="s">
        <v>46</v>
      </c>
      <c r="D90" s="5" t="s">
        <v>58</v>
      </c>
      <c r="E90" s="5" t="s">
        <v>39</v>
      </c>
      <c r="F90" s="5" t="s">
        <v>178</v>
      </c>
      <c r="G90" s="5">
        <v>2020</v>
      </c>
      <c r="H90" s="5" t="str">
        <f>_xlfn.CONCAT("04780043552")</f>
        <v>04780043552</v>
      </c>
      <c r="I90" s="5" t="s">
        <v>28</v>
      </c>
      <c r="J90" s="5" t="s">
        <v>34</v>
      </c>
      <c r="K90" s="5" t="str">
        <f>_xlfn.CONCAT("221")</f>
        <v>221</v>
      </c>
      <c r="L90" s="5" t="str">
        <f>_xlfn.CONCAT("8 8.1 5e")</f>
        <v>8 8.1 5e</v>
      </c>
      <c r="M90" s="5" t="str">
        <f>_xlfn.CONCAT("DDMNLT73M68B352P")</f>
        <v>DDMNLT73M68B352P</v>
      </c>
      <c r="N90" s="5" t="s">
        <v>188</v>
      </c>
      <c r="O90" s="5" t="s">
        <v>158</v>
      </c>
      <c r="P90" s="6">
        <v>44182</v>
      </c>
      <c r="Q90" s="5" t="s">
        <v>30</v>
      </c>
      <c r="R90" s="5" t="s">
        <v>31</v>
      </c>
      <c r="S90" s="5" t="s">
        <v>32</v>
      </c>
      <c r="T90" s="5"/>
      <c r="U90" s="5">
        <v>251.08</v>
      </c>
      <c r="V90" s="5">
        <v>108.27</v>
      </c>
      <c r="W90" s="5">
        <v>99.98</v>
      </c>
      <c r="X90" s="5">
        <v>0</v>
      </c>
      <c r="Y90" s="5">
        <v>42.83</v>
      </c>
    </row>
    <row r="91" spans="1:25" ht="24.75" x14ac:dyDescent="0.25">
      <c r="A91" s="5" t="s">
        <v>26</v>
      </c>
      <c r="B91" s="5" t="s">
        <v>27</v>
      </c>
      <c r="C91" s="5" t="s">
        <v>46</v>
      </c>
      <c r="D91" s="5" t="s">
        <v>125</v>
      </c>
      <c r="E91" s="5" t="s">
        <v>37</v>
      </c>
      <c r="F91" s="5" t="s">
        <v>189</v>
      </c>
      <c r="G91" s="5">
        <v>2020</v>
      </c>
      <c r="H91" s="5" t="str">
        <f>_xlfn.CONCAT("04240603441")</f>
        <v>04240603441</v>
      </c>
      <c r="I91" s="5" t="s">
        <v>28</v>
      </c>
      <c r="J91" s="5" t="s">
        <v>29</v>
      </c>
      <c r="K91" s="5" t="str">
        <f>_xlfn.CONCAT("")</f>
        <v/>
      </c>
      <c r="L91" s="5" t="str">
        <f>_xlfn.CONCAT("11 11.2 4b")</f>
        <v>11 11.2 4b</v>
      </c>
      <c r="M91" s="5" t="str">
        <f>_xlfn.CONCAT("MRZNNA40E54A335Q")</f>
        <v>MRZNNA40E54A335Q</v>
      </c>
      <c r="N91" s="5" t="s">
        <v>190</v>
      </c>
      <c r="O91" s="5" t="s">
        <v>177</v>
      </c>
      <c r="P91" s="6">
        <v>44181</v>
      </c>
      <c r="Q91" s="5" t="s">
        <v>30</v>
      </c>
      <c r="R91" s="5" t="s">
        <v>31</v>
      </c>
      <c r="S91" s="5" t="s">
        <v>32</v>
      </c>
      <c r="T91" s="5"/>
      <c r="U91" s="7">
        <v>1795.18</v>
      </c>
      <c r="V91" s="5">
        <v>774.08</v>
      </c>
      <c r="W91" s="5">
        <v>714.84</v>
      </c>
      <c r="X91" s="5">
        <v>0</v>
      </c>
      <c r="Y91" s="5">
        <v>306.26</v>
      </c>
    </row>
    <row r="92" spans="1:25" ht="24.75" x14ac:dyDescent="0.25">
      <c r="A92" s="5" t="s">
        <v>26</v>
      </c>
      <c r="B92" s="5" t="s">
        <v>27</v>
      </c>
      <c r="C92" s="5" t="s">
        <v>46</v>
      </c>
      <c r="D92" s="5" t="s">
        <v>125</v>
      </c>
      <c r="E92" s="5" t="s">
        <v>42</v>
      </c>
      <c r="F92" s="5" t="s">
        <v>42</v>
      </c>
      <c r="G92" s="5">
        <v>2018</v>
      </c>
      <c r="H92" s="5" t="str">
        <f>_xlfn.CONCAT("84240375703")</f>
        <v>84240375703</v>
      </c>
      <c r="I92" s="5" t="s">
        <v>28</v>
      </c>
      <c r="J92" s="5" t="s">
        <v>29</v>
      </c>
      <c r="K92" s="5" t="str">
        <f>_xlfn.CONCAT("")</f>
        <v/>
      </c>
      <c r="L92" s="5" t="str">
        <f>_xlfn.CONCAT("11 11.2 4b")</f>
        <v>11 11.2 4b</v>
      </c>
      <c r="M92" s="5" t="str">
        <f>_xlfn.CONCAT("VLLBNR57C43H321L")</f>
        <v>VLLBNR57C43H321L</v>
      </c>
      <c r="N92" s="5" t="s">
        <v>191</v>
      </c>
      <c r="O92" s="5" t="s">
        <v>177</v>
      </c>
      <c r="P92" s="6">
        <v>44181</v>
      </c>
      <c r="Q92" s="5" t="s">
        <v>30</v>
      </c>
      <c r="R92" s="5" t="s">
        <v>31</v>
      </c>
      <c r="S92" s="5" t="s">
        <v>32</v>
      </c>
      <c r="T92" s="5"/>
      <c r="U92" s="7">
        <v>1015.49</v>
      </c>
      <c r="V92" s="5">
        <v>437.88</v>
      </c>
      <c r="W92" s="5">
        <v>404.37</v>
      </c>
      <c r="X92" s="5">
        <v>0</v>
      </c>
      <c r="Y92" s="5">
        <v>173.24</v>
      </c>
    </row>
    <row r="93" spans="1:25" ht="24.75" x14ac:dyDescent="0.25">
      <c r="A93" s="5" t="s">
        <v>26</v>
      </c>
      <c r="B93" s="5" t="s">
        <v>27</v>
      </c>
      <c r="C93" s="5" t="s">
        <v>46</v>
      </c>
      <c r="D93" s="5" t="s">
        <v>125</v>
      </c>
      <c r="E93" s="5" t="s">
        <v>42</v>
      </c>
      <c r="F93" s="5" t="s">
        <v>42</v>
      </c>
      <c r="G93" s="5">
        <v>2020</v>
      </c>
      <c r="H93" s="5" t="str">
        <f>_xlfn.CONCAT("04241100736")</f>
        <v>04241100736</v>
      </c>
      <c r="I93" s="5" t="s">
        <v>28</v>
      </c>
      <c r="J93" s="5" t="s">
        <v>29</v>
      </c>
      <c r="K93" s="5" t="str">
        <f>_xlfn.CONCAT("")</f>
        <v/>
      </c>
      <c r="L93" s="5" t="str">
        <f>_xlfn.CONCAT("11 11.2 4b")</f>
        <v>11 11.2 4b</v>
      </c>
      <c r="M93" s="5" t="str">
        <f>_xlfn.CONCAT("VLLBNR57C43H321L")</f>
        <v>VLLBNR57C43H321L</v>
      </c>
      <c r="N93" s="5" t="s">
        <v>191</v>
      </c>
      <c r="O93" s="5" t="s">
        <v>177</v>
      </c>
      <c r="P93" s="6">
        <v>44181</v>
      </c>
      <c r="Q93" s="5" t="s">
        <v>30</v>
      </c>
      <c r="R93" s="5" t="s">
        <v>31</v>
      </c>
      <c r="S93" s="5" t="s">
        <v>32</v>
      </c>
      <c r="T93" s="5"/>
      <c r="U93" s="7">
        <v>1015.49</v>
      </c>
      <c r="V93" s="5">
        <v>437.88</v>
      </c>
      <c r="W93" s="5">
        <v>404.37</v>
      </c>
      <c r="X93" s="5">
        <v>0</v>
      </c>
      <c r="Y93" s="5">
        <v>173.24</v>
      </c>
    </row>
    <row r="94" spans="1:25" ht="24.75" x14ac:dyDescent="0.25">
      <c r="A94" s="5" t="s">
        <v>26</v>
      </c>
      <c r="B94" s="5" t="s">
        <v>27</v>
      </c>
      <c r="C94" s="5" t="s">
        <v>46</v>
      </c>
      <c r="D94" s="5" t="s">
        <v>125</v>
      </c>
      <c r="E94" s="5" t="s">
        <v>42</v>
      </c>
      <c r="F94" s="5" t="s">
        <v>42</v>
      </c>
      <c r="G94" s="5">
        <v>2019</v>
      </c>
      <c r="H94" s="5" t="str">
        <f>_xlfn.CONCAT("94240051576")</f>
        <v>94240051576</v>
      </c>
      <c r="I94" s="5" t="s">
        <v>28</v>
      </c>
      <c r="J94" s="5" t="s">
        <v>29</v>
      </c>
      <c r="K94" s="5" t="str">
        <f>_xlfn.CONCAT("")</f>
        <v/>
      </c>
      <c r="L94" s="5" t="str">
        <f>_xlfn.CONCAT("11 11.2 4b")</f>
        <v>11 11.2 4b</v>
      </c>
      <c r="M94" s="5" t="str">
        <f>_xlfn.CONCAT("VLLBNR57C43H321L")</f>
        <v>VLLBNR57C43H321L</v>
      </c>
      <c r="N94" s="5" t="s">
        <v>191</v>
      </c>
      <c r="O94" s="5" t="s">
        <v>177</v>
      </c>
      <c r="P94" s="6">
        <v>44181</v>
      </c>
      <c r="Q94" s="5" t="s">
        <v>30</v>
      </c>
      <c r="R94" s="5" t="s">
        <v>31</v>
      </c>
      <c r="S94" s="5" t="s">
        <v>32</v>
      </c>
      <c r="T94" s="5"/>
      <c r="U94" s="7">
        <v>1015.49</v>
      </c>
      <c r="V94" s="5">
        <v>437.88</v>
      </c>
      <c r="W94" s="5">
        <v>404.37</v>
      </c>
      <c r="X94" s="5">
        <v>0</v>
      </c>
      <c r="Y94" s="5">
        <v>173.24</v>
      </c>
    </row>
    <row r="95" spans="1:25" x14ac:dyDescent="0.25">
      <c r="A95" s="5" t="s">
        <v>26</v>
      </c>
      <c r="B95" s="5" t="s">
        <v>27</v>
      </c>
      <c r="C95" s="5" t="s">
        <v>46</v>
      </c>
      <c r="D95" s="5" t="s">
        <v>53</v>
      </c>
      <c r="E95" s="5" t="s">
        <v>37</v>
      </c>
      <c r="F95" s="5" t="s">
        <v>192</v>
      </c>
      <c r="G95" s="5">
        <v>2019</v>
      </c>
      <c r="H95" s="5" t="str">
        <f>_xlfn.CONCAT("94240756331")</f>
        <v>94240756331</v>
      </c>
      <c r="I95" s="5" t="s">
        <v>28</v>
      </c>
      <c r="J95" s="5" t="s">
        <v>29</v>
      </c>
      <c r="K95" s="5" t="str">
        <f>_xlfn.CONCAT("")</f>
        <v/>
      </c>
      <c r="L95" s="5" t="str">
        <f>_xlfn.CONCAT("11 11.1 4b")</f>
        <v>11 11.1 4b</v>
      </c>
      <c r="M95" s="5" t="str">
        <f>_xlfn.CONCAT("MRVSRA68P09E783Y")</f>
        <v>MRVSRA68P09E783Y</v>
      </c>
      <c r="N95" s="5" t="s">
        <v>193</v>
      </c>
      <c r="O95" s="5" t="s">
        <v>177</v>
      </c>
      <c r="P95" s="6">
        <v>44181</v>
      </c>
      <c r="Q95" s="5" t="s">
        <v>30</v>
      </c>
      <c r="R95" s="5" t="s">
        <v>31</v>
      </c>
      <c r="S95" s="5" t="s">
        <v>32</v>
      </c>
      <c r="T95" s="5"/>
      <c r="U95" s="7">
        <v>2951.76</v>
      </c>
      <c r="V95" s="7">
        <v>1272.8</v>
      </c>
      <c r="W95" s="7">
        <v>1175.3900000000001</v>
      </c>
      <c r="X95" s="5">
        <v>0</v>
      </c>
      <c r="Y95" s="5">
        <v>503.57</v>
      </c>
    </row>
    <row r="96" spans="1:25" ht="24.75" x14ac:dyDescent="0.25">
      <c r="A96" s="5" t="s">
        <v>26</v>
      </c>
      <c r="B96" s="5" t="s">
        <v>27</v>
      </c>
      <c r="C96" s="5" t="s">
        <v>46</v>
      </c>
      <c r="D96" s="5" t="s">
        <v>125</v>
      </c>
      <c r="E96" s="5" t="s">
        <v>39</v>
      </c>
      <c r="F96" s="5" t="s">
        <v>168</v>
      </c>
      <c r="G96" s="5">
        <v>2018</v>
      </c>
      <c r="H96" s="5" t="str">
        <f>_xlfn.CONCAT("84240265086")</f>
        <v>84240265086</v>
      </c>
      <c r="I96" s="5" t="s">
        <v>38</v>
      </c>
      <c r="J96" s="5" t="s">
        <v>29</v>
      </c>
      <c r="K96" s="5" t="str">
        <f>_xlfn.CONCAT("")</f>
        <v/>
      </c>
      <c r="L96" s="5" t="str">
        <f>_xlfn.CONCAT("11 11.1 4b")</f>
        <v>11 11.1 4b</v>
      </c>
      <c r="M96" s="5" t="str">
        <f>_xlfn.CONCAT("FRNSFN74A08L219R")</f>
        <v>FRNSFN74A08L219R</v>
      </c>
      <c r="N96" s="5" t="s">
        <v>194</v>
      </c>
      <c r="O96" s="5" t="s">
        <v>177</v>
      </c>
      <c r="P96" s="6">
        <v>44181</v>
      </c>
      <c r="Q96" s="5" t="s">
        <v>30</v>
      </c>
      <c r="R96" s="5" t="s">
        <v>31</v>
      </c>
      <c r="S96" s="5" t="s">
        <v>32</v>
      </c>
      <c r="T96" s="5"/>
      <c r="U96" s="7">
        <v>2698.24</v>
      </c>
      <c r="V96" s="7">
        <v>1163.48</v>
      </c>
      <c r="W96" s="7">
        <v>1074.44</v>
      </c>
      <c r="X96" s="5">
        <v>0</v>
      </c>
      <c r="Y96" s="5">
        <v>460.32</v>
      </c>
    </row>
    <row r="97" spans="1:25" ht="24.75" x14ac:dyDescent="0.25">
      <c r="A97" s="5" t="s">
        <v>26</v>
      </c>
      <c r="B97" s="5" t="s">
        <v>27</v>
      </c>
      <c r="C97" s="5" t="s">
        <v>46</v>
      </c>
      <c r="D97" s="5" t="s">
        <v>125</v>
      </c>
      <c r="E97" s="5" t="s">
        <v>37</v>
      </c>
      <c r="F97" s="5" t="s">
        <v>195</v>
      </c>
      <c r="G97" s="5">
        <v>2019</v>
      </c>
      <c r="H97" s="5" t="str">
        <f>_xlfn.CONCAT("94240604655")</f>
        <v>94240604655</v>
      </c>
      <c r="I97" s="5" t="s">
        <v>28</v>
      </c>
      <c r="J97" s="5" t="s">
        <v>29</v>
      </c>
      <c r="K97" s="5" t="str">
        <f>_xlfn.CONCAT("")</f>
        <v/>
      </c>
      <c r="L97" s="5" t="str">
        <f>_xlfn.CONCAT("11 11.2 4b")</f>
        <v>11 11.2 4b</v>
      </c>
      <c r="M97" s="5" t="str">
        <f>_xlfn.CONCAT("02069530448")</f>
        <v>02069530448</v>
      </c>
      <c r="N97" s="5" t="s">
        <v>196</v>
      </c>
      <c r="O97" s="5" t="s">
        <v>177</v>
      </c>
      <c r="P97" s="6">
        <v>44181</v>
      </c>
      <c r="Q97" s="5" t="s">
        <v>30</v>
      </c>
      <c r="R97" s="5" t="s">
        <v>31</v>
      </c>
      <c r="S97" s="5" t="s">
        <v>32</v>
      </c>
      <c r="T97" s="5"/>
      <c r="U97" s="7">
        <v>3504.4</v>
      </c>
      <c r="V97" s="7">
        <v>1511.1</v>
      </c>
      <c r="W97" s="7">
        <v>1395.45</v>
      </c>
      <c r="X97" s="5">
        <v>0</v>
      </c>
      <c r="Y97" s="5">
        <v>597.85</v>
      </c>
    </row>
    <row r="98" spans="1:25" ht="24.75" x14ac:dyDescent="0.25">
      <c r="A98" s="5" t="s">
        <v>26</v>
      </c>
      <c r="B98" s="5" t="s">
        <v>27</v>
      </c>
      <c r="C98" s="5" t="s">
        <v>46</v>
      </c>
      <c r="D98" s="5" t="s">
        <v>125</v>
      </c>
      <c r="E98" s="5" t="s">
        <v>37</v>
      </c>
      <c r="F98" s="5" t="s">
        <v>195</v>
      </c>
      <c r="G98" s="5">
        <v>2020</v>
      </c>
      <c r="H98" s="5" t="str">
        <f>_xlfn.CONCAT("04240321499")</f>
        <v>04240321499</v>
      </c>
      <c r="I98" s="5" t="s">
        <v>28</v>
      </c>
      <c r="J98" s="5" t="s">
        <v>29</v>
      </c>
      <c r="K98" s="5" t="str">
        <f>_xlfn.CONCAT("")</f>
        <v/>
      </c>
      <c r="L98" s="5" t="str">
        <f>_xlfn.CONCAT("11 11.2 4b")</f>
        <v>11 11.2 4b</v>
      </c>
      <c r="M98" s="5" t="str">
        <f>_xlfn.CONCAT("02069530448")</f>
        <v>02069530448</v>
      </c>
      <c r="N98" s="5" t="s">
        <v>196</v>
      </c>
      <c r="O98" s="5" t="s">
        <v>177</v>
      </c>
      <c r="P98" s="6">
        <v>44181</v>
      </c>
      <c r="Q98" s="5" t="s">
        <v>30</v>
      </c>
      <c r="R98" s="5" t="s">
        <v>31</v>
      </c>
      <c r="S98" s="5" t="s">
        <v>32</v>
      </c>
      <c r="T98" s="5"/>
      <c r="U98" s="7">
        <v>3504.4</v>
      </c>
      <c r="V98" s="7">
        <v>1511.1</v>
      </c>
      <c r="W98" s="7">
        <v>1395.45</v>
      </c>
      <c r="X98" s="5">
        <v>0</v>
      </c>
      <c r="Y98" s="5">
        <v>597.85</v>
      </c>
    </row>
    <row r="99" spans="1:25" ht="24.75" x14ac:dyDescent="0.25">
      <c r="A99" s="5" t="s">
        <v>26</v>
      </c>
      <c r="B99" s="5" t="s">
        <v>27</v>
      </c>
      <c r="C99" s="5" t="s">
        <v>46</v>
      </c>
      <c r="D99" s="5" t="s">
        <v>125</v>
      </c>
      <c r="E99" s="5" t="s">
        <v>37</v>
      </c>
      <c r="F99" s="5" t="s">
        <v>189</v>
      </c>
      <c r="G99" s="5">
        <v>2020</v>
      </c>
      <c r="H99" s="5" t="str">
        <f>_xlfn.CONCAT("04240552671")</f>
        <v>04240552671</v>
      </c>
      <c r="I99" s="5" t="s">
        <v>28</v>
      </c>
      <c r="J99" s="5" t="s">
        <v>29</v>
      </c>
      <c r="K99" s="5" t="str">
        <f>_xlfn.CONCAT("")</f>
        <v/>
      </c>
      <c r="L99" s="5" t="str">
        <f>_xlfn.CONCAT("11 11.2 4b")</f>
        <v>11 11.2 4b</v>
      </c>
      <c r="M99" s="5" t="str">
        <f>_xlfn.CONCAT("NFRGPP63P26H769Q")</f>
        <v>NFRGPP63P26H769Q</v>
      </c>
      <c r="N99" s="5" t="s">
        <v>197</v>
      </c>
      <c r="O99" s="5" t="s">
        <v>177</v>
      </c>
      <c r="P99" s="6">
        <v>44181</v>
      </c>
      <c r="Q99" s="5" t="s">
        <v>30</v>
      </c>
      <c r="R99" s="5" t="s">
        <v>31</v>
      </c>
      <c r="S99" s="5" t="s">
        <v>32</v>
      </c>
      <c r="T99" s="5"/>
      <c r="U99" s="7">
        <v>4215.21</v>
      </c>
      <c r="V99" s="7">
        <v>1817.6</v>
      </c>
      <c r="W99" s="7">
        <v>1678.5</v>
      </c>
      <c r="X99" s="5">
        <v>0</v>
      </c>
      <c r="Y99" s="5">
        <v>719.11</v>
      </c>
    </row>
    <row r="100" spans="1:25" ht="24.75" x14ac:dyDescent="0.25">
      <c r="A100" s="5" t="s">
        <v>26</v>
      </c>
      <c r="B100" s="5" t="s">
        <v>41</v>
      </c>
      <c r="C100" s="5" t="s">
        <v>46</v>
      </c>
      <c r="D100" s="5" t="s">
        <v>125</v>
      </c>
      <c r="E100" s="5" t="s">
        <v>36</v>
      </c>
      <c r="F100" s="5" t="s">
        <v>159</v>
      </c>
      <c r="G100" s="5">
        <v>2017</v>
      </c>
      <c r="H100" s="5" t="str">
        <f>_xlfn.CONCAT("04270208038")</f>
        <v>04270208038</v>
      </c>
      <c r="I100" s="5" t="s">
        <v>28</v>
      </c>
      <c r="J100" s="5" t="s">
        <v>29</v>
      </c>
      <c r="K100" s="5" t="str">
        <f>_xlfn.CONCAT("")</f>
        <v/>
      </c>
      <c r="L100" s="5" t="str">
        <f>_xlfn.CONCAT("4 4.1 2a")</f>
        <v>4 4.1 2a</v>
      </c>
      <c r="M100" s="5" t="str">
        <f>_xlfn.CONCAT("00491220448")</f>
        <v>00491220448</v>
      </c>
      <c r="N100" s="5" t="s">
        <v>198</v>
      </c>
      <c r="O100" s="5" t="s">
        <v>199</v>
      </c>
      <c r="P100" s="6">
        <v>44181</v>
      </c>
      <c r="Q100" s="5" t="s">
        <v>30</v>
      </c>
      <c r="R100" s="5" t="s">
        <v>31</v>
      </c>
      <c r="S100" s="5" t="s">
        <v>32</v>
      </c>
      <c r="T100" s="5"/>
      <c r="U100" s="7">
        <v>24473.200000000001</v>
      </c>
      <c r="V100" s="7">
        <v>10552.84</v>
      </c>
      <c r="W100" s="7">
        <v>9745.23</v>
      </c>
      <c r="X100" s="5">
        <v>0</v>
      </c>
      <c r="Y100" s="7">
        <v>4175.13</v>
      </c>
    </row>
    <row r="101" spans="1:25" ht="24.75" x14ac:dyDescent="0.25">
      <c r="A101" s="5" t="s">
        <v>26</v>
      </c>
      <c r="B101" s="5" t="s">
        <v>41</v>
      </c>
      <c r="C101" s="5" t="s">
        <v>46</v>
      </c>
      <c r="D101" s="5" t="s">
        <v>125</v>
      </c>
      <c r="E101" s="5" t="s">
        <v>36</v>
      </c>
      <c r="F101" s="5" t="s">
        <v>159</v>
      </c>
      <c r="G101" s="5">
        <v>2017</v>
      </c>
      <c r="H101" s="5" t="str">
        <f>_xlfn.CONCAT("04270208079")</f>
        <v>04270208079</v>
      </c>
      <c r="I101" s="5" t="s">
        <v>28</v>
      </c>
      <c r="J101" s="5" t="s">
        <v>29</v>
      </c>
      <c r="K101" s="5" t="str">
        <f>_xlfn.CONCAT("")</f>
        <v/>
      </c>
      <c r="L101" s="5" t="str">
        <f>_xlfn.CONCAT("4 4.1 2a")</f>
        <v>4 4.1 2a</v>
      </c>
      <c r="M101" s="5" t="str">
        <f>_xlfn.CONCAT("01968650448")</f>
        <v>01968650448</v>
      </c>
      <c r="N101" s="5" t="s">
        <v>200</v>
      </c>
      <c r="O101" s="5" t="s">
        <v>199</v>
      </c>
      <c r="P101" s="6">
        <v>44181</v>
      </c>
      <c r="Q101" s="5" t="s">
        <v>30</v>
      </c>
      <c r="R101" s="5" t="s">
        <v>44</v>
      </c>
      <c r="S101" s="5" t="s">
        <v>32</v>
      </c>
      <c r="T101" s="5"/>
      <c r="U101" s="7">
        <v>65275.46</v>
      </c>
      <c r="V101" s="7">
        <v>28146.78</v>
      </c>
      <c r="W101" s="7">
        <v>25992.69</v>
      </c>
      <c r="X101" s="5">
        <v>0</v>
      </c>
      <c r="Y101" s="7">
        <v>11135.99</v>
      </c>
    </row>
    <row r="102" spans="1:25" ht="24.75" x14ac:dyDescent="0.25">
      <c r="A102" s="5" t="s">
        <v>26</v>
      </c>
      <c r="B102" s="5" t="s">
        <v>41</v>
      </c>
      <c r="C102" s="5" t="s">
        <v>46</v>
      </c>
      <c r="D102" s="5" t="s">
        <v>125</v>
      </c>
      <c r="E102" s="5" t="s">
        <v>42</v>
      </c>
      <c r="F102" s="5" t="s">
        <v>42</v>
      </c>
      <c r="G102" s="5">
        <v>2017</v>
      </c>
      <c r="H102" s="5" t="str">
        <f>_xlfn.CONCAT("04270208053")</f>
        <v>04270208053</v>
      </c>
      <c r="I102" s="5" t="s">
        <v>28</v>
      </c>
      <c r="J102" s="5" t="s">
        <v>29</v>
      </c>
      <c r="K102" s="5" t="str">
        <f>_xlfn.CONCAT("")</f>
        <v/>
      </c>
      <c r="L102" s="5" t="str">
        <f>_xlfn.CONCAT("4 4.1 2a")</f>
        <v>4 4.1 2a</v>
      </c>
      <c r="M102" s="5" t="str">
        <f>_xlfn.CONCAT("FRRPLA64L17A462O")</f>
        <v>FRRPLA64L17A462O</v>
      </c>
      <c r="N102" s="5" t="s">
        <v>201</v>
      </c>
      <c r="O102" s="5" t="s">
        <v>199</v>
      </c>
      <c r="P102" s="6">
        <v>44181</v>
      </c>
      <c r="Q102" s="5" t="s">
        <v>30</v>
      </c>
      <c r="R102" s="5" t="s">
        <v>43</v>
      </c>
      <c r="S102" s="5" t="s">
        <v>32</v>
      </c>
      <c r="T102" s="5"/>
      <c r="U102" s="7">
        <v>41020.86</v>
      </c>
      <c r="V102" s="7">
        <v>17688.189999999999</v>
      </c>
      <c r="W102" s="7">
        <v>16334.51</v>
      </c>
      <c r="X102" s="5">
        <v>0</v>
      </c>
      <c r="Y102" s="7">
        <v>6998.16</v>
      </c>
    </row>
    <row r="103" spans="1:25" ht="24.75" x14ac:dyDescent="0.25">
      <c r="A103" s="5" t="s">
        <v>26</v>
      </c>
      <c r="B103" s="5" t="s">
        <v>41</v>
      </c>
      <c r="C103" s="5" t="s">
        <v>46</v>
      </c>
      <c r="D103" s="5" t="s">
        <v>125</v>
      </c>
      <c r="E103" s="5" t="s">
        <v>39</v>
      </c>
      <c r="F103" s="5" t="s">
        <v>202</v>
      </c>
      <c r="G103" s="5">
        <v>2017</v>
      </c>
      <c r="H103" s="5" t="str">
        <f>_xlfn.CONCAT("04270208046")</f>
        <v>04270208046</v>
      </c>
      <c r="I103" s="5" t="s">
        <v>28</v>
      </c>
      <c r="J103" s="5" t="s">
        <v>29</v>
      </c>
      <c r="K103" s="5" t="str">
        <f>_xlfn.CONCAT("")</f>
        <v/>
      </c>
      <c r="L103" s="5" t="str">
        <f>_xlfn.CONCAT("4 4.1 2a")</f>
        <v>4 4.1 2a</v>
      </c>
      <c r="M103" s="5" t="str">
        <f>_xlfn.CONCAT("MZZGNN67R10D542G")</f>
        <v>MZZGNN67R10D542G</v>
      </c>
      <c r="N103" s="5" t="s">
        <v>203</v>
      </c>
      <c r="O103" s="5" t="s">
        <v>199</v>
      </c>
      <c r="P103" s="6">
        <v>44181</v>
      </c>
      <c r="Q103" s="5" t="s">
        <v>30</v>
      </c>
      <c r="R103" s="5" t="s">
        <v>31</v>
      </c>
      <c r="S103" s="5" t="s">
        <v>32</v>
      </c>
      <c r="T103" s="5"/>
      <c r="U103" s="7">
        <v>29328.240000000002</v>
      </c>
      <c r="V103" s="7">
        <v>12646.34</v>
      </c>
      <c r="W103" s="7">
        <v>11678.51</v>
      </c>
      <c r="X103" s="5">
        <v>0</v>
      </c>
      <c r="Y103" s="7">
        <v>5003.3900000000003</v>
      </c>
    </row>
    <row r="104" spans="1:25" ht="24.75" x14ac:dyDescent="0.25">
      <c r="A104" s="5" t="s">
        <v>26</v>
      </c>
      <c r="B104" s="5" t="s">
        <v>27</v>
      </c>
      <c r="C104" s="5" t="s">
        <v>46</v>
      </c>
      <c r="D104" s="5" t="s">
        <v>58</v>
      </c>
      <c r="E104" s="5" t="s">
        <v>35</v>
      </c>
      <c r="F104" s="5" t="s">
        <v>204</v>
      </c>
      <c r="G104" s="5">
        <v>2019</v>
      </c>
      <c r="H104" s="5" t="str">
        <f>_xlfn.CONCAT("94240975501")</f>
        <v>94240975501</v>
      </c>
      <c r="I104" s="5" t="s">
        <v>28</v>
      </c>
      <c r="J104" s="5" t="s">
        <v>29</v>
      </c>
      <c r="K104" s="5" t="str">
        <f>_xlfn.CONCAT("")</f>
        <v/>
      </c>
      <c r="L104" s="5" t="str">
        <f>_xlfn.CONCAT("10 10.1 4a")</f>
        <v>10 10.1 4a</v>
      </c>
      <c r="M104" s="5" t="str">
        <f>_xlfn.CONCAT("01065340414")</f>
        <v>01065340414</v>
      </c>
      <c r="N104" s="5" t="s">
        <v>205</v>
      </c>
      <c r="O104" s="5" t="s">
        <v>153</v>
      </c>
      <c r="P104" s="6">
        <v>44182</v>
      </c>
      <c r="Q104" s="5" t="s">
        <v>30</v>
      </c>
      <c r="R104" s="5" t="s">
        <v>31</v>
      </c>
      <c r="S104" s="5" t="s">
        <v>32</v>
      </c>
      <c r="T104" s="5"/>
      <c r="U104" s="7">
        <v>11599.11</v>
      </c>
      <c r="V104" s="7">
        <v>5001.54</v>
      </c>
      <c r="W104" s="7">
        <v>4618.7700000000004</v>
      </c>
      <c r="X104" s="5">
        <v>0</v>
      </c>
      <c r="Y104" s="7">
        <v>1978.8</v>
      </c>
    </row>
    <row r="105" spans="1:25" ht="24.75" x14ac:dyDescent="0.25">
      <c r="A105" s="5" t="s">
        <v>26</v>
      </c>
      <c r="B105" s="5" t="s">
        <v>27</v>
      </c>
      <c r="C105" s="5" t="s">
        <v>46</v>
      </c>
      <c r="D105" s="5" t="s">
        <v>58</v>
      </c>
      <c r="E105" s="5" t="s">
        <v>37</v>
      </c>
      <c r="F105" s="5" t="s">
        <v>66</v>
      </c>
      <c r="G105" s="5">
        <v>2020</v>
      </c>
      <c r="H105" s="5" t="str">
        <f>_xlfn.CONCAT("04780001469")</f>
        <v>04780001469</v>
      </c>
      <c r="I105" s="5" t="s">
        <v>28</v>
      </c>
      <c r="J105" s="5" t="s">
        <v>34</v>
      </c>
      <c r="K105" s="5" t="str">
        <f>_xlfn.CONCAT("221")</f>
        <v>221</v>
      </c>
      <c r="L105" s="5" t="str">
        <f>_xlfn.CONCAT("8 8.1 5e")</f>
        <v>8 8.1 5e</v>
      </c>
      <c r="M105" s="5" t="str">
        <f>_xlfn.CONCAT("PNZSNT60E68H501J")</f>
        <v>PNZSNT60E68H501J</v>
      </c>
      <c r="N105" s="5" t="s">
        <v>206</v>
      </c>
      <c r="O105" s="5" t="s">
        <v>158</v>
      </c>
      <c r="P105" s="6">
        <v>44182</v>
      </c>
      <c r="Q105" s="5" t="s">
        <v>30</v>
      </c>
      <c r="R105" s="5" t="s">
        <v>31</v>
      </c>
      <c r="S105" s="5" t="s">
        <v>32</v>
      </c>
      <c r="T105" s="5"/>
      <c r="U105" s="5">
        <v>318.8</v>
      </c>
      <c r="V105" s="5">
        <v>137.47</v>
      </c>
      <c r="W105" s="5">
        <v>126.95</v>
      </c>
      <c r="X105" s="5">
        <v>0</v>
      </c>
      <c r="Y105" s="5">
        <v>54.38</v>
      </c>
    </row>
    <row r="106" spans="1:25" ht="24.75" x14ac:dyDescent="0.25">
      <c r="A106" s="5" t="s">
        <v>26</v>
      </c>
      <c r="B106" s="5" t="s">
        <v>27</v>
      </c>
      <c r="C106" s="5" t="s">
        <v>46</v>
      </c>
      <c r="D106" s="5" t="s">
        <v>125</v>
      </c>
      <c r="E106" s="5" t="s">
        <v>39</v>
      </c>
      <c r="F106" s="5" t="s">
        <v>207</v>
      </c>
      <c r="G106" s="5">
        <v>2019</v>
      </c>
      <c r="H106" s="5" t="str">
        <f>_xlfn.CONCAT("94241733750")</f>
        <v>94241733750</v>
      </c>
      <c r="I106" s="5" t="s">
        <v>28</v>
      </c>
      <c r="J106" s="5" t="s">
        <v>29</v>
      </c>
      <c r="K106" s="5" t="str">
        <f>_xlfn.CONCAT("")</f>
        <v/>
      </c>
      <c r="L106" s="5" t="str">
        <f>_xlfn.CONCAT("11 11.2 4b")</f>
        <v>11 11.2 4b</v>
      </c>
      <c r="M106" s="5" t="str">
        <f>_xlfn.CONCAT("02365990445")</f>
        <v>02365990445</v>
      </c>
      <c r="N106" s="5" t="s">
        <v>208</v>
      </c>
      <c r="O106" s="5" t="s">
        <v>177</v>
      </c>
      <c r="P106" s="6">
        <v>44181</v>
      </c>
      <c r="Q106" s="5" t="s">
        <v>30</v>
      </c>
      <c r="R106" s="5" t="s">
        <v>31</v>
      </c>
      <c r="S106" s="5" t="s">
        <v>32</v>
      </c>
      <c r="T106" s="5"/>
      <c r="U106" s="7">
        <v>4418.79</v>
      </c>
      <c r="V106" s="7">
        <v>1905.38</v>
      </c>
      <c r="W106" s="7">
        <v>1759.56</v>
      </c>
      <c r="X106" s="5">
        <v>0</v>
      </c>
      <c r="Y106" s="5">
        <v>753.85</v>
      </c>
    </row>
    <row r="107" spans="1:25" ht="24.75" x14ac:dyDescent="0.25">
      <c r="A107" s="5" t="s">
        <v>26</v>
      </c>
      <c r="B107" s="5" t="s">
        <v>41</v>
      </c>
      <c r="C107" s="5" t="s">
        <v>46</v>
      </c>
      <c r="D107" s="5" t="s">
        <v>47</v>
      </c>
      <c r="E107" s="5" t="s">
        <v>42</v>
      </c>
      <c r="F107" s="5" t="s">
        <v>42</v>
      </c>
      <c r="G107" s="5">
        <v>2017</v>
      </c>
      <c r="H107" s="5" t="str">
        <f>_xlfn.CONCAT("04270206339")</f>
        <v>04270206339</v>
      </c>
      <c r="I107" s="5" t="s">
        <v>28</v>
      </c>
      <c r="J107" s="5" t="s">
        <v>29</v>
      </c>
      <c r="K107" s="5" t="str">
        <f>_xlfn.CONCAT("")</f>
        <v/>
      </c>
      <c r="L107" s="5" t="str">
        <f>_xlfn.CONCAT("19 19.4 6b")</f>
        <v>19 19.4 6b</v>
      </c>
      <c r="M107" s="5" t="str">
        <f>_xlfn.CONCAT("01119560439")</f>
        <v>01119560439</v>
      </c>
      <c r="N107" s="5" t="s">
        <v>209</v>
      </c>
      <c r="O107" s="5" t="s">
        <v>210</v>
      </c>
      <c r="P107" s="6">
        <v>44181</v>
      </c>
      <c r="Q107" s="5" t="s">
        <v>30</v>
      </c>
      <c r="R107" s="5" t="s">
        <v>44</v>
      </c>
      <c r="S107" s="5" t="s">
        <v>32</v>
      </c>
      <c r="T107" s="5"/>
      <c r="U107" s="7">
        <v>214381.52</v>
      </c>
      <c r="V107" s="7">
        <v>92441.31</v>
      </c>
      <c r="W107" s="7">
        <v>85366.720000000001</v>
      </c>
      <c r="X107" s="5">
        <v>0</v>
      </c>
      <c r="Y107" s="7">
        <v>36573.49</v>
      </c>
    </row>
    <row r="108" spans="1:25" ht="24.75" x14ac:dyDescent="0.25">
      <c r="A108" s="5" t="s">
        <v>26</v>
      </c>
      <c r="B108" s="5" t="s">
        <v>41</v>
      </c>
      <c r="C108" s="5" t="s">
        <v>46</v>
      </c>
      <c r="D108" s="5" t="s">
        <v>47</v>
      </c>
      <c r="E108" s="5" t="s">
        <v>42</v>
      </c>
      <c r="F108" s="5" t="s">
        <v>42</v>
      </c>
      <c r="G108" s="5">
        <v>2017</v>
      </c>
      <c r="H108" s="5" t="str">
        <f>_xlfn.CONCAT("04270206321")</f>
        <v>04270206321</v>
      </c>
      <c r="I108" s="5" t="s">
        <v>28</v>
      </c>
      <c r="J108" s="5" t="s">
        <v>29</v>
      </c>
      <c r="K108" s="5" t="str">
        <f>_xlfn.CONCAT("")</f>
        <v/>
      </c>
      <c r="L108" s="5" t="str">
        <f>_xlfn.CONCAT("19 19.4 6b")</f>
        <v>19 19.4 6b</v>
      </c>
      <c r="M108" s="5" t="str">
        <f>_xlfn.CONCAT("01377760416")</f>
        <v>01377760416</v>
      </c>
      <c r="N108" s="5" t="s">
        <v>211</v>
      </c>
      <c r="O108" s="5" t="s">
        <v>210</v>
      </c>
      <c r="P108" s="6">
        <v>44181</v>
      </c>
      <c r="Q108" s="5" t="s">
        <v>30</v>
      </c>
      <c r="R108" s="5" t="s">
        <v>44</v>
      </c>
      <c r="S108" s="5" t="s">
        <v>32</v>
      </c>
      <c r="T108" s="5"/>
      <c r="U108" s="7">
        <v>155304.70000000001</v>
      </c>
      <c r="V108" s="7">
        <v>66967.39</v>
      </c>
      <c r="W108" s="7">
        <v>61842.33</v>
      </c>
      <c r="X108" s="5">
        <v>0</v>
      </c>
      <c r="Y108" s="7">
        <v>26494.98</v>
      </c>
    </row>
    <row r="109" spans="1:25" ht="24.75" x14ac:dyDescent="0.25">
      <c r="A109" s="5" t="s">
        <v>26</v>
      </c>
      <c r="B109" s="5" t="s">
        <v>27</v>
      </c>
      <c r="C109" s="5" t="s">
        <v>46</v>
      </c>
      <c r="D109" s="5" t="s">
        <v>58</v>
      </c>
      <c r="E109" s="5" t="s">
        <v>37</v>
      </c>
      <c r="F109" s="5" t="s">
        <v>212</v>
      </c>
      <c r="G109" s="5">
        <v>2020</v>
      </c>
      <c r="H109" s="5" t="str">
        <f>_xlfn.CONCAT("04240281693")</f>
        <v>04240281693</v>
      </c>
      <c r="I109" s="5" t="s">
        <v>28</v>
      </c>
      <c r="J109" s="5" t="s">
        <v>29</v>
      </c>
      <c r="K109" s="5" t="str">
        <f>_xlfn.CONCAT("")</f>
        <v/>
      </c>
      <c r="L109" s="5" t="str">
        <f>_xlfn.CONCAT("11 11.2 4b")</f>
        <v>11 11.2 4b</v>
      </c>
      <c r="M109" s="5" t="str">
        <f>_xlfn.CONCAT("LSSLDN61E57L500H")</f>
        <v>LSSLDN61E57L500H</v>
      </c>
      <c r="N109" s="5" t="s">
        <v>213</v>
      </c>
      <c r="O109" s="5" t="s">
        <v>214</v>
      </c>
      <c r="P109" s="6">
        <v>44182</v>
      </c>
      <c r="Q109" s="5" t="s">
        <v>30</v>
      </c>
      <c r="R109" s="5" t="s">
        <v>31</v>
      </c>
      <c r="S109" s="5" t="s">
        <v>32</v>
      </c>
      <c r="T109" s="5"/>
      <c r="U109" s="7">
        <v>6535.82</v>
      </c>
      <c r="V109" s="7">
        <v>2818.25</v>
      </c>
      <c r="W109" s="7">
        <v>2602.56</v>
      </c>
      <c r="X109" s="5">
        <v>0</v>
      </c>
      <c r="Y109" s="7">
        <v>1115.01</v>
      </c>
    </row>
    <row r="110" spans="1:25" ht="24.75" x14ac:dyDescent="0.25">
      <c r="A110" s="5" t="s">
        <v>26</v>
      </c>
      <c r="B110" s="5" t="s">
        <v>27</v>
      </c>
      <c r="C110" s="5" t="s">
        <v>46</v>
      </c>
      <c r="D110" s="5" t="s">
        <v>58</v>
      </c>
      <c r="E110" s="5" t="s">
        <v>37</v>
      </c>
      <c r="F110" s="5" t="s">
        <v>215</v>
      </c>
      <c r="G110" s="5">
        <v>2019</v>
      </c>
      <c r="H110" s="5" t="str">
        <f>_xlfn.CONCAT("94241694267")</f>
        <v>94241694267</v>
      </c>
      <c r="I110" s="5" t="s">
        <v>28</v>
      </c>
      <c r="J110" s="5" t="s">
        <v>29</v>
      </c>
      <c r="K110" s="5" t="str">
        <f>_xlfn.CONCAT("")</f>
        <v/>
      </c>
      <c r="L110" s="5" t="str">
        <f>_xlfn.CONCAT("11 11.2 4b")</f>
        <v>11 11.2 4b</v>
      </c>
      <c r="M110" s="5" t="str">
        <f>_xlfn.CONCAT("02477560367")</f>
        <v>02477560367</v>
      </c>
      <c r="N110" s="5" t="s">
        <v>216</v>
      </c>
      <c r="O110" s="5" t="s">
        <v>214</v>
      </c>
      <c r="P110" s="6">
        <v>44182</v>
      </c>
      <c r="Q110" s="5" t="s">
        <v>30</v>
      </c>
      <c r="R110" s="5" t="s">
        <v>31</v>
      </c>
      <c r="S110" s="5" t="s">
        <v>32</v>
      </c>
      <c r="T110" s="5"/>
      <c r="U110" s="5">
        <v>580.64</v>
      </c>
      <c r="V110" s="5">
        <v>250.37</v>
      </c>
      <c r="W110" s="5">
        <v>231.21</v>
      </c>
      <c r="X110" s="5">
        <v>0</v>
      </c>
      <c r="Y110" s="5">
        <v>99.06</v>
      </c>
    </row>
    <row r="111" spans="1:25" ht="24.75" x14ac:dyDescent="0.25">
      <c r="A111" s="5" t="s">
        <v>26</v>
      </c>
      <c r="B111" s="5" t="s">
        <v>27</v>
      </c>
      <c r="C111" s="5" t="s">
        <v>46</v>
      </c>
      <c r="D111" s="5" t="s">
        <v>58</v>
      </c>
      <c r="E111" s="5" t="s">
        <v>39</v>
      </c>
      <c r="F111" s="5" t="s">
        <v>64</v>
      </c>
      <c r="G111" s="5">
        <v>2018</v>
      </c>
      <c r="H111" s="5" t="str">
        <f>_xlfn.CONCAT("84240300115")</f>
        <v>84240300115</v>
      </c>
      <c r="I111" s="5" t="s">
        <v>28</v>
      </c>
      <c r="J111" s="5" t="s">
        <v>29</v>
      </c>
      <c r="K111" s="5" t="str">
        <f>_xlfn.CONCAT("")</f>
        <v/>
      </c>
      <c r="L111" s="5" t="str">
        <f>_xlfn.CONCAT("11 11.1 4b")</f>
        <v>11 11.1 4b</v>
      </c>
      <c r="M111" s="5" t="str">
        <f>_xlfn.CONCAT("00699090411")</f>
        <v>00699090411</v>
      </c>
      <c r="N111" s="5" t="s">
        <v>217</v>
      </c>
      <c r="O111" s="5" t="s">
        <v>214</v>
      </c>
      <c r="P111" s="6">
        <v>44182</v>
      </c>
      <c r="Q111" s="5" t="s">
        <v>30</v>
      </c>
      <c r="R111" s="5" t="s">
        <v>31</v>
      </c>
      <c r="S111" s="5" t="s">
        <v>32</v>
      </c>
      <c r="T111" s="5"/>
      <c r="U111" s="7">
        <v>9057.86</v>
      </c>
      <c r="V111" s="7">
        <v>3905.75</v>
      </c>
      <c r="W111" s="7">
        <v>3606.84</v>
      </c>
      <c r="X111" s="5">
        <v>0</v>
      </c>
      <c r="Y111" s="7">
        <v>1545.27</v>
      </c>
    </row>
    <row r="112" spans="1:25" ht="24.75" x14ac:dyDescent="0.25">
      <c r="A112" s="5" t="s">
        <v>26</v>
      </c>
      <c r="B112" s="5" t="s">
        <v>27</v>
      </c>
      <c r="C112" s="5" t="s">
        <v>46</v>
      </c>
      <c r="D112" s="5" t="s">
        <v>47</v>
      </c>
      <c r="E112" s="5" t="s">
        <v>39</v>
      </c>
      <c r="F112" s="5" t="s">
        <v>154</v>
      </c>
      <c r="G112" s="5">
        <v>2020</v>
      </c>
      <c r="H112" s="5" t="str">
        <f>_xlfn.CONCAT("04240946956")</f>
        <v>04240946956</v>
      </c>
      <c r="I112" s="5" t="s">
        <v>28</v>
      </c>
      <c r="J112" s="5" t="s">
        <v>29</v>
      </c>
      <c r="K112" s="5" t="str">
        <f>_xlfn.CONCAT("")</f>
        <v/>
      </c>
      <c r="L112" s="5" t="str">
        <f>_xlfn.CONCAT("11 11.2 4b")</f>
        <v>11 11.2 4b</v>
      </c>
      <c r="M112" s="5" t="str">
        <f>_xlfn.CONCAT("GRNFNC78L58C615H")</f>
        <v>GRNFNC78L58C615H</v>
      </c>
      <c r="N112" s="5" t="s">
        <v>218</v>
      </c>
      <c r="O112" s="5" t="s">
        <v>214</v>
      </c>
      <c r="P112" s="6">
        <v>44182</v>
      </c>
      <c r="Q112" s="5" t="s">
        <v>30</v>
      </c>
      <c r="R112" s="5" t="s">
        <v>31</v>
      </c>
      <c r="S112" s="5" t="s">
        <v>32</v>
      </c>
      <c r="T112" s="5"/>
      <c r="U112" s="5">
        <v>581.73</v>
      </c>
      <c r="V112" s="5">
        <v>250.84</v>
      </c>
      <c r="W112" s="5">
        <v>231.64</v>
      </c>
      <c r="X112" s="5">
        <v>0</v>
      </c>
      <c r="Y112" s="5">
        <v>99.25</v>
      </c>
    </row>
    <row r="113" spans="1:25" ht="24.75" x14ac:dyDescent="0.25">
      <c r="A113" s="5" t="s">
        <v>26</v>
      </c>
      <c r="B113" s="5" t="s">
        <v>27</v>
      </c>
      <c r="C113" s="5" t="s">
        <v>46</v>
      </c>
      <c r="D113" s="5" t="s">
        <v>58</v>
      </c>
      <c r="E113" s="5" t="s">
        <v>39</v>
      </c>
      <c r="F113" s="5" t="s">
        <v>80</v>
      </c>
      <c r="G113" s="5">
        <v>2020</v>
      </c>
      <c r="H113" s="5" t="str">
        <f>_xlfn.CONCAT("04240762452")</f>
        <v>04240762452</v>
      </c>
      <c r="I113" s="5" t="s">
        <v>28</v>
      </c>
      <c r="J113" s="5" t="s">
        <v>29</v>
      </c>
      <c r="K113" s="5" t="str">
        <f>_xlfn.CONCAT("")</f>
        <v/>
      </c>
      <c r="L113" s="5" t="str">
        <f>_xlfn.CONCAT("11 11.2 4b")</f>
        <v>11 11.2 4b</v>
      </c>
      <c r="M113" s="5" t="str">
        <f>_xlfn.CONCAT("CLVLRA86B51D451O")</f>
        <v>CLVLRA86B51D451O</v>
      </c>
      <c r="N113" s="5" t="s">
        <v>219</v>
      </c>
      <c r="O113" s="5" t="s">
        <v>214</v>
      </c>
      <c r="P113" s="6">
        <v>44182</v>
      </c>
      <c r="Q113" s="5" t="s">
        <v>30</v>
      </c>
      <c r="R113" s="5" t="s">
        <v>31</v>
      </c>
      <c r="S113" s="5" t="s">
        <v>32</v>
      </c>
      <c r="T113" s="5"/>
      <c r="U113" s="7">
        <v>15766.29</v>
      </c>
      <c r="V113" s="7">
        <v>6798.42</v>
      </c>
      <c r="W113" s="7">
        <v>6278.14</v>
      </c>
      <c r="X113" s="5">
        <v>0</v>
      </c>
      <c r="Y113" s="7">
        <v>2689.73</v>
      </c>
    </row>
    <row r="114" spans="1:25" x14ac:dyDescent="0.25">
      <c r="A114" s="5" t="s">
        <v>26</v>
      </c>
      <c r="B114" s="5" t="s">
        <v>27</v>
      </c>
      <c r="C114" s="5" t="s">
        <v>46</v>
      </c>
      <c r="D114" s="5" t="s">
        <v>53</v>
      </c>
      <c r="E114" s="5" t="s">
        <v>33</v>
      </c>
      <c r="F114" s="5" t="s">
        <v>220</v>
      </c>
      <c r="G114" s="5">
        <v>2019</v>
      </c>
      <c r="H114" s="5" t="str">
        <f>_xlfn.CONCAT("94240790439")</f>
        <v>94240790439</v>
      </c>
      <c r="I114" s="5" t="s">
        <v>28</v>
      </c>
      <c r="J114" s="5" t="s">
        <v>29</v>
      </c>
      <c r="K114" s="5" t="str">
        <f>_xlfn.CONCAT("")</f>
        <v/>
      </c>
      <c r="L114" s="5" t="str">
        <f>_xlfn.CONCAT("11 11.2 4b")</f>
        <v>11 11.2 4b</v>
      </c>
      <c r="M114" s="5" t="str">
        <f>_xlfn.CONCAT("RCCCLD60E31I324Z")</f>
        <v>RCCCLD60E31I324Z</v>
      </c>
      <c r="N114" s="5" t="s">
        <v>221</v>
      </c>
      <c r="O114" s="5" t="s">
        <v>214</v>
      </c>
      <c r="P114" s="6">
        <v>44182</v>
      </c>
      <c r="Q114" s="5" t="s">
        <v>30</v>
      </c>
      <c r="R114" s="5" t="s">
        <v>31</v>
      </c>
      <c r="S114" s="5" t="s">
        <v>32</v>
      </c>
      <c r="T114" s="5"/>
      <c r="U114" s="5">
        <v>890.94</v>
      </c>
      <c r="V114" s="5">
        <v>384.17</v>
      </c>
      <c r="W114" s="5">
        <v>354.77</v>
      </c>
      <c r="X114" s="5">
        <v>0</v>
      </c>
      <c r="Y114" s="5">
        <v>152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2020-12-21T15:07:13Z</dcterms:created>
  <dcterms:modified xsi:type="dcterms:W3CDTF">2020-12-21T15:07:55Z</dcterms:modified>
</cp:coreProperties>
</file>