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91\"/>
    </mc:Choice>
  </mc:AlternateContent>
  <xr:revisionPtr revIDLastSave="0" documentId="8_{48793D1D-9F98-4EBA-B4A0-BC595E4E412C}" xr6:coauthVersionLast="45" xr6:coauthVersionMax="45" xr10:uidLastSave="{00000000-0000-0000-0000-000000000000}"/>
  <bookViews>
    <workbookView xWindow="-120" yWindow="-120" windowWidth="20730" windowHeight="11160" xr2:uid="{8F4E2860-100B-48B5-8F97-262DB8207D39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1" l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<sst xmlns="http://schemas.openxmlformats.org/spreadsheetml/2006/main" count="559" uniqueCount="117">
  <si>
    <t>Dettaglio Domande Pagabili Decreto 391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</si>
  <si>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</si>
  <si>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</si>
  <si>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</si>
  <si>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</si>
  <si>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</si>
  <si>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</si>
  <si>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</si>
  <si>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</si>
  <si>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</si>
  <si>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</si>
  <si>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</si>
  <si>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</si>
  <si>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</si>
  <si>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</si>
  <si>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</si>
  <si>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</si>
  <si>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</si>
  <si>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</si>
  <si>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</si>
  <si>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</si>
  <si>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</si>
  <si>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</si>
  <si>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</si>
  <si>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</si>
  <si>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</si>
  <si>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</si>
  <si>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</si>
  <si>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</si>
  <si>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</si>
  <si>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Nuova Programmazione</t>
  </si>
  <si>
    <t>In Liquidazione</t>
  </si>
  <si>
    <t>Saldo</t>
  </si>
  <si>
    <t>Co-Finanziato</t>
  </si>
  <si>
    <t>CAA Coldiretti srl</t>
  </si>
  <si>
    <t>CAA LiberiAgricoltori srl già CAA AGCI srl</t>
  </si>
  <si>
    <t>SI</t>
  </si>
  <si>
    <t>CAA UNICAA srl</t>
  </si>
  <si>
    <t>CAA-CAF AGRI S.R.L.</t>
  </si>
  <si>
    <t>Misure Strutturali</t>
  </si>
  <si>
    <t>SAL</t>
  </si>
  <si>
    <t>IN PROPRIO</t>
  </si>
  <si>
    <t>MARCHE</t>
  </si>
  <si>
    <t>SERV. DEC. AGRICOLTURA E ALIMENTAZIONE - ANCONA</t>
  </si>
  <si>
    <t>CAA Coldiretti - ANCONA - 002</t>
  </si>
  <si>
    <t>Trascinamenti</t>
  </si>
  <si>
    <t>MELONI STEFANO</t>
  </si>
  <si>
    <t>AGEA.ASR.2013.0460319</t>
  </si>
  <si>
    <t>SERV. DEC. AGRICOLTURA E ALIM. -ASCOLI PICENO</t>
  </si>
  <si>
    <t>COMPAGNONI GABRIO</t>
  </si>
  <si>
    <t>AGEA.ASR.2019.1759748</t>
  </si>
  <si>
    <t>CAA CAF AGRI - ANCONA - 226</t>
  </si>
  <si>
    <t>BENIGNI GIUSEPPE</t>
  </si>
  <si>
    <t>AGEA.ASR.2020.0468443</t>
  </si>
  <si>
    <t>CAA Copagri srl</t>
  </si>
  <si>
    <t>CAA Copagri - ANCONA - 504</t>
  </si>
  <si>
    <t>BENIGNI FRANCESCO</t>
  </si>
  <si>
    <t>SERV. DEC. AGRICOLTURA E ALIMENTAZIONE - PESARO</t>
  </si>
  <si>
    <t>COMUNE DI FRONTONE</t>
  </si>
  <si>
    <t>AGEA.ASR.2020.0971870</t>
  </si>
  <si>
    <t>Anticipo</t>
  </si>
  <si>
    <t>FICCADENTI FRANCESCO</t>
  </si>
  <si>
    <t>AGEA.ASR.2020.0974830</t>
  </si>
  <si>
    <t>CAA CIA - ANCONA - 006</t>
  </si>
  <si>
    <t>NOVELLO MARCO</t>
  </si>
  <si>
    <t>AGEA.ASR.2020.0971913</t>
  </si>
  <si>
    <t>SERV. DEC. AGRICOLTURA E ALIM. - MACERATA</t>
  </si>
  <si>
    <t>SOCIETA' AGRICOLA FERIOLI DI FERIOLI RICCARDO &amp; C. s.s.</t>
  </si>
  <si>
    <t>AGEA.ASR.2020.0974836</t>
  </si>
  <si>
    <t>PARRADO Y MARCANO DOLORES</t>
  </si>
  <si>
    <t>COLLEONORATO SOCIETA' AGRICOLA S.S.</t>
  </si>
  <si>
    <t>AGEA.ASR.2020.0972927</t>
  </si>
  <si>
    <t>AZ. AGR. CIANDRINI BENITO &amp; C. SOCIETA' SEMPLICE</t>
  </si>
  <si>
    <t>AGEA.ASR.2020.0977962</t>
  </si>
  <si>
    <t>CAA Coldiretti - MACERATA - 008</t>
  </si>
  <si>
    <t>ANGELONI MARIA</t>
  </si>
  <si>
    <t>AGEA.ASR.2020.0966330</t>
  </si>
  <si>
    <t>CAA Coldiretti - MACERATA - 007</t>
  </si>
  <si>
    <t>BATASSA ADALBERTO</t>
  </si>
  <si>
    <t>CAA Coldiretti - ANCONA - 005</t>
  </si>
  <si>
    <t>LOIOLI SPURI NISI RICCARDO</t>
  </si>
  <si>
    <t>AGEA.ASR.2020.0971850</t>
  </si>
  <si>
    <t>ALESSANDRELLI STEFANO</t>
  </si>
  <si>
    <t>AGEA.ASR.2020.0971910</t>
  </si>
  <si>
    <t>CAA CAF AGRI - ASCOLI PICENO - 222</t>
  </si>
  <si>
    <t>SARTORELLI LUCA</t>
  </si>
  <si>
    <t>AGEA.ASR.2020.0971843</t>
  </si>
  <si>
    <t>CAA Coldiretti - MACERATA - 017</t>
  </si>
  <si>
    <t>LATINI MASSIMO</t>
  </si>
  <si>
    <t>AGEA.ASR.2020.0978523</t>
  </si>
  <si>
    <t>SOC.AGR.VILLA LE CASE DI ARNAUTOVICI C.</t>
  </si>
  <si>
    <t>IMPRESA VERDE MARCHE SRL</t>
  </si>
  <si>
    <t>AGEA.ASR.2020.0971809</t>
  </si>
  <si>
    <t>AGEA.ASR.2020.0971879</t>
  </si>
  <si>
    <t>CAA LiberiAgricoltori - PESARO E URBINO - 001</t>
  </si>
  <si>
    <t>TERRA BIO CONSORZIO AGRICOLTORI BIOLOGICI SOCIETA' COOPERATIVA</t>
  </si>
  <si>
    <t>AGEA.ASR.2020.0978215</t>
  </si>
  <si>
    <t>CONSORZIO MARCHE BIOLOGICHE SOC.COOP AGR</t>
  </si>
  <si>
    <t>AGEA.ASR.2020.0971905</t>
  </si>
  <si>
    <t>AGEA.ASR.2020.0966327</t>
  </si>
  <si>
    <t>AGEA.ASR.2020.0966322</t>
  </si>
  <si>
    <t>GINO GIROLOMONI COOPERATIVA AGRICOLA</t>
  </si>
  <si>
    <t>AGEA.ASR.2020.0977959</t>
  </si>
  <si>
    <t>MONTEBELLO COOPERATIVA AGROBIOLOGICA</t>
  </si>
  <si>
    <t>MORETTI ADELE</t>
  </si>
  <si>
    <t>CAA LiberiAgricoltori - MACERATA - 001</t>
  </si>
  <si>
    <t>MERIGGI ZENO</t>
  </si>
  <si>
    <t>CAA Coldiretti - MACERATA - 002</t>
  </si>
  <si>
    <t>SOCIETA' AGRICOLA PACCUSSE DI PACCUSSE VALENTINO &amp; DINO S.S.</t>
  </si>
  <si>
    <t>SUFFERINI MIRKO</t>
  </si>
  <si>
    <t>CAA UNICAA - ASCOLI PICENO - 004</t>
  </si>
  <si>
    <t>COMUNE DI ROTELLA</t>
  </si>
  <si>
    <t>AGEA.ASR.2020.0974563</t>
  </si>
  <si>
    <t>CAA LiberiAgricoltori - MACERATA - 005</t>
  </si>
  <si>
    <t>PERUGINI PIERPAOLO</t>
  </si>
  <si>
    <t>BUSCIONOVI PIERINO</t>
  </si>
  <si>
    <t>AGEA.ASR.2018.0900524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</si>
</sst>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10D7F-30FC-4EAD-91CE-70CB8BB21B5E}">
  <dimension ref="A1:Y44"/>
  <sheetViews>
    <sheetView showGridLines="0" tabSelected="1" workbookViewId="0">
      <selection activeCell="E52" sqref="E52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20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42</v>
      </c>
      <c r="D4" s="5" t="s">
        <v>43</v>
      </c>
      <c r="E4" s="5" t="s">
        <v>34</v>
      </c>
      <c r="F4" s="5" t="s">
        <v>44</v>
      </c>
      <c r="G4" s="5">
        <v>2012</v>
      </c>
      <c r="H4" s="5" t="str">
        <f>CONCATENATE("24730070927")</f>
        <v>24730070927</v>
      </c>
      <c r="I4" s="5" t="s">
        <v>29</v>
      </c>
      <c r="J4" s="5" t="s">
        <v>45</v>
      </c>
      <c r="K4" s="5" t="str">
        <f>CONCATENATE("221")</f>
        <v>221</v>
      </c>
      <c r="L4" s="5" t="str">
        <f>CONCATENATE("8 8.1 5e")</f>
        <v>8 8.1 5e</v>
      </c>
      <c r="M4" s="5" t="str">
        <f>CONCATENATE("MLNSFN43P07D451M")</f>
        <v>MLNSFN43P07D451M</v>
      </c>
      <c r="N4" s="5" t="s">
        <v>46</v>
      </c>
      <c r="O4" s="5" t="s">
        <v>47</v>
      </c>
      <c r="P4" s="6">
        <v>41498</v>
      </c>
      <c r="Q4" s="5" t="s">
        <v>31</v>
      </c>
      <c r="R4" s="5" t="s">
        <v>32</v>
      </c>
      <c r="S4" s="5" t="s">
        <v>33</v>
      </c>
      <c r="T4" s="5"/>
      <c r="U4" s="5">
        <v>100</v>
      </c>
      <c r="V4" s="5">
        <v>43.12</v>
      </c>
      <c r="W4" s="5">
        <v>39.82</v>
      </c>
      <c r="X4" s="5">
        <v>0</v>
      </c>
      <c r="Y4" s="5">
        <v>17.059999999999999</v>
      </c>
    </row>
    <row r="5" spans="1:25" ht="24.75" x14ac:dyDescent="0.25">
      <c r="A5" s="5" t="s">
        <v>26</v>
      </c>
      <c r="B5" s="5" t="s">
        <v>27</v>
      </c>
      <c r="C5" s="5" t="s">
        <v>42</v>
      </c>
      <c r="D5" s="5" t="s">
        <v>48</v>
      </c>
      <c r="E5" s="5" t="s">
        <v>41</v>
      </c>
      <c r="F5" s="5" t="s">
        <v>41</v>
      </c>
      <c r="G5" s="5">
        <v>2018</v>
      </c>
      <c r="H5" s="5" t="str">
        <f>CONCATENATE("84241050958")</f>
        <v>84241050958</v>
      </c>
      <c r="I5" s="5" t="s">
        <v>36</v>
      </c>
      <c r="J5" s="5" t="s">
        <v>30</v>
      </c>
      <c r="K5" s="5" t="str">
        <f>CONCATENATE("")</f>
        <v/>
      </c>
      <c r="L5" s="5" t="str">
        <f>CONCATENATE("11 11.1 4b")</f>
        <v>11 11.1 4b</v>
      </c>
      <c r="M5" s="5" t="str">
        <f>CONCATENATE("CMPGBR71C24H769Y")</f>
        <v>CMPGBR71C24H769Y</v>
      </c>
      <c r="N5" s="5" t="s">
        <v>49</v>
      </c>
      <c r="O5" s="5" t="s">
        <v>50</v>
      </c>
      <c r="P5" s="6">
        <v>43795</v>
      </c>
      <c r="Q5" s="5" t="s">
        <v>31</v>
      </c>
      <c r="R5" s="5" t="s">
        <v>32</v>
      </c>
      <c r="S5" s="5" t="s">
        <v>33</v>
      </c>
      <c r="T5" s="5"/>
      <c r="U5" s="5">
        <v>401.94</v>
      </c>
      <c r="V5" s="5">
        <v>173.32</v>
      </c>
      <c r="W5" s="5">
        <v>160.05000000000001</v>
      </c>
      <c r="X5" s="5">
        <v>0</v>
      </c>
      <c r="Y5" s="5">
        <v>68.569999999999993</v>
      </c>
    </row>
    <row r="6" spans="1:25" ht="24.75" x14ac:dyDescent="0.25">
      <c r="A6" s="5" t="s">
        <v>26</v>
      </c>
      <c r="B6" s="5" t="s">
        <v>27</v>
      </c>
      <c r="C6" s="5" t="s">
        <v>42</v>
      </c>
      <c r="D6" s="5" t="s">
        <v>43</v>
      </c>
      <c r="E6" s="5" t="s">
        <v>38</v>
      </c>
      <c r="F6" s="5" t="s">
        <v>51</v>
      </c>
      <c r="G6" s="5">
        <v>2016</v>
      </c>
      <c r="H6" s="5" t="str">
        <f>CONCATENATE("64780044703")</f>
        <v>64780044703</v>
      </c>
      <c r="I6" s="5" t="s">
        <v>29</v>
      </c>
      <c r="J6" s="5" t="s">
        <v>45</v>
      </c>
      <c r="K6" s="5" t="str">
        <f>CONCATENATE("221")</f>
        <v>221</v>
      </c>
      <c r="L6" s="5" t="str">
        <f>CONCATENATE("8 8.1 5e")</f>
        <v>8 8.1 5e</v>
      </c>
      <c r="M6" s="5" t="str">
        <f>CONCATENATE("BNGGPP48D05G157N")</f>
        <v>BNGGPP48D05G157N</v>
      </c>
      <c r="N6" s="5" t="s">
        <v>52</v>
      </c>
      <c r="O6" s="5" t="s">
        <v>53</v>
      </c>
      <c r="P6" s="6">
        <v>43987</v>
      </c>
      <c r="Q6" s="5" t="s">
        <v>31</v>
      </c>
      <c r="R6" s="5" t="s">
        <v>32</v>
      </c>
      <c r="S6" s="5" t="s">
        <v>33</v>
      </c>
      <c r="T6" s="5"/>
      <c r="U6" s="5">
        <v>225</v>
      </c>
      <c r="V6" s="5">
        <v>97.02</v>
      </c>
      <c r="W6" s="5">
        <v>89.6</v>
      </c>
      <c r="X6" s="5">
        <v>0</v>
      </c>
      <c r="Y6" s="5">
        <v>38.380000000000003</v>
      </c>
    </row>
    <row r="7" spans="1:25" ht="24.75" x14ac:dyDescent="0.25">
      <c r="A7" s="5" t="s">
        <v>26</v>
      </c>
      <c r="B7" s="5" t="s">
        <v>27</v>
      </c>
      <c r="C7" s="5" t="s">
        <v>42</v>
      </c>
      <c r="D7" s="5" t="s">
        <v>43</v>
      </c>
      <c r="E7" s="5" t="s">
        <v>54</v>
      </c>
      <c r="F7" s="5" t="s">
        <v>55</v>
      </c>
      <c r="G7" s="5">
        <v>2016</v>
      </c>
      <c r="H7" s="5" t="str">
        <f>CONCATENATE("64780044505")</f>
        <v>64780044505</v>
      </c>
      <c r="I7" s="5" t="s">
        <v>29</v>
      </c>
      <c r="J7" s="5" t="s">
        <v>45</v>
      </c>
      <c r="K7" s="5" t="str">
        <f>CONCATENATE("221")</f>
        <v>221</v>
      </c>
      <c r="L7" s="5" t="str">
        <f>CONCATENATE("8 8.1 5e")</f>
        <v>8 8.1 5e</v>
      </c>
      <c r="M7" s="5" t="str">
        <f>CONCATENATE("BNGFNC75M01A271D")</f>
        <v>BNGFNC75M01A271D</v>
      </c>
      <c r="N7" s="5" t="s">
        <v>56</v>
      </c>
      <c r="O7" s="5" t="s">
        <v>53</v>
      </c>
      <c r="P7" s="6">
        <v>43987</v>
      </c>
      <c r="Q7" s="5" t="s">
        <v>31</v>
      </c>
      <c r="R7" s="5" t="s">
        <v>32</v>
      </c>
      <c r="S7" s="5" t="s">
        <v>33</v>
      </c>
      <c r="T7" s="5"/>
      <c r="U7" s="5">
        <v>510</v>
      </c>
      <c r="V7" s="5">
        <v>219.91</v>
      </c>
      <c r="W7" s="5">
        <v>203.08</v>
      </c>
      <c r="X7" s="5">
        <v>0</v>
      </c>
      <c r="Y7" s="5">
        <v>87.01</v>
      </c>
    </row>
    <row r="8" spans="1:25" ht="24.75" x14ac:dyDescent="0.25">
      <c r="A8" s="5" t="s">
        <v>26</v>
      </c>
      <c r="B8" s="5" t="s">
        <v>39</v>
      </c>
      <c r="C8" s="5" t="s">
        <v>42</v>
      </c>
      <c r="D8" s="5" t="s">
        <v>57</v>
      </c>
      <c r="E8" s="5" t="s">
        <v>41</v>
      </c>
      <c r="F8" s="5" t="s">
        <v>41</v>
      </c>
      <c r="G8" s="5">
        <v>2017</v>
      </c>
      <c r="H8" s="5" t="str">
        <f>CONCATENATE("04270093315")</f>
        <v>04270093315</v>
      </c>
      <c r="I8" s="5" t="s">
        <v>29</v>
      </c>
      <c r="J8" s="5" t="s">
        <v>30</v>
      </c>
      <c r="K8" s="5" t="str">
        <f>CONCATENATE("")</f>
        <v/>
      </c>
      <c r="L8" s="5" t="str">
        <f>CONCATENATE("7 7.2 6a")</f>
        <v>7 7.2 6a</v>
      </c>
      <c r="M8" s="5" t="str">
        <f>CONCATENATE("00314800418")</f>
        <v>00314800418</v>
      </c>
      <c r="N8" s="5" t="s">
        <v>58</v>
      </c>
      <c r="O8" s="5" t="s">
        <v>59</v>
      </c>
      <c r="P8" s="6">
        <v>44055</v>
      </c>
      <c r="Q8" s="5" t="s">
        <v>31</v>
      </c>
      <c r="R8" s="5" t="s">
        <v>60</v>
      </c>
      <c r="S8" s="5" t="s">
        <v>33</v>
      </c>
      <c r="T8" s="5"/>
      <c r="U8" s="7">
        <v>58790.42</v>
      </c>
      <c r="V8" s="7">
        <v>25350.43</v>
      </c>
      <c r="W8" s="7">
        <v>23410.35</v>
      </c>
      <c r="X8" s="5">
        <v>0</v>
      </c>
      <c r="Y8" s="7">
        <v>10029.64</v>
      </c>
    </row>
    <row r="9" spans="1:25" ht="24.75" x14ac:dyDescent="0.25">
      <c r="A9" s="5" t="s">
        <v>26</v>
      </c>
      <c r="B9" s="5" t="s">
        <v>39</v>
      </c>
      <c r="C9" s="5" t="s">
        <v>42</v>
      </c>
      <c r="D9" s="5" t="s">
        <v>48</v>
      </c>
      <c r="E9" s="5" t="s">
        <v>41</v>
      </c>
      <c r="F9" s="5" t="s">
        <v>41</v>
      </c>
      <c r="G9" s="5">
        <v>2017</v>
      </c>
      <c r="H9" s="5" t="str">
        <f>CONCATENATE("04270094024")</f>
        <v>04270094024</v>
      </c>
      <c r="I9" s="5" t="s">
        <v>29</v>
      </c>
      <c r="J9" s="5" t="s">
        <v>30</v>
      </c>
      <c r="K9" s="5" t="str">
        <f>CONCATENATE("")</f>
        <v/>
      </c>
      <c r="L9" s="5" t="str">
        <f>CONCATENATE("4 4.1 2a")</f>
        <v>4 4.1 2a</v>
      </c>
      <c r="M9" s="5" t="str">
        <f>CONCATENATE("FCCFNC47B18D691G")</f>
        <v>FCCFNC47B18D691G</v>
      </c>
      <c r="N9" s="5" t="s">
        <v>61</v>
      </c>
      <c r="O9" s="5" t="s">
        <v>62</v>
      </c>
      <c r="P9" s="6">
        <v>44054</v>
      </c>
      <c r="Q9" s="5" t="s">
        <v>31</v>
      </c>
      <c r="R9" s="5" t="s">
        <v>40</v>
      </c>
      <c r="S9" s="5" t="s">
        <v>33</v>
      </c>
      <c r="T9" s="5"/>
      <c r="U9" s="7">
        <v>31729.8</v>
      </c>
      <c r="V9" s="7">
        <v>13681.89</v>
      </c>
      <c r="W9" s="7">
        <v>12634.81</v>
      </c>
      <c r="X9" s="5">
        <v>0</v>
      </c>
      <c r="Y9" s="7">
        <v>5413.1</v>
      </c>
    </row>
    <row r="10" spans="1:25" ht="24.75" x14ac:dyDescent="0.25">
      <c r="A10" s="5" t="s">
        <v>26</v>
      </c>
      <c r="B10" s="5" t="s">
        <v>39</v>
      </c>
      <c r="C10" s="5" t="s">
        <v>42</v>
      </c>
      <c r="D10" s="5" t="s">
        <v>43</v>
      </c>
      <c r="E10" s="5" t="s">
        <v>28</v>
      </c>
      <c r="F10" s="5" t="s">
        <v>63</v>
      </c>
      <c r="G10" s="5">
        <v>2017</v>
      </c>
      <c r="H10" s="5" t="str">
        <f>CONCATENATE("94270174397")</f>
        <v>94270174397</v>
      </c>
      <c r="I10" s="5" t="s">
        <v>29</v>
      </c>
      <c r="J10" s="5" t="s">
        <v>30</v>
      </c>
      <c r="K10" s="5" t="str">
        <f>CONCATENATE("")</f>
        <v/>
      </c>
      <c r="L10" s="5" t="str">
        <f>CONCATENATE("6 6.1 2b")</f>
        <v>6 6.1 2b</v>
      </c>
      <c r="M10" s="5" t="str">
        <f>CONCATENATE("NVLMRC95D06E388X")</f>
        <v>NVLMRC95D06E388X</v>
      </c>
      <c r="N10" s="5" t="s">
        <v>64</v>
      </c>
      <c r="O10" s="5" t="s">
        <v>65</v>
      </c>
      <c r="P10" s="6">
        <v>44055</v>
      </c>
      <c r="Q10" s="5" t="s">
        <v>31</v>
      </c>
      <c r="R10" s="5" t="s">
        <v>32</v>
      </c>
      <c r="S10" s="5" t="s">
        <v>33</v>
      </c>
      <c r="T10" s="5"/>
      <c r="U10" s="7">
        <v>21000</v>
      </c>
      <c r="V10" s="7">
        <v>9055.2000000000007</v>
      </c>
      <c r="W10" s="7">
        <v>8362.2000000000007</v>
      </c>
      <c r="X10" s="5">
        <v>0</v>
      </c>
      <c r="Y10" s="7">
        <v>3582.6</v>
      </c>
    </row>
    <row r="11" spans="1:25" ht="24.75" x14ac:dyDescent="0.25">
      <c r="A11" s="5" t="s">
        <v>26</v>
      </c>
      <c r="B11" s="5" t="s">
        <v>39</v>
      </c>
      <c r="C11" s="5" t="s">
        <v>42</v>
      </c>
      <c r="D11" s="5" t="s">
        <v>66</v>
      </c>
      <c r="E11" s="5" t="s">
        <v>41</v>
      </c>
      <c r="F11" s="5" t="s">
        <v>41</v>
      </c>
      <c r="G11" s="5">
        <v>2017</v>
      </c>
      <c r="H11" s="5" t="str">
        <f>CONCATENATE("04270094446")</f>
        <v>04270094446</v>
      </c>
      <c r="I11" s="5" t="s">
        <v>29</v>
      </c>
      <c r="J11" s="5" t="s">
        <v>30</v>
      </c>
      <c r="K11" s="5" t="str">
        <f>CONCATENATE("")</f>
        <v/>
      </c>
      <c r="L11" s="5" t="str">
        <f>CONCATENATE("4 4.1 2a")</f>
        <v>4 4.1 2a</v>
      </c>
      <c r="M11" s="5" t="str">
        <f>CONCATENATE("01977030434")</f>
        <v>01977030434</v>
      </c>
      <c r="N11" s="5" t="s">
        <v>67</v>
      </c>
      <c r="O11" s="5" t="s">
        <v>68</v>
      </c>
      <c r="P11" s="6">
        <v>44054</v>
      </c>
      <c r="Q11" s="5" t="s">
        <v>31</v>
      </c>
      <c r="R11" s="5" t="s">
        <v>40</v>
      </c>
      <c r="S11" s="5" t="s">
        <v>33</v>
      </c>
      <c r="T11" s="5"/>
      <c r="U11" s="7">
        <v>224990</v>
      </c>
      <c r="V11" s="7">
        <v>97015.69</v>
      </c>
      <c r="W11" s="7">
        <v>89591.02</v>
      </c>
      <c r="X11" s="5">
        <v>0</v>
      </c>
      <c r="Y11" s="7">
        <v>38383.29</v>
      </c>
    </row>
    <row r="12" spans="1:25" ht="24.75" x14ac:dyDescent="0.25">
      <c r="A12" s="5" t="s">
        <v>26</v>
      </c>
      <c r="B12" s="5" t="s">
        <v>39</v>
      </c>
      <c r="C12" s="5" t="s">
        <v>42</v>
      </c>
      <c r="D12" s="5" t="s">
        <v>48</v>
      </c>
      <c r="E12" s="5" t="s">
        <v>41</v>
      </c>
      <c r="F12" s="5" t="s">
        <v>41</v>
      </c>
      <c r="G12" s="5">
        <v>2017</v>
      </c>
      <c r="H12" s="5" t="str">
        <f>CONCATENATE("04270094412")</f>
        <v>04270094412</v>
      </c>
      <c r="I12" s="5" t="s">
        <v>29</v>
      </c>
      <c r="J12" s="5" t="s">
        <v>30</v>
      </c>
      <c r="K12" s="5" t="str">
        <f>CONCATENATE("")</f>
        <v/>
      </c>
      <c r="L12" s="5" t="str">
        <f>CONCATENATE("4 4.1 2a")</f>
        <v>4 4.1 2a</v>
      </c>
      <c r="M12" s="5" t="str">
        <f>CONCATENATE("PRRDRS52E66Z131A")</f>
        <v>PRRDRS52E66Z131A</v>
      </c>
      <c r="N12" s="5" t="s">
        <v>69</v>
      </c>
      <c r="O12" s="5" t="s">
        <v>62</v>
      </c>
      <c r="P12" s="6">
        <v>44054</v>
      </c>
      <c r="Q12" s="5" t="s">
        <v>31</v>
      </c>
      <c r="R12" s="5" t="s">
        <v>32</v>
      </c>
      <c r="S12" s="5" t="s">
        <v>33</v>
      </c>
      <c r="T12" s="5"/>
      <c r="U12" s="7">
        <v>7539.35</v>
      </c>
      <c r="V12" s="7">
        <v>3250.97</v>
      </c>
      <c r="W12" s="7">
        <v>3002.17</v>
      </c>
      <c r="X12" s="5">
        <v>0</v>
      </c>
      <c r="Y12" s="7">
        <v>1286.21</v>
      </c>
    </row>
    <row r="13" spans="1:25" ht="24.75" x14ac:dyDescent="0.25">
      <c r="A13" s="5" t="s">
        <v>26</v>
      </c>
      <c r="B13" s="5" t="s">
        <v>39</v>
      </c>
      <c r="C13" s="5" t="s">
        <v>42</v>
      </c>
      <c r="D13" s="5" t="s">
        <v>43</v>
      </c>
      <c r="E13" s="5" t="s">
        <v>41</v>
      </c>
      <c r="F13" s="5" t="s">
        <v>41</v>
      </c>
      <c r="G13" s="5">
        <v>2017</v>
      </c>
      <c r="H13" s="5" t="str">
        <f>CONCATENATE("04270093976")</f>
        <v>04270093976</v>
      </c>
      <c r="I13" s="5" t="s">
        <v>29</v>
      </c>
      <c r="J13" s="5" t="s">
        <v>30</v>
      </c>
      <c r="K13" s="5" t="str">
        <f>CONCATENATE("")</f>
        <v/>
      </c>
      <c r="L13" s="5" t="str">
        <f>CONCATENATE("4 4.1 2a")</f>
        <v>4 4.1 2a</v>
      </c>
      <c r="M13" s="5" t="str">
        <f>CONCATENATE("02745190427")</f>
        <v>02745190427</v>
      </c>
      <c r="N13" s="5" t="s">
        <v>70</v>
      </c>
      <c r="O13" s="5" t="s">
        <v>71</v>
      </c>
      <c r="P13" s="6">
        <v>44054</v>
      </c>
      <c r="Q13" s="5" t="s">
        <v>31</v>
      </c>
      <c r="R13" s="5" t="s">
        <v>40</v>
      </c>
      <c r="S13" s="5" t="s">
        <v>33</v>
      </c>
      <c r="T13" s="5"/>
      <c r="U13" s="7">
        <v>76374.63</v>
      </c>
      <c r="V13" s="7">
        <v>32932.74</v>
      </c>
      <c r="W13" s="7">
        <v>30412.38</v>
      </c>
      <c r="X13" s="5">
        <v>0</v>
      </c>
      <c r="Y13" s="7">
        <v>13029.51</v>
      </c>
    </row>
    <row r="14" spans="1:25" ht="24.75" x14ac:dyDescent="0.25">
      <c r="A14" s="5" t="s">
        <v>26</v>
      </c>
      <c r="B14" s="5" t="s">
        <v>39</v>
      </c>
      <c r="C14" s="5" t="s">
        <v>42</v>
      </c>
      <c r="D14" s="5" t="s">
        <v>57</v>
      </c>
      <c r="E14" s="5" t="s">
        <v>41</v>
      </c>
      <c r="F14" s="5" t="s">
        <v>41</v>
      </c>
      <c r="G14" s="5">
        <v>2017</v>
      </c>
      <c r="H14" s="5" t="str">
        <f>CONCATENATE("04270094610")</f>
        <v>04270094610</v>
      </c>
      <c r="I14" s="5" t="s">
        <v>29</v>
      </c>
      <c r="J14" s="5" t="s">
        <v>30</v>
      </c>
      <c r="K14" s="5" t="str">
        <f>CONCATENATE("")</f>
        <v/>
      </c>
      <c r="L14" s="5" t="str">
        <f>CONCATENATE("4 4.1 2a")</f>
        <v>4 4.1 2a</v>
      </c>
      <c r="M14" s="5" t="str">
        <f>CONCATENATE("00409290418")</f>
        <v>00409290418</v>
      </c>
      <c r="N14" s="5" t="s">
        <v>72</v>
      </c>
      <c r="O14" s="5" t="s">
        <v>73</v>
      </c>
      <c r="P14" s="6">
        <v>44054</v>
      </c>
      <c r="Q14" s="5" t="s">
        <v>31</v>
      </c>
      <c r="R14" s="5" t="s">
        <v>32</v>
      </c>
      <c r="S14" s="5" t="s">
        <v>33</v>
      </c>
      <c r="T14" s="5"/>
      <c r="U14" s="7">
        <v>20533.599999999999</v>
      </c>
      <c r="V14" s="7">
        <v>8854.09</v>
      </c>
      <c r="W14" s="7">
        <v>8176.48</v>
      </c>
      <c r="X14" s="5">
        <v>0</v>
      </c>
      <c r="Y14" s="7">
        <v>3503.03</v>
      </c>
    </row>
    <row r="15" spans="1:25" x14ac:dyDescent="0.25">
      <c r="A15" s="5" t="s">
        <v>26</v>
      </c>
      <c r="B15" s="5" t="s">
        <v>27</v>
      </c>
      <c r="C15" s="5" t="s">
        <v>42</v>
      </c>
      <c r="D15" s="5" t="s">
        <v>66</v>
      </c>
      <c r="E15" s="5" t="s">
        <v>34</v>
      </c>
      <c r="F15" s="5" t="s">
        <v>74</v>
      </c>
      <c r="G15" s="5">
        <v>2016</v>
      </c>
      <c r="H15" s="5" t="str">
        <f>CONCATENATE("64770210595")</f>
        <v>64770210595</v>
      </c>
      <c r="I15" s="5" t="s">
        <v>36</v>
      </c>
      <c r="J15" s="5" t="s">
        <v>45</v>
      </c>
      <c r="K15" s="5" t="str">
        <f>CONCATENATE("214")</f>
        <v>214</v>
      </c>
      <c r="L15" s="5" t="str">
        <f>CONCATENATE("11 11.2 4b")</f>
        <v>11 11.2 4b</v>
      </c>
      <c r="M15" s="5" t="str">
        <f>CONCATENATE("NGLMRA31S52I156E")</f>
        <v>NGLMRA31S52I156E</v>
      </c>
      <c r="N15" s="5" t="s">
        <v>75</v>
      </c>
      <c r="O15" s="5" t="s">
        <v>76</v>
      </c>
      <c r="P15" s="6">
        <v>44054</v>
      </c>
      <c r="Q15" s="5" t="s">
        <v>31</v>
      </c>
      <c r="R15" s="5" t="s">
        <v>32</v>
      </c>
      <c r="S15" s="5" t="s">
        <v>33</v>
      </c>
      <c r="T15" s="5"/>
      <c r="U15" s="5">
        <v>753.65</v>
      </c>
      <c r="V15" s="5">
        <v>324.97000000000003</v>
      </c>
      <c r="W15" s="5">
        <v>300.10000000000002</v>
      </c>
      <c r="X15" s="5">
        <v>0</v>
      </c>
      <c r="Y15" s="5">
        <v>128.58000000000001</v>
      </c>
    </row>
    <row r="16" spans="1:25" x14ac:dyDescent="0.25">
      <c r="A16" s="5" t="s">
        <v>26</v>
      </c>
      <c r="B16" s="5" t="s">
        <v>27</v>
      </c>
      <c r="C16" s="5" t="s">
        <v>42</v>
      </c>
      <c r="D16" s="5" t="s">
        <v>66</v>
      </c>
      <c r="E16" s="5" t="s">
        <v>34</v>
      </c>
      <c r="F16" s="5" t="s">
        <v>74</v>
      </c>
      <c r="G16" s="5">
        <v>2016</v>
      </c>
      <c r="H16" s="5" t="str">
        <f>CONCATENATE("64770210777")</f>
        <v>64770210777</v>
      </c>
      <c r="I16" s="5" t="s">
        <v>36</v>
      </c>
      <c r="J16" s="5" t="s">
        <v>45</v>
      </c>
      <c r="K16" s="5" t="str">
        <f>CONCATENATE("214")</f>
        <v>214</v>
      </c>
      <c r="L16" s="5" t="str">
        <f>CONCATENATE("11 11.2 4b")</f>
        <v>11 11.2 4b</v>
      </c>
      <c r="M16" s="5" t="str">
        <f>CONCATENATE("NGLMRA31S52I156E")</f>
        <v>NGLMRA31S52I156E</v>
      </c>
      <c r="N16" s="5" t="s">
        <v>75</v>
      </c>
      <c r="O16" s="5" t="s">
        <v>76</v>
      </c>
      <c r="P16" s="6">
        <v>44054</v>
      </c>
      <c r="Q16" s="5" t="s">
        <v>31</v>
      </c>
      <c r="R16" s="5" t="s">
        <v>32</v>
      </c>
      <c r="S16" s="5" t="s">
        <v>33</v>
      </c>
      <c r="T16" s="5"/>
      <c r="U16" s="5">
        <v>928.27</v>
      </c>
      <c r="V16" s="5">
        <v>400.27</v>
      </c>
      <c r="W16" s="5">
        <v>369.64</v>
      </c>
      <c r="X16" s="5">
        <v>0</v>
      </c>
      <c r="Y16" s="5">
        <v>158.36000000000001</v>
      </c>
    </row>
    <row r="17" spans="1:25" x14ac:dyDescent="0.25">
      <c r="A17" s="5" t="s">
        <v>26</v>
      </c>
      <c r="B17" s="5" t="s">
        <v>27</v>
      </c>
      <c r="C17" s="5" t="s">
        <v>42</v>
      </c>
      <c r="D17" s="5" t="s">
        <v>66</v>
      </c>
      <c r="E17" s="5" t="s">
        <v>34</v>
      </c>
      <c r="F17" s="5" t="s">
        <v>77</v>
      </c>
      <c r="G17" s="5">
        <v>2016</v>
      </c>
      <c r="H17" s="5" t="str">
        <f>CONCATENATE("64770363790")</f>
        <v>64770363790</v>
      </c>
      <c r="I17" s="5" t="s">
        <v>36</v>
      </c>
      <c r="J17" s="5" t="s">
        <v>45</v>
      </c>
      <c r="K17" s="5" t="str">
        <f>CONCATENATE("214")</f>
        <v>214</v>
      </c>
      <c r="L17" s="5" t="str">
        <f>CONCATENATE("11 11.2 4b")</f>
        <v>11 11.2 4b</v>
      </c>
      <c r="M17" s="5" t="str">
        <f>CONCATENATE("BTSDBR47H06C267Z")</f>
        <v>BTSDBR47H06C267Z</v>
      </c>
      <c r="N17" s="5" t="s">
        <v>78</v>
      </c>
      <c r="O17" s="5" t="s">
        <v>76</v>
      </c>
      <c r="P17" s="6">
        <v>44054</v>
      </c>
      <c r="Q17" s="5" t="s">
        <v>31</v>
      </c>
      <c r="R17" s="5" t="s">
        <v>32</v>
      </c>
      <c r="S17" s="5" t="s">
        <v>33</v>
      </c>
      <c r="T17" s="5"/>
      <c r="U17" s="7">
        <v>1826.13</v>
      </c>
      <c r="V17" s="5">
        <v>787.43</v>
      </c>
      <c r="W17" s="5">
        <v>727.16</v>
      </c>
      <c r="X17" s="5">
        <v>0</v>
      </c>
      <c r="Y17" s="5">
        <v>311.54000000000002</v>
      </c>
    </row>
    <row r="18" spans="1:25" ht="24.75" x14ac:dyDescent="0.25">
      <c r="A18" s="5" t="s">
        <v>26</v>
      </c>
      <c r="B18" s="5" t="s">
        <v>39</v>
      </c>
      <c r="C18" s="5" t="s">
        <v>42</v>
      </c>
      <c r="D18" s="5" t="s">
        <v>43</v>
      </c>
      <c r="E18" s="5" t="s">
        <v>34</v>
      </c>
      <c r="F18" s="5" t="s">
        <v>79</v>
      </c>
      <c r="G18" s="5">
        <v>2017</v>
      </c>
      <c r="H18" s="5" t="str">
        <f>CONCATENATE("04270093307")</f>
        <v>04270093307</v>
      </c>
      <c r="I18" s="5" t="s">
        <v>29</v>
      </c>
      <c r="J18" s="5" t="s">
        <v>30</v>
      </c>
      <c r="K18" s="5" t="str">
        <f>CONCATENATE("")</f>
        <v/>
      </c>
      <c r="L18" s="5" t="str">
        <f>CONCATENATE("6 6.1 2b")</f>
        <v>6 6.1 2b</v>
      </c>
      <c r="M18" s="5" t="str">
        <f>CONCATENATE("LLSRCR89R03D451W")</f>
        <v>LLSRCR89R03D451W</v>
      </c>
      <c r="N18" s="5" t="s">
        <v>80</v>
      </c>
      <c r="O18" s="5" t="s">
        <v>81</v>
      </c>
      <c r="P18" s="6">
        <v>44054</v>
      </c>
      <c r="Q18" s="5" t="s">
        <v>31</v>
      </c>
      <c r="R18" s="5" t="s">
        <v>40</v>
      </c>
      <c r="S18" s="5" t="s">
        <v>33</v>
      </c>
      <c r="T18" s="5"/>
      <c r="U18" s="7">
        <v>42000</v>
      </c>
      <c r="V18" s="7">
        <v>18110.400000000001</v>
      </c>
      <c r="W18" s="7">
        <v>16724.400000000001</v>
      </c>
      <c r="X18" s="5">
        <v>0</v>
      </c>
      <c r="Y18" s="7">
        <v>7165.2</v>
      </c>
    </row>
    <row r="19" spans="1:25" ht="24.75" x14ac:dyDescent="0.25">
      <c r="A19" s="5" t="s">
        <v>26</v>
      </c>
      <c r="B19" s="5" t="s">
        <v>39</v>
      </c>
      <c r="C19" s="5" t="s">
        <v>42</v>
      </c>
      <c r="D19" s="5" t="s">
        <v>43</v>
      </c>
      <c r="E19" s="5" t="s">
        <v>41</v>
      </c>
      <c r="F19" s="5" t="s">
        <v>41</v>
      </c>
      <c r="G19" s="5">
        <v>2017</v>
      </c>
      <c r="H19" s="5" t="str">
        <f>CONCATENATE("94270174447")</f>
        <v>94270174447</v>
      </c>
      <c r="I19" s="5" t="s">
        <v>29</v>
      </c>
      <c r="J19" s="5" t="s">
        <v>30</v>
      </c>
      <c r="K19" s="5" t="str">
        <f>CONCATENATE("")</f>
        <v/>
      </c>
      <c r="L19" s="5" t="str">
        <f>CONCATENATE("6 6.4 2a")</f>
        <v>6 6.4 2a</v>
      </c>
      <c r="M19" s="5" t="str">
        <f>CONCATENATE("LSSSFN83T26D451S")</f>
        <v>LSSSFN83T26D451S</v>
      </c>
      <c r="N19" s="5" t="s">
        <v>82</v>
      </c>
      <c r="O19" s="5" t="s">
        <v>83</v>
      </c>
      <c r="P19" s="6">
        <v>44048</v>
      </c>
      <c r="Q19" s="5" t="s">
        <v>31</v>
      </c>
      <c r="R19" s="5" t="s">
        <v>32</v>
      </c>
      <c r="S19" s="5" t="s">
        <v>33</v>
      </c>
      <c r="T19" s="5"/>
      <c r="U19" s="7">
        <v>17330.060000000001</v>
      </c>
      <c r="V19" s="7">
        <v>7472.72</v>
      </c>
      <c r="W19" s="7">
        <v>6900.83</v>
      </c>
      <c r="X19" s="5">
        <v>0</v>
      </c>
      <c r="Y19" s="7">
        <v>2956.51</v>
      </c>
    </row>
    <row r="20" spans="1:25" ht="24.75" x14ac:dyDescent="0.25">
      <c r="A20" s="5" t="s">
        <v>26</v>
      </c>
      <c r="B20" s="5" t="s">
        <v>39</v>
      </c>
      <c r="C20" s="5" t="s">
        <v>42</v>
      </c>
      <c r="D20" s="5" t="s">
        <v>48</v>
      </c>
      <c r="E20" s="5" t="s">
        <v>38</v>
      </c>
      <c r="F20" s="5" t="s">
        <v>84</v>
      </c>
      <c r="G20" s="5">
        <v>2017</v>
      </c>
      <c r="H20" s="5" t="str">
        <f>CONCATENATE("04270093331")</f>
        <v>04270093331</v>
      </c>
      <c r="I20" s="5" t="s">
        <v>29</v>
      </c>
      <c r="J20" s="5" t="s">
        <v>30</v>
      </c>
      <c r="K20" s="5" t="str">
        <f>CONCATENATE("")</f>
        <v/>
      </c>
      <c r="L20" s="5" t="str">
        <f>CONCATENATE("6 6.1 2b")</f>
        <v>6 6.1 2b</v>
      </c>
      <c r="M20" s="5" t="str">
        <f>CONCATENATE("SRTLCU92A07A252F")</f>
        <v>SRTLCU92A07A252F</v>
      </c>
      <c r="N20" s="5" t="s">
        <v>85</v>
      </c>
      <c r="O20" s="5" t="s">
        <v>86</v>
      </c>
      <c r="P20" s="6">
        <v>44054</v>
      </c>
      <c r="Q20" s="5" t="s">
        <v>31</v>
      </c>
      <c r="R20" s="5" t="s">
        <v>32</v>
      </c>
      <c r="S20" s="5" t="s">
        <v>33</v>
      </c>
      <c r="T20" s="5"/>
      <c r="U20" s="7">
        <v>21000</v>
      </c>
      <c r="V20" s="7">
        <v>9055.2000000000007</v>
      </c>
      <c r="W20" s="7">
        <v>8362.2000000000007</v>
      </c>
      <c r="X20" s="5">
        <v>0</v>
      </c>
      <c r="Y20" s="7">
        <v>3582.6</v>
      </c>
    </row>
    <row r="21" spans="1:25" x14ac:dyDescent="0.25">
      <c r="A21" s="5" t="s">
        <v>26</v>
      </c>
      <c r="B21" s="5" t="s">
        <v>39</v>
      </c>
      <c r="C21" s="5" t="s">
        <v>42</v>
      </c>
      <c r="D21" s="5" t="s">
        <v>66</v>
      </c>
      <c r="E21" s="5" t="s">
        <v>34</v>
      </c>
      <c r="F21" s="5" t="s">
        <v>87</v>
      </c>
      <c r="G21" s="5">
        <v>2017</v>
      </c>
      <c r="H21" s="5" t="str">
        <f>CONCATENATE("04270096144")</f>
        <v>04270096144</v>
      </c>
      <c r="I21" s="5" t="s">
        <v>29</v>
      </c>
      <c r="J21" s="5" t="s">
        <v>30</v>
      </c>
      <c r="K21" s="5" t="str">
        <f>CONCATENATE("")</f>
        <v/>
      </c>
      <c r="L21" s="5" t="str">
        <f>CONCATENATE("4 4.1 2a")</f>
        <v>4 4.1 2a</v>
      </c>
      <c r="M21" s="5" t="str">
        <f>CONCATENATE("LTNMSM71P27F051A")</f>
        <v>LTNMSM71P27F051A</v>
      </c>
      <c r="N21" s="5" t="s">
        <v>88</v>
      </c>
      <c r="O21" s="5" t="s">
        <v>89</v>
      </c>
      <c r="P21" s="6">
        <v>44055</v>
      </c>
      <c r="Q21" s="5" t="s">
        <v>31</v>
      </c>
      <c r="R21" s="5" t="s">
        <v>32</v>
      </c>
      <c r="S21" s="5" t="s">
        <v>33</v>
      </c>
      <c r="T21" s="5"/>
      <c r="U21" s="7">
        <v>48584.07</v>
      </c>
      <c r="V21" s="7">
        <v>20949.45</v>
      </c>
      <c r="W21" s="7">
        <v>19346.18</v>
      </c>
      <c r="X21" s="5">
        <v>0</v>
      </c>
      <c r="Y21" s="7">
        <v>8288.44</v>
      </c>
    </row>
    <row r="22" spans="1:25" x14ac:dyDescent="0.25">
      <c r="A22" s="5" t="s">
        <v>26</v>
      </c>
      <c r="B22" s="5" t="s">
        <v>39</v>
      </c>
      <c r="C22" s="5" t="s">
        <v>42</v>
      </c>
      <c r="D22" s="5" t="s">
        <v>66</v>
      </c>
      <c r="E22" s="5" t="s">
        <v>34</v>
      </c>
      <c r="F22" s="5" t="s">
        <v>77</v>
      </c>
      <c r="G22" s="5">
        <v>2017</v>
      </c>
      <c r="H22" s="5" t="str">
        <f>CONCATENATE("04270096136")</f>
        <v>04270096136</v>
      </c>
      <c r="I22" s="5" t="s">
        <v>29</v>
      </c>
      <c r="J22" s="5" t="s">
        <v>30</v>
      </c>
      <c r="K22" s="5" t="str">
        <f>CONCATENATE("")</f>
        <v/>
      </c>
      <c r="L22" s="5" t="str">
        <f>CONCATENATE("4 4.1 2a")</f>
        <v>4 4.1 2a</v>
      </c>
      <c r="M22" s="5" t="str">
        <f>CONCATENATE("01909520437")</f>
        <v>01909520437</v>
      </c>
      <c r="N22" s="5" t="s">
        <v>90</v>
      </c>
      <c r="O22" s="5" t="s">
        <v>89</v>
      </c>
      <c r="P22" s="6">
        <v>44055</v>
      </c>
      <c r="Q22" s="5" t="s">
        <v>31</v>
      </c>
      <c r="R22" s="5" t="s">
        <v>32</v>
      </c>
      <c r="S22" s="5" t="s">
        <v>33</v>
      </c>
      <c r="T22" s="5"/>
      <c r="U22" s="7">
        <v>45260.89</v>
      </c>
      <c r="V22" s="7">
        <v>19516.5</v>
      </c>
      <c r="W22" s="7">
        <v>18022.89</v>
      </c>
      <c r="X22" s="5">
        <v>0</v>
      </c>
      <c r="Y22" s="7">
        <v>7721.5</v>
      </c>
    </row>
    <row r="23" spans="1:25" ht="24.75" x14ac:dyDescent="0.25">
      <c r="A23" s="5" t="s">
        <v>26</v>
      </c>
      <c r="B23" s="5" t="s">
        <v>39</v>
      </c>
      <c r="C23" s="5" t="s">
        <v>42</v>
      </c>
      <c r="D23" s="5" t="s">
        <v>43</v>
      </c>
      <c r="E23" s="5" t="s">
        <v>41</v>
      </c>
      <c r="F23" s="5" t="s">
        <v>41</v>
      </c>
      <c r="G23" s="5">
        <v>2017</v>
      </c>
      <c r="H23" s="5" t="str">
        <f>CONCATENATE("04270093323")</f>
        <v>04270093323</v>
      </c>
      <c r="I23" s="5" t="s">
        <v>29</v>
      </c>
      <c r="J23" s="5" t="s">
        <v>30</v>
      </c>
      <c r="K23" s="5" t="str">
        <f>CONCATENATE("")</f>
        <v/>
      </c>
      <c r="L23" s="5" t="str">
        <f>CONCATENATE("1 1.1 2a")</f>
        <v>1 1.1 2a</v>
      </c>
      <c r="M23" s="5" t="str">
        <f>CONCATENATE("02051370423")</f>
        <v>02051370423</v>
      </c>
      <c r="N23" s="5" t="s">
        <v>91</v>
      </c>
      <c r="O23" s="5" t="s">
        <v>92</v>
      </c>
      <c r="P23" s="6">
        <v>44048</v>
      </c>
      <c r="Q23" s="5" t="s">
        <v>31</v>
      </c>
      <c r="R23" s="5" t="s">
        <v>32</v>
      </c>
      <c r="S23" s="5" t="s">
        <v>33</v>
      </c>
      <c r="T23" s="5"/>
      <c r="U23" s="7">
        <v>2310</v>
      </c>
      <c r="V23" s="5">
        <v>996.07</v>
      </c>
      <c r="W23" s="5">
        <v>919.84</v>
      </c>
      <c r="X23" s="5">
        <v>0</v>
      </c>
      <c r="Y23" s="5">
        <v>394.09</v>
      </c>
    </row>
    <row r="24" spans="1:25" ht="24.75" x14ac:dyDescent="0.25">
      <c r="A24" s="5" t="s">
        <v>26</v>
      </c>
      <c r="B24" s="5" t="s">
        <v>39</v>
      </c>
      <c r="C24" s="5" t="s">
        <v>42</v>
      </c>
      <c r="D24" s="5" t="s">
        <v>48</v>
      </c>
      <c r="E24" s="5" t="s">
        <v>38</v>
      </c>
      <c r="F24" s="5" t="s">
        <v>84</v>
      </c>
      <c r="G24" s="5">
        <v>2017</v>
      </c>
      <c r="H24" s="5" t="str">
        <f>CONCATENATE("04270093349")</f>
        <v>04270093349</v>
      </c>
      <c r="I24" s="5" t="s">
        <v>29</v>
      </c>
      <c r="J24" s="5" t="s">
        <v>30</v>
      </c>
      <c r="K24" s="5" t="str">
        <f>CONCATENATE("")</f>
        <v/>
      </c>
      <c r="L24" s="5" t="str">
        <f>CONCATENATE("4 4.1 2a")</f>
        <v>4 4.1 2a</v>
      </c>
      <c r="M24" s="5" t="str">
        <f>CONCATENATE("SRTLCU92A07A252F")</f>
        <v>SRTLCU92A07A252F</v>
      </c>
      <c r="N24" s="5" t="s">
        <v>85</v>
      </c>
      <c r="O24" s="5" t="s">
        <v>93</v>
      </c>
      <c r="P24" s="6">
        <v>44055</v>
      </c>
      <c r="Q24" s="5" t="s">
        <v>31</v>
      </c>
      <c r="R24" s="5" t="s">
        <v>32</v>
      </c>
      <c r="S24" s="5" t="s">
        <v>33</v>
      </c>
      <c r="T24" s="5"/>
      <c r="U24" s="7">
        <v>18669.75</v>
      </c>
      <c r="V24" s="7">
        <v>8050.4</v>
      </c>
      <c r="W24" s="7">
        <v>7434.29</v>
      </c>
      <c r="X24" s="5">
        <v>0</v>
      </c>
      <c r="Y24" s="7">
        <v>3185.06</v>
      </c>
    </row>
    <row r="25" spans="1:25" ht="24.75" x14ac:dyDescent="0.25">
      <c r="A25" s="5" t="s">
        <v>26</v>
      </c>
      <c r="B25" s="5" t="s">
        <v>39</v>
      </c>
      <c r="C25" s="5" t="s">
        <v>42</v>
      </c>
      <c r="D25" s="5" t="s">
        <v>57</v>
      </c>
      <c r="E25" s="5" t="s">
        <v>35</v>
      </c>
      <c r="F25" s="5" t="s">
        <v>94</v>
      </c>
      <c r="G25" s="5">
        <v>2017</v>
      </c>
      <c r="H25" s="5" t="str">
        <f>CONCATENATE("04270094974")</f>
        <v>04270094974</v>
      </c>
      <c r="I25" s="5" t="s">
        <v>29</v>
      </c>
      <c r="J25" s="5" t="s">
        <v>30</v>
      </c>
      <c r="K25" s="5" t="str">
        <f>CONCATENATE("")</f>
        <v/>
      </c>
      <c r="L25" s="5" t="str">
        <f>CONCATENATE("3 3.2 3a")</f>
        <v>3 3.2 3a</v>
      </c>
      <c r="M25" s="5" t="str">
        <f>CONCATENATE("01403850413")</f>
        <v>01403850413</v>
      </c>
      <c r="N25" s="5" t="s">
        <v>95</v>
      </c>
      <c r="O25" s="5" t="s">
        <v>96</v>
      </c>
      <c r="P25" s="6">
        <v>44055</v>
      </c>
      <c r="Q25" s="5" t="s">
        <v>31</v>
      </c>
      <c r="R25" s="5" t="s">
        <v>32</v>
      </c>
      <c r="S25" s="5" t="s">
        <v>33</v>
      </c>
      <c r="T25" s="5"/>
      <c r="U25" s="7">
        <v>44491.76</v>
      </c>
      <c r="V25" s="7">
        <v>19184.849999999999</v>
      </c>
      <c r="W25" s="7">
        <v>17716.62</v>
      </c>
      <c r="X25" s="5">
        <v>0</v>
      </c>
      <c r="Y25" s="7">
        <v>7590.29</v>
      </c>
    </row>
    <row r="26" spans="1:25" ht="24.75" x14ac:dyDescent="0.25">
      <c r="A26" s="5" t="s">
        <v>26</v>
      </c>
      <c r="B26" s="5" t="s">
        <v>39</v>
      </c>
      <c r="C26" s="5" t="s">
        <v>42</v>
      </c>
      <c r="D26" s="5" t="s">
        <v>43</v>
      </c>
      <c r="E26" s="5" t="s">
        <v>41</v>
      </c>
      <c r="F26" s="5" t="s">
        <v>41</v>
      </c>
      <c r="G26" s="5">
        <v>2017</v>
      </c>
      <c r="H26" s="5" t="str">
        <f>CONCATENATE("04270092101")</f>
        <v>04270092101</v>
      </c>
      <c r="I26" s="5" t="s">
        <v>29</v>
      </c>
      <c r="J26" s="5" t="s">
        <v>30</v>
      </c>
      <c r="K26" s="5" t="str">
        <f>CONCATENATE("")</f>
        <v/>
      </c>
      <c r="L26" s="5" t="str">
        <f>CONCATENATE("3 3.2 3a")</f>
        <v>3 3.2 3a</v>
      </c>
      <c r="M26" s="5" t="str">
        <f>CONCATENATE("02464490420")</f>
        <v>02464490420</v>
      </c>
      <c r="N26" s="5" t="s">
        <v>97</v>
      </c>
      <c r="O26" s="5" t="s">
        <v>98</v>
      </c>
      <c r="P26" s="6">
        <v>44054</v>
      </c>
      <c r="Q26" s="5" t="s">
        <v>31</v>
      </c>
      <c r="R26" s="5" t="s">
        <v>32</v>
      </c>
      <c r="S26" s="5" t="s">
        <v>33</v>
      </c>
      <c r="T26" s="5"/>
      <c r="U26" s="7">
        <v>185556.38</v>
      </c>
      <c r="V26" s="7">
        <v>80011.91</v>
      </c>
      <c r="W26" s="7">
        <v>73888.55</v>
      </c>
      <c r="X26" s="5">
        <v>0</v>
      </c>
      <c r="Y26" s="7">
        <v>31655.919999999998</v>
      </c>
    </row>
    <row r="27" spans="1:25" x14ac:dyDescent="0.25">
      <c r="A27" s="5" t="s">
        <v>26</v>
      </c>
      <c r="B27" s="5" t="s">
        <v>27</v>
      </c>
      <c r="C27" s="5" t="s">
        <v>42</v>
      </c>
      <c r="D27" s="5" t="s">
        <v>66</v>
      </c>
      <c r="E27" s="5" t="s">
        <v>34</v>
      </c>
      <c r="F27" s="5" t="s">
        <v>74</v>
      </c>
      <c r="G27" s="5">
        <v>2017</v>
      </c>
      <c r="H27" s="5" t="str">
        <f>CONCATENATE("74770216062")</f>
        <v>74770216062</v>
      </c>
      <c r="I27" s="5" t="s">
        <v>29</v>
      </c>
      <c r="J27" s="5" t="s">
        <v>45</v>
      </c>
      <c r="K27" s="5" t="str">
        <f>CONCATENATE("214")</f>
        <v>214</v>
      </c>
      <c r="L27" s="5" t="str">
        <f>CONCATENATE("11 11.2 4b")</f>
        <v>11 11.2 4b</v>
      </c>
      <c r="M27" s="5" t="str">
        <f>CONCATENATE("NGLMRA31S52I156E")</f>
        <v>NGLMRA31S52I156E</v>
      </c>
      <c r="N27" s="5" t="s">
        <v>75</v>
      </c>
      <c r="O27" s="5" t="s">
        <v>99</v>
      </c>
      <c r="P27" s="6">
        <v>44054</v>
      </c>
      <c r="Q27" s="5" t="s">
        <v>31</v>
      </c>
      <c r="R27" s="5" t="s">
        <v>32</v>
      </c>
      <c r="S27" s="5" t="s">
        <v>33</v>
      </c>
      <c r="T27" s="5"/>
      <c r="U27" s="5">
        <v>526.86</v>
      </c>
      <c r="V27" s="5">
        <v>227.18</v>
      </c>
      <c r="W27" s="5">
        <v>209.8</v>
      </c>
      <c r="X27" s="5">
        <v>0</v>
      </c>
      <c r="Y27" s="5">
        <v>89.88</v>
      </c>
    </row>
    <row r="28" spans="1:25" x14ac:dyDescent="0.25">
      <c r="A28" s="5" t="s">
        <v>26</v>
      </c>
      <c r="B28" s="5" t="s">
        <v>27</v>
      </c>
      <c r="C28" s="5" t="s">
        <v>42</v>
      </c>
      <c r="D28" s="5" t="s">
        <v>66</v>
      </c>
      <c r="E28" s="5" t="s">
        <v>34</v>
      </c>
      <c r="F28" s="5" t="s">
        <v>77</v>
      </c>
      <c r="G28" s="5">
        <v>2017</v>
      </c>
      <c r="H28" s="5" t="str">
        <f>CONCATENATE("74770252372")</f>
        <v>74770252372</v>
      </c>
      <c r="I28" s="5" t="s">
        <v>29</v>
      </c>
      <c r="J28" s="5" t="s">
        <v>45</v>
      </c>
      <c r="K28" s="5" t="str">
        <f>CONCATENATE("214")</f>
        <v>214</v>
      </c>
      <c r="L28" s="5" t="str">
        <f>CONCATENATE("11 11.2 4b")</f>
        <v>11 11.2 4b</v>
      </c>
      <c r="M28" s="5" t="str">
        <f>CONCATENATE("BTSDBR47H06C267Z")</f>
        <v>BTSDBR47H06C267Z</v>
      </c>
      <c r="N28" s="5" t="s">
        <v>78</v>
      </c>
      <c r="O28" s="5" t="s">
        <v>99</v>
      </c>
      <c r="P28" s="6">
        <v>44054</v>
      </c>
      <c r="Q28" s="5" t="s">
        <v>31</v>
      </c>
      <c r="R28" s="5" t="s">
        <v>32</v>
      </c>
      <c r="S28" s="5" t="s">
        <v>33</v>
      </c>
      <c r="T28" s="5"/>
      <c r="U28" s="7">
        <v>1819.57</v>
      </c>
      <c r="V28" s="5">
        <v>784.6</v>
      </c>
      <c r="W28" s="5">
        <v>724.55</v>
      </c>
      <c r="X28" s="5">
        <v>0</v>
      </c>
      <c r="Y28" s="5">
        <v>310.42</v>
      </c>
    </row>
    <row r="29" spans="1:25" x14ac:dyDescent="0.25">
      <c r="A29" s="5" t="s">
        <v>26</v>
      </c>
      <c r="B29" s="5" t="s">
        <v>27</v>
      </c>
      <c r="C29" s="5" t="s">
        <v>42</v>
      </c>
      <c r="D29" s="5" t="s">
        <v>66</v>
      </c>
      <c r="E29" s="5" t="s">
        <v>34</v>
      </c>
      <c r="F29" s="5" t="s">
        <v>77</v>
      </c>
      <c r="G29" s="5">
        <v>2017</v>
      </c>
      <c r="H29" s="5" t="str">
        <f>CONCATENATE("74770251754")</f>
        <v>74770251754</v>
      </c>
      <c r="I29" s="5" t="s">
        <v>29</v>
      </c>
      <c r="J29" s="5" t="s">
        <v>45</v>
      </c>
      <c r="K29" s="5" t="str">
        <f>CONCATENATE("214")</f>
        <v>214</v>
      </c>
      <c r="L29" s="5" t="str">
        <f>CONCATENATE("11 11.2 4b")</f>
        <v>11 11.2 4b</v>
      </c>
      <c r="M29" s="5" t="str">
        <f>CONCATENATE("BTSDBR47H06C267Z")</f>
        <v>BTSDBR47H06C267Z</v>
      </c>
      <c r="N29" s="5" t="s">
        <v>78</v>
      </c>
      <c r="O29" s="5" t="s">
        <v>99</v>
      </c>
      <c r="P29" s="6">
        <v>44054</v>
      </c>
      <c r="Q29" s="5" t="s">
        <v>31</v>
      </c>
      <c r="R29" s="5" t="s">
        <v>32</v>
      </c>
      <c r="S29" s="5" t="s">
        <v>33</v>
      </c>
      <c r="T29" s="5"/>
      <c r="U29" s="5">
        <v>854.59</v>
      </c>
      <c r="V29" s="5">
        <v>368.5</v>
      </c>
      <c r="W29" s="5">
        <v>340.3</v>
      </c>
      <c r="X29" s="5">
        <v>0</v>
      </c>
      <c r="Y29" s="5">
        <v>145.79</v>
      </c>
    </row>
    <row r="30" spans="1:25" x14ac:dyDescent="0.25">
      <c r="A30" s="5" t="s">
        <v>26</v>
      </c>
      <c r="B30" s="5" t="s">
        <v>27</v>
      </c>
      <c r="C30" s="5" t="s">
        <v>42</v>
      </c>
      <c r="D30" s="5" t="s">
        <v>66</v>
      </c>
      <c r="E30" s="5" t="s">
        <v>34</v>
      </c>
      <c r="F30" s="5" t="s">
        <v>77</v>
      </c>
      <c r="G30" s="5">
        <v>2018</v>
      </c>
      <c r="H30" s="5" t="str">
        <f>CONCATENATE("84770189953")</f>
        <v>84770189953</v>
      </c>
      <c r="I30" s="5" t="s">
        <v>29</v>
      </c>
      <c r="J30" s="5" t="s">
        <v>45</v>
      </c>
      <c r="K30" s="5" t="str">
        <f>CONCATENATE("214")</f>
        <v>214</v>
      </c>
      <c r="L30" s="5" t="str">
        <f>CONCATENATE("11 11.2 4b")</f>
        <v>11 11.2 4b</v>
      </c>
      <c r="M30" s="5" t="str">
        <f>CONCATENATE("BTSDBR47H06C267Z")</f>
        <v>BTSDBR47H06C267Z</v>
      </c>
      <c r="N30" s="5" t="s">
        <v>78</v>
      </c>
      <c r="O30" s="5" t="s">
        <v>100</v>
      </c>
      <c r="P30" s="6">
        <v>44054</v>
      </c>
      <c r="Q30" s="5" t="s">
        <v>31</v>
      </c>
      <c r="R30" s="5" t="s">
        <v>32</v>
      </c>
      <c r="S30" s="5" t="s">
        <v>33</v>
      </c>
      <c r="T30" s="5"/>
      <c r="U30" s="7">
        <v>1794.36</v>
      </c>
      <c r="V30" s="5">
        <v>773.73</v>
      </c>
      <c r="W30" s="5">
        <v>714.51</v>
      </c>
      <c r="X30" s="5">
        <v>0</v>
      </c>
      <c r="Y30" s="5">
        <v>306.12</v>
      </c>
    </row>
    <row r="31" spans="1:25" x14ac:dyDescent="0.25">
      <c r="A31" s="5" t="s">
        <v>26</v>
      </c>
      <c r="B31" s="5" t="s">
        <v>27</v>
      </c>
      <c r="C31" s="5" t="s">
        <v>42</v>
      </c>
      <c r="D31" s="5" t="s">
        <v>66</v>
      </c>
      <c r="E31" s="5" t="s">
        <v>34</v>
      </c>
      <c r="F31" s="5" t="s">
        <v>77</v>
      </c>
      <c r="G31" s="5">
        <v>2018</v>
      </c>
      <c r="H31" s="5" t="str">
        <f>CONCATENATE("84770190118")</f>
        <v>84770190118</v>
      </c>
      <c r="I31" s="5" t="s">
        <v>29</v>
      </c>
      <c r="J31" s="5" t="s">
        <v>45</v>
      </c>
      <c r="K31" s="5" t="str">
        <f>CONCATENATE("214")</f>
        <v>214</v>
      </c>
      <c r="L31" s="5" t="str">
        <f>CONCATENATE("11 11.2 4b")</f>
        <v>11 11.2 4b</v>
      </c>
      <c r="M31" s="5" t="str">
        <f>CONCATENATE("BTSDBR47H06C267Z")</f>
        <v>BTSDBR47H06C267Z</v>
      </c>
      <c r="N31" s="5" t="s">
        <v>78</v>
      </c>
      <c r="O31" s="5" t="s">
        <v>100</v>
      </c>
      <c r="P31" s="6">
        <v>44054</v>
      </c>
      <c r="Q31" s="5" t="s">
        <v>31</v>
      </c>
      <c r="R31" s="5" t="s">
        <v>32</v>
      </c>
      <c r="S31" s="5" t="s">
        <v>33</v>
      </c>
      <c r="T31" s="5"/>
      <c r="U31" s="7">
        <v>1017.33</v>
      </c>
      <c r="V31" s="5">
        <v>438.67</v>
      </c>
      <c r="W31" s="5">
        <v>405.1</v>
      </c>
      <c r="X31" s="5">
        <v>0</v>
      </c>
      <c r="Y31" s="5">
        <v>173.56</v>
      </c>
    </row>
    <row r="32" spans="1:25" x14ac:dyDescent="0.25">
      <c r="A32" s="5" t="s">
        <v>26</v>
      </c>
      <c r="B32" s="5" t="s">
        <v>27</v>
      </c>
      <c r="C32" s="5" t="s">
        <v>42</v>
      </c>
      <c r="D32" s="5" t="s">
        <v>66</v>
      </c>
      <c r="E32" s="5" t="s">
        <v>34</v>
      </c>
      <c r="F32" s="5" t="s">
        <v>77</v>
      </c>
      <c r="G32" s="5">
        <v>2018</v>
      </c>
      <c r="H32" s="5" t="str">
        <f>CONCATENATE("84770190092")</f>
        <v>84770190092</v>
      </c>
      <c r="I32" s="5" t="s">
        <v>29</v>
      </c>
      <c r="J32" s="5" t="s">
        <v>45</v>
      </c>
      <c r="K32" s="5" t="str">
        <f>CONCATENATE("214")</f>
        <v>214</v>
      </c>
      <c r="L32" s="5" t="str">
        <f>CONCATENATE("11 11.2 4b")</f>
        <v>11 11.2 4b</v>
      </c>
      <c r="M32" s="5" t="str">
        <f>CONCATENATE("BTSDBR47H06C267Z")</f>
        <v>BTSDBR47H06C267Z</v>
      </c>
      <c r="N32" s="5" t="s">
        <v>78</v>
      </c>
      <c r="O32" s="5" t="s">
        <v>100</v>
      </c>
      <c r="P32" s="6">
        <v>44054</v>
      </c>
      <c r="Q32" s="5" t="s">
        <v>31</v>
      </c>
      <c r="R32" s="5" t="s">
        <v>32</v>
      </c>
      <c r="S32" s="5" t="s">
        <v>33</v>
      </c>
      <c r="T32" s="5"/>
      <c r="U32" s="5">
        <v>86.61</v>
      </c>
      <c r="V32" s="5">
        <v>37.35</v>
      </c>
      <c r="W32" s="5">
        <v>34.49</v>
      </c>
      <c r="X32" s="5">
        <v>0</v>
      </c>
      <c r="Y32" s="5">
        <v>14.77</v>
      </c>
    </row>
    <row r="33" spans="1:25" ht="24.75" x14ac:dyDescent="0.25">
      <c r="A33" s="5" t="s">
        <v>26</v>
      </c>
      <c r="B33" s="5" t="s">
        <v>39</v>
      </c>
      <c r="C33" s="5" t="s">
        <v>42</v>
      </c>
      <c r="D33" s="5" t="s">
        <v>57</v>
      </c>
      <c r="E33" s="5" t="s">
        <v>41</v>
      </c>
      <c r="F33" s="5" t="s">
        <v>41</v>
      </c>
      <c r="G33" s="5">
        <v>2017</v>
      </c>
      <c r="H33" s="5" t="str">
        <f>CONCATENATE("04270096169")</f>
        <v>04270096169</v>
      </c>
      <c r="I33" s="5" t="s">
        <v>29</v>
      </c>
      <c r="J33" s="5" t="s">
        <v>30</v>
      </c>
      <c r="K33" s="5" t="str">
        <f>CONCATENATE("")</f>
        <v/>
      </c>
      <c r="L33" s="5" t="str">
        <f>CONCATENATE("4 4.2 3a")</f>
        <v>4 4.2 3a</v>
      </c>
      <c r="M33" s="5" t="str">
        <f>CONCATENATE("02030920413")</f>
        <v>02030920413</v>
      </c>
      <c r="N33" s="5" t="s">
        <v>101</v>
      </c>
      <c r="O33" s="5" t="s">
        <v>102</v>
      </c>
      <c r="P33" s="6">
        <v>44055</v>
      </c>
      <c r="Q33" s="5" t="s">
        <v>31</v>
      </c>
      <c r="R33" s="5" t="s">
        <v>32</v>
      </c>
      <c r="S33" s="5" t="s">
        <v>33</v>
      </c>
      <c r="T33" s="5"/>
      <c r="U33" s="7">
        <v>1484195.54</v>
      </c>
      <c r="V33" s="7">
        <v>639985.12</v>
      </c>
      <c r="W33" s="7">
        <v>591006.66</v>
      </c>
      <c r="X33" s="5">
        <v>0</v>
      </c>
      <c r="Y33" s="7">
        <v>253203.76</v>
      </c>
    </row>
    <row r="34" spans="1:25" ht="24.75" x14ac:dyDescent="0.25">
      <c r="A34" s="5" t="s">
        <v>26</v>
      </c>
      <c r="B34" s="5" t="s">
        <v>39</v>
      </c>
      <c r="C34" s="5" t="s">
        <v>42</v>
      </c>
      <c r="D34" s="5" t="s">
        <v>57</v>
      </c>
      <c r="E34" s="5" t="s">
        <v>41</v>
      </c>
      <c r="F34" s="5" t="s">
        <v>41</v>
      </c>
      <c r="G34" s="5">
        <v>2017</v>
      </c>
      <c r="H34" s="5" t="str">
        <f>CONCATENATE("94270174488")</f>
        <v>94270174488</v>
      </c>
      <c r="I34" s="5" t="s">
        <v>29</v>
      </c>
      <c r="J34" s="5" t="s">
        <v>30</v>
      </c>
      <c r="K34" s="5" t="str">
        <f>CONCATENATE("")</f>
        <v/>
      </c>
      <c r="L34" s="5" t="str">
        <f>CONCATENATE("4 4.2 3a")</f>
        <v>4 4.2 3a</v>
      </c>
      <c r="M34" s="5" t="str">
        <f>CONCATENATE("02334930415")</f>
        <v>02334930415</v>
      </c>
      <c r="N34" s="5" t="s">
        <v>103</v>
      </c>
      <c r="O34" s="5" t="s">
        <v>102</v>
      </c>
      <c r="P34" s="6">
        <v>44055</v>
      </c>
      <c r="Q34" s="5" t="s">
        <v>31</v>
      </c>
      <c r="R34" s="5" t="s">
        <v>32</v>
      </c>
      <c r="S34" s="5" t="s">
        <v>33</v>
      </c>
      <c r="T34" s="5"/>
      <c r="U34" s="7">
        <v>153999.96</v>
      </c>
      <c r="V34" s="7">
        <v>66404.78</v>
      </c>
      <c r="W34" s="7">
        <v>61322.78</v>
      </c>
      <c r="X34" s="5">
        <v>0</v>
      </c>
      <c r="Y34" s="7">
        <v>26272.400000000001</v>
      </c>
    </row>
    <row r="35" spans="1:25" x14ac:dyDescent="0.25">
      <c r="A35" s="5" t="s">
        <v>26</v>
      </c>
      <c r="B35" s="5" t="s">
        <v>27</v>
      </c>
      <c r="C35" s="5" t="s">
        <v>42</v>
      </c>
      <c r="D35" s="5" t="s">
        <v>66</v>
      </c>
      <c r="E35" s="5" t="s">
        <v>34</v>
      </c>
      <c r="F35" s="5" t="s">
        <v>74</v>
      </c>
      <c r="G35" s="5">
        <v>2018</v>
      </c>
      <c r="H35" s="5" t="str">
        <f>CONCATENATE("84770136418")</f>
        <v>84770136418</v>
      </c>
      <c r="I35" s="5" t="s">
        <v>29</v>
      </c>
      <c r="J35" s="5" t="s">
        <v>45</v>
      </c>
      <c r="K35" s="5" t="str">
        <f>CONCATENATE("214")</f>
        <v>214</v>
      </c>
      <c r="L35" s="5" t="str">
        <f>CONCATENATE("11 11.2 4b")</f>
        <v>11 11.2 4b</v>
      </c>
      <c r="M35" s="5" t="str">
        <f>CONCATENATE("MRTDLA52H56H501Y")</f>
        <v>MRTDLA52H56H501Y</v>
      </c>
      <c r="N35" s="5" t="s">
        <v>104</v>
      </c>
      <c r="O35" s="5" t="s">
        <v>100</v>
      </c>
      <c r="P35" s="6">
        <v>44054</v>
      </c>
      <c r="Q35" s="5" t="s">
        <v>31</v>
      </c>
      <c r="R35" s="5" t="s">
        <v>32</v>
      </c>
      <c r="S35" s="5" t="s">
        <v>33</v>
      </c>
      <c r="T35" s="5"/>
      <c r="U35" s="5">
        <v>740.86</v>
      </c>
      <c r="V35" s="5">
        <v>319.45999999999998</v>
      </c>
      <c r="W35" s="5">
        <v>295.01</v>
      </c>
      <c r="X35" s="5">
        <v>0</v>
      </c>
      <c r="Y35" s="5">
        <v>126.39</v>
      </c>
    </row>
    <row r="36" spans="1:25" x14ac:dyDescent="0.25">
      <c r="A36" s="5" t="s">
        <v>26</v>
      </c>
      <c r="B36" s="5" t="s">
        <v>27</v>
      </c>
      <c r="C36" s="5" t="s">
        <v>42</v>
      </c>
      <c r="D36" s="5" t="s">
        <v>66</v>
      </c>
      <c r="E36" s="5" t="s">
        <v>34</v>
      </c>
      <c r="F36" s="5" t="s">
        <v>74</v>
      </c>
      <c r="G36" s="5">
        <v>2018</v>
      </c>
      <c r="H36" s="5" t="str">
        <f>CONCATENATE("84770067290")</f>
        <v>84770067290</v>
      </c>
      <c r="I36" s="5" t="s">
        <v>29</v>
      </c>
      <c r="J36" s="5" t="s">
        <v>45</v>
      </c>
      <c r="K36" s="5" t="str">
        <f>CONCATENATE("214")</f>
        <v>214</v>
      </c>
      <c r="L36" s="5" t="str">
        <f>CONCATENATE("11 11.2 4b")</f>
        <v>11 11.2 4b</v>
      </c>
      <c r="M36" s="5" t="str">
        <f>CONCATENATE("NGLMRA31S52I156E")</f>
        <v>NGLMRA31S52I156E</v>
      </c>
      <c r="N36" s="5" t="s">
        <v>75</v>
      </c>
      <c r="O36" s="5" t="s">
        <v>100</v>
      </c>
      <c r="P36" s="6">
        <v>44054</v>
      </c>
      <c r="Q36" s="5" t="s">
        <v>31</v>
      </c>
      <c r="R36" s="5" t="s">
        <v>32</v>
      </c>
      <c r="S36" s="5" t="s">
        <v>33</v>
      </c>
      <c r="T36" s="5"/>
      <c r="U36" s="5">
        <v>637.30999999999995</v>
      </c>
      <c r="V36" s="5">
        <v>274.81</v>
      </c>
      <c r="W36" s="5">
        <v>253.78</v>
      </c>
      <c r="X36" s="5">
        <v>0</v>
      </c>
      <c r="Y36" s="5">
        <v>108.72</v>
      </c>
    </row>
    <row r="37" spans="1:25" x14ac:dyDescent="0.25">
      <c r="A37" s="5" t="s">
        <v>26</v>
      </c>
      <c r="B37" s="5" t="s">
        <v>27</v>
      </c>
      <c r="C37" s="5" t="s">
        <v>42</v>
      </c>
      <c r="D37" s="5" t="s">
        <v>66</v>
      </c>
      <c r="E37" s="5" t="s">
        <v>35</v>
      </c>
      <c r="F37" s="5" t="s">
        <v>105</v>
      </c>
      <c r="G37" s="5">
        <v>2018</v>
      </c>
      <c r="H37" s="5" t="str">
        <f>CONCATENATE("84770052706")</f>
        <v>84770052706</v>
      </c>
      <c r="I37" s="5" t="s">
        <v>29</v>
      </c>
      <c r="J37" s="5" t="s">
        <v>45</v>
      </c>
      <c r="K37" s="5" t="str">
        <f>CONCATENATE("214")</f>
        <v>214</v>
      </c>
      <c r="L37" s="5" t="str">
        <f>CONCATENATE("11 11.1 4b")</f>
        <v>11 11.1 4b</v>
      </c>
      <c r="M37" s="5" t="str">
        <f>CONCATENATE("MRGZNE42A01F454J")</f>
        <v>MRGZNE42A01F454J</v>
      </c>
      <c r="N37" s="5" t="s">
        <v>106</v>
      </c>
      <c r="O37" s="5" t="s">
        <v>100</v>
      </c>
      <c r="P37" s="6">
        <v>44054</v>
      </c>
      <c r="Q37" s="5" t="s">
        <v>31</v>
      </c>
      <c r="R37" s="5" t="s">
        <v>32</v>
      </c>
      <c r="S37" s="5" t="s">
        <v>33</v>
      </c>
      <c r="T37" s="5"/>
      <c r="U37" s="5">
        <v>208.53</v>
      </c>
      <c r="V37" s="5">
        <v>89.92</v>
      </c>
      <c r="W37" s="5">
        <v>83.04</v>
      </c>
      <c r="X37" s="5">
        <v>0</v>
      </c>
      <c r="Y37" s="5">
        <v>35.57</v>
      </c>
    </row>
    <row r="38" spans="1:25" ht="24.75" x14ac:dyDescent="0.25">
      <c r="A38" s="5" t="s">
        <v>26</v>
      </c>
      <c r="B38" s="5" t="s">
        <v>27</v>
      </c>
      <c r="C38" s="5" t="s">
        <v>42</v>
      </c>
      <c r="D38" s="5" t="s">
        <v>66</v>
      </c>
      <c r="E38" s="5" t="s">
        <v>34</v>
      </c>
      <c r="F38" s="5" t="s">
        <v>107</v>
      </c>
      <c r="G38" s="5">
        <v>2018</v>
      </c>
      <c r="H38" s="5" t="str">
        <f>CONCATENATE("84770212342")</f>
        <v>84770212342</v>
      </c>
      <c r="I38" s="5" t="s">
        <v>29</v>
      </c>
      <c r="J38" s="5" t="s">
        <v>45</v>
      </c>
      <c r="K38" s="5" t="str">
        <f>CONCATENATE("214")</f>
        <v>214</v>
      </c>
      <c r="L38" s="5" t="str">
        <f>CONCATENATE("11 11.1 4b - 11 11.2 4b")</f>
        <v>11 11.1 4b - 11 11.2 4b</v>
      </c>
      <c r="M38" s="5" t="str">
        <f>CONCATENATE("01711320430")</f>
        <v>01711320430</v>
      </c>
      <c r="N38" s="5" t="s">
        <v>108</v>
      </c>
      <c r="O38" s="5" t="s">
        <v>100</v>
      </c>
      <c r="P38" s="6">
        <v>44054</v>
      </c>
      <c r="Q38" s="5" t="s">
        <v>31</v>
      </c>
      <c r="R38" s="5" t="s">
        <v>32</v>
      </c>
      <c r="S38" s="5" t="s">
        <v>33</v>
      </c>
      <c r="T38" s="5"/>
      <c r="U38" s="7">
        <v>9968.3799999999992</v>
      </c>
      <c r="V38" s="7">
        <v>4298.37</v>
      </c>
      <c r="W38" s="7">
        <v>3969.41</v>
      </c>
      <c r="X38" s="5">
        <v>0</v>
      </c>
      <c r="Y38" s="7">
        <v>1700.6</v>
      </c>
    </row>
    <row r="39" spans="1:25" x14ac:dyDescent="0.25">
      <c r="A39" s="5" t="s">
        <v>26</v>
      </c>
      <c r="B39" s="5" t="s">
        <v>27</v>
      </c>
      <c r="C39" s="5" t="s">
        <v>42</v>
      </c>
      <c r="D39" s="5" t="s">
        <v>66</v>
      </c>
      <c r="E39" s="5" t="s">
        <v>34</v>
      </c>
      <c r="F39" s="5" t="s">
        <v>77</v>
      </c>
      <c r="G39" s="5">
        <v>2018</v>
      </c>
      <c r="H39" s="5" t="str">
        <f>CONCATENATE("84770194052")</f>
        <v>84770194052</v>
      </c>
      <c r="I39" s="5" t="s">
        <v>29</v>
      </c>
      <c r="J39" s="5" t="s">
        <v>45</v>
      </c>
      <c r="K39" s="5" t="str">
        <f>CONCATENATE("214")</f>
        <v>214</v>
      </c>
      <c r="L39" s="5" t="str">
        <f>CONCATENATE("11 11.2 4b")</f>
        <v>11 11.2 4b</v>
      </c>
      <c r="M39" s="5" t="str">
        <f>CONCATENATE("SFFMRK92E10E783A")</f>
        <v>SFFMRK92E10E783A</v>
      </c>
      <c r="N39" s="5" t="s">
        <v>109</v>
      </c>
      <c r="O39" s="5" t="s">
        <v>100</v>
      </c>
      <c r="P39" s="6">
        <v>44054</v>
      </c>
      <c r="Q39" s="5" t="s">
        <v>31</v>
      </c>
      <c r="R39" s="5" t="s">
        <v>32</v>
      </c>
      <c r="S39" s="5" t="s">
        <v>33</v>
      </c>
      <c r="T39" s="5"/>
      <c r="U39" s="5">
        <v>402.86</v>
      </c>
      <c r="V39" s="5">
        <v>173.71</v>
      </c>
      <c r="W39" s="5">
        <v>160.41999999999999</v>
      </c>
      <c r="X39" s="5">
        <v>0</v>
      </c>
      <c r="Y39" s="5">
        <v>68.73</v>
      </c>
    </row>
    <row r="40" spans="1:25" x14ac:dyDescent="0.25">
      <c r="A40" s="5" t="s">
        <v>26</v>
      </c>
      <c r="B40" s="5" t="s">
        <v>27</v>
      </c>
      <c r="C40" s="5" t="s">
        <v>42</v>
      </c>
      <c r="D40" s="5" t="s">
        <v>66</v>
      </c>
      <c r="E40" s="5" t="s">
        <v>34</v>
      </c>
      <c r="F40" s="5" t="s">
        <v>77</v>
      </c>
      <c r="G40" s="5">
        <v>2018</v>
      </c>
      <c r="H40" s="5" t="str">
        <f>CONCATENATE("84770194045")</f>
        <v>84770194045</v>
      </c>
      <c r="I40" s="5" t="s">
        <v>29</v>
      </c>
      <c r="J40" s="5" t="s">
        <v>45</v>
      </c>
      <c r="K40" s="5" t="str">
        <f>CONCATENATE("214")</f>
        <v>214</v>
      </c>
      <c r="L40" s="5" t="str">
        <f>CONCATENATE("11 11.2 4b")</f>
        <v>11 11.2 4b</v>
      </c>
      <c r="M40" s="5" t="str">
        <f>CONCATENATE("SFFMRK92E10E783A")</f>
        <v>SFFMRK92E10E783A</v>
      </c>
      <c r="N40" s="5" t="s">
        <v>109</v>
      </c>
      <c r="O40" s="5" t="s">
        <v>100</v>
      </c>
      <c r="P40" s="6">
        <v>44054</v>
      </c>
      <c r="Q40" s="5" t="s">
        <v>31</v>
      </c>
      <c r="R40" s="5" t="s">
        <v>32</v>
      </c>
      <c r="S40" s="5" t="s">
        <v>33</v>
      </c>
      <c r="T40" s="5"/>
      <c r="U40" s="5">
        <v>134.13</v>
      </c>
      <c r="V40" s="5">
        <v>57.84</v>
      </c>
      <c r="W40" s="5">
        <v>53.41</v>
      </c>
      <c r="X40" s="5">
        <v>0</v>
      </c>
      <c r="Y40" s="5">
        <v>22.88</v>
      </c>
    </row>
    <row r="41" spans="1:25" x14ac:dyDescent="0.25">
      <c r="A41" s="5" t="s">
        <v>26</v>
      </c>
      <c r="B41" s="5" t="s">
        <v>39</v>
      </c>
      <c r="C41" s="5" t="s">
        <v>42</v>
      </c>
      <c r="D41" s="5" t="s">
        <v>42</v>
      </c>
      <c r="E41" s="5" t="s">
        <v>37</v>
      </c>
      <c r="F41" s="5" t="s">
        <v>110</v>
      </c>
      <c r="G41" s="5">
        <v>2017</v>
      </c>
      <c r="H41" s="5" t="str">
        <f>CONCATENATE("04270040043")</f>
        <v>04270040043</v>
      </c>
      <c r="I41" s="5" t="s">
        <v>29</v>
      </c>
      <c r="J41" s="5" t="s">
        <v>30</v>
      </c>
      <c r="K41" s="5" t="str">
        <f>CONCATENATE("")</f>
        <v/>
      </c>
      <c r="L41" s="5" t="str">
        <f>CONCATENATE("19 19.2 6b")</f>
        <v>19 19.2 6b</v>
      </c>
      <c r="M41" s="5" t="str">
        <f>CONCATENATE("00358230449")</f>
        <v>00358230449</v>
      </c>
      <c r="N41" s="5" t="s">
        <v>111</v>
      </c>
      <c r="O41" s="5" t="s">
        <v>112</v>
      </c>
      <c r="P41" s="6">
        <v>44055</v>
      </c>
      <c r="Q41" s="5" t="s">
        <v>31</v>
      </c>
      <c r="R41" s="5" t="s">
        <v>60</v>
      </c>
      <c r="S41" s="5" t="s">
        <v>33</v>
      </c>
      <c r="T41" s="5"/>
      <c r="U41" s="7">
        <v>40000</v>
      </c>
      <c r="V41" s="7">
        <v>17248</v>
      </c>
      <c r="W41" s="7">
        <v>15928</v>
      </c>
      <c r="X41" s="5">
        <v>0</v>
      </c>
      <c r="Y41" s="7">
        <v>6824</v>
      </c>
    </row>
    <row r="42" spans="1:25" x14ac:dyDescent="0.25">
      <c r="A42" s="5" t="s">
        <v>26</v>
      </c>
      <c r="B42" s="5" t="s">
        <v>27</v>
      </c>
      <c r="C42" s="5" t="s">
        <v>42</v>
      </c>
      <c r="D42" s="5" t="s">
        <v>66</v>
      </c>
      <c r="E42" s="5" t="s">
        <v>35</v>
      </c>
      <c r="F42" s="5" t="s">
        <v>113</v>
      </c>
      <c r="G42" s="5">
        <v>2018</v>
      </c>
      <c r="H42" s="5" t="str">
        <f>CONCATENATE("84770172306")</f>
        <v>84770172306</v>
      </c>
      <c r="I42" s="5" t="s">
        <v>29</v>
      </c>
      <c r="J42" s="5" t="s">
        <v>45</v>
      </c>
      <c r="K42" s="5" t="str">
        <f>CONCATENATE("214")</f>
        <v>214</v>
      </c>
      <c r="L42" s="5" t="str">
        <f>CONCATENATE("11 11.2 4b")</f>
        <v>11 11.2 4b</v>
      </c>
      <c r="M42" s="5" t="str">
        <f>CONCATENATE("PRGPPL74E24I436K")</f>
        <v>PRGPPL74E24I436K</v>
      </c>
      <c r="N42" s="5" t="s">
        <v>114</v>
      </c>
      <c r="O42" s="5" t="s">
        <v>100</v>
      </c>
      <c r="P42" s="6">
        <v>44054</v>
      </c>
      <c r="Q42" s="5" t="s">
        <v>31</v>
      </c>
      <c r="R42" s="5" t="s">
        <v>32</v>
      </c>
      <c r="S42" s="5" t="s">
        <v>33</v>
      </c>
      <c r="T42" s="5"/>
      <c r="U42" s="7">
        <v>2239.7600000000002</v>
      </c>
      <c r="V42" s="5">
        <v>965.78</v>
      </c>
      <c r="W42" s="5">
        <v>891.87</v>
      </c>
      <c r="X42" s="5">
        <v>0</v>
      </c>
      <c r="Y42" s="5">
        <v>382.11</v>
      </c>
    </row>
    <row r="43" spans="1:25" x14ac:dyDescent="0.25">
      <c r="A43" s="5" t="s">
        <v>26</v>
      </c>
      <c r="B43" s="5" t="s">
        <v>27</v>
      </c>
      <c r="C43" s="5" t="s">
        <v>42</v>
      </c>
      <c r="D43" s="5" t="s">
        <v>66</v>
      </c>
      <c r="E43" s="5" t="s">
        <v>35</v>
      </c>
      <c r="F43" s="5" t="s">
        <v>113</v>
      </c>
      <c r="G43" s="5">
        <v>2018</v>
      </c>
      <c r="H43" s="5" t="str">
        <f>CONCATENATE("84770172330")</f>
        <v>84770172330</v>
      </c>
      <c r="I43" s="5" t="s">
        <v>29</v>
      </c>
      <c r="J43" s="5" t="s">
        <v>45</v>
      </c>
      <c r="K43" s="5" t="str">
        <f>CONCATENATE("214")</f>
        <v>214</v>
      </c>
      <c r="L43" s="5" t="str">
        <f>CONCATENATE("11 11.2 4b")</f>
        <v>11 11.2 4b</v>
      </c>
      <c r="M43" s="5" t="str">
        <f>CONCATENATE("PRGPPL74E24I436K")</f>
        <v>PRGPPL74E24I436K</v>
      </c>
      <c r="N43" s="5" t="s">
        <v>114</v>
      </c>
      <c r="O43" s="5" t="s">
        <v>100</v>
      </c>
      <c r="P43" s="6">
        <v>44054</v>
      </c>
      <c r="Q43" s="5" t="s">
        <v>31</v>
      </c>
      <c r="R43" s="5" t="s">
        <v>32</v>
      </c>
      <c r="S43" s="5" t="s">
        <v>33</v>
      </c>
      <c r="T43" s="5"/>
      <c r="U43" s="5">
        <v>520.27</v>
      </c>
      <c r="V43" s="5">
        <v>224.34</v>
      </c>
      <c r="W43" s="5">
        <v>207.17</v>
      </c>
      <c r="X43" s="5">
        <v>0</v>
      </c>
      <c r="Y43" s="5">
        <v>88.76</v>
      </c>
    </row>
    <row r="44" spans="1:25" ht="24.75" x14ac:dyDescent="0.25">
      <c r="A44" s="5" t="s">
        <v>26</v>
      </c>
      <c r="B44" s="5" t="s">
        <v>27</v>
      </c>
      <c r="C44" s="5" t="s">
        <v>42</v>
      </c>
      <c r="D44" s="5" t="s">
        <v>43</v>
      </c>
      <c r="E44" s="5" t="s">
        <v>34</v>
      </c>
      <c r="F44" s="5" t="s">
        <v>44</v>
      </c>
      <c r="G44" s="5">
        <v>2017</v>
      </c>
      <c r="H44" s="5" t="str">
        <f>CONCATENATE("74780063397")</f>
        <v>74780063397</v>
      </c>
      <c r="I44" s="5" t="s">
        <v>29</v>
      </c>
      <c r="J44" s="5" t="s">
        <v>45</v>
      </c>
      <c r="K44" s="5" t="str">
        <f>CONCATENATE("221")</f>
        <v>221</v>
      </c>
      <c r="L44" s="5" t="str">
        <f>CONCATENATE("8 8.1 5e")</f>
        <v>8 8.1 5e</v>
      </c>
      <c r="M44" s="5" t="str">
        <f>CONCATENATE("BSCPRN57H02D965O")</f>
        <v>BSCPRN57H02D965O</v>
      </c>
      <c r="N44" s="5" t="s">
        <v>115</v>
      </c>
      <c r="O44" s="5" t="s">
        <v>116</v>
      </c>
      <c r="P44" s="6">
        <v>43279</v>
      </c>
      <c r="Q44" s="5" t="s">
        <v>31</v>
      </c>
      <c r="R44" s="5" t="s">
        <v>32</v>
      </c>
      <c r="S44" s="5" t="s">
        <v>33</v>
      </c>
      <c r="T44" s="5"/>
      <c r="U44" s="5">
        <v>378</v>
      </c>
      <c r="V44" s="5">
        <v>162.99</v>
      </c>
      <c r="W44" s="5">
        <v>150.52000000000001</v>
      </c>
      <c r="X44" s="5">
        <v>0</v>
      </c>
      <c r="Y44" s="5">
        <v>64.489999999999995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2020-09-03T10:53:26Z</dcterms:created>
  <dcterms:modified xsi:type="dcterms:W3CDTF">2020-09-03T10:54:07Z</dcterms:modified>
</cp:coreProperties>
</file>