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1\"/>
    </mc:Choice>
  </mc:AlternateContent>
  <xr:revisionPtr revIDLastSave="0" documentId="8_{CC3FDB10-042A-49B5-9146-D9DC737349AC}" xr6:coauthVersionLast="45" xr6:coauthVersionMax="45" xr10:uidLastSave="{00000000-0000-0000-0000-000000000000}"/>
  <bookViews>
    <workbookView xWindow="-120" yWindow="-120" windowWidth="20730" windowHeight="11160" xr2:uid="{B278E5E2-6C3C-416E-AC26-7553266BD74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4" i="1" l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<sst xmlns="http://schemas.openxmlformats.org/spreadsheetml/2006/main" count="1209" uniqueCount="185">
  <si>
    <t>Dettaglio Domande Pagabili Decreto 381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</si>
  <si>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</si>
  <si>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</si>
  <si>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</si>
  <si>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</si>
  <si>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</si>
  <si>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</si>
  <si>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</si>
  <si>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</si>
  <si>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</si>
  <si>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</si>
  <si>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</si>
  <si>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</si>
  <si>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</si>
  <si>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</si>
  <si>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</si>
  <si>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</si>
  <si>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</si>
  <si>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</si>
  <si>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</si>
  <si>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</si>
  <si>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</si>
  <si>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</si>
  <si>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</si>
  <si>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</si>
  <si>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</si>
  <si>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</si>
  <si>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</si>
  <si>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</si>
  <si>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</si>
  <si>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Trascinamenti</t>
  </si>
  <si>
    <t>In Liquidazione</t>
  </si>
  <si>
    <t>Saldo</t>
  </si>
  <si>
    <t>Co-Finanziato</t>
  </si>
  <si>
    <t>Misure Strutturali</t>
  </si>
  <si>
    <t>CAA Coldiretti srl</t>
  </si>
  <si>
    <t>Nuova Programmazione</t>
  </si>
  <si>
    <t>IN PROPRIO</t>
  </si>
  <si>
    <t>SAL</t>
  </si>
  <si>
    <t>CAA AGRISERVIZI s.r.l.</t>
  </si>
  <si>
    <t>CAA CIA srl</t>
  </si>
  <si>
    <t>CAA-CAF AGRI S.R.L.</t>
  </si>
  <si>
    <t>SI</t>
  </si>
  <si>
    <t>CAA UNICAA srl</t>
  </si>
  <si>
    <t>CAA Confagricoltura - ANCONA - 001</t>
  </si>
  <si>
    <t>CAA LiberiAgricoltori srl già CAA AGCI srl</t>
  </si>
  <si>
    <t>CAA C.A.N.A.P.A. srl</t>
  </si>
  <si>
    <t>CAA Liberi Professionisti srl</t>
  </si>
  <si>
    <t>CAA LiberiAgricoltori - MACERATA - 001</t>
  </si>
  <si>
    <t>MARCHE</t>
  </si>
  <si>
    <t>SERV. DEC. AGRICOLTURA E ALIMENTAZIONE - PESARO</t>
  </si>
  <si>
    <t>CAA Coldiretti - PESARO E URBINO - 008</t>
  </si>
  <si>
    <t>BRUSCOLINI GIUSEPPE MARIA</t>
  </si>
  <si>
    <t>AGEA.ASR.2015.0595004</t>
  </si>
  <si>
    <t>SERV. DEC. AGRICOLTURA E ALIM. - MACERATA</t>
  </si>
  <si>
    <t>CAA Coldiretti - MACERATA - 017</t>
  </si>
  <si>
    <t>CAMPETELLA ILARIA</t>
  </si>
  <si>
    <t>AGEA.ASR.2020.0817838</t>
  </si>
  <si>
    <t>CAA CAF AGRI - MACERATA - 226</t>
  </si>
  <si>
    <t>FABBRIZI PAOLO</t>
  </si>
  <si>
    <t>SANTONI FRANCESCA</t>
  </si>
  <si>
    <t>CAA Coldiretti - PESARO E URBINO - 004</t>
  </si>
  <si>
    <t>POGGIASPALLA CONCETTA</t>
  </si>
  <si>
    <t>AGEA.ASR.2020.0820761</t>
  </si>
  <si>
    <t>SERV. DEC. AGRICOLTURA E ALIMENTAZIONE - ANCONA</t>
  </si>
  <si>
    <t>CAA Coldiretti - ANCONA - 005</t>
  </si>
  <si>
    <t>BLASI ORIANO</t>
  </si>
  <si>
    <t>SERV. DEC. AGRICOLTURA E ALIM. -ASCOLI PICENO</t>
  </si>
  <si>
    <t>CAA AGRISERVIZI - LATINA - 001</t>
  </si>
  <si>
    <t>CIANNAVEI NAZZARENO</t>
  </si>
  <si>
    <t>CAA LiberiAgricoltori - MACERATA - 005</t>
  </si>
  <si>
    <t>SOCIETA' COOPERATIVA AGRICOLA CASA AIALE A R.L.</t>
  </si>
  <si>
    <t>CAA Coldiretti - MACERATA - 008</t>
  </si>
  <si>
    <t>CLEMENTI CRISTIAN</t>
  </si>
  <si>
    <t>AGEA.ASR.2020.0786615</t>
  </si>
  <si>
    <t>COMUNE DI VALFORNACE</t>
  </si>
  <si>
    <t>AGEA.ASR.2020.0779411</t>
  </si>
  <si>
    <t>Anticipo</t>
  </si>
  <si>
    <t>CAA Coldiretti - ASCOLI PICENO - 040</t>
  </si>
  <si>
    <t>VALLORANI VALERIANO</t>
  </si>
  <si>
    <t>AGEA.ASR.2020.0797475</t>
  </si>
  <si>
    <t>CAA Coldiretti - ANCONA - 001</t>
  </si>
  <si>
    <t>BONIFAZI MAURILIA</t>
  </si>
  <si>
    <t>AGEA.ASR.2020.0776507</t>
  </si>
  <si>
    <t>CAA LiberiAgricoltori - MACERATA - 003</t>
  </si>
  <si>
    <t>DELL'UOMO ALBERTO</t>
  </si>
  <si>
    <t>IMPECORA ALESSANDRO</t>
  </si>
  <si>
    <t>SOCIETA' AGRICOLA COSIMI S. S.</t>
  </si>
  <si>
    <t>CAA CIA - ANCONA - 002</t>
  </si>
  <si>
    <t>PETROLATI SANTE</t>
  </si>
  <si>
    <t>AGEA.ASR.2020.0818394</t>
  </si>
  <si>
    <t>CAA Coldiretti - ANCONA - 002</t>
  </si>
  <si>
    <t>RUGGERI STEFANO</t>
  </si>
  <si>
    <t>CAA CIA - ANCONA - 005</t>
  </si>
  <si>
    <t>RIZZONI LORENZO</t>
  </si>
  <si>
    <t>AGEA.ASR.2020.0786583</t>
  </si>
  <si>
    <t>AGEA.ASR.2020.0813028</t>
  </si>
  <si>
    <t>CAA Coldiretti - MACERATA - 007</t>
  </si>
  <si>
    <t>VASCONI GIACOMO</t>
  </si>
  <si>
    <t>AGEA.ASR.2020.0822277</t>
  </si>
  <si>
    <t>CAA C.A.N.A.P.A. - MACERATA - 001</t>
  </si>
  <si>
    <t>PILATO SOCIETA' AGRICOLA S.R.L. A CAPITALE RIDOTTO</t>
  </si>
  <si>
    <t>AGEA.ASR.2020.0809125</t>
  </si>
  <si>
    <t>CAA CIA - ASCOLI PICENO - 006</t>
  </si>
  <si>
    <t>ROTINI GIUSEPPE</t>
  </si>
  <si>
    <t>STOPPO FABRIZIO</t>
  </si>
  <si>
    <t>AGEA.ASR.2020.0756752</t>
  </si>
  <si>
    <t>CAA Coldiretti - PESARO E URBINO - 010</t>
  </si>
  <si>
    <t>CARDELLINI GIORGIO</t>
  </si>
  <si>
    <t>AGEA.ASR.2020.0818452</t>
  </si>
  <si>
    <t>CAA CAF AGRI - ANCONA - 224</t>
  </si>
  <si>
    <t>RINALDI ROBERTA</t>
  </si>
  <si>
    <t>SOCIETA' AGRICOLA SEMPLICE SANT'ANNA</t>
  </si>
  <si>
    <t>CIABOCO MARCELLO</t>
  </si>
  <si>
    <t>AGEA.ASR.2020.0813761</t>
  </si>
  <si>
    <t>MATTEI DANILO</t>
  </si>
  <si>
    <t>CAA Coldiretti - ANCONA - 006</t>
  </si>
  <si>
    <t>CROGNALETTI NATALINO</t>
  </si>
  <si>
    <t>CAA Coldiretti - ANCONA - 008</t>
  </si>
  <si>
    <t>MARCHIONNI SILVIA</t>
  </si>
  <si>
    <t>PIRANI ELISABETTA</t>
  </si>
  <si>
    <t>CAA Coldiretti - FERMO - 001</t>
  </si>
  <si>
    <t>CRUCIANI DAVID</t>
  </si>
  <si>
    <t>PACIOTTI PASQUALE</t>
  </si>
  <si>
    <t>CAA Coldiretti - ASCOLI PICENO - 010</t>
  </si>
  <si>
    <t>PETRELLI CARNI SOCIETA' AGRICOLA SEMPLICE</t>
  </si>
  <si>
    <t>SOCIETA' COOPERATIVA AGRICOLA AGRITEMP</t>
  </si>
  <si>
    <t>CARZEDDA CARLO</t>
  </si>
  <si>
    <t>AGEA.ASR.2020.0800750</t>
  </si>
  <si>
    <t>CARZEDDA DIEGO</t>
  </si>
  <si>
    <t>AGEA.ASR.2020.0822260</t>
  </si>
  <si>
    <t>CAA UNICAA - ASCOLI PICENO - 004</t>
  </si>
  <si>
    <t>SPACCAPANICCIA GUERRIERO</t>
  </si>
  <si>
    <t>ANGELETTI MARIANO</t>
  </si>
  <si>
    <t>ORIENTI ANNAMARIA</t>
  </si>
  <si>
    <t>CAA CAF AGRI - ASCOLI PICENO - 222</t>
  </si>
  <si>
    <t>PAZZAGLIA ANNA MARIA</t>
  </si>
  <si>
    <t>PARRI ARNALDO</t>
  </si>
  <si>
    <t>AGEA.ASR.2020.0813757</t>
  </si>
  <si>
    <t>AGRARIA MONTENOVO</t>
  </si>
  <si>
    <t>LAMBERTUCCI GIULIANO</t>
  </si>
  <si>
    <t>BENEDETTI GABRIELE</t>
  </si>
  <si>
    <t>CAA Coldiretti - MACERATA - 010</t>
  </si>
  <si>
    <t>PAOLUCCI FRANCESCO</t>
  </si>
  <si>
    <t>GIARDINI VALERIA</t>
  </si>
  <si>
    <t>CAA Confagricoltura - MACERATA - 001</t>
  </si>
  <si>
    <t>MANCINI LARA</t>
  </si>
  <si>
    <t>CAA LiberiAgricoltori - MACERATA - 002</t>
  </si>
  <si>
    <t>MARCHIONNI ENZO</t>
  </si>
  <si>
    <t>CAA Coldiretti - MACERATA - 009</t>
  </si>
  <si>
    <t>VISSANI CLAUDIO</t>
  </si>
  <si>
    <t>CAA CAF AGRI - MACERATA - 224</t>
  </si>
  <si>
    <t>PIGLIAPOCO ALESSANDRA</t>
  </si>
  <si>
    <t>SANTANCINI ALBERTO</t>
  </si>
  <si>
    <t>SUFFERINI MIRKO</t>
  </si>
  <si>
    <t>PORFIRI RENATO</t>
  </si>
  <si>
    <t>SALVATORI MANFREDO</t>
  </si>
  <si>
    <t>SOCIETA' AGRICOLA LA CASA ROSA DI CESARONI MARCO &amp; C S.S.</t>
  </si>
  <si>
    <t>AGEA.ASR.2020.0822317</t>
  </si>
  <si>
    <t>CAA Liberi Prof.- PESARO E URBINO - 001</t>
  </si>
  <si>
    <t>CARBONI SAMANTA</t>
  </si>
  <si>
    <t>AGEA.ASR.2020.0822230</t>
  </si>
  <si>
    <t>IEZZI GIOVANNI</t>
  </si>
  <si>
    <t>AGEA.ASR.2020.0800785</t>
  </si>
  <si>
    <t>TOTO' CATERINA</t>
  </si>
  <si>
    <t>SOCIETA' AGRICOLA IL TESORO DEI SIBILLINI DI TIDEI MAURO E MARICA S.S.</t>
  </si>
  <si>
    <t>AGEA.ASR.2020.0822012</t>
  </si>
  <si>
    <t>AGEA.ASR.2020.0822028</t>
  </si>
  <si>
    <t>CAA CAF AGRI - FERMO - 221</t>
  </si>
  <si>
    <t>CURIA OLINDA</t>
  </si>
  <si>
    <t>AGEA.ASR.2020.0813030</t>
  </si>
  <si>
    <t>AGEA.ASR.2020.0822314</t>
  </si>
  <si>
    <t>AGENZIA SERVIZI SETTORE AGROALIMENTARE MARCHE (ASSAM)</t>
  </si>
  <si>
    <t>AGEA.ASR.2020.0824227</t>
  </si>
  <si>
    <t>SOCIETA' AGRICOLA PRATOMAGNO S.S.</t>
  </si>
  <si>
    <t>AGEA.ASR.2020.0784802</t>
  </si>
  <si>
    <t>CONFORTI NOVELLO</t>
  </si>
  <si>
    <t>PERUGINI PIERPAOLO</t>
  </si>
  <si>
    <t>CANTENNE ANGELO</t>
  </si>
  <si>
    <t>MARCHIONNI FABIO</t>
  </si>
  <si>
    <t>GIONNI LUCA</t>
  </si>
  <si>
    <t>IMPRESA VERDE MARCHE SRL</t>
  </si>
  <si>
    <t>AGEA.ASR.2020.0806660</t>
  </si>
  <si>
    <t>AGEA.ASR.2020.0824176</t>
  </si>
  <si>
    <t>AGEA.ASR.2020.0824187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</si>
</sst>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A46CC-881C-45A9-9A8C-B8AC9DDAEA32}">
  <dimension ref="A1:Y94"/>
  <sheetViews>
    <sheetView showGridLines="0" tabSelected="1" workbookViewId="0">
      <selection activeCell="E101" sqref="E101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85546875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49</v>
      </c>
      <c r="D4" s="5" t="s">
        <v>50</v>
      </c>
      <c r="E4" s="5" t="s">
        <v>35</v>
      </c>
      <c r="F4" s="5" t="s">
        <v>51</v>
      </c>
      <c r="G4" s="5">
        <v>2014</v>
      </c>
      <c r="H4" s="5" t="str">
        <f>CONCATENATE("44730099247")</f>
        <v>44730099247</v>
      </c>
      <c r="I4" s="5" t="s">
        <v>29</v>
      </c>
      <c r="J4" s="5" t="s">
        <v>30</v>
      </c>
      <c r="K4" s="5" t="str">
        <f>CONCATENATE("221")</f>
        <v>221</v>
      </c>
      <c r="L4" s="5" t="str">
        <f>CONCATENATE("8 8.1 5e")</f>
        <v>8 8.1 5e</v>
      </c>
      <c r="M4" s="5" t="str">
        <f>CONCATENATE("BRSGPP35E18L500P")</f>
        <v>BRSGPP35E18L500P</v>
      </c>
      <c r="N4" s="5" t="s">
        <v>52</v>
      </c>
      <c r="O4" s="5" t="s">
        <v>53</v>
      </c>
      <c r="P4" s="6">
        <v>42177</v>
      </c>
      <c r="Q4" s="5" t="s">
        <v>31</v>
      </c>
      <c r="R4" s="5" t="s">
        <v>32</v>
      </c>
      <c r="S4" s="5" t="s">
        <v>33</v>
      </c>
      <c r="T4" s="5"/>
      <c r="U4" s="5">
        <v>217</v>
      </c>
      <c r="V4" s="5">
        <v>93.57</v>
      </c>
      <c r="W4" s="5">
        <v>86.41</v>
      </c>
      <c r="X4" s="5">
        <v>0</v>
      </c>
      <c r="Y4" s="5">
        <v>37.020000000000003</v>
      </c>
    </row>
    <row r="5" spans="1:25" x14ac:dyDescent="0.25">
      <c r="A5" s="5" t="s">
        <v>26</v>
      </c>
      <c r="B5" s="5" t="s">
        <v>27</v>
      </c>
      <c r="C5" s="5" t="s">
        <v>49</v>
      </c>
      <c r="D5" s="5" t="s">
        <v>54</v>
      </c>
      <c r="E5" s="5" t="s">
        <v>35</v>
      </c>
      <c r="F5" s="5" t="s">
        <v>55</v>
      </c>
      <c r="G5" s="5">
        <v>2017</v>
      </c>
      <c r="H5" s="5" t="str">
        <f>CONCATENATE("74210542101")</f>
        <v>74210542101</v>
      </c>
      <c r="I5" s="5" t="s">
        <v>29</v>
      </c>
      <c r="J5" s="5" t="s">
        <v>36</v>
      </c>
      <c r="K5" s="5" t="str">
        <f>CONCATENATE("")</f>
        <v/>
      </c>
      <c r="L5" s="5" t="str">
        <f>CONCATENATE("13 13.1 4a")</f>
        <v>13 13.1 4a</v>
      </c>
      <c r="M5" s="5" t="str">
        <f>CONCATENATE("CMPLRI86A52I156H")</f>
        <v>CMPLRI86A52I156H</v>
      </c>
      <c r="N5" s="5" t="s">
        <v>56</v>
      </c>
      <c r="O5" s="5" t="s">
        <v>57</v>
      </c>
      <c r="P5" s="6">
        <v>44013</v>
      </c>
      <c r="Q5" s="5" t="s">
        <v>31</v>
      </c>
      <c r="R5" s="5" t="s">
        <v>32</v>
      </c>
      <c r="S5" s="5" t="s">
        <v>33</v>
      </c>
      <c r="T5" s="5"/>
      <c r="U5" s="7">
        <v>5238</v>
      </c>
      <c r="V5" s="7">
        <v>2258.63</v>
      </c>
      <c r="W5" s="7">
        <v>2085.77</v>
      </c>
      <c r="X5" s="5">
        <v>0</v>
      </c>
      <c r="Y5" s="5">
        <v>893.6</v>
      </c>
    </row>
    <row r="6" spans="1:25" x14ac:dyDescent="0.25">
      <c r="A6" s="5" t="s">
        <v>26</v>
      </c>
      <c r="B6" s="5" t="s">
        <v>27</v>
      </c>
      <c r="C6" s="5" t="s">
        <v>49</v>
      </c>
      <c r="D6" s="5" t="s">
        <v>54</v>
      </c>
      <c r="E6" s="5" t="s">
        <v>41</v>
      </c>
      <c r="F6" s="5" t="s">
        <v>58</v>
      </c>
      <c r="G6" s="5">
        <v>2019</v>
      </c>
      <c r="H6" s="5" t="str">
        <f>CONCATENATE("94210783778")</f>
        <v>94210783778</v>
      </c>
      <c r="I6" s="5" t="s">
        <v>29</v>
      </c>
      <c r="J6" s="5" t="s">
        <v>36</v>
      </c>
      <c r="K6" s="5" t="str">
        <f>CONCATENATE("")</f>
        <v/>
      </c>
      <c r="L6" s="5" t="str">
        <f>CONCATENATE("13 13.1 4a")</f>
        <v>13 13.1 4a</v>
      </c>
      <c r="M6" s="5" t="str">
        <f>CONCATENATE("FBBPLA66R19B398Q")</f>
        <v>FBBPLA66R19B398Q</v>
      </c>
      <c r="N6" s="5" t="s">
        <v>59</v>
      </c>
      <c r="O6" s="5" t="s">
        <v>57</v>
      </c>
      <c r="P6" s="6">
        <v>44013</v>
      </c>
      <c r="Q6" s="5" t="s">
        <v>31</v>
      </c>
      <c r="R6" s="5" t="s">
        <v>32</v>
      </c>
      <c r="S6" s="5" t="s">
        <v>33</v>
      </c>
      <c r="T6" s="5"/>
      <c r="U6" s="7">
        <v>8730</v>
      </c>
      <c r="V6" s="7">
        <v>3764.38</v>
      </c>
      <c r="W6" s="7">
        <v>3476.29</v>
      </c>
      <c r="X6" s="5">
        <v>0</v>
      </c>
      <c r="Y6" s="7">
        <v>1489.33</v>
      </c>
    </row>
    <row r="7" spans="1:25" x14ac:dyDescent="0.25">
      <c r="A7" s="5" t="s">
        <v>26</v>
      </c>
      <c r="B7" s="5" t="s">
        <v>27</v>
      </c>
      <c r="C7" s="5" t="s">
        <v>49</v>
      </c>
      <c r="D7" s="5" t="s">
        <v>54</v>
      </c>
      <c r="E7" s="5" t="s">
        <v>35</v>
      </c>
      <c r="F7" s="5" t="s">
        <v>55</v>
      </c>
      <c r="G7" s="5">
        <v>2017</v>
      </c>
      <c r="H7" s="5" t="str">
        <f>CONCATENATE("74210340589")</f>
        <v>74210340589</v>
      </c>
      <c r="I7" s="5" t="s">
        <v>29</v>
      </c>
      <c r="J7" s="5" t="s">
        <v>36</v>
      </c>
      <c r="K7" s="5" t="str">
        <f>CONCATENATE("")</f>
        <v/>
      </c>
      <c r="L7" s="5" t="str">
        <f>CONCATENATE("13 13.1 4a")</f>
        <v>13 13.1 4a</v>
      </c>
      <c r="M7" s="5" t="str">
        <f>CONCATENATE("SNTFNC78R54D653N")</f>
        <v>SNTFNC78R54D653N</v>
      </c>
      <c r="N7" s="5" t="s">
        <v>60</v>
      </c>
      <c r="O7" s="5" t="s">
        <v>57</v>
      </c>
      <c r="P7" s="6">
        <v>44013</v>
      </c>
      <c r="Q7" s="5" t="s">
        <v>31</v>
      </c>
      <c r="R7" s="5" t="s">
        <v>32</v>
      </c>
      <c r="S7" s="5" t="s">
        <v>33</v>
      </c>
      <c r="T7" s="5"/>
      <c r="U7" s="7">
        <v>5400</v>
      </c>
      <c r="V7" s="7">
        <v>2328.48</v>
      </c>
      <c r="W7" s="7">
        <v>2150.2800000000002</v>
      </c>
      <c r="X7" s="5">
        <v>0</v>
      </c>
      <c r="Y7" s="5">
        <v>921.24</v>
      </c>
    </row>
    <row r="8" spans="1:25" ht="24.75" x14ac:dyDescent="0.25">
      <c r="A8" s="5" t="s">
        <v>26</v>
      </c>
      <c r="B8" s="5" t="s">
        <v>34</v>
      </c>
      <c r="C8" s="5" t="s">
        <v>49</v>
      </c>
      <c r="D8" s="5" t="s">
        <v>50</v>
      </c>
      <c r="E8" s="5" t="s">
        <v>35</v>
      </c>
      <c r="F8" s="5" t="s">
        <v>61</v>
      </c>
      <c r="G8" s="5">
        <v>2017</v>
      </c>
      <c r="H8" s="5" t="str">
        <f>CONCATENATE("94270174181")</f>
        <v>94270174181</v>
      </c>
      <c r="I8" s="5" t="s">
        <v>29</v>
      </c>
      <c r="J8" s="5" t="s">
        <v>36</v>
      </c>
      <c r="K8" s="5" t="str">
        <f>CONCATENATE("")</f>
        <v/>
      </c>
      <c r="L8" s="5" t="str">
        <f>CONCATENATE("8 8.1 5e")</f>
        <v>8 8.1 5e</v>
      </c>
      <c r="M8" s="5" t="str">
        <f>CONCATENATE("PGGCCT50T47L500T")</f>
        <v>PGGCCT50T47L500T</v>
      </c>
      <c r="N8" s="5" t="s">
        <v>62</v>
      </c>
      <c r="O8" s="5" t="s">
        <v>63</v>
      </c>
      <c r="P8" s="6">
        <v>44013</v>
      </c>
      <c r="Q8" s="5" t="s">
        <v>31</v>
      </c>
      <c r="R8" s="5" t="s">
        <v>32</v>
      </c>
      <c r="S8" s="5" t="s">
        <v>33</v>
      </c>
      <c r="T8" s="5"/>
      <c r="U8" s="7">
        <v>6635.4</v>
      </c>
      <c r="V8" s="7">
        <v>2861.18</v>
      </c>
      <c r="W8" s="7">
        <v>2642.22</v>
      </c>
      <c r="X8" s="5">
        <v>0</v>
      </c>
      <c r="Y8" s="7">
        <v>1132</v>
      </c>
    </row>
    <row r="9" spans="1:25" ht="24.75" x14ac:dyDescent="0.25">
      <c r="A9" s="5" t="s">
        <v>26</v>
      </c>
      <c r="B9" s="5" t="s">
        <v>27</v>
      </c>
      <c r="C9" s="5" t="s">
        <v>49</v>
      </c>
      <c r="D9" s="5" t="s">
        <v>64</v>
      </c>
      <c r="E9" s="5" t="s">
        <v>35</v>
      </c>
      <c r="F9" s="5" t="s">
        <v>65</v>
      </c>
      <c r="G9" s="5">
        <v>2016</v>
      </c>
      <c r="H9" s="5" t="str">
        <f>CONCATENATE("64210851123")</f>
        <v>64210851123</v>
      </c>
      <c r="I9" s="5" t="s">
        <v>29</v>
      </c>
      <c r="J9" s="5" t="s">
        <v>36</v>
      </c>
      <c r="K9" s="5" t="str">
        <f>CONCATENATE("")</f>
        <v/>
      </c>
      <c r="L9" s="5" t="str">
        <f>CONCATENATE("13 13.1 4a")</f>
        <v>13 13.1 4a</v>
      </c>
      <c r="M9" s="5" t="str">
        <f>CONCATENATE("BLSRNO63E19I461Q")</f>
        <v>BLSRNO63E19I461Q</v>
      </c>
      <c r="N9" s="5" t="s">
        <v>66</v>
      </c>
      <c r="O9" s="5" t="s">
        <v>57</v>
      </c>
      <c r="P9" s="6">
        <v>44013</v>
      </c>
      <c r="Q9" s="5" t="s">
        <v>31</v>
      </c>
      <c r="R9" s="5" t="s">
        <v>32</v>
      </c>
      <c r="S9" s="5" t="s">
        <v>33</v>
      </c>
      <c r="T9" s="5"/>
      <c r="U9" s="7">
        <v>1135.23</v>
      </c>
      <c r="V9" s="5">
        <v>489.51</v>
      </c>
      <c r="W9" s="5">
        <v>452.05</v>
      </c>
      <c r="X9" s="5">
        <v>0</v>
      </c>
      <c r="Y9" s="5">
        <v>193.67</v>
      </c>
    </row>
    <row r="10" spans="1:25" ht="24.75" x14ac:dyDescent="0.25">
      <c r="A10" s="5" t="s">
        <v>26</v>
      </c>
      <c r="B10" s="5" t="s">
        <v>27</v>
      </c>
      <c r="C10" s="5" t="s">
        <v>49</v>
      </c>
      <c r="D10" s="5" t="s">
        <v>67</v>
      </c>
      <c r="E10" s="5" t="s">
        <v>39</v>
      </c>
      <c r="F10" s="5" t="s">
        <v>68</v>
      </c>
      <c r="G10" s="5">
        <v>2019</v>
      </c>
      <c r="H10" s="5" t="str">
        <f>CONCATENATE("94210497304")</f>
        <v>94210497304</v>
      </c>
      <c r="I10" s="5" t="s">
        <v>42</v>
      </c>
      <c r="J10" s="5" t="s">
        <v>36</v>
      </c>
      <c r="K10" s="5" t="str">
        <f>CONCATENATE("")</f>
        <v/>
      </c>
      <c r="L10" s="5" t="str">
        <f>CONCATENATE("13 13.1 4a")</f>
        <v>13 13.1 4a</v>
      </c>
      <c r="M10" s="5" t="str">
        <f>CONCATENATE("CNNNZR34L14A462G")</f>
        <v>CNNNZR34L14A462G</v>
      </c>
      <c r="N10" s="5" t="s">
        <v>69</v>
      </c>
      <c r="O10" s="5" t="s">
        <v>57</v>
      </c>
      <c r="P10" s="6">
        <v>44013</v>
      </c>
      <c r="Q10" s="5" t="s">
        <v>31</v>
      </c>
      <c r="R10" s="5" t="s">
        <v>32</v>
      </c>
      <c r="S10" s="5" t="s">
        <v>33</v>
      </c>
      <c r="T10" s="5"/>
      <c r="U10" s="5">
        <v>874.54</v>
      </c>
      <c r="V10" s="5">
        <v>377.1</v>
      </c>
      <c r="W10" s="5">
        <v>348.24</v>
      </c>
      <c r="X10" s="5">
        <v>0</v>
      </c>
      <c r="Y10" s="5">
        <v>149.19999999999999</v>
      </c>
    </row>
    <row r="11" spans="1:25" ht="24.75" x14ac:dyDescent="0.25">
      <c r="A11" s="5" t="s">
        <v>26</v>
      </c>
      <c r="B11" s="5" t="s">
        <v>27</v>
      </c>
      <c r="C11" s="5" t="s">
        <v>49</v>
      </c>
      <c r="D11" s="5" t="s">
        <v>64</v>
      </c>
      <c r="E11" s="5" t="s">
        <v>45</v>
      </c>
      <c r="F11" s="5" t="s">
        <v>70</v>
      </c>
      <c r="G11" s="5">
        <v>2019</v>
      </c>
      <c r="H11" s="5" t="str">
        <f>CONCATENATE("94210747328")</f>
        <v>94210747328</v>
      </c>
      <c r="I11" s="5" t="s">
        <v>29</v>
      </c>
      <c r="J11" s="5" t="s">
        <v>36</v>
      </c>
      <c r="K11" s="5" t="str">
        <f>CONCATENATE("")</f>
        <v/>
      </c>
      <c r="L11" s="5" t="str">
        <f>CONCATENATE("13 13.1 4a")</f>
        <v>13 13.1 4a</v>
      </c>
      <c r="M11" s="5" t="str">
        <f>CONCATENATE("02742860428")</f>
        <v>02742860428</v>
      </c>
      <c r="N11" s="5" t="s">
        <v>71</v>
      </c>
      <c r="O11" s="5" t="s">
        <v>57</v>
      </c>
      <c r="P11" s="6">
        <v>44013</v>
      </c>
      <c r="Q11" s="5" t="s">
        <v>31</v>
      </c>
      <c r="R11" s="5" t="s">
        <v>32</v>
      </c>
      <c r="S11" s="5" t="s">
        <v>33</v>
      </c>
      <c r="T11" s="5"/>
      <c r="U11" s="7">
        <v>3418.85</v>
      </c>
      <c r="V11" s="7">
        <v>1474.21</v>
      </c>
      <c r="W11" s="7">
        <v>1361.39</v>
      </c>
      <c r="X11" s="5">
        <v>0</v>
      </c>
      <c r="Y11" s="5">
        <v>583.25</v>
      </c>
    </row>
    <row r="12" spans="1:25" x14ac:dyDescent="0.25">
      <c r="A12" s="5" t="s">
        <v>26</v>
      </c>
      <c r="B12" s="5" t="s">
        <v>34</v>
      </c>
      <c r="C12" s="5" t="s">
        <v>49</v>
      </c>
      <c r="D12" s="5" t="s">
        <v>54</v>
      </c>
      <c r="E12" s="5" t="s">
        <v>35</v>
      </c>
      <c r="F12" s="5" t="s">
        <v>72</v>
      </c>
      <c r="G12" s="5">
        <v>2017</v>
      </c>
      <c r="H12" s="5" t="str">
        <f>CONCATENATE("04270067921")</f>
        <v>04270067921</v>
      </c>
      <c r="I12" s="5" t="s">
        <v>29</v>
      </c>
      <c r="J12" s="5" t="s">
        <v>36</v>
      </c>
      <c r="K12" s="5" t="str">
        <f>CONCATENATE("")</f>
        <v/>
      </c>
      <c r="L12" s="5" t="str">
        <f>CONCATENATE("4 4.1 2a")</f>
        <v>4 4.1 2a</v>
      </c>
      <c r="M12" s="5" t="str">
        <f>CONCATENATE("CLMCST83M14E388Z")</f>
        <v>CLMCST83M14E388Z</v>
      </c>
      <c r="N12" s="5" t="s">
        <v>73</v>
      </c>
      <c r="O12" s="5" t="s">
        <v>74</v>
      </c>
      <c r="P12" s="6">
        <v>44013</v>
      </c>
      <c r="Q12" s="5" t="s">
        <v>31</v>
      </c>
      <c r="R12" s="5" t="s">
        <v>32</v>
      </c>
      <c r="S12" s="5" t="s">
        <v>33</v>
      </c>
      <c r="T12" s="5"/>
      <c r="U12" s="7">
        <v>15888.2</v>
      </c>
      <c r="V12" s="7">
        <v>6850.99</v>
      </c>
      <c r="W12" s="7">
        <v>6326.68</v>
      </c>
      <c r="X12" s="5">
        <v>0</v>
      </c>
      <c r="Y12" s="7">
        <v>2710.53</v>
      </c>
    </row>
    <row r="13" spans="1:25" x14ac:dyDescent="0.25">
      <c r="A13" s="5" t="s">
        <v>26</v>
      </c>
      <c r="B13" s="5" t="s">
        <v>34</v>
      </c>
      <c r="C13" s="5" t="s">
        <v>49</v>
      </c>
      <c r="D13" s="5" t="s">
        <v>49</v>
      </c>
      <c r="E13" s="5" t="s">
        <v>37</v>
      </c>
      <c r="F13" s="5" t="s">
        <v>37</v>
      </c>
      <c r="G13" s="5">
        <v>2017</v>
      </c>
      <c r="H13" s="5" t="str">
        <f>CONCATENATE("04270049580")</f>
        <v>04270049580</v>
      </c>
      <c r="I13" s="5" t="s">
        <v>29</v>
      </c>
      <c r="J13" s="5" t="s">
        <v>36</v>
      </c>
      <c r="K13" s="5" t="str">
        <f>CONCATENATE("")</f>
        <v/>
      </c>
      <c r="L13" s="5" t="str">
        <f>CONCATENATE("19 19.2 6b")</f>
        <v>19 19.2 6b</v>
      </c>
      <c r="M13" s="5" t="str">
        <f>CONCATENATE("01932550435")</f>
        <v>01932550435</v>
      </c>
      <c r="N13" s="5" t="s">
        <v>75</v>
      </c>
      <c r="O13" s="5" t="s">
        <v>76</v>
      </c>
      <c r="P13" s="6">
        <v>44008</v>
      </c>
      <c r="Q13" s="5" t="s">
        <v>31</v>
      </c>
      <c r="R13" s="5" t="s">
        <v>77</v>
      </c>
      <c r="S13" s="5" t="s">
        <v>33</v>
      </c>
      <c r="T13" s="5"/>
      <c r="U13" s="7">
        <v>33699.83</v>
      </c>
      <c r="V13" s="7">
        <v>14531.37</v>
      </c>
      <c r="W13" s="7">
        <v>13419.27</v>
      </c>
      <c r="X13" s="5">
        <v>0</v>
      </c>
      <c r="Y13" s="7">
        <v>5749.19</v>
      </c>
    </row>
    <row r="14" spans="1:25" ht="24.75" x14ac:dyDescent="0.25">
      <c r="A14" s="5" t="s">
        <v>26</v>
      </c>
      <c r="B14" s="5" t="s">
        <v>27</v>
      </c>
      <c r="C14" s="5" t="s">
        <v>49</v>
      </c>
      <c r="D14" s="5" t="s">
        <v>67</v>
      </c>
      <c r="E14" s="5" t="s">
        <v>35</v>
      </c>
      <c r="F14" s="5" t="s">
        <v>78</v>
      </c>
      <c r="G14" s="5">
        <v>2017</v>
      </c>
      <c r="H14" s="5" t="str">
        <f>CONCATENATE("74240600572")</f>
        <v>74240600572</v>
      </c>
      <c r="I14" s="5" t="s">
        <v>29</v>
      </c>
      <c r="J14" s="5" t="s">
        <v>36</v>
      </c>
      <c r="K14" s="5" t="str">
        <f>CONCATENATE("")</f>
        <v/>
      </c>
      <c r="L14" s="5" t="str">
        <f>CONCATENATE("10 10.1 4b")</f>
        <v>10 10.1 4b</v>
      </c>
      <c r="M14" s="5" t="str">
        <f>CONCATENATE("VLLVRN55M19G873I")</f>
        <v>VLLVRN55M19G873I</v>
      </c>
      <c r="N14" s="5" t="s">
        <v>79</v>
      </c>
      <c r="O14" s="5" t="s">
        <v>80</v>
      </c>
      <c r="P14" s="6">
        <v>44013</v>
      </c>
      <c r="Q14" s="5" t="s">
        <v>31</v>
      </c>
      <c r="R14" s="5" t="s">
        <v>32</v>
      </c>
      <c r="S14" s="5" t="s">
        <v>33</v>
      </c>
      <c r="T14" s="5"/>
      <c r="U14" s="7">
        <v>3466.83</v>
      </c>
      <c r="V14" s="7">
        <v>1494.9</v>
      </c>
      <c r="W14" s="7">
        <v>1380.49</v>
      </c>
      <c r="X14" s="5">
        <v>0</v>
      </c>
      <c r="Y14" s="5">
        <v>591.44000000000005</v>
      </c>
    </row>
    <row r="15" spans="1:25" ht="24.75" x14ac:dyDescent="0.25">
      <c r="A15" s="5" t="s">
        <v>26</v>
      </c>
      <c r="B15" s="5" t="s">
        <v>27</v>
      </c>
      <c r="C15" s="5" t="s">
        <v>49</v>
      </c>
      <c r="D15" s="5" t="s">
        <v>64</v>
      </c>
      <c r="E15" s="5" t="s">
        <v>35</v>
      </c>
      <c r="F15" s="5" t="s">
        <v>81</v>
      </c>
      <c r="G15" s="5">
        <v>2019</v>
      </c>
      <c r="H15" s="5" t="str">
        <f>CONCATENATE("94240683758")</f>
        <v>94240683758</v>
      </c>
      <c r="I15" s="5" t="s">
        <v>29</v>
      </c>
      <c r="J15" s="5" t="s">
        <v>36</v>
      </c>
      <c r="K15" s="5" t="str">
        <f>CONCATENATE("")</f>
        <v/>
      </c>
      <c r="L15" s="5" t="str">
        <f>CONCATENATE("10 10.1 4a")</f>
        <v>10 10.1 4a</v>
      </c>
      <c r="M15" s="5" t="str">
        <f>CONCATENATE("BNFMRL40T60G157L")</f>
        <v>BNFMRL40T60G157L</v>
      </c>
      <c r="N15" s="5" t="s">
        <v>82</v>
      </c>
      <c r="O15" s="5" t="s">
        <v>83</v>
      </c>
      <c r="P15" s="6">
        <v>44007</v>
      </c>
      <c r="Q15" s="5" t="s">
        <v>31</v>
      </c>
      <c r="R15" s="5" t="s">
        <v>32</v>
      </c>
      <c r="S15" s="5" t="s">
        <v>33</v>
      </c>
      <c r="T15" s="5"/>
      <c r="U15" s="5">
        <v>231.52</v>
      </c>
      <c r="V15" s="5">
        <v>99.83</v>
      </c>
      <c r="W15" s="5">
        <v>92.19</v>
      </c>
      <c r="X15" s="5">
        <v>0</v>
      </c>
      <c r="Y15" s="5">
        <v>39.5</v>
      </c>
    </row>
    <row r="16" spans="1:25" ht="24.75" x14ac:dyDescent="0.25">
      <c r="A16" s="5" t="s">
        <v>26</v>
      </c>
      <c r="B16" s="5" t="s">
        <v>27</v>
      </c>
      <c r="C16" s="5" t="s">
        <v>49</v>
      </c>
      <c r="D16" s="5" t="s">
        <v>64</v>
      </c>
      <c r="E16" s="5" t="s">
        <v>45</v>
      </c>
      <c r="F16" s="5" t="s">
        <v>84</v>
      </c>
      <c r="G16" s="5">
        <v>2018</v>
      </c>
      <c r="H16" s="5" t="str">
        <f>CONCATENATE("84240410633")</f>
        <v>84240410633</v>
      </c>
      <c r="I16" s="5" t="s">
        <v>29</v>
      </c>
      <c r="J16" s="5" t="s">
        <v>36</v>
      </c>
      <c r="K16" s="5" t="str">
        <f>CONCATENATE("")</f>
        <v/>
      </c>
      <c r="L16" s="5" t="str">
        <f>CONCATENATE("10 10.1 4a")</f>
        <v>10 10.1 4a</v>
      </c>
      <c r="M16" s="5" t="str">
        <f>CONCATENATE("DLLLRT47A19D451M")</f>
        <v>DLLLRT47A19D451M</v>
      </c>
      <c r="N16" s="5" t="s">
        <v>85</v>
      </c>
      <c r="O16" s="5" t="s">
        <v>83</v>
      </c>
      <c r="P16" s="6">
        <v>44007</v>
      </c>
      <c r="Q16" s="5" t="s">
        <v>31</v>
      </c>
      <c r="R16" s="5" t="s">
        <v>32</v>
      </c>
      <c r="S16" s="5" t="s">
        <v>33</v>
      </c>
      <c r="T16" s="5"/>
      <c r="U16" s="7">
        <v>5400</v>
      </c>
      <c r="V16" s="7">
        <v>2328.48</v>
      </c>
      <c r="W16" s="7">
        <v>2150.2800000000002</v>
      </c>
      <c r="X16" s="5">
        <v>0</v>
      </c>
      <c r="Y16" s="5">
        <v>921.24</v>
      </c>
    </row>
    <row r="17" spans="1:25" x14ac:dyDescent="0.25">
      <c r="A17" s="5" t="s">
        <v>26</v>
      </c>
      <c r="B17" s="5" t="s">
        <v>27</v>
      </c>
      <c r="C17" s="5" t="s">
        <v>49</v>
      </c>
      <c r="D17" s="5" t="s">
        <v>54</v>
      </c>
      <c r="E17" s="5" t="s">
        <v>45</v>
      </c>
      <c r="F17" s="5" t="s">
        <v>48</v>
      </c>
      <c r="G17" s="5">
        <v>2019</v>
      </c>
      <c r="H17" s="5" t="str">
        <f>CONCATENATE("94210860477")</f>
        <v>94210860477</v>
      </c>
      <c r="I17" s="5" t="s">
        <v>29</v>
      </c>
      <c r="J17" s="5" t="s">
        <v>36</v>
      </c>
      <c r="K17" s="5" t="str">
        <f>CONCATENATE("")</f>
        <v/>
      </c>
      <c r="L17" s="5" t="str">
        <f>CONCATENATE("13 13.1 4a")</f>
        <v>13 13.1 4a</v>
      </c>
      <c r="M17" s="5" t="str">
        <f>CONCATENATE("MPCLSN97R22E783X")</f>
        <v>MPCLSN97R22E783X</v>
      </c>
      <c r="N17" s="5" t="s">
        <v>86</v>
      </c>
      <c r="O17" s="5" t="s">
        <v>57</v>
      </c>
      <c r="P17" s="6">
        <v>44013</v>
      </c>
      <c r="Q17" s="5" t="s">
        <v>31</v>
      </c>
      <c r="R17" s="5" t="s">
        <v>32</v>
      </c>
      <c r="S17" s="5" t="s">
        <v>33</v>
      </c>
      <c r="T17" s="5"/>
      <c r="U17" s="7">
        <v>8910</v>
      </c>
      <c r="V17" s="7">
        <v>3841.99</v>
      </c>
      <c r="W17" s="7">
        <v>3547.96</v>
      </c>
      <c r="X17" s="5">
        <v>0</v>
      </c>
      <c r="Y17" s="7">
        <v>1520.05</v>
      </c>
    </row>
    <row r="18" spans="1:25" x14ac:dyDescent="0.25">
      <c r="A18" s="5" t="s">
        <v>26</v>
      </c>
      <c r="B18" s="5" t="s">
        <v>27</v>
      </c>
      <c r="C18" s="5" t="s">
        <v>49</v>
      </c>
      <c r="D18" s="5" t="s">
        <v>54</v>
      </c>
      <c r="E18" s="5" t="s">
        <v>45</v>
      </c>
      <c r="F18" s="5" t="s">
        <v>48</v>
      </c>
      <c r="G18" s="5">
        <v>2018</v>
      </c>
      <c r="H18" s="5" t="str">
        <f>CONCATENATE("84211008796")</f>
        <v>84211008796</v>
      </c>
      <c r="I18" s="5" t="s">
        <v>29</v>
      </c>
      <c r="J18" s="5" t="s">
        <v>36</v>
      </c>
      <c r="K18" s="5" t="str">
        <f>CONCATENATE("")</f>
        <v/>
      </c>
      <c r="L18" s="5" t="str">
        <f>CONCATENATE("13 13.1 4a")</f>
        <v>13 13.1 4a</v>
      </c>
      <c r="M18" s="5" t="str">
        <f>CONCATENATE("MPCLSN97R22E783X")</f>
        <v>MPCLSN97R22E783X</v>
      </c>
      <c r="N18" s="5" t="s">
        <v>86</v>
      </c>
      <c r="O18" s="5" t="s">
        <v>57</v>
      </c>
      <c r="P18" s="6">
        <v>44013</v>
      </c>
      <c r="Q18" s="5" t="s">
        <v>31</v>
      </c>
      <c r="R18" s="5" t="s">
        <v>32</v>
      </c>
      <c r="S18" s="5" t="s">
        <v>33</v>
      </c>
      <c r="T18" s="5"/>
      <c r="U18" s="7">
        <v>8910</v>
      </c>
      <c r="V18" s="7">
        <v>3841.99</v>
      </c>
      <c r="W18" s="7">
        <v>3547.96</v>
      </c>
      <c r="X18" s="5">
        <v>0</v>
      </c>
      <c r="Y18" s="7">
        <v>1520.05</v>
      </c>
    </row>
    <row r="19" spans="1:25" x14ac:dyDescent="0.25">
      <c r="A19" s="5" t="s">
        <v>26</v>
      </c>
      <c r="B19" s="5" t="s">
        <v>27</v>
      </c>
      <c r="C19" s="5" t="s">
        <v>49</v>
      </c>
      <c r="D19" s="5" t="s">
        <v>54</v>
      </c>
      <c r="E19" s="5" t="s">
        <v>45</v>
      </c>
      <c r="F19" s="5" t="s">
        <v>48</v>
      </c>
      <c r="G19" s="5">
        <v>2017</v>
      </c>
      <c r="H19" s="5" t="str">
        <f>CONCATENATE("74210927302")</f>
        <v>74210927302</v>
      </c>
      <c r="I19" s="5" t="s">
        <v>29</v>
      </c>
      <c r="J19" s="5" t="s">
        <v>36</v>
      </c>
      <c r="K19" s="5" t="str">
        <f>CONCATENATE("")</f>
        <v/>
      </c>
      <c r="L19" s="5" t="str">
        <f>CONCATENATE("13 13.1 4a")</f>
        <v>13 13.1 4a</v>
      </c>
      <c r="M19" s="5" t="str">
        <f>CONCATENATE("MPCLSN97R22E783X")</f>
        <v>MPCLSN97R22E783X</v>
      </c>
      <c r="N19" s="5" t="s">
        <v>86</v>
      </c>
      <c r="O19" s="5" t="s">
        <v>57</v>
      </c>
      <c r="P19" s="6">
        <v>44013</v>
      </c>
      <c r="Q19" s="5" t="s">
        <v>31</v>
      </c>
      <c r="R19" s="5" t="s">
        <v>32</v>
      </c>
      <c r="S19" s="5" t="s">
        <v>33</v>
      </c>
      <c r="T19" s="5"/>
      <c r="U19" s="7">
        <v>4860</v>
      </c>
      <c r="V19" s="7">
        <v>2095.63</v>
      </c>
      <c r="W19" s="7">
        <v>1935.25</v>
      </c>
      <c r="X19" s="5">
        <v>0</v>
      </c>
      <c r="Y19" s="5">
        <v>829.12</v>
      </c>
    </row>
    <row r="20" spans="1:25" x14ac:dyDescent="0.25">
      <c r="A20" s="5" t="s">
        <v>26</v>
      </c>
      <c r="B20" s="5" t="s">
        <v>27</v>
      </c>
      <c r="C20" s="5" t="s">
        <v>49</v>
      </c>
      <c r="D20" s="5" t="s">
        <v>54</v>
      </c>
      <c r="E20" s="5" t="s">
        <v>45</v>
      </c>
      <c r="F20" s="5" t="s">
        <v>48</v>
      </c>
      <c r="G20" s="5">
        <v>2019</v>
      </c>
      <c r="H20" s="5" t="str">
        <f>CONCATENATE("94210715531")</f>
        <v>94210715531</v>
      </c>
      <c r="I20" s="5" t="s">
        <v>29</v>
      </c>
      <c r="J20" s="5" t="s">
        <v>36</v>
      </c>
      <c r="K20" s="5" t="str">
        <f>CONCATENATE("")</f>
        <v/>
      </c>
      <c r="L20" s="5" t="str">
        <f>CONCATENATE("13 13.1 4a")</f>
        <v>13 13.1 4a</v>
      </c>
      <c r="M20" s="5" t="str">
        <f>CONCATENATE("01976250439")</f>
        <v>01976250439</v>
      </c>
      <c r="N20" s="5" t="s">
        <v>87</v>
      </c>
      <c r="O20" s="5" t="s">
        <v>57</v>
      </c>
      <c r="P20" s="6">
        <v>44013</v>
      </c>
      <c r="Q20" s="5" t="s">
        <v>31</v>
      </c>
      <c r="R20" s="5" t="s">
        <v>32</v>
      </c>
      <c r="S20" s="5" t="s">
        <v>33</v>
      </c>
      <c r="T20" s="5"/>
      <c r="U20" s="7">
        <v>8730</v>
      </c>
      <c r="V20" s="7">
        <v>3764.38</v>
      </c>
      <c r="W20" s="7">
        <v>3476.29</v>
      </c>
      <c r="X20" s="5">
        <v>0</v>
      </c>
      <c r="Y20" s="7">
        <v>1489.33</v>
      </c>
    </row>
    <row r="21" spans="1:25" ht="24.75" x14ac:dyDescent="0.25">
      <c r="A21" s="5" t="s">
        <v>26</v>
      </c>
      <c r="B21" s="5" t="s">
        <v>27</v>
      </c>
      <c r="C21" s="5" t="s">
        <v>49</v>
      </c>
      <c r="D21" s="5" t="s">
        <v>64</v>
      </c>
      <c r="E21" s="5" t="s">
        <v>40</v>
      </c>
      <c r="F21" s="5" t="s">
        <v>88</v>
      </c>
      <c r="G21" s="5">
        <v>2018</v>
      </c>
      <c r="H21" s="5" t="str">
        <f>CONCATENATE("84240985576")</f>
        <v>84240985576</v>
      </c>
      <c r="I21" s="5" t="s">
        <v>29</v>
      </c>
      <c r="J21" s="5" t="s">
        <v>36</v>
      </c>
      <c r="K21" s="5" t="str">
        <f>CONCATENATE("")</f>
        <v/>
      </c>
      <c r="L21" s="5" t="str">
        <f>CONCATENATE("10 10.1 4a")</f>
        <v>10 10.1 4a</v>
      </c>
      <c r="M21" s="5" t="str">
        <f>CONCATENATE("PTRSNT71L21F453H")</f>
        <v>PTRSNT71L21F453H</v>
      </c>
      <c r="N21" s="5" t="s">
        <v>89</v>
      </c>
      <c r="O21" s="5" t="s">
        <v>90</v>
      </c>
      <c r="P21" s="6">
        <v>44013</v>
      </c>
      <c r="Q21" s="5" t="s">
        <v>31</v>
      </c>
      <c r="R21" s="5" t="s">
        <v>32</v>
      </c>
      <c r="S21" s="5" t="s">
        <v>33</v>
      </c>
      <c r="T21" s="5"/>
      <c r="U21" s="5">
        <v>38.15</v>
      </c>
      <c r="V21" s="5">
        <v>16.45</v>
      </c>
      <c r="W21" s="5">
        <v>15.19</v>
      </c>
      <c r="X21" s="5">
        <v>0</v>
      </c>
      <c r="Y21" s="5">
        <v>6.51</v>
      </c>
    </row>
    <row r="22" spans="1:25" ht="24.75" x14ac:dyDescent="0.25">
      <c r="A22" s="5" t="s">
        <v>26</v>
      </c>
      <c r="B22" s="5" t="s">
        <v>27</v>
      </c>
      <c r="C22" s="5" t="s">
        <v>49</v>
      </c>
      <c r="D22" s="5" t="s">
        <v>64</v>
      </c>
      <c r="E22" s="5" t="s">
        <v>35</v>
      </c>
      <c r="F22" s="5" t="s">
        <v>91</v>
      </c>
      <c r="G22" s="5">
        <v>2018</v>
      </c>
      <c r="H22" s="5" t="str">
        <f>CONCATENATE("84211298983")</f>
        <v>84211298983</v>
      </c>
      <c r="I22" s="5" t="s">
        <v>29</v>
      </c>
      <c r="J22" s="5" t="s">
        <v>36</v>
      </c>
      <c r="K22" s="5" t="str">
        <f>CONCATENATE("")</f>
        <v/>
      </c>
      <c r="L22" s="5" t="str">
        <f>CONCATENATE("13 13.1 4a")</f>
        <v>13 13.1 4a</v>
      </c>
      <c r="M22" s="5" t="str">
        <f>CONCATENATE("RGGSFN77S24D451H")</f>
        <v>RGGSFN77S24D451H</v>
      </c>
      <c r="N22" s="5" t="s">
        <v>92</v>
      </c>
      <c r="O22" s="5" t="s">
        <v>57</v>
      </c>
      <c r="P22" s="6">
        <v>44013</v>
      </c>
      <c r="Q22" s="5" t="s">
        <v>31</v>
      </c>
      <c r="R22" s="5" t="s">
        <v>32</v>
      </c>
      <c r="S22" s="5" t="s">
        <v>33</v>
      </c>
      <c r="T22" s="5"/>
      <c r="U22" s="7">
        <v>9000</v>
      </c>
      <c r="V22" s="7">
        <v>3880.8</v>
      </c>
      <c r="W22" s="7">
        <v>3583.8</v>
      </c>
      <c r="X22" s="5">
        <v>0</v>
      </c>
      <c r="Y22" s="7">
        <v>1535.4</v>
      </c>
    </row>
    <row r="23" spans="1:25" x14ac:dyDescent="0.25">
      <c r="A23" s="5" t="s">
        <v>26</v>
      </c>
      <c r="B23" s="5" t="s">
        <v>27</v>
      </c>
      <c r="C23" s="5" t="s">
        <v>49</v>
      </c>
      <c r="D23" s="5" t="s">
        <v>54</v>
      </c>
      <c r="E23" s="5" t="s">
        <v>35</v>
      </c>
      <c r="F23" s="5" t="s">
        <v>55</v>
      </c>
      <c r="G23" s="5">
        <v>2019</v>
      </c>
      <c r="H23" s="5" t="str">
        <f>CONCATENATE("94210101914")</f>
        <v>94210101914</v>
      </c>
      <c r="I23" s="5" t="s">
        <v>29</v>
      </c>
      <c r="J23" s="5" t="s">
        <v>36</v>
      </c>
      <c r="K23" s="5" t="str">
        <f>CONCATENATE("")</f>
        <v/>
      </c>
      <c r="L23" s="5" t="str">
        <f>CONCATENATE("13 13.1 4a")</f>
        <v>13 13.1 4a</v>
      </c>
      <c r="M23" s="5" t="str">
        <f>CONCATENATE("SNTFNC78R54D653N")</f>
        <v>SNTFNC78R54D653N</v>
      </c>
      <c r="N23" s="5" t="s">
        <v>60</v>
      </c>
      <c r="O23" s="5" t="s">
        <v>57</v>
      </c>
      <c r="P23" s="6">
        <v>44013</v>
      </c>
      <c r="Q23" s="5" t="s">
        <v>31</v>
      </c>
      <c r="R23" s="5" t="s">
        <v>32</v>
      </c>
      <c r="S23" s="5" t="s">
        <v>33</v>
      </c>
      <c r="T23" s="5"/>
      <c r="U23" s="7">
        <v>9000</v>
      </c>
      <c r="V23" s="7">
        <v>3880.8</v>
      </c>
      <c r="W23" s="7">
        <v>3583.8</v>
      </c>
      <c r="X23" s="5">
        <v>0</v>
      </c>
      <c r="Y23" s="7">
        <v>1535.4</v>
      </c>
    </row>
    <row r="24" spans="1:25" ht="24.75" x14ac:dyDescent="0.25">
      <c r="A24" s="5" t="s">
        <v>26</v>
      </c>
      <c r="B24" s="5" t="s">
        <v>27</v>
      </c>
      <c r="C24" s="5" t="s">
        <v>49</v>
      </c>
      <c r="D24" s="5" t="s">
        <v>64</v>
      </c>
      <c r="E24" s="5" t="s">
        <v>40</v>
      </c>
      <c r="F24" s="5" t="s">
        <v>93</v>
      </c>
      <c r="G24" s="5">
        <v>2017</v>
      </c>
      <c r="H24" s="5" t="str">
        <f>CONCATENATE("74241459788")</f>
        <v>74241459788</v>
      </c>
      <c r="I24" s="5" t="s">
        <v>29</v>
      </c>
      <c r="J24" s="5" t="s">
        <v>36</v>
      </c>
      <c r="K24" s="5" t="str">
        <f>CONCATENATE("")</f>
        <v/>
      </c>
      <c r="L24" s="5" t="str">
        <f>CONCATENATE("10 10.1 4a")</f>
        <v>10 10.1 4a</v>
      </c>
      <c r="M24" s="5" t="str">
        <f>CONCATENATE("RZZLNZ77R23E388J")</f>
        <v>RZZLNZ77R23E388J</v>
      </c>
      <c r="N24" s="5" t="s">
        <v>94</v>
      </c>
      <c r="O24" s="5" t="s">
        <v>90</v>
      </c>
      <c r="P24" s="6">
        <v>44013</v>
      </c>
      <c r="Q24" s="5" t="s">
        <v>31</v>
      </c>
      <c r="R24" s="5" t="s">
        <v>32</v>
      </c>
      <c r="S24" s="5" t="s">
        <v>33</v>
      </c>
      <c r="T24" s="5"/>
      <c r="U24" s="7">
        <v>2410.04</v>
      </c>
      <c r="V24" s="7">
        <v>1039.21</v>
      </c>
      <c r="W24" s="5">
        <v>959.68</v>
      </c>
      <c r="X24" s="5">
        <v>0</v>
      </c>
      <c r="Y24" s="5">
        <v>411.15</v>
      </c>
    </row>
    <row r="25" spans="1:25" x14ac:dyDescent="0.25">
      <c r="A25" s="5" t="s">
        <v>26</v>
      </c>
      <c r="B25" s="5" t="s">
        <v>34</v>
      </c>
      <c r="C25" s="5" t="s">
        <v>49</v>
      </c>
      <c r="D25" s="5" t="s">
        <v>54</v>
      </c>
      <c r="E25" s="5" t="s">
        <v>35</v>
      </c>
      <c r="F25" s="5" t="s">
        <v>72</v>
      </c>
      <c r="G25" s="5">
        <v>2017</v>
      </c>
      <c r="H25" s="5" t="str">
        <f>CONCATENATE("04270067939")</f>
        <v>04270067939</v>
      </c>
      <c r="I25" s="5" t="s">
        <v>29</v>
      </c>
      <c r="J25" s="5" t="s">
        <v>36</v>
      </c>
      <c r="K25" s="5" t="str">
        <f>CONCATENATE("")</f>
        <v/>
      </c>
      <c r="L25" s="5" t="str">
        <f>CONCATENATE("6 6.1 2b")</f>
        <v>6 6.1 2b</v>
      </c>
      <c r="M25" s="5" t="str">
        <f>CONCATENATE("CLMCST83M14E388Z")</f>
        <v>CLMCST83M14E388Z</v>
      </c>
      <c r="N25" s="5" t="s">
        <v>73</v>
      </c>
      <c r="O25" s="5" t="s">
        <v>95</v>
      </c>
      <c r="P25" s="6">
        <v>44013</v>
      </c>
      <c r="Q25" s="5" t="s">
        <v>31</v>
      </c>
      <c r="R25" s="5" t="s">
        <v>32</v>
      </c>
      <c r="S25" s="5" t="s">
        <v>33</v>
      </c>
      <c r="T25" s="5"/>
      <c r="U25" s="7">
        <v>10500</v>
      </c>
      <c r="V25" s="7">
        <v>4527.6000000000004</v>
      </c>
      <c r="W25" s="7">
        <v>4181.1000000000004</v>
      </c>
      <c r="X25" s="5">
        <v>0</v>
      </c>
      <c r="Y25" s="7">
        <v>1791.3</v>
      </c>
    </row>
    <row r="26" spans="1:25" x14ac:dyDescent="0.25">
      <c r="A26" s="5" t="s">
        <v>26</v>
      </c>
      <c r="B26" s="5" t="s">
        <v>27</v>
      </c>
      <c r="C26" s="5" t="s">
        <v>49</v>
      </c>
      <c r="D26" s="5" t="s">
        <v>54</v>
      </c>
      <c r="E26" s="5" t="s">
        <v>35</v>
      </c>
      <c r="F26" s="5" t="s">
        <v>55</v>
      </c>
      <c r="G26" s="5">
        <v>2017</v>
      </c>
      <c r="H26" s="5" t="str">
        <f>CONCATENATE("74240373030")</f>
        <v>74240373030</v>
      </c>
      <c r="I26" s="5" t="s">
        <v>29</v>
      </c>
      <c r="J26" s="5" t="s">
        <v>36</v>
      </c>
      <c r="K26" s="5" t="str">
        <f>CONCATENATE("")</f>
        <v/>
      </c>
      <c r="L26" s="5" t="str">
        <f>CONCATENATE("10 10.1 4a")</f>
        <v>10 10.1 4a</v>
      </c>
      <c r="M26" s="5" t="str">
        <f>CONCATENATE("CMPLRI86A52I156H")</f>
        <v>CMPLRI86A52I156H</v>
      </c>
      <c r="N26" s="5" t="s">
        <v>56</v>
      </c>
      <c r="O26" s="5" t="s">
        <v>96</v>
      </c>
      <c r="P26" s="6">
        <v>44013</v>
      </c>
      <c r="Q26" s="5" t="s">
        <v>31</v>
      </c>
      <c r="R26" s="5" t="s">
        <v>32</v>
      </c>
      <c r="S26" s="5" t="s">
        <v>33</v>
      </c>
      <c r="T26" s="5"/>
      <c r="U26" s="7">
        <v>18254.349999999999</v>
      </c>
      <c r="V26" s="7">
        <v>7871.28</v>
      </c>
      <c r="W26" s="7">
        <v>7268.88</v>
      </c>
      <c r="X26" s="5">
        <v>0</v>
      </c>
      <c r="Y26" s="7">
        <v>3114.19</v>
      </c>
    </row>
    <row r="27" spans="1:25" x14ac:dyDescent="0.25">
      <c r="A27" s="5" t="s">
        <v>26</v>
      </c>
      <c r="B27" s="5" t="s">
        <v>27</v>
      </c>
      <c r="C27" s="5" t="s">
        <v>49</v>
      </c>
      <c r="D27" s="5" t="s">
        <v>54</v>
      </c>
      <c r="E27" s="5" t="s">
        <v>35</v>
      </c>
      <c r="F27" s="5" t="s">
        <v>55</v>
      </c>
      <c r="G27" s="5">
        <v>2016</v>
      </c>
      <c r="H27" s="5" t="str">
        <f>CONCATENATE("64240383162")</f>
        <v>64240383162</v>
      </c>
      <c r="I27" s="5" t="s">
        <v>29</v>
      </c>
      <c r="J27" s="5" t="s">
        <v>36</v>
      </c>
      <c r="K27" s="5" t="str">
        <f>CONCATENATE("")</f>
        <v/>
      </c>
      <c r="L27" s="5" t="str">
        <f>CONCATENATE("10 10.1 4a")</f>
        <v>10 10.1 4a</v>
      </c>
      <c r="M27" s="5" t="str">
        <f>CONCATENATE("SNTFNC78R54D653N")</f>
        <v>SNTFNC78R54D653N</v>
      </c>
      <c r="N27" s="5" t="s">
        <v>60</v>
      </c>
      <c r="O27" s="5" t="s">
        <v>96</v>
      </c>
      <c r="P27" s="6">
        <v>44013</v>
      </c>
      <c r="Q27" s="5" t="s">
        <v>31</v>
      </c>
      <c r="R27" s="5" t="s">
        <v>32</v>
      </c>
      <c r="S27" s="5" t="s">
        <v>33</v>
      </c>
      <c r="T27" s="5"/>
      <c r="U27" s="7">
        <v>11604.74</v>
      </c>
      <c r="V27" s="7">
        <v>5003.96</v>
      </c>
      <c r="W27" s="7">
        <v>4621.01</v>
      </c>
      <c r="X27" s="5">
        <v>0</v>
      </c>
      <c r="Y27" s="7">
        <v>1979.77</v>
      </c>
    </row>
    <row r="28" spans="1:25" x14ac:dyDescent="0.25">
      <c r="A28" s="5" t="s">
        <v>26</v>
      </c>
      <c r="B28" s="5" t="s">
        <v>27</v>
      </c>
      <c r="C28" s="5" t="s">
        <v>49</v>
      </c>
      <c r="D28" s="5" t="s">
        <v>54</v>
      </c>
      <c r="E28" s="5" t="s">
        <v>35</v>
      </c>
      <c r="F28" s="5" t="s">
        <v>55</v>
      </c>
      <c r="G28" s="5">
        <v>2017</v>
      </c>
      <c r="H28" s="5" t="str">
        <f>CONCATENATE("74240184650")</f>
        <v>74240184650</v>
      </c>
      <c r="I28" s="5" t="s">
        <v>29</v>
      </c>
      <c r="J28" s="5" t="s">
        <v>36</v>
      </c>
      <c r="K28" s="5" t="str">
        <f>CONCATENATE("")</f>
        <v/>
      </c>
      <c r="L28" s="5" t="str">
        <f>CONCATENATE("10 10.1 4a")</f>
        <v>10 10.1 4a</v>
      </c>
      <c r="M28" s="5" t="str">
        <f>CONCATENATE("SNTFNC78R54D653N")</f>
        <v>SNTFNC78R54D653N</v>
      </c>
      <c r="N28" s="5" t="s">
        <v>60</v>
      </c>
      <c r="O28" s="5" t="s">
        <v>96</v>
      </c>
      <c r="P28" s="6">
        <v>44013</v>
      </c>
      <c r="Q28" s="5" t="s">
        <v>31</v>
      </c>
      <c r="R28" s="5" t="s">
        <v>32</v>
      </c>
      <c r="S28" s="5" t="s">
        <v>33</v>
      </c>
      <c r="T28" s="5"/>
      <c r="U28" s="7">
        <v>11016.01</v>
      </c>
      <c r="V28" s="7">
        <v>4750.1000000000004</v>
      </c>
      <c r="W28" s="7">
        <v>4386.58</v>
      </c>
      <c r="X28" s="5">
        <v>0</v>
      </c>
      <c r="Y28" s="7">
        <v>1879.33</v>
      </c>
    </row>
    <row r="29" spans="1:25" x14ac:dyDescent="0.25">
      <c r="A29" s="5" t="s">
        <v>26</v>
      </c>
      <c r="B29" s="5" t="s">
        <v>27</v>
      </c>
      <c r="C29" s="5" t="s">
        <v>49</v>
      </c>
      <c r="D29" s="5" t="s">
        <v>54</v>
      </c>
      <c r="E29" s="5" t="s">
        <v>35</v>
      </c>
      <c r="F29" s="5" t="s">
        <v>55</v>
      </c>
      <c r="G29" s="5">
        <v>2018</v>
      </c>
      <c r="H29" s="5" t="str">
        <f>CONCATENATE("84240277065")</f>
        <v>84240277065</v>
      </c>
      <c r="I29" s="5" t="s">
        <v>29</v>
      </c>
      <c r="J29" s="5" t="s">
        <v>36</v>
      </c>
      <c r="K29" s="5" t="str">
        <f>CONCATENATE("")</f>
        <v/>
      </c>
      <c r="L29" s="5" t="str">
        <f>CONCATENATE("10 10.1 4a")</f>
        <v>10 10.1 4a</v>
      </c>
      <c r="M29" s="5" t="str">
        <f>CONCATENATE("SNTFNC78R54D653N")</f>
        <v>SNTFNC78R54D653N</v>
      </c>
      <c r="N29" s="5" t="s">
        <v>60</v>
      </c>
      <c r="O29" s="5" t="s">
        <v>96</v>
      </c>
      <c r="P29" s="6">
        <v>44013</v>
      </c>
      <c r="Q29" s="5" t="s">
        <v>31</v>
      </c>
      <c r="R29" s="5" t="s">
        <v>32</v>
      </c>
      <c r="S29" s="5" t="s">
        <v>33</v>
      </c>
      <c r="T29" s="5"/>
      <c r="U29" s="7">
        <v>8973.23</v>
      </c>
      <c r="V29" s="7">
        <v>3869.26</v>
      </c>
      <c r="W29" s="7">
        <v>3573.14</v>
      </c>
      <c r="X29" s="5">
        <v>0</v>
      </c>
      <c r="Y29" s="7">
        <v>1530.83</v>
      </c>
    </row>
    <row r="30" spans="1:25" x14ac:dyDescent="0.25">
      <c r="A30" s="5" t="s">
        <v>26</v>
      </c>
      <c r="B30" s="5" t="s">
        <v>27</v>
      </c>
      <c r="C30" s="5" t="s">
        <v>49</v>
      </c>
      <c r="D30" s="5" t="s">
        <v>54</v>
      </c>
      <c r="E30" s="5" t="s">
        <v>35</v>
      </c>
      <c r="F30" s="5" t="s">
        <v>55</v>
      </c>
      <c r="G30" s="5">
        <v>2019</v>
      </c>
      <c r="H30" s="5" t="str">
        <f>CONCATENATE("94240138720")</f>
        <v>94240138720</v>
      </c>
      <c r="I30" s="5" t="s">
        <v>29</v>
      </c>
      <c r="J30" s="5" t="s">
        <v>36</v>
      </c>
      <c r="K30" s="5" t="str">
        <f>CONCATENATE("")</f>
        <v/>
      </c>
      <c r="L30" s="5" t="str">
        <f>CONCATENATE("10 10.1 4a")</f>
        <v>10 10.1 4a</v>
      </c>
      <c r="M30" s="5" t="str">
        <f>CONCATENATE("SNTFNC78R54D653N")</f>
        <v>SNTFNC78R54D653N</v>
      </c>
      <c r="N30" s="5" t="s">
        <v>60</v>
      </c>
      <c r="O30" s="5" t="s">
        <v>96</v>
      </c>
      <c r="P30" s="6">
        <v>44013</v>
      </c>
      <c r="Q30" s="5" t="s">
        <v>31</v>
      </c>
      <c r="R30" s="5" t="s">
        <v>32</v>
      </c>
      <c r="S30" s="5" t="s">
        <v>33</v>
      </c>
      <c r="T30" s="5"/>
      <c r="U30" s="7">
        <v>11016.03</v>
      </c>
      <c r="V30" s="7">
        <v>4750.1099999999997</v>
      </c>
      <c r="W30" s="7">
        <v>4386.58</v>
      </c>
      <c r="X30" s="5">
        <v>0</v>
      </c>
      <c r="Y30" s="7">
        <v>1879.34</v>
      </c>
    </row>
    <row r="31" spans="1:25" x14ac:dyDescent="0.25">
      <c r="A31" s="5" t="s">
        <v>26</v>
      </c>
      <c r="B31" s="5" t="s">
        <v>27</v>
      </c>
      <c r="C31" s="5" t="s">
        <v>49</v>
      </c>
      <c r="D31" s="5" t="s">
        <v>54</v>
      </c>
      <c r="E31" s="5" t="s">
        <v>45</v>
      </c>
      <c r="F31" s="5" t="s">
        <v>48</v>
      </c>
      <c r="G31" s="5">
        <v>2019</v>
      </c>
      <c r="H31" s="5" t="str">
        <f>CONCATENATE("94241219065")</f>
        <v>94241219065</v>
      </c>
      <c r="I31" s="5" t="s">
        <v>29</v>
      </c>
      <c r="J31" s="5" t="s">
        <v>36</v>
      </c>
      <c r="K31" s="5" t="str">
        <f>CONCATENATE("")</f>
        <v/>
      </c>
      <c r="L31" s="5" t="str">
        <f>CONCATENATE("10 10.1 4a")</f>
        <v>10 10.1 4a</v>
      </c>
      <c r="M31" s="5" t="str">
        <f>CONCATENATE("MPCLSN97R22E783X")</f>
        <v>MPCLSN97R22E783X</v>
      </c>
      <c r="N31" s="5" t="s">
        <v>86</v>
      </c>
      <c r="O31" s="5" t="s">
        <v>96</v>
      </c>
      <c r="P31" s="6">
        <v>44013</v>
      </c>
      <c r="Q31" s="5" t="s">
        <v>31</v>
      </c>
      <c r="R31" s="5" t="s">
        <v>32</v>
      </c>
      <c r="S31" s="5" t="s">
        <v>33</v>
      </c>
      <c r="T31" s="5"/>
      <c r="U31" s="7">
        <v>30963.65</v>
      </c>
      <c r="V31" s="7">
        <v>13351.53</v>
      </c>
      <c r="W31" s="7">
        <v>12329.73</v>
      </c>
      <c r="X31" s="5">
        <v>0</v>
      </c>
      <c r="Y31" s="7">
        <v>5282.39</v>
      </c>
    </row>
    <row r="32" spans="1:25" x14ac:dyDescent="0.25">
      <c r="A32" s="5" t="s">
        <v>26</v>
      </c>
      <c r="B32" s="5" t="s">
        <v>34</v>
      </c>
      <c r="C32" s="5" t="s">
        <v>49</v>
      </c>
      <c r="D32" s="5" t="s">
        <v>54</v>
      </c>
      <c r="E32" s="5" t="s">
        <v>35</v>
      </c>
      <c r="F32" s="5" t="s">
        <v>97</v>
      </c>
      <c r="G32" s="5">
        <v>2017</v>
      </c>
      <c r="H32" s="5" t="str">
        <f>CONCATENATE("04270070453")</f>
        <v>04270070453</v>
      </c>
      <c r="I32" s="5" t="s">
        <v>29</v>
      </c>
      <c r="J32" s="5" t="s">
        <v>36</v>
      </c>
      <c r="K32" s="5" t="str">
        <f>CONCATENATE("")</f>
        <v/>
      </c>
      <c r="L32" s="5" t="str">
        <f>CONCATENATE("4 4.1 2a")</f>
        <v>4 4.1 2a</v>
      </c>
      <c r="M32" s="5" t="str">
        <f>CONCATENATE("VSCGCM94C09E783N")</f>
        <v>VSCGCM94C09E783N</v>
      </c>
      <c r="N32" s="5" t="s">
        <v>98</v>
      </c>
      <c r="O32" s="5" t="s">
        <v>99</v>
      </c>
      <c r="P32" s="6">
        <v>44013</v>
      </c>
      <c r="Q32" s="5" t="s">
        <v>31</v>
      </c>
      <c r="R32" s="5" t="s">
        <v>32</v>
      </c>
      <c r="S32" s="5" t="s">
        <v>33</v>
      </c>
      <c r="T32" s="5"/>
      <c r="U32" s="7">
        <v>12120</v>
      </c>
      <c r="V32" s="7">
        <v>5226.1400000000003</v>
      </c>
      <c r="W32" s="7">
        <v>4826.18</v>
      </c>
      <c r="X32" s="5">
        <v>0</v>
      </c>
      <c r="Y32" s="7">
        <v>2067.6799999999998</v>
      </c>
    </row>
    <row r="33" spans="1:25" ht="24.75" x14ac:dyDescent="0.25">
      <c r="A33" s="5" t="s">
        <v>26</v>
      </c>
      <c r="B33" s="5" t="s">
        <v>27</v>
      </c>
      <c r="C33" s="5" t="s">
        <v>49</v>
      </c>
      <c r="D33" s="5" t="s">
        <v>67</v>
      </c>
      <c r="E33" s="5" t="s">
        <v>46</v>
      </c>
      <c r="F33" s="5" t="s">
        <v>100</v>
      </c>
      <c r="G33" s="5">
        <v>2019</v>
      </c>
      <c r="H33" s="5" t="str">
        <f>CONCATENATE("94210532951")</f>
        <v>94210532951</v>
      </c>
      <c r="I33" s="5" t="s">
        <v>29</v>
      </c>
      <c r="J33" s="5" t="s">
        <v>36</v>
      </c>
      <c r="K33" s="5" t="str">
        <f>CONCATENATE("")</f>
        <v/>
      </c>
      <c r="L33" s="5" t="str">
        <f>CONCATENATE("13 13.1 4a")</f>
        <v>13 13.1 4a</v>
      </c>
      <c r="M33" s="5" t="str">
        <f>CONCATENATE("01824030439")</f>
        <v>01824030439</v>
      </c>
      <c r="N33" s="5" t="s">
        <v>101</v>
      </c>
      <c r="O33" s="5" t="s">
        <v>102</v>
      </c>
      <c r="P33" s="6">
        <v>44013</v>
      </c>
      <c r="Q33" s="5" t="s">
        <v>31</v>
      </c>
      <c r="R33" s="5" t="s">
        <v>32</v>
      </c>
      <c r="S33" s="5" t="s">
        <v>33</v>
      </c>
      <c r="T33" s="5"/>
      <c r="U33" s="7">
        <v>8730</v>
      </c>
      <c r="V33" s="7">
        <v>3764.38</v>
      </c>
      <c r="W33" s="7">
        <v>3476.29</v>
      </c>
      <c r="X33" s="5">
        <v>0</v>
      </c>
      <c r="Y33" s="7">
        <v>1489.33</v>
      </c>
    </row>
    <row r="34" spans="1:25" ht="24.75" x14ac:dyDescent="0.25">
      <c r="A34" s="5" t="s">
        <v>26</v>
      </c>
      <c r="B34" s="5" t="s">
        <v>27</v>
      </c>
      <c r="C34" s="5" t="s">
        <v>49</v>
      </c>
      <c r="D34" s="5" t="s">
        <v>67</v>
      </c>
      <c r="E34" s="5" t="s">
        <v>40</v>
      </c>
      <c r="F34" s="5" t="s">
        <v>103</v>
      </c>
      <c r="G34" s="5">
        <v>2019</v>
      </c>
      <c r="H34" s="5" t="str">
        <f>CONCATENATE("94210825413")</f>
        <v>94210825413</v>
      </c>
      <c r="I34" s="5" t="s">
        <v>29</v>
      </c>
      <c r="J34" s="5" t="s">
        <v>36</v>
      </c>
      <c r="K34" s="5" t="str">
        <f>CONCATENATE("")</f>
        <v/>
      </c>
      <c r="L34" s="5" t="str">
        <f>CONCATENATE("13 13.1 4a")</f>
        <v>13 13.1 4a</v>
      </c>
      <c r="M34" s="5" t="str">
        <f>CONCATENATE("RTNGPP50S25F509U")</f>
        <v>RTNGPP50S25F509U</v>
      </c>
      <c r="N34" s="5" t="s">
        <v>104</v>
      </c>
      <c r="O34" s="5" t="s">
        <v>102</v>
      </c>
      <c r="P34" s="6">
        <v>44013</v>
      </c>
      <c r="Q34" s="5" t="s">
        <v>31</v>
      </c>
      <c r="R34" s="5" t="s">
        <v>32</v>
      </c>
      <c r="S34" s="5" t="s">
        <v>33</v>
      </c>
      <c r="T34" s="5"/>
      <c r="U34" s="7">
        <v>1153.72</v>
      </c>
      <c r="V34" s="5">
        <v>497.48</v>
      </c>
      <c r="W34" s="5">
        <v>459.41</v>
      </c>
      <c r="X34" s="5">
        <v>0</v>
      </c>
      <c r="Y34" s="5">
        <v>196.83</v>
      </c>
    </row>
    <row r="35" spans="1:25" ht="24.75" x14ac:dyDescent="0.25">
      <c r="A35" s="5" t="s">
        <v>26</v>
      </c>
      <c r="B35" s="5" t="s">
        <v>34</v>
      </c>
      <c r="C35" s="5" t="s">
        <v>49</v>
      </c>
      <c r="D35" s="5" t="s">
        <v>67</v>
      </c>
      <c r="E35" s="5" t="s">
        <v>37</v>
      </c>
      <c r="F35" s="5" t="s">
        <v>37</v>
      </c>
      <c r="G35" s="5">
        <v>2017</v>
      </c>
      <c r="H35" s="5" t="str">
        <f>CONCATENATE("94270174074")</f>
        <v>94270174074</v>
      </c>
      <c r="I35" s="5" t="s">
        <v>29</v>
      </c>
      <c r="J35" s="5" t="s">
        <v>36</v>
      </c>
      <c r="K35" s="5" t="str">
        <f>CONCATENATE("")</f>
        <v/>
      </c>
      <c r="L35" s="5" t="str">
        <f>CONCATENATE("16 16.1 2a")</f>
        <v>16 16.1 2a</v>
      </c>
      <c r="M35" s="5" t="str">
        <f>CONCATENATE("STPFRZ61M23G516U")</f>
        <v>STPFRZ61M23G516U</v>
      </c>
      <c r="N35" s="5" t="s">
        <v>105</v>
      </c>
      <c r="O35" s="5" t="s">
        <v>106</v>
      </c>
      <c r="P35" s="6">
        <v>44005</v>
      </c>
      <c r="Q35" s="5" t="s">
        <v>31</v>
      </c>
      <c r="R35" s="5" t="s">
        <v>38</v>
      </c>
      <c r="S35" s="5" t="s">
        <v>33</v>
      </c>
      <c r="T35" s="5"/>
      <c r="U35" s="7">
        <v>160993.66</v>
      </c>
      <c r="V35" s="7">
        <v>69420.47</v>
      </c>
      <c r="W35" s="7">
        <v>64107.68</v>
      </c>
      <c r="X35" s="5">
        <v>0</v>
      </c>
      <c r="Y35" s="7">
        <v>27465.51</v>
      </c>
    </row>
    <row r="36" spans="1:25" ht="24.75" x14ac:dyDescent="0.25">
      <c r="A36" s="5" t="s">
        <v>26</v>
      </c>
      <c r="B36" s="5" t="s">
        <v>27</v>
      </c>
      <c r="C36" s="5" t="s">
        <v>49</v>
      </c>
      <c r="D36" s="5" t="s">
        <v>50</v>
      </c>
      <c r="E36" s="5" t="s">
        <v>35</v>
      </c>
      <c r="F36" s="5" t="s">
        <v>107</v>
      </c>
      <c r="G36" s="5">
        <v>2018</v>
      </c>
      <c r="H36" s="5" t="str">
        <f>CONCATENATE("84241678709")</f>
        <v>84241678709</v>
      </c>
      <c r="I36" s="5" t="s">
        <v>29</v>
      </c>
      <c r="J36" s="5" t="s">
        <v>36</v>
      </c>
      <c r="K36" s="5" t="str">
        <f>CONCATENATE("")</f>
        <v/>
      </c>
      <c r="L36" s="5" t="str">
        <f>CONCATENATE("11 11.2 4b")</f>
        <v>11 11.2 4b</v>
      </c>
      <c r="M36" s="5" t="str">
        <f>CONCATENATE("CRDGRG59A01F135P")</f>
        <v>CRDGRG59A01F135P</v>
      </c>
      <c r="N36" s="5" t="s">
        <v>108</v>
      </c>
      <c r="O36" s="5" t="s">
        <v>109</v>
      </c>
      <c r="P36" s="6">
        <v>44013</v>
      </c>
      <c r="Q36" s="5" t="s">
        <v>31</v>
      </c>
      <c r="R36" s="5" t="s">
        <v>32</v>
      </c>
      <c r="S36" s="5" t="s">
        <v>33</v>
      </c>
      <c r="T36" s="5"/>
      <c r="U36" s="7">
        <v>2606.14</v>
      </c>
      <c r="V36" s="7">
        <v>1123.77</v>
      </c>
      <c r="W36" s="7">
        <v>1037.76</v>
      </c>
      <c r="X36" s="5">
        <v>0</v>
      </c>
      <c r="Y36" s="5">
        <v>444.61</v>
      </c>
    </row>
    <row r="37" spans="1:25" ht="24.75" x14ac:dyDescent="0.25">
      <c r="A37" s="5" t="s">
        <v>26</v>
      </c>
      <c r="B37" s="5" t="s">
        <v>27</v>
      </c>
      <c r="C37" s="5" t="s">
        <v>49</v>
      </c>
      <c r="D37" s="5" t="s">
        <v>64</v>
      </c>
      <c r="E37" s="5" t="s">
        <v>41</v>
      </c>
      <c r="F37" s="5" t="s">
        <v>110</v>
      </c>
      <c r="G37" s="5">
        <v>2019</v>
      </c>
      <c r="H37" s="5" t="str">
        <f>CONCATENATE("94240702830")</f>
        <v>94240702830</v>
      </c>
      <c r="I37" s="5" t="s">
        <v>29</v>
      </c>
      <c r="J37" s="5" t="s">
        <v>36</v>
      </c>
      <c r="K37" s="5" t="str">
        <f>CONCATENATE("")</f>
        <v/>
      </c>
      <c r="L37" s="5" t="str">
        <f>CONCATENATE("11 11.2 4b")</f>
        <v>11 11.2 4b</v>
      </c>
      <c r="M37" s="5" t="str">
        <f>CONCATENATE("RNLRRT67S42C615N")</f>
        <v>RNLRRT67S42C615N</v>
      </c>
      <c r="N37" s="5" t="s">
        <v>111</v>
      </c>
      <c r="O37" s="5" t="s">
        <v>109</v>
      </c>
      <c r="P37" s="6">
        <v>44013</v>
      </c>
      <c r="Q37" s="5" t="s">
        <v>31</v>
      </c>
      <c r="R37" s="5" t="s">
        <v>32</v>
      </c>
      <c r="S37" s="5" t="s">
        <v>33</v>
      </c>
      <c r="T37" s="5"/>
      <c r="U37" s="7">
        <v>2443.7800000000002</v>
      </c>
      <c r="V37" s="7">
        <v>1053.76</v>
      </c>
      <c r="W37" s="5">
        <v>973.11</v>
      </c>
      <c r="X37" s="5">
        <v>0</v>
      </c>
      <c r="Y37" s="5">
        <v>416.91</v>
      </c>
    </row>
    <row r="38" spans="1:25" x14ac:dyDescent="0.25">
      <c r="A38" s="5" t="s">
        <v>26</v>
      </c>
      <c r="B38" s="5" t="s">
        <v>34</v>
      </c>
      <c r="C38" s="5" t="s">
        <v>49</v>
      </c>
      <c r="D38" s="5" t="s">
        <v>54</v>
      </c>
      <c r="E38" s="5" t="s">
        <v>37</v>
      </c>
      <c r="F38" s="5" t="s">
        <v>37</v>
      </c>
      <c r="G38" s="5">
        <v>2017</v>
      </c>
      <c r="H38" s="5" t="str">
        <f>CONCATENATE("94270174157")</f>
        <v>94270174157</v>
      </c>
      <c r="I38" s="5" t="s">
        <v>42</v>
      </c>
      <c r="J38" s="5" t="s">
        <v>36</v>
      </c>
      <c r="K38" s="5" t="str">
        <f>CONCATENATE("")</f>
        <v/>
      </c>
      <c r="L38" s="5" t="str">
        <f>CONCATENATE("4 4.1 2a")</f>
        <v>4 4.1 2a</v>
      </c>
      <c r="M38" s="5" t="str">
        <f>CONCATENATE("01917330431")</f>
        <v>01917330431</v>
      </c>
      <c r="N38" s="5" t="s">
        <v>112</v>
      </c>
      <c r="O38" s="5" t="s">
        <v>99</v>
      </c>
      <c r="P38" s="6">
        <v>44013</v>
      </c>
      <c r="Q38" s="5" t="s">
        <v>31</v>
      </c>
      <c r="R38" s="5" t="s">
        <v>32</v>
      </c>
      <c r="S38" s="5" t="s">
        <v>33</v>
      </c>
      <c r="T38" s="5"/>
      <c r="U38" s="7">
        <v>53706.64</v>
      </c>
      <c r="V38" s="7">
        <v>23158.3</v>
      </c>
      <c r="W38" s="7">
        <v>21385.98</v>
      </c>
      <c r="X38" s="5">
        <v>0</v>
      </c>
      <c r="Y38" s="7">
        <v>9162.36</v>
      </c>
    </row>
    <row r="39" spans="1:25" ht="24.75" x14ac:dyDescent="0.25">
      <c r="A39" s="5" t="s">
        <v>26</v>
      </c>
      <c r="B39" s="5" t="s">
        <v>27</v>
      </c>
      <c r="C39" s="5" t="s">
        <v>49</v>
      </c>
      <c r="D39" s="5" t="s">
        <v>64</v>
      </c>
      <c r="E39" s="5" t="s">
        <v>40</v>
      </c>
      <c r="F39" s="5" t="s">
        <v>93</v>
      </c>
      <c r="G39" s="5">
        <v>2018</v>
      </c>
      <c r="H39" s="5" t="str">
        <f>CONCATENATE("84240771562")</f>
        <v>84240771562</v>
      </c>
      <c r="I39" s="5" t="s">
        <v>29</v>
      </c>
      <c r="J39" s="5" t="s">
        <v>36</v>
      </c>
      <c r="K39" s="5" t="str">
        <f>CONCATENATE("")</f>
        <v/>
      </c>
      <c r="L39" s="5" t="str">
        <f>CONCATENATE("11 11.2 4b")</f>
        <v>11 11.2 4b</v>
      </c>
      <c r="M39" s="5" t="str">
        <f>CONCATENATE("CBCMCL63M04I461D")</f>
        <v>CBCMCL63M04I461D</v>
      </c>
      <c r="N39" s="5" t="s">
        <v>113</v>
      </c>
      <c r="O39" s="5" t="s">
        <v>114</v>
      </c>
      <c r="P39" s="6">
        <v>44013</v>
      </c>
      <c r="Q39" s="5" t="s">
        <v>31</v>
      </c>
      <c r="R39" s="5" t="s">
        <v>32</v>
      </c>
      <c r="S39" s="5" t="s">
        <v>33</v>
      </c>
      <c r="T39" s="5"/>
      <c r="U39" s="7">
        <v>14084.31</v>
      </c>
      <c r="V39" s="7">
        <v>6073.15</v>
      </c>
      <c r="W39" s="7">
        <v>5608.37</v>
      </c>
      <c r="X39" s="5">
        <v>0</v>
      </c>
      <c r="Y39" s="7">
        <v>2402.79</v>
      </c>
    </row>
    <row r="40" spans="1:25" ht="24.75" x14ac:dyDescent="0.25">
      <c r="A40" s="5" t="s">
        <v>26</v>
      </c>
      <c r="B40" s="5" t="s">
        <v>27</v>
      </c>
      <c r="C40" s="5" t="s">
        <v>49</v>
      </c>
      <c r="D40" s="5" t="s">
        <v>64</v>
      </c>
      <c r="E40" s="5" t="s">
        <v>40</v>
      </c>
      <c r="F40" s="5" t="s">
        <v>93</v>
      </c>
      <c r="G40" s="5">
        <v>2019</v>
      </c>
      <c r="H40" s="5" t="str">
        <f>CONCATENATE("94240619935")</f>
        <v>94240619935</v>
      </c>
      <c r="I40" s="5" t="s">
        <v>29</v>
      </c>
      <c r="J40" s="5" t="s">
        <v>36</v>
      </c>
      <c r="K40" s="5" t="str">
        <f>CONCATENATE("")</f>
        <v/>
      </c>
      <c r="L40" s="5" t="str">
        <f>CONCATENATE("11 11.2 4b")</f>
        <v>11 11.2 4b</v>
      </c>
      <c r="M40" s="5" t="str">
        <f>CONCATENATE("MTTDNL67B04A366O")</f>
        <v>MTTDNL67B04A366O</v>
      </c>
      <c r="N40" s="5" t="s">
        <v>115</v>
      </c>
      <c r="O40" s="5" t="s">
        <v>114</v>
      </c>
      <c r="P40" s="6">
        <v>44013</v>
      </c>
      <c r="Q40" s="5" t="s">
        <v>31</v>
      </c>
      <c r="R40" s="5" t="s">
        <v>32</v>
      </c>
      <c r="S40" s="5" t="s">
        <v>33</v>
      </c>
      <c r="T40" s="5"/>
      <c r="U40" s="7">
        <v>1521.52</v>
      </c>
      <c r="V40" s="5">
        <v>656.08</v>
      </c>
      <c r="W40" s="5">
        <v>605.87</v>
      </c>
      <c r="X40" s="5">
        <v>0</v>
      </c>
      <c r="Y40" s="5">
        <v>259.57</v>
      </c>
    </row>
    <row r="41" spans="1:25" ht="24.75" x14ac:dyDescent="0.25">
      <c r="A41" s="5" t="s">
        <v>26</v>
      </c>
      <c r="B41" s="5" t="s">
        <v>27</v>
      </c>
      <c r="C41" s="5" t="s">
        <v>49</v>
      </c>
      <c r="D41" s="5" t="s">
        <v>64</v>
      </c>
      <c r="E41" s="5" t="s">
        <v>35</v>
      </c>
      <c r="F41" s="5" t="s">
        <v>116</v>
      </c>
      <c r="G41" s="5">
        <v>2017</v>
      </c>
      <c r="H41" s="5" t="str">
        <f>CONCATENATE("74240932322")</f>
        <v>74240932322</v>
      </c>
      <c r="I41" s="5" t="s">
        <v>29</v>
      </c>
      <c r="J41" s="5" t="s">
        <v>36</v>
      </c>
      <c r="K41" s="5" t="str">
        <f>CONCATENATE("")</f>
        <v/>
      </c>
      <c r="L41" s="5" t="str">
        <f>CONCATENATE("11 11.2 4b")</f>
        <v>11 11.2 4b</v>
      </c>
      <c r="M41" s="5" t="str">
        <f>CONCATENATE("CRGNLN67T02F453E")</f>
        <v>CRGNLN67T02F453E</v>
      </c>
      <c r="N41" s="5" t="s">
        <v>117</v>
      </c>
      <c r="O41" s="5" t="s">
        <v>114</v>
      </c>
      <c r="P41" s="6">
        <v>44013</v>
      </c>
      <c r="Q41" s="5" t="s">
        <v>31</v>
      </c>
      <c r="R41" s="5" t="s">
        <v>32</v>
      </c>
      <c r="S41" s="5" t="s">
        <v>33</v>
      </c>
      <c r="T41" s="5"/>
      <c r="U41" s="7">
        <v>8701.41</v>
      </c>
      <c r="V41" s="7">
        <v>3752.05</v>
      </c>
      <c r="W41" s="7">
        <v>3464.9</v>
      </c>
      <c r="X41" s="5">
        <v>0</v>
      </c>
      <c r="Y41" s="7">
        <v>1484.46</v>
      </c>
    </row>
    <row r="42" spans="1:25" ht="24.75" x14ac:dyDescent="0.25">
      <c r="A42" s="5" t="s">
        <v>26</v>
      </c>
      <c r="B42" s="5" t="s">
        <v>27</v>
      </c>
      <c r="C42" s="5" t="s">
        <v>49</v>
      </c>
      <c r="D42" s="5" t="s">
        <v>64</v>
      </c>
      <c r="E42" s="5" t="s">
        <v>35</v>
      </c>
      <c r="F42" s="5" t="s">
        <v>116</v>
      </c>
      <c r="G42" s="5">
        <v>2018</v>
      </c>
      <c r="H42" s="5" t="str">
        <f>CONCATENATE("84240545990")</f>
        <v>84240545990</v>
      </c>
      <c r="I42" s="5" t="s">
        <v>29</v>
      </c>
      <c r="J42" s="5" t="s">
        <v>36</v>
      </c>
      <c r="K42" s="5" t="str">
        <f>CONCATENATE("")</f>
        <v/>
      </c>
      <c r="L42" s="5" t="str">
        <f>CONCATENATE("11 11.2 4b")</f>
        <v>11 11.2 4b</v>
      </c>
      <c r="M42" s="5" t="str">
        <f>CONCATENATE("CRGNLN67T02F453E")</f>
        <v>CRGNLN67T02F453E</v>
      </c>
      <c r="N42" s="5" t="s">
        <v>117</v>
      </c>
      <c r="O42" s="5" t="s">
        <v>114</v>
      </c>
      <c r="P42" s="6">
        <v>44013</v>
      </c>
      <c r="Q42" s="5" t="s">
        <v>31</v>
      </c>
      <c r="R42" s="5" t="s">
        <v>32</v>
      </c>
      <c r="S42" s="5" t="s">
        <v>33</v>
      </c>
      <c r="T42" s="5"/>
      <c r="U42" s="7">
        <v>8674.4500000000007</v>
      </c>
      <c r="V42" s="7">
        <v>3740.42</v>
      </c>
      <c r="W42" s="7">
        <v>3454.17</v>
      </c>
      <c r="X42" s="5">
        <v>0</v>
      </c>
      <c r="Y42" s="7">
        <v>1479.86</v>
      </c>
    </row>
    <row r="43" spans="1:25" ht="24.75" x14ac:dyDescent="0.25">
      <c r="A43" s="5" t="s">
        <v>26</v>
      </c>
      <c r="B43" s="5" t="s">
        <v>27</v>
      </c>
      <c r="C43" s="5" t="s">
        <v>49</v>
      </c>
      <c r="D43" s="5" t="s">
        <v>64</v>
      </c>
      <c r="E43" s="5" t="s">
        <v>35</v>
      </c>
      <c r="F43" s="5" t="s">
        <v>116</v>
      </c>
      <c r="G43" s="5">
        <v>2019</v>
      </c>
      <c r="H43" s="5" t="str">
        <f>CONCATENATE("94240629512")</f>
        <v>94240629512</v>
      </c>
      <c r="I43" s="5" t="s">
        <v>29</v>
      </c>
      <c r="J43" s="5" t="s">
        <v>36</v>
      </c>
      <c r="K43" s="5" t="str">
        <f>CONCATENATE("")</f>
        <v/>
      </c>
      <c r="L43" s="5" t="str">
        <f>CONCATENATE("11 11.2 4b")</f>
        <v>11 11.2 4b</v>
      </c>
      <c r="M43" s="5" t="str">
        <f>CONCATENATE("CRGNLN67T02F453E")</f>
        <v>CRGNLN67T02F453E</v>
      </c>
      <c r="N43" s="5" t="s">
        <v>117</v>
      </c>
      <c r="O43" s="5" t="s">
        <v>114</v>
      </c>
      <c r="P43" s="6">
        <v>44013</v>
      </c>
      <c r="Q43" s="5" t="s">
        <v>31</v>
      </c>
      <c r="R43" s="5" t="s">
        <v>32</v>
      </c>
      <c r="S43" s="5" t="s">
        <v>33</v>
      </c>
      <c r="T43" s="5"/>
      <c r="U43" s="7">
        <v>9364.68</v>
      </c>
      <c r="V43" s="7">
        <v>4038.05</v>
      </c>
      <c r="W43" s="7">
        <v>3729.02</v>
      </c>
      <c r="X43" s="5">
        <v>0</v>
      </c>
      <c r="Y43" s="7">
        <v>1597.61</v>
      </c>
    </row>
    <row r="44" spans="1:25" ht="24.75" x14ac:dyDescent="0.25">
      <c r="A44" s="5" t="s">
        <v>26</v>
      </c>
      <c r="B44" s="5" t="s">
        <v>27</v>
      </c>
      <c r="C44" s="5" t="s">
        <v>49</v>
      </c>
      <c r="D44" s="5" t="s">
        <v>64</v>
      </c>
      <c r="E44" s="5" t="s">
        <v>35</v>
      </c>
      <c r="F44" s="5" t="s">
        <v>118</v>
      </c>
      <c r="G44" s="5">
        <v>2018</v>
      </c>
      <c r="H44" s="5" t="str">
        <f>CONCATENATE("84240505739")</f>
        <v>84240505739</v>
      </c>
      <c r="I44" s="5" t="s">
        <v>29</v>
      </c>
      <c r="J44" s="5" t="s">
        <v>36</v>
      </c>
      <c r="K44" s="5" t="str">
        <f>CONCATENATE("")</f>
        <v/>
      </c>
      <c r="L44" s="5" t="str">
        <f>CONCATENATE("11 11.2 4b")</f>
        <v>11 11.2 4b</v>
      </c>
      <c r="M44" s="5" t="str">
        <f>CONCATENATE("MRCSLV74D47G479T")</f>
        <v>MRCSLV74D47G479T</v>
      </c>
      <c r="N44" s="5" t="s">
        <v>119</v>
      </c>
      <c r="O44" s="5" t="s">
        <v>114</v>
      </c>
      <c r="P44" s="6">
        <v>44013</v>
      </c>
      <c r="Q44" s="5" t="s">
        <v>31</v>
      </c>
      <c r="R44" s="5" t="s">
        <v>32</v>
      </c>
      <c r="S44" s="5" t="s">
        <v>33</v>
      </c>
      <c r="T44" s="5"/>
      <c r="U44" s="5">
        <v>518.41</v>
      </c>
      <c r="V44" s="5">
        <v>223.54</v>
      </c>
      <c r="W44" s="5">
        <v>206.43</v>
      </c>
      <c r="X44" s="5">
        <v>0</v>
      </c>
      <c r="Y44" s="5">
        <v>88.44</v>
      </c>
    </row>
    <row r="45" spans="1:25" ht="24.75" x14ac:dyDescent="0.25">
      <c r="A45" s="5" t="s">
        <v>26</v>
      </c>
      <c r="B45" s="5" t="s">
        <v>27</v>
      </c>
      <c r="C45" s="5" t="s">
        <v>49</v>
      </c>
      <c r="D45" s="5" t="s">
        <v>64</v>
      </c>
      <c r="E45" s="5" t="s">
        <v>35</v>
      </c>
      <c r="F45" s="5" t="s">
        <v>81</v>
      </c>
      <c r="G45" s="5">
        <v>2017</v>
      </c>
      <c r="H45" s="5" t="str">
        <f>CONCATENATE("74240315064")</f>
        <v>74240315064</v>
      </c>
      <c r="I45" s="5" t="s">
        <v>29</v>
      </c>
      <c r="J45" s="5" t="s">
        <v>36</v>
      </c>
      <c r="K45" s="5" t="str">
        <f>CONCATENATE("")</f>
        <v/>
      </c>
      <c r="L45" s="5" t="str">
        <f>CONCATENATE("11 11.2 4b")</f>
        <v>11 11.2 4b</v>
      </c>
      <c r="M45" s="5" t="str">
        <f>CONCATENATE("PRNLBT67T64G157T")</f>
        <v>PRNLBT67T64G157T</v>
      </c>
      <c r="N45" s="5" t="s">
        <v>120</v>
      </c>
      <c r="O45" s="5" t="s">
        <v>114</v>
      </c>
      <c r="P45" s="6">
        <v>44013</v>
      </c>
      <c r="Q45" s="5" t="s">
        <v>31</v>
      </c>
      <c r="R45" s="5" t="s">
        <v>32</v>
      </c>
      <c r="S45" s="5" t="s">
        <v>33</v>
      </c>
      <c r="T45" s="5"/>
      <c r="U45" s="7">
        <v>3267.6</v>
      </c>
      <c r="V45" s="7">
        <v>1408.99</v>
      </c>
      <c r="W45" s="7">
        <v>1301.1600000000001</v>
      </c>
      <c r="X45" s="5">
        <v>0</v>
      </c>
      <c r="Y45" s="5">
        <v>557.45000000000005</v>
      </c>
    </row>
    <row r="46" spans="1:25" ht="24.75" x14ac:dyDescent="0.25">
      <c r="A46" s="5" t="s">
        <v>26</v>
      </c>
      <c r="B46" s="5" t="s">
        <v>27</v>
      </c>
      <c r="C46" s="5" t="s">
        <v>49</v>
      </c>
      <c r="D46" s="5" t="s">
        <v>64</v>
      </c>
      <c r="E46" s="5" t="s">
        <v>35</v>
      </c>
      <c r="F46" s="5" t="s">
        <v>81</v>
      </c>
      <c r="G46" s="5">
        <v>2018</v>
      </c>
      <c r="H46" s="5" t="str">
        <f>CONCATENATE("84240796635")</f>
        <v>84240796635</v>
      </c>
      <c r="I46" s="5" t="s">
        <v>29</v>
      </c>
      <c r="J46" s="5" t="s">
        <v>36</v>
      </c>
      <c r="K46" s="5" t="str">
        <f>CONCATENATE("")</f>
        <v/>
      </c>
      <c r="L46" s="5" t="str">
        <f>CONCATENATE("11 11.2 4b")</f>
        <v>11 11.2 4b</v>
      </c>
      <c r="M46" s="5" t="str">
        <f>CONCATENATE("PRNLBT67T64G157T")</f>
        <v>PRNLBT67T64G157T</v>
      </c>
      <c r="N46" s="5" t="s">
        <v>120</v>
      </c>
      <c r="O46" s="5" t="s">
        <v>114</v>
      </c>
      <c r="P46" s="6">
        <v>44013</v>
      </c>
      <c r="Q46" s="5" t="s">
        <v>31</v>
      </c>
      <c r="R46" s="5" t="s">
        <v>32</v>
      </c>
      <c r="S46" s="5" t="s">
        <v>33</v>
      </c>
      <c r="T46" s="5"/>
      <c r="U46" s="7">
        <v>3267.6</v>
      </c>
      <c r="V46" s="7">
        <v>1408.99</v>
      </c>
      <c r="W46" s="7">
        <v>1301.1600000000001</v>
      </c>
      <c r="X46" s="5">
        <v>0</v>
      </c>
      <c r="Y46" s="5">
        <v>557.45000000000005</v>
      </c>
    </row>
    <row r="47" spans="1:25" ht="24.75" x14ac:dyDescent="0.25">
      <c r="A47" s="5" t="s">
        <v>26</v>
      </c>
      <c r="B47" s="5" t="s">
        <v>27</v>
      </c>
      <c r="C47" s="5" t="s">
        <v>49</v>
      </c>
      <c r="D47" s="5" t="s">
        <v>64</v>
      </c>
      <c r="E47" s="5" t="s">
        <v>35</v>
      </c>
      <c r="F47" s="5" t="s">
        <v>81</v>
      </c>
      <c r="G47" s="5">
        <v>2019</v>
      </c>
      <c r="H47" s="5" t="str">
        <f>CONCATENATE("94240677958")</f>
        <v>94240677958</v>
      </c>
      <c r="I47" s="5" t="s">
        <v>29</v>
      </c>
      <c r="J47" s="5" t="s">
        <v>36</v>
      </c>
      <c r="K47" s="5" t="str">
        <f>CONCATENATE("")</f>
        <v/>
      </c>
      <c r="L47" s="5" t="str">
        <f>CONCATENATE("11 11.2 4b")</f>
        <v>11 11.2 4b</v>
      </c>
      <c r="M47" s="5" t="str">
        <f>CONCATENATE("PRNLBT67T64G157T")</f>
        <v>PRNLBT67T64G157T</v>
      </c>
      <c r="N47" s="5" t="s">
        <v>120</v>
      </c>
      <c r="O47" s="5" t="s">
        <v>114</v>
      </c>
      <c r="P47" s="6">
        <v>44013</v>
      </c>
      <c r="Q47" s="5" t="s">
        <v>31</v>
      </c>
      <c r="R47" s="5" t="s">
        <v>32</v>
      </c>
      <c r="S47" s="5" t="s">
        <v>33</v>
      </c>
      <c r="T47" s="5"/>
      <c r="U47" s="7">
        <v>3267.6</v>
      </c>
      <c r="V47" s="7">
        <v>1408.99</v>
      </c>
      <c r="W47" s="7">
        <v>1301.1600000000001</v>
      </c>
      <c r="X47" s="5">
        <v>0</v>
      </c>
      <c r="Y47" s="5">
        <v>557.45000000000005</v>
      </c>
    </row>
    <row r="48" spans="1:25" ht="24.75" x14ac:dyDescent="0.25">
      <c r="A48" s="5" t="s">
        <v>26</v>
      </c>
      <c r="B48" s="5" t="s">
        <v>27</v>
      </c>
      <c r="C48" s="5" t="s">
        <v>49</v>
      </c>
      <c r="D48" s="5" t="s">
        <v>67</v>
      </c>
      <c r="E48" s="5" t="s">
        <v>35</v>
      </c>
      <c r="F48" s="5" t="s">
        <v>121</v>
      </c>
      <c r="G48" s="5">
        <v>2019</v>
      </c>
      <c r="H48" s="5" t="str">
        <f>CONCATENATE("94210261494")</f>
        <v>94210261494</v>
      </c>
      <c r="I48" s="5" t="s">
        <v>42</v>
      </c>
      <c r="J48" s="5" t="s">
        <v>36</v>
      </c>
      <c r="K48" s="5" t="str">
        <f>CONCATENATE("")</f>
        <v/>
      </c>
      <c r="L48" s="5" t="str">
        <f>CONCATENATE("13 13.1 4a")</f>
        <v>13 13.1 4a</v>
      </c>
      <c r="M48" s="5" t="str">
        <f>CONCATENATE("CRCDVD79H27H769A")</f>
        <v>CRCDVD79H27H769A</v>
      </c>
      <c r="N48" s="5" t="s">
        <v>122</v>
      </c>
      <c r="O48" s="5" t="s">
        <v>102</v>
      </c>
      <c r="P48" s="6">
        <v>44013</v>
      </c>
      <c r="Q48" s="5" t="s">
        <v>31</v>
      </c>
      <c r="R48" s="5" t="s">
        <v>32</v>
      </c>
      <c r="S48" s="5" t="s">
        <v>33</v>
      </c>
      <c r="T48" s="5"/>
      <c r="U48" s="5">
        <v>351.54</v>
      </c>
      <c r="V48" s="5">
        <v>151.58000000000001</v>
      </c>
      <c r="W48" s="5">
        <v>139.97999999999999</v>
      </c>
      <c r="X48" s="5">
        <v>0</v>
      </c>
      <c r="Y48" s="5">
        <v>59.98</v>
      </c>
    </row>
    <row r="49" spans="1:25" ht="24.75" x14ac:dyDescent="0.25">
      <c r="A49" s="5" t="s">
        <v>26</v>
      </c>
      <c r="B49" s="5" t="s">
        <v>27</v>
      </c>
      <c r="C49" s="5" t="s">
        <v>49</v>
      </c>
      <c r="D49" s="5" t="s">
        <v>67</v>
      </c>
      <c r="E49" s="5" t="s">
        <v>35</v>
      </c>
      <c r="F49" s="5" t="s">
        <v>121</v>
      </c>
      <c r="G49" s="5">
        <v>2019</v>
      </c>
      <c r="H49" s="5" t="str">
        <f>CONCATENATE("94210361179")</f>
        <v>94210361179</v>
      </c>
      <c r="I49" s="5" t="s">
        <v>29</v>
      </c>
      <c r="J49" s="5" t="s">
        <v>36</v>
      </c>
      <c r="K49" s="5" t="str">
        <f>CONCATENATE("")</f>
        <v/>
      </c>
      <c r="L49" s="5" t="str">
        <f>CONCATENATE("13 13.1 4a")</f>
        <v>13 13.1 4a</v>
      </c>
      <c r="M49" s="5" t="str">
        <f>CONCATENATE("PCTPQL53M23A252F")</f>
        <v>PCTPQL53M23A252F</v>
      </c>
      <c r="N49" s="5" t="s">
        <v>123</v>
      </c>
      <c r="O49" s="5" t="s">
        <v>102</v>
      </c>
      <c r="P49" s="6">
        <v>44013</v>
      </c>
      <c r="Q49" s="5" t="s">
        <v>31</v>
      </c>
      <c r="R49" s="5" t="s">
        <v>32</v>
      </c>
      <c r="S49" s="5" t="s">
        <v>33</v>
      </c>
      <c r="T49" s="5"/>
      <c r="U49" s="5">
        <v>58.06</v>
      </c>
      <c r="V49" s="5">
        <v>25.04</v>
      </c>
      <c r="W49" s="5">
        <v>23.12</v>
      </c>
      <c r="X49" s="5">
        <v>0</v>
      </c>
      <c r="Y49" s="5">
        <v>9.9</v>
      </c>
    </row>
    <row r="50" spans="1:25" ht="24.75" x14ac:dyDescent="0.25">
      <c r="A50" s="5" t="s">
        <v>26</v>
      </c>
      <c r="B50" s="5" t="s">
        <v>27</v>
      </c>
      <c r="C50" s="5" t="s">
        <v>49</v>
      </c>
      <c r="D50" s="5" t="s">
        <v>67</v>
      </c>
      <c r="E50" s="5" t="s">
        <v>35</v>
      </c>
      <c r="F50" s="5" t="s">
        <v>124</v>
      </c>
      <c r="G50" s="5">
        <v>2019</v>
      </c>
      <c r="H50" s="5" t="str">
        <f>CONCATENATE("94210649235")</f>
        <v>94210649235</v>
      </c>
      <c r="I50" s="5" t="s">
        <v>29</v>
      </c>
      <c r="J50" s="5" t="s">
        <v>36</v>
      </c>
      <c r="K50" s="5" t="str">
        <f>CONCATENATE("")</f>
        <v/>
      </c>
      <c r="L50" s="5" t="str">
        <f>CONCATENATE("13 13.1 4a")</f>
        <v>13 13.1 4a</v>
      </c>
      <c r="M50" s="5" t="str">
        <f>CONCATENATE("02274720446")</f>
        <v>02274720446</v>
      </c>
      <c r="N50" s="5" t="s">
        <v>125</v>
      </c>
      <c r="O50" s="5" t="s">
        <v>102</v>
      </c>
      <c r="P50" s="6">
        <v>44013</v>
      </c>
      <c r="Q50" s="5" t="s">
        <v>31</v>
      </c>
      <c r="R50" s="5" t="s">
        <v>32</v>
      </c>
      <c r="S50" s="5" t="s">
        <v>33</v>
      </c>
      <c r="T50" s="5"/>
      <c r="U50" s="7">
        <v>3246.46</v>
      </c>
      <c r="V50" s="7">
        <v>1399.87</v>
      </c>
      <c r="W50" s="7">
        <v>1292.74</v>
      </c>
      <c r="X50" s="5">
        <v>0</v>
      </c>
      <c r="Y50" s="5">
        <v>553.85</v>
      </c>
    </row>
    <row r="51" spans="1:25" ht="24.75" x14ac:dyDescent="0.25">
      <c r="A51" s="5" t="s">
        <v>26</v>
      </c>
      <c r="B51" s="5" t="s">
        <v>27</v>
      </c>
      <c r="C51" s="5" t="s">
        <v>49</v>
      </c>
      <c r="D51" s="5" t="s">
        <v>67</v>
      </c>
      <c r="E51" s="5" t="s">
        <v>46</v>
      </c>
      <c r="F51" s="5" t="s">
        <v>100</v>
      </c>
      <c r="G51" s="5">
        <v>2019</v>
      </c>
      <c r="H51" s="5" t="str">
        <f>CONCATENATE("94210563550")</f>
        <v>94210563550</v>
      </c>
      <c r="I51" s="5" t="s">
        <v>29</v>
      </c>
      <c r="J51" s="5" t="s">
        <v>36</v>
      </c>
      <c r="K51" s="5" t="str">
        <f>CONCATENATE("")</f>
        <v/>
      </c>
      <c r="L51" s="5" t="str">
        <f>CONCATENATE("13 13.1 4a")</f>
        <v>13 13.1 4a</v>
      </c>
      <c r="M51" s="5" t="str">
        <f>CONCATENATE("02200350441")</f>
        <v>02200350441</v>
      </c>
      <c r="N51" s="5" t="s">
        <v>126</v>
      </c>
      <c r="O51" s="5" t="s">
        <v>102</v>
      </c>
      <c r="P51" s="6">
        <v>44013</v>
      </c>
      <c r="Q51" s="5" t="s">
        <v>31</v>
      </c>
      <c r="R51" s="5" t="s">
        <v>32</v>
      </c>
      <c r="S51" s="5" t="s">
        <v>33</v>
      </c>
      <c r="T51" s="5"/>
      <c r="U51" s="7">
        <v>5239.5200000000004</v>
      </c>
      <c r="V51" s="7">
        <v>2259.2800000000002</v>
      </c>
      <c r="W51" s="7">
        <v>2086.38</v>
      </c>
      <c r="X51" s="5">
        <v>0</v>
      </c>
      <c r="Y51" s="5">
        <v>893.86</v>
      </c>
    </row>
    <row r="52" spans="1:25" x14ac:dyDescent="0.25">
      <c r="A52" s="5" t="s">
        <v>26</v>
      </c>
      <c r="B52" s="5" t="s">
        <v>27</v>
      </c>
      <c r="C52" s="5" t="s">
        <v>49</v>
      </c>
      <c r="D52" s="5" t="s">
        <v>54</v>
      </c>
      <c r="E52" s="5" t="s">
        <v>40</v>
      </c>
      <c r="F52" s="5" t="s">
        <v>88</v>
      </c>
      <c r="G52" s="5">
        <v>2019</v>
      </c>
      <c r="H52" s="5" t="str">
        <f>CONCATENATE("94770036567")</f>
        <v>94770036567</v>
      </c>
      <c r="I52" s="5" t="s">
        <v>29</v>
      </c>
      <c r="J52" s="5" t="s">
        <v>30</v>
      </c>
      <c r="K52" s="5" t="str">
        <f>CONCATENATE("214")</f>
        <v>214</v>
      </c>
      <c r="L52" s="5" t="str">
        <f>CONCATENATE("11 11.2 4b")</f>
        <v>11 11.2 4b</v>
      </c>
      <c r="M52" s="5" t="str">
        <f>CONCATENATE("CRZCRL81M07D211A")</f>
        <v>CRZCRL81M07D211A</v>
      </c>
      <c r="N52" s="5" t="s">
        <v>127</v>
      </c>
      <c r="O52" s="5" t="s">
        <v>128</v>
      </c>
      <c r="P52" s="6">
        <v>44013</v>
      </c>
      <c r="Q52" s="5" t="s">
        <v>31</v>
      </c>
      <c r="R52" s="5" t="s">
        <v>32</v>
      </c>
      <c r="S52" s="5" t="s">
        <v>33</v>
      </c>
      <c r="T52" s="5"/>
      <c r="U52" s="7">
        <v>3803.13</v>
      </c>
      <c r="V52" s="7">
        <v>1639.91</v>
      </c>
      <c r="W52" s="7">
        <v>1514.41</v>
      </c>
      <c r="X52" s="5">
        <v>0</v>
      </c>
      <c r="Y52" s="5">
        <v>648.80999999999995</v>
      </c>
    </row>
    <row r="53" spans="1:25" x14ac:dyDescent="0.25">
      <c r="A53" s="5" t="s">
        <v>26</v>
      </c>
      <c r="B53" s="5" t="s">
        <v>27</v>
      </c>
      <c r="C53" s="5" t="s">
        <v>49</v>
      </c>
      <c r="D53" s="5" t="s">
        <v>54</v>
      </c>
      <c r="E53" s="5" t="s">
        <v>40</v>
      </c>
      <c r="F53" s="5" t="s">
        <v>88</v>
      </c>
      <c r="G53" s="5">
        <v>2019</v>
      </c>
      <c r="H53" s="5" t="str">
        <f>CONCATENATE("94770037136")</f>
        <v>94770037136</v>
      </c>
      <c r="I53" s="5" t="s">
        <v>29</v>
      </c>
      <c r="J53" s="5" t="s">
        <v>30</v>
      </c>
      <c r="K53" s="5" t="str">
        <f>CONCATENATE("214")</f>
        <v>214</v>
      </c>
      <c r="L53" s="5" t="str">
        <f>CONCATENATE("11 11.2 4b")</f>
        <v>11 11.2 4b</v>
      </c>
      <c r="M53" s="5" t="str">
        <f>CONCATENATE("CRZDGI78L10G203Q")</f>
        <v>CRZDGI78L10G203Q</v>
      </c>
      <c r="N53" s="5" t="s">
        <v>129</v>
      </c>
      <c r="O53" s="5" t="s">
        <v>128</v>
      </c>
      <c r="P53" s="6">
        <v>44013</v>
      </c>
      <c r="Q53" s="5" t="s">
        <v>31</v>
      </c>
      <c r="R53" s="5" t="s">
        <v>32</v>
      </c>
      <c r="S53" s="5" t="s">
        <v>33</v>
      </c>
      <c r="T53" s="5"/>
      <c r="U53" s="7">
        <v>1275.81</v>
      </c>
      <c r="V53" s="5">
        <v>550.13</v>
      </c>
      <c r="W53" s="5">
        <v>508.03</v>
      </c>
      <c r="X53" s="5">
        <v>0</v>
      </c>
      <c r="Y53" s="5">
        <v>217.65</v>
      </c>
    </row>
    <row r="54" spans="1:25" x14ac:dyDescent="0.25">
      <c r="A54" s="5" t="s">
        <v>26</v>
      </c>
      <c r="B54" s="5" t="s">
        <v>34</v>
      </c>
      <c r="C54" s="5" t="s">
        <v>49</v>
      </c>
      <c r="D54" s="5" t="s">
        <v>54</v>
      </c>
      <c r="E54" s="5" t="s">
        <v>37</v>
      </c>
      <c r="F54" s="5" t="s">
        <v>37</v>
      </c>
      <c r="G54" s="5">
        <v>2017</v>
      </c>
      <c r="H54" s="5" t="str">
        <f>CONCATENATE("94270174140")</f>
        <v>94270174140</v>
      </c>
      <c r="I54" s="5" t="s">
        <v>42</v>
      </c>
      <c r="J54" s="5" t="s">
        <v>36</v>
      </c>
      <c r="K54" s="5" t="str">
        <f>CONCATENATE("")</f>
        <v/>
      </c>
      <c r="L54" s="5" t="str">
        <f>CONCATENATE("6 6.1 2b")</f>
        <v>6 6.1 2b</v>
      </c>
      <c r="M54" s="5" t="str">
        <f>CONCATENATE("01917330431")</f>
        <v>01917330431</v>
      </c>
      <c r="N54" s="5" t="s">
        <v>112</v>
      </c>
      <c r="O54" s="5" t="s">
        <v>130</v>
      </c>
      <c r="P54" s="6">
        <v>44013</v>
      </c>
      <c r="Q54" s="5" t="s">
        <v>31</v>
      </c>
      <c r="R54" s="5" t="s">
        <v>32</v>
      </c>
      <c r="S54" s="5" t="s">
        <v>33</v>
      </c>
      <c r="T54" s="5"/>
      <c r="U54" s="7">
        <v>15000</v>
      </c>
      <c r="V54" s="7">
        <v>6468</v>
      </c>
      <c r="W54" s="7">
        <v>5973</v>
      </c>
      <c r="X54" s="5">
        <v>0</v>
      </c>
      <c r="Y54" s="7">
        <v>2559</v>
      </c>
    </row>
    <row r="55" spans="1:25" x14ac:dyDescent="0.25">
      <c r="A55" s="5" t="s">
        <v>26</v>
      </c>
      <c r="B55" s="5" t="s">
        <v>34</v>
      </c>
      <c r="C55" s="5" t="s">
        <v>49</v>
      </c>
      <c r="D55" s="5" t="s">
        <v>54</v>
      </c>
      <c r="E55" s="5" t="s">
        <v>35</v>
      </c>
      <c r="F55" s="5" t="s">
        <v>97</v>
      </c>
      <c r="G55" s="5">
        <v>2017</v>
      </c>
      <c r="H55" s="5" t="str">
        <f>CONCATENATE("04270070446")</f>
        <v>04270070446</v>
      </c>
      <c r="I55" s="5" t="s">
        <v>29</v>
      </c>
      <c r="J55" s="5" t="s">
        <v>36</v>
      </c>
      <c r="K55" s="5" t="str">
        <f>CONCATENATE("")</f>
        <v/>
      </c>
      <c r="L55" s="5" t="str">
        <f>CONCATENATE("6 6.1 2b")</f>
        <v>6 6.1 2b</v>
      </c>
      <c r="M55" s="5" t="str">
        <f>CONCATENATE("VSCGCM94C09E783N")</f>
        <v>VSCGCM94C09E783N</v>
      </c>
      <c r="N55" s="5" t="s">
        <v>98</v>
      </c>
      <c r="O55" s="5" t="s">
        <v>130</v>
      </c>
      <c r="P55" s="6">
        <v>44013</v>
      </c>
      <c r="Q55" s="5" t="s">
        <v>31</v>
      </c>
      <c r="R55" s="5" t="s">
        <v>32</v>
      </c>
      <c r="S55" s="5" t="s">
        <v>33</v>
      </c>
      <c r="T55" s="5"/>
      <c r="U55" s="7">
        <v>10500</v>
      </c>
      <c r="V55" s="7">
        <v>4527.6000000000004</v>
      </c>
      <c r="W55" s="7">
        <v>4181.1000000000004</v>
      </c>
      <c r="X55" s="5">
        <v>0</v>
      </c>
      <c r="Y55" s="7">
        <v>1791.3</v>
      </c>
    </row>
    <row r="56" spans="1:25" ht="24.75" x14ac:dyDescent="0.25">
      <c r="A56" s="5" t="s">
        <v>26</v>
      </c>
      <c r="B56" s="5" t="s">
        <v>27</v>
      </c>
      <c r="C56" s="5" t="s">
        <v>49</v>
      </c>
      <c r="D56" s="5" t="s">
        <v>67</v>
      </c>
      <c r="E56" s="5" t="s">
        <v>43</v>
      </c>
      <c r="F56" s="5" t="s">
        <v>131</v>
      </c>
      <c r="G56" s="5">
        <v>2019</v>
      </c>
      <c r="H56" s="5" t="str">
        <f>CONCATENATE("94241034761")</f>
        <v>94241034761</v>
      </c>
      <c r="I56" s="5" t="s">
        <v>42</v>
      </c>
      <c r="J56" s="5" t="s">
        <v>36</v>
      </c>
      <c r="K56" s="5" t="str">
        <f>CONCATENATE("")</f>
        <v/>
      </c>
      <c r="L56" s="5" t="str">
        <f>CONCATENATE("11 11.2 4b")</f>
        <v>11 11.2 4b</v>
      </c>
      <c r="M56" s="5" t="str">
        <f>CONCATENATE("SPCGRR42B27F599L")</f>
        <v>SPCGRR42B27F599L</v>
      </c>
      <c r="N56" s="5" t="s">
        <v>132</v>
      </c>
      <c r="O56" s="5" t="s">
        <v>109</v>
      </c>
      <c r="P56" s="6">
        <v>44013</v>
      </c>
      <c r="Q56" s="5" t="s">
        <v>31</v>
      </c>
      <c r="R56" s="5" t="s">
        <v>32</v>
      </c>
      <c r="S56" s="5" t="s">
        <v>33</v>
      </c>
      <c r="T56" s="5"/>
      <c r="U56" s="7">
        <v>4930.76</v>
      </c>
      <c r="V56" s="7">
        <v>2126.14</v>
      </c>
      <c r="W56" s="7">
        <v>1963.43</v>
      </c>
      <c r="X56" s="5">
        <v>0</v>
      </c>
      <c r="Y56" s="5">
        <v>841.19</v>
      </c>
    </row>
    <row r="57" spans="1:25" ht="24.75" x14ac:dyDescent="0.25">
      <c r="A57" s="5" t="s">
        <v>26</v>
      </c>
      <c r="B57" s="5" t="s">
        <v>27</v>
      </c>
      <c r="C57" s="5" t="s">
        <v>49</v>
      </c>
      <c r="D57" s="5" t="s">
        <v>67</v>
      </c>
      <c r="E57" s="5" t="s">
        <v>35</v>
      </c>
      <c r="F57" s="5" t="s">
        <v>121</v>
      </c>
      <c r="G57" s="5">
        <v>2019</v>
      </c>
      <c r="H57" s="5" t="str">
        <f>CONCATENATE("94210186881")</f>
        <v>94210186881</v>
      </c>
      <c r="I57" s="5" t="s">
        <v>42</v>
      </c>
      <c r="J57" s="5" t="s">
        <v>36</v>
      </c>
      <c r="K57" s="5" t="str">
        <f>CONCATENATE("")</f>
        <v/>
      </c>
      <c r="L57" s="5" t="str">
        <f>CONCATENATE("13 13.1 4a")</f>
        <v>13 13.1 4a</v>
      </c>
      <c r="M57" s="5" t="str">
        <f>CONCATENATE("NGLMRN23L06D691N")</f>
        <v>NGLMRN23L06D691N</v>
      </c>
      <c r="N57" s="5" t="s">
        <v>133</v>
      </c>
      <c r="O57" s="5" t="s">
        <v>102</v>
      </c>
      <c r="P57" s="6">
        <v>44013</v>
      </c>
      <c r="Q57" s="5" t="s">
        <v>31</v>
      </c>
      <c r="R57" s="5" t="s">
        <v>32</v>
      </c>
      <c r="S57" s="5" t="s">
        <v>33</v>
      </c>
      <c r="T57" s="5"/>
      <c r="U57" s="5">
        <v>944.84</v>
      </c>
      <c r="V57" s="5">
        <v>407.42</v>
      </c>
      <c r="W57" s="5">
        <v>376.24</v>
      </c>
      <c r="X57" s="5">
        <v>0</v>
      </c>
      <c r="Y57" s="5">
        <v>161.18</v>
      </c>
    </row>
    <row r="58" spans="1:25" ht="24.75" x14ac:dyDescent="0.25">
      <c r="A58" s="5" t="s">
        <v>26</v>
      </c>
      <c r="B58" s="5" t="s">
        <v>27</v>
      </c>
      <c r="C58" s="5" t="s">
        <v>49</v>
      </c>
      <c r="D58" s="5" t="s">
        <v>67</v>
      </c>
      <c r="E58" s="5" t="s">
        <v>35</v>
      </c>
      <c r="F58" s="5" t="s">
        <v>121</v>
      </c>
      <c r="G58" s="5">
        <v>2019</v>
      </c>
      <c r="H58" s="5" t="str">
        <f>CONCATENATE("94210358902")</f>
        <v>94210358902</v>
      </c>
      <c r="I58" s="5" t="s">
        <v>29</v>
      </c>
      <c r="J58" s="5" t="s">
        <v>36</v>
      </c>
      <c r="K58" s="5" t="str">
        <f>CONCATENATE("")</f>
        <v/>
      </c>
      <c r="L58" s="5" t="str">
        <f>CONCATENATE("13 13.1 4a")</f>
        <v>13 13.1 4a</v>
      </c>
      <c r="M58" s="5" t="str">
        <f>CONCATENATE("RNTNMR33M66F509P")</f>
        <v>RNTNMR33M66F509P</v>
      </c>
      <c r="N58" s="5" t="s">
        <v>134</v>
      </c>
      <c r="O58" s="5" t="s">
        <v>102</v>
      </c>
      <c r="P58" s="6">
        <v>44013</v>
      </c>
      <c r="Q58" s="5" t="s">
        <v>31</v>
      </c>
      <c r="R58" s="5" t="s">
        <v>32</v>
      </c>
      <c r="S58" s="5" t="s">
        <v>33</v>
      </c>
      <c r="T58" s="5"/>
      <c r="U58" s="5">
        <v>559.86</v>
      </c>
      <c r="V58" s="5">
        <v>241.41</v>
      </c>
      <c r="W58" s="5">
        <v>222.94</v>
      </c>
      <c r="X58" s="5">
        <v>0</v>
      </c>
      <c r="Y58" s="5">
        <v>95.51</v>
      </c>
    </row>
    <row r="59" spans="1:25" ht="24.75" x14ac:dyDescent="0.25">
      <c r="A59" s="5" t="s">
        <v>26</v>
      </c>
      <c r="B59" s="5" t="s">
        <v>27</v>
      </c>
      <c r="C59" s="5" t="s">
        <v>49</v>
      </c>
      <c r="D59" s="5" t="s">
        <v>67</v>
      </c>
      <c r="E59" s="5" t="s">
        <v>41</v>
      </c>
      <c r="F59" s="5" t="s">
        <v>135</v>
      </c>
      <c r="G59" s="5">
        <v>2019</v>
      </c>
      <c r="H59" s="5" t="str">
        <f>CONCATENATE("94210799220")</f>
        <v>94210799220</v>
      </c>
      <c r="I59" s="5" t="s">
        <v>29</v>
      </c>
      <c r="J59" s="5" t="s">
        <v>36</v>
      </c>
      <c r="K59" s="5" t="str">
        <f>CONCATENATE("")</f>
        <v/>
      </c>
      <c r="L59" s="5" t="str">
        <f>CONCATENATE("13 13.1 4a")</f>
        <v>13 13.1 4a</v>
      </c>
      <c r="M59" s="5" t="str">
        <f>CONCATENATE("PZZNMR54C54F570F")</f>
        <v>PZZNMR54C54F570F</v>
      </c>
      <c r="N59" s="5" t="s">
        <v>136</v>
      </c>
      <c r="O59" s="5" t="s">
        <v>102</v>
      </c>
      <c r="P59" s="6">
        <v>44013</v>
      </c>
      <c r="Q59" s="5" t="s">
        <v>31</v>
      </c>
      <c r="R59" s="5" t="s">
        <v>32</v>
      </c>
      <c r="S59" s="5" t="s">
        <v>33</v>
      </c>
      <c r="T59" s="5"/>
      <c r="U59" s="5">
        <v>621.26</v>
      </c>
      <c r="V59" s="5">
        <v>267.89</v>
      </c>
      <c r="W59" s="5">
        <v>247.39</v>
      </c>
      <c r="X59" s="5">
        <v>0</v>
      </c>
      <c r="Y59" s="5">
        <v>105.98</v>
      </c>
    </row>
    <row r="60" spans="1:25" ht="24.75" x14ac:dyDescent="0.25">
      <c r="A60" s="5" t="s">
        <v>26</v>
      </c>
      <c r="B60" s="5" t="s">
        <v>27</v>
      </c>
      <c r="C60" s="5" t="s">
        <v>49</v>
      </c>
      <c r="D60" s="5" t="s">
        <v>64</v>
      </c>
      <c r="E60" s="5" t="s">
        <v>35</v>
      </c>
      <c r="F60" s="5" t="s">
        <v>91</v>
      </c>
      <c r="G60" s="5">
        <v>2018</v>
      </c>
      <c r="H60" s="5" t="str">
        <f>CONCATENATE("84241038441")</f>
        <v>84241038441</v>
      </c>
      <c r="I60" s="5" t="s">
        <v>29</v>
      </c>
      <c r="J60" s="5" t="s">
        <v>36</v>
      </c>
      <c r="K60" s="5" t="str">
        <f>CONCATENATE("")</f>
        <v/>
      </c>
      <c r="L60" s="5" t="str">
        <f>CONCATENATE("10 10.1 4a")</f>
        <v>10 10.1 4a</v>
      </c>
      <c r="M60" s="5" t="str">
        <f>CONCATENATE("PRRRLD60D19C524S")</f>
        <v>PRRRLD60D19C524S</v>
      </c>
      <c r="N60" s="5" t="s">
        <v>137</v>
      </c>
      <c r="O60" s="5" t="s">
        <v>138</v>
      </c>
      <c r="P60" s="6">
        <v>44013</v>
      </c>
      <c r="Q60" s="5" t="s">
        <v>31</v>
      </c>
      <c r="R60" s="5" t="s">
        <v>32</v>
      </c>
      <c r="S60" s="5" t="s">
        <v>33</v>
      </c>
      <c r="T60" s="5"/>
      <c r="U60" s="7">
        <v>2851.8</v>
      </c>
      <c r="V60" s="7">
        <v>1229.7</v>
      </c>
      <c r="W60" s="7">
        <v>1135.5899999999999</v>
      </c>
      <c r="X60" s="5">
        <v>0</v>
      </c>
      <c r="Y60" s="5">
        <v>486.51</v>
      </c>
    </row>
    <row r="61" spans="1:25" x14ac:dyDescent="0.25">
      <c r="A61" s="5" t="s">
        <v>26</v>
      </c>
      <c r="B61" s="5" t="s">
        <v>27</v>
      </c>
      <c r="C61" s="5" t="s">
        <v>49</v>
      </c>
      <c r="D61" s="5" t="s">
        <v>54</v>
      </c>
      <c r="E61" s="5" t="s">
        <v>40</v>
      </c>
      <c r="F61" s="5" t="s">
        <v>93</v>
      </c>
      <c r="G61" s="5">
        <v>2019</v>
      </c>
      <c r="H61" s="5" t="str">
        <f>CONCATENATE("94770011370")</f>
        <v>94770011370</v>
      </c>
      <c r="I61" s="5" t="s">
        <v>29</v>
      </c>
      <c r="J61" s="5" t="s">
        <v>30</v>
      </c>
      <c r="K61" s="5" t="str">
        <f>CONCATENATE("214")</f>
        <v>214</v>
      </c>
      <c r="L61" s="5" t="str">
        <f>CONCATENATE("11 11.2 4b")</f>
        <v>11 11.2 4b</v>
      </c>
      <c r="M61" s="5" t="str">
        <f>CONCATENATE("02182330429")</f>
        <v>02182330429</v>
      </c>
      <c r="N61" s="5" t="s">
        <v>139</v>
      </c>
      <c r="O61" s="5" t="s">
        <v>128</v>
      </c>
      <c r="P61" s="6">
        <v>44013</v>
      </c>
      <c r="Q61" s="5" t="s">
        <v>31</v>
      </c>
      <c r="R61" s="5" t="s">
        <v>32</v>
      </c>
      <c r="S61" s="5" t="s">
        <v>33</v>
      </c>
      <c r="T61" s="5"/>
      <c r="U61" s="5">
        <v>38.909999999999997</v>
      </c>
      <c r="V61" s="5">
        <v>16.78</v>
      </c>
      <c r="W61" s="5">
        <v>15.49</v>
      </c>
      <c r="X61" s="5">
        <v>0</v>
      </c>
      <c r="Y61" s="5">
        <v>6.64</v>
      </c>
    </row>
    <row r="62" spans="1:25" x14ac:dyDescent="0.25">
      <c r="A62" s="5" t="s">
        <v>26</v>
      </c>
      <c r="B62" s="5" t="s">
        <v>27</v>
      </c>
      <c r="C62" s="5" t="s">
        <v>49</v>
      </c>
      <c r="D62" s="5" t="s">
        <v>54</v>
      </c>
      <c r="E62" s="5" t="s">
        <v>35</v>
      </c>
      <c r="F62" s="5" t="s">
        <v>97</v>
      </c>
      <c r="G62" s="5">
        <v>2019</v>
      </c>
      <c r="H62" s="5" t="str">
        <f>CONCATENATE("94770040155")</f>
        <v>94770040155</v>
      </c>
      <c r="I62" s="5" t="s">
        <v>29</v>
      </c>
      <c r="J62" s="5" t="s">
        <v>30</v>
      </c>
      <c r="K62" s="5" t="str">
        <f>CONCATENATE("214")</f>
        <v>214</v>
      </c>
      <c r="L62" s="5" t="str">
        <f>CONCATENATE("11 11.2 4b")</f>
        <v>11 11.2 4b</v>
      </c>
      <c r="M62" s="5" t="str">
        <f>CONCATENATE("LMBGLN62D26H876Y")</f>
        <v>LMBGLN62D26H876Y</v>
      </c>
      <c r="N62" s="5" t="s">
        <v>140</v>
      </c>
      <c r="O62" s="5" t="s">
        <v>128</v>
      </c>
      <c r="P62" s="6">
        <v>44013</v>
      </c>
      <c r="Q62" s="5" t="s">
        <v>31</v>
      </c>
      <c r="R62" s="5" t="s">
        <v>32</v>
      </c>
      <c r="S62" s="5" t="s">
        <v>33</v>
      </c>
      <c r="T62" s="5"/>
      <c r="U62" s="7">
        <v>1963.84</v>
      </c>
      <c r="V62" s="5">
        <v>846.81</v>
      </c>
      <c r="W62" s="5">
        <v>782</v>
      </c>
      <c r="X62" s="5">
        <v>0</v>
      </c>
      <c r="Y62" s="5">
        <v>335.03</v>
      </c>
    </row>
    <row r="63" spans="1:25" x14ac:dyDescent="0.25">
      <c r="A63" s="5" t="s">
        <v>26</v>
      </c>
      <c r="B63" s="5" t="s">
        <v>27</v>
      </c>
      <c r="C63" s="5" t="s">
        <v>49</v>
      </c>
      <c r="D63" s="5" t="s">
        <v>54</v>
      </c>
      <c r="E63" s="5" t="s">
        <v>35</v>
      </c>
      <c r="F63" s="5" t="s">
        <v>55</v>
      </c>
      <c r="G63" s="5">
        <v>2019</v>
      </c>
      <c r="H63" s="5" t="str">
        <f>CONCATENATE("94770005190")</f>
        <v>94770005190</v>
      </c>
      <c r="I63" s="5" t="s">
        <v>29</v>
      </c>
      <c r="J63" s="5" t="s">
        <v>30</v>
      </c>
      <c r="K63" s="5" t="str">
        <f>CONCATENATE("214")</f>
        <v>214</v>
      </c>
      <c r="L63" s="5" t="str">
        <f>CONCATENATE("11 11.2 4b")</f>
        <v>11 11.2 4b</v>
      </c>
      <c r="M63" s="5" t="str">
        <f>CONCATENATE("BNDGRL80B04F051G")</f>
        <v>BNDGRL80B04F051G</v>
      </c>
      <c r="N63" s="5" t="s">
        <v>141</v>
      </c>
      <c r="O63" s="5" t="s">
        <v>128</v>
      </c>
      <c r="P63" s="6">
        <v>44013</v>
      </c>
      <c r="Q63" s="5" t="s">
        <v>31</v>
      </c>
      <c r="R63" s="5" t="s">
        <v>32</v>
      </c>
      <c r="S63" s="5" t="s">
        <v>33</v>
      </c>
      <c r="T63" s="5"/>
      <c r="U63" s="5">
        <v>94.85</v>
      </c>
      <c r="V63" s="5">
        <v>40.9</v>
      </c>
      <c r="W63" s="5">
        <v>37.770000000000003</v>
      </c>
      <c r="X63" s="5">
        <v>0</v>
      </c>
      <c r="Y63" s="5">
        <v>16.18</v>
      </c>
    </row>
    <row r="64" spans="1:25" x14ac:dyDescent="0.25">
      <c r="A64" s="5" t="s">
        <v>26</v>
      </c>
      <c r="B64" s="5" t="s">
        <v>27</v>
      </c>
      <c r="C64" s="5" t="s">
        <v>49</v>
      </c>
      <c r="D64" s="5" t="s">
        <v>54</v>
      </c>
      <c r="E64" s="5" t="s">
        <v>35</v>
      </c>
      <c r="F64" s="5" t="s">
        <v>142</v>
      </c>
      <c r="G64" s="5">
        <v>2019</v>
      </c>
      <c r="H64" s="5" t="str">
        <f>CONCATENATE("94770036468")</f>
        <v>94770036468</v>
      </c>
      <c r="I64" s="5" t="s">
        <v>29</v>
      </c>
      <c r="J64" s="5" t="s">
        <v>30</v>
      </c>
      <c r="K64" s="5" t="str">
        <f>CONCATENATE("214")</f>
        <v>214</v>
      </c>
      <c r="L64" s="5" t="str">
        <f>CONCATENATE("11 11.2 4b")</f>
        <v>11 11.2 4b</v>
      </c>
      <c r="M64" s="5" t="str">
        <f>CONCATENATE("PLCFNC57C19E783Z")</f>
        <v>PLCFNC57C19E783Z</v>
      </c>
      <c r="N64" s="5" t="s">
        <v>143</v>
      </c>
      <c r="O64" s="5" t="s">
        <v>128</v>
      </c>
      <c r="P64" s="6">
        <v>44013</v>
      </c>
      <c r="Q64" s="5" t="s">
        <v>31</v>
      </c>
      <c r="R64" s="5" t="s">
        <v>32</v>
      </c>
      <c r="S64" s="5" t="s">
        <v>33</v>
      </c>
      <c r="T64" s="5"/>
      <c r="U64" s="5">
        <v>84.2</v>
      </c>
      <c r="V64" s="5">
        <v>36.31</v>
      </c>
      <c r="W64" s="5">
        <v>33.53</v>
      </c>
      <c r="X64" s="5">
        <v>0</v>
      </c>
      <c r="Y64" s="5">
        <v>14.36</v>
      </c>
    </row>
    <row r="65" spans="1:25" x14ac:dyDescent="0.25">
      <c r="A65" s="5" t="s">
        <v>26</v>
      </c>
      <c r="B65" s="5" t="s">
        <v>27</v>
      </c>
      <c r="C65" s="5" t="s">
        <v>49</v>
      </c>
      <c r="D65" s="5" t="s">
        <v>54</v>
      </c>
      <c r="E65" s="5" t="s">
        <v>35</v>
      </c>
      <c r="F65" s="5" t="s">
        <v>97</v>
      </c>
      <c r="G65" s="5">
        <v>2019</v>
      </c>
      <c r="H65" s="5" t="str">
        <f>CONCATENATE("94770040080")</f>
        <v>94770040080</v>
      </c>
      <c r="I65" s="5" t="s">
        <v>29</v>
      </c>
      <c r="J65" s="5" t="s">
        <v>30</v>
      </c>
      <c r="K65" s="5" t="str">
        <f>CONCATENATE("214")</f>
        <v>214</v>
      </c>
      <c r="L65" s="5" t="str">
        <f>CONCATENATE("11 11.1 4b")</f>
        <v>11 11.1 4b</v>
      </c>
      <c r="M65" s="5" t="str">
        <f>CONCATENATE("GRDVLR60S45I436E")</f>
        <v>GRDVLR60S45I436E</v>
      </c>
      <c r="N65" s="5" t="s">
        <v>144</v>
      </c>
      <c r="O65" s="5" t="s">
        <v>128</v>
      </c>
      <c r="P65" s="6">
        <v>44013</v>
      </c>
      <c r="Q65" s="5" t="s">
        <v>31</v>
      </c>
      <c r="R65" s="5" t="s">
        <v>32</v>
      </c>
      <c r="S65" s="5" t="s">
        <v>33</v>
      </c>
      <c r="T65" s="5"/>
      <c r="U65" s="7">
        <v>2070.41</v>
      </c>
      <c r="V65" s="5">
        <v>892.76</v>
      </c>
      <c r="W65" s="5">
        <v>824.44</v>
      </c>
      <c r="X65" s="5">
        <v>0</v>
      </c>
      <c r="Y65" s="5">
        <v>353.21</v>
      </c>
    </row>
    <row r="66" spans="1:25" x14ac:dyDescent="0.25">
      <c r="A66" s="5" t="s">
        <v>26</v>
      </c>
      <c r="B66" s="5" t="s">
        <v>27</v>
      </c>
      <c r="C66" s="5" t="s">
        <v>49</v>
      </c>
      <c r="D66" s="5" t="s">
        <v>54</v>
      </c>
      <c r="E66" s="5" t="s">
        <v>28</v>
      </c>
      <c r="F66" s="5" t="s">
        <v>145</v>
      </c>
      <c r="G66" s="5">
        <v>2019</v>
      </c>
      <c r="H66" s="5" t="str">
        <f>CONCATENATE("94770040072")</f>
        <v>94770040072</v>
      </c>
      <c r="I66" s="5" t="s">
        <v>29</v>
      </c>
      <c r="J66" s="5" t="s">
        <v>30</v>
      </c>
      <c r="K66" s="5" t="str">
        <f>CONCATENATE("214")</f>
        <v>214</v>
      </c>
      <c r="L66" s="5" t="str">
        <f>CONCATENATE("11 11.2 4b")</f>
        <v>11 11.2 4b</v>
      </c>
      <c r="M66" s="5" t="str">
        <f>CONCATENATE("MNCLRA79H67L191L")</f>
        <v>MNCLRA79H67L191L</v>
      </c>
      <c r="N66" s="5" t="s">
        <v>146</v>
      </c>
      <c r="O66" s="5" t="s">
        <v>128</v>
      </c>
      <c r="P66" s="6">
        <v>44013</v>
      </c>
      <c r="Q66" s="5" t="s">
        <v>31</v>
      </c>
      <c r="R66" s="5" t="s">
        <v>32</v>
      </c>
      <c r="S66" s="5" t="s">
        <v>33</v>
      </c>
      <c r="T66" s="5"/>
      <c r="U66" s="5">
        <v>796.27</v>
      </c>
      <c r="V66" s="5">
        <v>343.35</v>
      </c>
      <c r="W66" s="5">
        <v>317.07</v>
      </c>
      <c r="X66" s="5">
        <v>0</v>
      </c>
      <c r="Y66" s="5">
        <v>135.85</v>
      </c>
    </row>
    <row r="67" spans="1:25" x14ac:dyDescent="0.25">
      <c r="A67" s="5" t="s">
        <v>26</v>
      </c>
      <c r="B67" s="5" t="s">
        <v>27</v>
      </c>
      <c r="C67" s="5" t="s">
        <v>49</v>
      </c>
      <c r="D67" s="5" t="s">
        <v>54</v>
      </c>
      <c r="E67" s="5" t="s">
        <v>45</v>
      </c>
      <c r="F67" s="5" t="s">
        <v>147</v>
      </c>
      <c r="G67" s="5">
        <v>2019</v>
      </c>
      <c r="H67" s="5" t="str">
        <f>CONCATENATE("94770015868")</f>
        <v>94770015868</v>
      </c>
      <c r="I67" s="5" t="s">
        <v>29</v>
      </c>
      <c r="J67" s="5" t="s">
        <v>30</v>
      </c>
      <c r="K67" s="5" t="str">
        <f>CONCATENATE("214")</f>
        <v>214</v>
      </c>
      <c r="L67" s="5" t="str">
        <f>CONCATENATE("11 11.2 4b")</f>
        <v>11 11.2 4b</v>
      </c>
      <c r="M67" s="5" t="str">
        <f>CONCATENATE("MRCNZE66H03B474V")</f>
        <v>MRCNZE66H03B474V</v>
      </c>
      <c r="N67" s="5" t="s">
        <v>148</v>
      </c>
      <c r="O67" s="5" t="s">
        <v>128</v>
      </c>
      <c r="P67" s="6">
        <v>44013</v>
      </c>
      <c r="Q67" s="5" t="s">
        <v>31</v>
      </c>
      <c r="R67" s="5" t="s">
        <v>32</v>
      </c>
      <c r="S67" s="5" t="s">
        <v>33</v>
      </c>
      <c r="T67" s="5"/>
      <c r="U67" s="5">
        <v>112.68</v>
      </c>
      <c r="V67" s="5">
        <v>48.59</v>
      </c>
      <c r="W67" s="5">
        <v>44.87</v>
      </c>
      <c r="X67" s="5">
        <v>0</v>
      </c>
      <c r="Y67" s="5">
        <v>19.22</v>
      </c>
    </row>
    <row r="68" spans="1:25" x14ac:dyDescent="0.25">
      <c r="A68" s="5" t="s">
        <v>26</v>
      </c>
      <c r="B68" s="5" t="s">
        <v>27</v>
      </c>
      <c r="C68" s="5" t="s">
        <v>49</v>
      </c>
      <c r="D68" s="5" t="s">
        <v>54</v>
      </c>
      <c r="E68" s="5" t="s">
        <v>35</v>
      </c>
      <c r="F68" s="5" t="s">
        <v>149</v>
      </c>
      <c r="G68" s="5">
        <v>2019</v>
      </c>
      <c r="H68" s="5" t="str">
        <f>CONCATENATE("94770038787")</f>
        <v>94770038787</v>
      </c>
      <c r="I68" s="5" t="s">
        <v>29</v>
      </c>
      <c r="J68" s="5" t="s">
        <v>30</v>
      </c>
      <c r="K68" s="5" t="str">
        <f>CONCATENATE("214")</f>
        <v>214</v>
      </c>
      <c r="L68" s="5" t="str">
        <f>CONCATENATE("11 11.2 4b")</f>
        <v>11 11.2 4b</v>
      </c>
      <c r="M68" s="5" t="str">
        <f>CONCATENATE("VSSCLD43S05C886A")</f>
        <v>VSSCLD43S05C886A</v>
      </c>
      <c r="N68" s="5" t="s">
        <v>150</v>
      </c>
      <c r="O68" s="5" t="s">
        <v>128</v>
      </c>
      <c r="P68" s="6">
        <v>44013</v>
      </c>
      <c r="Q68" s="5" t="s">
        <v>31</v>
      </c>
      <c r="R68" s="5" t="s">
        <v>32</v>
      </c>
      <c r="S68" s="5" t="s">
        <v>33</v>
      </c>
      <c r="T68" s="5"/>
      <c r="U68" s="7">
        <v>1310.3699999999999</v>
      </c>
      <c r="V68" s="5">
        <v>565.03</v>
      </c>
      <c r="W68" s="5">
        <v>521.79</v>
      </c>
      <c r="X68" s="5">
        <v>0</v>
      </c>
      <c r="Y68" s="5">
        <v>223.55</v>
      </c>
    </row>
    <row r="69" spans="1:25" x14ac:dyDescent="0.25">
      <c r="A69" s="5" t="s">
        <v>26</v>
      </c>
      <c r="B69" s="5" t="s">
        <v>27</v>
      </c>
      <c r="C69" s="5" t="s">
        <v>49</v>
      </c>
      <c r="D69" s="5" t="s">
        <v>54</v>
      </c>
      <c r="E69" s="5" t="s">
        <v>41</v>
      </c>
      <c r="F69" s="5" t="s">
        <v>151</v>
      </c>
      <c r="G69" s="5">
        <v>2019</v>
      </c>
      <c r="H69" s="5" t="str">
        <f>CONCATENATE("94770047440")</f>
        <v>94770047440</v>
      </c>
      <c r="I69" s="5" t="s">
        <v>29</v>
      </c>
      <c r="J69" s="5" t="s">
        <v>30</v>
      </c>
      <c r="K69" s="5" t="str">
        <f>CONCATENATE("214")</f>
        <v>214</v>
      </c>
      <c r="L69" s="5" t="str">
        <f>CONCATENATE("11 11.2 4b")</f>
        <v>11 11.2 4b</v>
      </c>
      <c r="M69" s="5" t="str">
        <f>CONCATENATE("PGLLSN58T46E783J")</f>
        <v>PGLLSN58T46E783J</v>
      </c>
      <c r="N69" s="5" t="s">
        <v>152</v>
      </c>
      <c r="O69" s="5" t="s">
        <v>128</v>
      </c>
      <c r="P69" s="6">
        <v>44013</v>
      </c>
      <c r="Q69" s="5" t="s">
        <v>31</v>
      </c>
      <c r="R69" s="5" t="s">
        <v>32</v>
      </c>
      <c r="S69" s="5" t="s">
        <v>33</v>
      </c>
      <c r="T69" s="5"/>
      <c r="U69" s="5">
        <v>149.93</v>
      </c>
      <c r="V69" s="5">
        <v>64.650000000000006</v>
      </c>
      <c r="W69" s="5">
        <v>59.7</v>
      </c>
      <c r="X69" s="5">
        <v>0</v>
      </c>
      <c r="Y69" s="5">
        <v>25.58</v>
      </c>
    </row>
    <row r="70" spans="1:25" x14ac:dyDescent="0.25">
      <c r="A70" s="5" t="s">
        <v>26</v>
      </c>
      <c r="B70" s="5" t="s">
        <v>27</v>
      </c>
      <c r="C70" s="5" t="s">
        <v>49</v>
      </c>
      <c r="D70" s="5" t="s">
        <v>54</v>
      </c>
      <c r="E70" s="5" t="s">
        <v>35</v>
      </c>
      <c r="F70" s="5" t="s">
        <v>97</v>
      </c>
      <c r="G70" s="5">
        <v>2019</v>
      </c>
      <c r="H70" s="5" t="str">
        <f>CONCATENATE("94770038563")</f>
        <v>94770038563</v>
      </c>
      <c r="I70" s="5" t="s">
        <v>29</v>
      </c>
      <c r="J70" s="5" t="s">
        <v>30</v>
      </c>
      <c r="K70" s="5" t="str">
        <f>CONCATENATE("214")</f>
        <v>214</v>
      </c>
      <c r="L70" s="5" t="str">
        <f>CONCATENATE("11 11.2 4b")</f>
        <v>11 11.2 4b</v>
      </c>
      <c r="M70" s="5" t="str">
        <f>CONCATENATE("SNTLRT55E10H323Z")</f>
        <v>SNTLRT55E10H323Z</v>
      </c>
      <c r="N70" s="5" t="s">
        <v>153</v>
      </c>
      <c r="O70" s="5" t="s">
        <v>128</v>
      </c>
      <c r="P70" s="6">
        <v>44013</v>
      </c>
      <c r="Q70" s="5" t="s">
        <v>31</v>
      </c>
      <c r="R70" s="5" t="s">
        <v>32</v>
      </c>
      <c r="S70" s="5" t="s">
        <v>33</v>
      </c>
      <c r="T70" s="5"/>
      <c r="U70" s="5">
        <v>758</v>
      </c>
      <c r="V70" s="5">
        <v>326.85000000000002</v>
      </c>
      <c r="W70" s="5">
        <v>301.83999999999997</v>
      </c>
      <c r="X70" s="5">
        <v>0</v>
      </c>
      <c r="Y70" s="5">
        <v>129.31</v>
      </c>
    </row>
    <row r="71" spans="1:25" x14ac:dyDescent="0.25">
      <c r="A71" s="5" t="s">
        <v>26</v>
      </c>
      <c r="B71" s="5" t="s">
        <v>27</v>
      </c>
      <c r="C71" s="5" t="s">
        <v>49</v>
      </c>
      <c r="D71" s="5" t="s">
        <v>54</v>
      </c>
      <c r="E71" s="5" t="s">
        <v>35</v>
      </c>
      <c r="F71" s="5" t="s">
        <v>97</v>
      </c>
      <c r="G71" s="5">
        <v>2019</v>
      </c>
      <c r="H71" s="5" t="str">
        <f>CONCATENATE("94770039215")</f>
        <v>94770039215</v>
      </c>
      <c r="I71" s="5" t="s">
        <v>29</v>
      </c>
      <c r="J71" s="5" t="s">
        <v>30</v>
      </c>
      <c r="K71" s="5" t="str">
        <f>CONCATENATE("214")</f>
        <v>214</v>
      </c>
      <c r="L71" s="5" t="str">
        <f>CONCATENATE("11 11.2 4b")</f>
        <v>11 11.2 4b</v>
      </c>
      <c r="M71" s="5" t="str">
        <f>CONCATENATE("SFFMRK92E10E783A")</f>
        <v>SFFMRK92E10E783A</v>
      </c>
      <c r="N71" s="5" t="s">
        <v>154</v>
      </c>
      <c r="O71" s="5" t="s">
        <v>128</v>
      </c>
      <c r="P71" s="6">
        <v>44013</v>
      </c>
      <c r="Q71" s="5" t="s">
        <v>31</v>
      </c>
      <c r="R71" s="5" t="s">
        <v>32</v>
      </c>
      <c r="S71" s="5" t="s">
        <v>33</v>
      </c>
      <c r="T71" s="5"/>
      <c r="U71" s="5">
        <v>383.56</v>
      </c>
      <c r="V71" s="5">
        <v>165.39</v>
      </c>
      <c r="W71" s="5">
        <v>152.72999999999999</v>
      </c>
      <c r="X71" s="5">
        <v>0</v>
      </c>
      <c r="Y71" s="5">
        <v>65.44</v>
      </c>
    </row>
    <row r="72" spans="1:25" x14ac:dyDescent="0.25">
      <c r="A72" s="5" t="s">
        <v>26</v>
      </c>
      <c r="B72" s="5" t="s">
        <v>27</v>
      </c>
      <c r="C72" s="5" t="s">
        <v>49</v>
      </c>
      <c r="D72" s="5" t="s">
        <v>54</v>
      </c>
      <c r="E72" s="5" t="s">
        <v>35</v>
      </c>
      <c r="F72" s="5" t="s">
        <v>97</v>
      </c>
      <c r="G72" s="5">
        <v>2019</v>
      </c>
      <c r="H72" s="5" t="str">
        <f>CONCATENATE("94770043662")</f>
        <v>94770043662</v>
      </c>
      <c r="I72" s="5" t="s">
        <v>29</v>
      </c>
      <c r="J72" s="5" t="s">
        <v>30</v>
      </c>
      <c r="K72" s="5" t="str">
        <f>CONCATENATE("214")</f>
        <v>214</v>
      </c>
      <c r="L72" s="5" t="str">
        <f>CONCATENATE("11 11.2 4b")</f>
        <v>11 11.2 4b</v>
      </c>
      <c r="M72" s="5" t="str">
        <f>CONCATENATE("PRFRNT63P28E783L")</f>
        <v>PRFRNT63P28E783L</v>
      </c>
      <c r="N72" s="5" t="s">
        <v>155</v>
      </c>
      <c r="O72" s="5" t="s">
        <v>128</v>
      </c>
      <c r="P72" s="6">
        <v>44013</v>
      </c>
      <c r="Q72" s="5" t="s">
        <v>31</v>
      </c>
      <c r="R72" s="5" t="s">
        <v>32</v>
      </c>
      <c r="S72" s="5" t="s">
        <v>33</v>
      </c>
      <c r="T72" s="5"/>
      <c r="U72" s="5">
        <v>167.68</v>
      </c>
      <c r="V72" s="5">
        <v>72.3</v>
      </c>
      <c r="W72" s="5">
        <v>66.77</v>
      </c>
      <c r="X72" s="5">
        <v>0</v>
      </c>
      <c r="Y72" s="5">
        <v>28.61</v>
      </c>
    </row>
    <row r="73" spans="1:25" x14ac:dyDescent="0.25">
      <c r="A73" s="5" t="s">
        <v>26</v>
      </c>
      <c r="B73" s="5" t="s">
        <v>27</v>
      </c>
      <c r="C73" s="5" t="s">
        <v>49</v>
      </c>
      <c r="D73" s="5" t="s">
        <v>54</v>
      </c>
      <c r="E73" s="5" t="s">
        <v>35</v>
      </c>
      <c r="F73" s="5" t="s">
        <v>55</v>
      </c>
      <c r="G73" s="5">
        <v>2019</v>
      </c>
      <c r="H73" s="5" t="str">
        <f>CONCATENATE("94770034703")</f>
        <v>94770034703</v>
      </c>
      <c r="I73" s="5" t="s">
        <v>29</v>
      </c>
      <c r="J73" s="5" t="s">
        <v>30</v>
      </c>
      <c r="K73" s="5" t="str">
        <f>CONCATENATE("214")</f>
        <v>214</v>
      </c>
      <c r="L73" s="5" t="str">
        <f>CONCATENATE("11 11.2 4b")</f>
        <v>11 11.2 4b</v>
      </c>
      <c r="M73" s="5" t="str">
        <f>CONCATENATE("SLVMFR63D08G690U")</f>
        <v>SLVMFR63D08G690U</v>
      </c>
      <c r="N73" s="5" t="s">
        <v>156</v>
      </c>
      <c r="O73" s="5" t="s">
        <v>128</v>
      </c>
      <c r="P73" s="6">
        <v>44013</v>
      </c>
      <c r="Q73" s="5" t="s">
        <v>31</v>
      </c>
      <c r="R73" s="5" t="s">
        <v>32</v>
      </c>
      <c r="S73" s="5" t="s">
        <v>33</v>
      </c>
      <c r="T73" s="5"/>
      <c r="U73" s="5">
        <v>802.43</v>
      </c>
      <c r="V73" s="5">
        <v>346.01</v>
      </c>
      <c r="W73" s="5">
        <v>319.52999999999997</v>
      </c>
      <c r="X73" s="5">
        <v>0</v>
      </c>
      <c r="Y73" s="5">
        <v>136.88999999999999</v>
      </c>
    </row>
    <row r="74" spans="1:25" ht="24.75" x14ac:dyDescent="0.25">
      <c r="A74" s="5" t="s">
        <v>26</v>
      </c>
      <c r="B74" s="5" t="s">
        <v>34</v>
      </c>
      <c r="C74" s="5" t="s">
        <v>49</v>
      </c>
      <c r="D74" s="5" t="s">
        <v>54</v>
      </c>
      <c r="E74" s="5" t="s">
        <v>37</v>
      </c>
      <c r="F74" s="5" t="s">
        <v>37</v>
      </c>
      <c r="G74" s="5">
        <v>2017</v>
      </c>
      <c r="H74" s="5" t="str">
        <f>CONCATENATE("04270070545")</f>
        <v>04270070545</v>
      </c>
      <c r="I74" s="5" t="s">
        <v>29</v>
      </c>
      <c r="J74" s="5" t="s">
        <v>36</v>
      </c>
      <c r="K74" s="5" t="str">
        <f>CONCATENATE("")</f>
        <v/>
      </c>
      <c r="L74" s="5" t="str">
        <f>CONCATENATE("4 4.1 2a")</f>
        <v>4 4.1 2a</v>
      </c>
      <c r="M74" s="5" t="str">
        <f>CONCATENATE("01912770433")</f>
        <v>01912770433</v>
      </c>
      <c r="N74" s="5" t="s">
        <v>157</v>
      </c>
      <c r="O74" s="5" t="s">
        <v>158</v>
      </c>
      <c r="P74" s="6">
        <v>44013</v>
      </c>
      <c r="Q74" s="5" t="s">
        <v>31</v>
      </c>
      <c r="R74" s="5" t="s">
        <v>32</v>
      </c>
      <c r="S74" s="5" t="s">
        <v>33</v>
      </c>
      <c r="T74" s="5"/>
      <c r="U74" s="7">
        <v>97017.2</v>
      </c>
      <c r="V74" s="7">
        <v>41833.82</v>
      </c>
      <c r="W74" s="7">
        <v>38632.25</v>
      </c>
      <c r="X74" s="5">
        <v>0</v>
      </c>
      <c r="Y74" s="7">
        <v>16551.13</v>
      </c>
    </row>
    <row r="75" spans="1:25" ht="24.75" x14ac:dyDescent="0.25">
      <c r="A75" s="5" t="s">
        <v>26</v>
      </c>
      <c r="B75" s="5" t="s">
        <v>34</v>
      </c>
      <c r="C75" s="5" t="s">
        <v>49</v>
      </c>
      <c r="D75" s="5" t="s">
        <v>50</v>
      </c>
      <c r="E75" s="5" t="s">
        <v>47</v>
      </c>
      <c r="F75" s="5" t="s">
        <v>159</v>
      </c>
      <c r="G75" s="5">
        <v>2017</v>
      </c>
      <c r="H75" s="5" t="str">
        <f>CONCATENATE("94270174124")</f>
        <v>94270174124</v>
      </c>
      <c r="I75" s="5" t="s">
        <v>29</v>
      </c>
      <c r="J75" s="5" t="s">
        <v>36</v>
      </c>
      <c r="K75" s="5" t="str">
        <f>CONCATENATE("")</f>
        <v/>
      </c>
      <c r="L75" s="5" t="str">
        <f>CONCATENATE("4 4.1 2a")</f>
        <v>4 4.1 2a</v>
      </c>
      <c r="M75" s="5" t="str">
        <f>CONCATENATE("CRBSNT97R52L500U")</f>
        <v>CRBSNT97R52L500U</v>
      </c>
      <c r="N75" s="5" t="s">
        <v>160</v>
      </c>
      <c r="O75" s="5" t="s">
        <v>161</v>
      </c>
      <c r="P75" s="6">
        <v>44013</v>
      </c>
      <c r="Q75" s="5" t="s">
        <v>31</v>
      </c>
      <c r="R75" s="5" t="s">
        <v>32</v>
      </c>
      <c r="S75" s="5" t="s">
        <v>33</v>
      </c>
      <c r="T75" s="5"/>
      <c r="U75" s="7">
        <v>54859.45</v>
      </c>
      <c r="V75" s="7">
        <v>23655.39</v>
      </c>
      <c r="W75" s="7">
        <v>21845.03</v>
      </c>
      <c r="X75" s="5">
        <v>0</v>
      </c>
      <c r="Y75" s="7">
        <v>9359.0300000000007</v>
      </c>
    </row>
    <row r="76" spans="1:25" ht="24.75" x14ac:dyDescent="0.25">
      <c r="A76" s="5" t="s">
        <v>26</v>
      </c>
      <c r="B76" s="5" t="s">
        <v>27</v>
      </c>
      <c r="C76" s="5" t="s">
        <v>49</v>
      </c>
      <c r="D76" s="5" t="s">
        <v>67</v>
      </c>
      <c r="E76" s="5" t="s">
        <v>37</v>
      </c>
      <c r="F76" s="5" t="s">
        <v>37</v>
      </c>
      <c r="G76" s="5">
        <v>2016</v>
      </c>
      <c r="H76" s="5" t="str">
        <f>CONCATENATE("64240402293")</f>
        <v>64240402293</v>
      </c>
      <c r="I76" s="5" t="s">
        <v>29</v>
      </c>
      <c r="J76" s="5" t="s">
        <v>36</v>
      </c>
      <c r="K76" s="5" t="str">
        <f>CONCATENATE("")</f>
        <v/>
      </c>
      <c r="L76" s="5" t="str">
        <f>CONCATENATE("11 11.2 4b")</f>
        <v>11 11.2 4b</v>
      </c>
      <c r="M76" s="5" t="str">
        <f>CONCATENATE("ZZIGNN71S20I774Y")</f>
        <v>ZZIGNN71S20I774Y</v>
      </c>
      <c r="N76" s="5" t="s">
        <v>162</v>
      </c>
      <c r="O76" s="5" t="s">
        <v>163</v>
      </c>
      <c r="P76" s="6">
        <v>44013</v>
      </c>
      <c r="Q76" s="5" t="s">
        <v>31</v>
      </c>
      <c r="R76" s="5" t="s">
        <v>32</v>
      </c>
      <c r="S76" s="5" t="s">
        <v>33</v>
      </c>
      <c r="T76" s="5"/>
      <c r="U76" s="5">
        <v>183.44</v>
      </c>
      <c r="V76" s="5">
        <v>79.099999999999994</v>
      </c>
      <c r="W76" s="5">
        <v>73.05</v>
      </c>
      <c r="X76" s="5">
        <v>0</v>
      </c>
      <c r="Y76" s="5">
        <v>31.29</v>
      </c>
    </row>
    <row r="77" spans="1:25" ht="24.75" x14ac:dyDescent="0.25">
      <c r="A77" s="5" t="s">
        <v>26</v>
      </c>
      <c r="B77" s="5" t="s">
        <v>27</v>
      </c>
      <c r="C77" s="5" t="s">
        <v>49</v>
      </c>
      <c r="D77" s="5" t="s">
        <v>67</v>
      </c>
      <c r="E77" s="5" t="s">
        <v>37</v>
      </c>
      <c r="F77" s="5" t="s">
        <v>37</v>
      </c>
      <c r="G77" s="5">
        <v>2017</v>
      </c>
      <c r="H77" s="5" t="str">
        <f>CONCATENATE("74240955083")</f>
        <v>74240955083</v>
      </c>
      <c r="I77" s="5" t="s">
        <v>29</v>
      </c>
      <c r="J77" s="5" t="s">
        <v>36</v>
      </c>
      <c r="K77" s="5" t="str">
        <f>CONCATENATE("")</f>
        <v/>
      </c>
      <c r="L77" s="5" t="str">
        <f>CONCATENATE("11 11.2 4b")</f>
        <v>11 11.2 4b</v>
      </c>
      <c r="M77" s="5" t="str">
        <f>CONCATENATE("ZZIGNN71S20I774Y")</f>
        <v>ZZIGNN71S20I774Y</v>
      </c>
      <c r="N77" s="5" t="s">
        <v>162</v>
      </c>
      <c r="O77" s="5" t="s">
        <v>163</v>
      </c>
      <c r="P77" s="6">
        <v>44013</v>
      </c>
      <c r="Q77" s="5" t="s">
        <v>31</v>
      </c>
      <c r="R77" s="5" t="s">
        <v>32</v>
      </c>
      <c r="S77" s="5" t="s">
        <v>33</v>
      </c>
      <c r="T77" s="5"/>
      <c r="U77" s="7">
        <v>5413.21</v>
      </c>
      <c r="V77" s="7">
        <v>2334.1799999999998</v>
      </c>
      <c r="W77" s="7">
        <v>2155.54</v>
      </c>
      <c r="X77" s="5">
        <v>0</v>
      </c>
      <c r="Y77" s="5">
        <v>923.49</v>
      </c>
    </row>
    <row r="78" spans="1:25" ht="24.75" x14ac:dyDescent="0.25">
      <c r="A78" s="5" t="s">
        <v>26</v>
      </c>
      <c r="B78" s="5" t="s">
        <v>27</v>
      </c>
      <c r="C78" s="5" t="s">
        <v>49</v>
      </c>
      <c r="D78" s="5" t="s">
        <v>67</v>
      </c>
      <c r="E78" s="5" t="s">
        <v>37</v>
      </c>
      <c r="F78" s="5" t="s">
        <v>37</v>
      </c>
      <c r="G78" s="5">
        <v>2019</v>
      </c>
      <c r="H78" s="5" t="str">
        <f>CONCATENATE("94241137671")</f>
        <v>94241137671</v>
      </c>
      <c r="I78" s="5" t="s">
        <v>29</v>
      </c>
      <c r="J78" s="5" t="s">
        <v>36</v>
      </c>
      <c r="K78" s="5" t="str">
        <f>CONCATENATE("")</f>
        <v/>
      </c>
      <c r="L78" s="5" t="str">
        <f>CONCATENATE("11 11.2 4b")</f>
        <v>11 11.2 4b</v>
      </c>
      <c r="M78" s="5" t="str">
        <f>CONCATENATE("ZZIGNN71S20I774Y")</f>
        <v>ZZIGNN71S20I774Y</v>
      </c>
      <c r="N78" s="5" t="s">
        <v>162</v>
      </c>
      <c r="O78" s="5" t="s">
        <v>163</v>
      </c>
      <c r="P78" s="6">
        <v>44013</v>
      </c>
      <c r="Q78" s="5" t="s">
        <v>31</v>
      </c>
      <c r="R78" s="5" t="s">
        <v>32</v>
      </c>
      <c r="S78" s="5" t="s">
        <v>33</v>
      </c>
      <c r="T78" s="5"/>
      <c r="U78" s="7">
        <v>3790.01</v>
      </c>
      <c r="V78" s="7">
        <v>1634.25</v>
      </c>
      <c r="W78" s="7">
        <v>1509.18</v>
      </c>
      <c r="X78" s="5">
        <v>0</v>
      </c>
      <c r="Y78" s="5">
        <v>646.58000000000004</v>
      </c>
    </row>
    <row r="79" spans="1:25" ht="24.75" x14ac:dyDescent="0.25">
      <c r="A79" s="5" t="s">
        <v>26</v>
      </c>
      <c r="B79" s="5" t="s">
        <v>27</v>
      </c>
      <c r="C79" s="5" t="s">
        <v>49</v>
      </c>
      <c r="D79" s="5" t="s">
        <v>67</v>
      </c>
      <c r="E79" s="5" t="s">
        <v>37</v>
      </c>
      <c r="F79" s="5" t="s">
        <v>37</v>
      </c>
      <c r="G79" s="5">
        <v>2019</v>
      </c>
      <c r="H79" s="5" t="str">
        <f>CONCATENATE("94240759640")</f>
        <v>94240759640</v>
      </c>
      <c r="I79" s="5" t="s">
        <v>42</v>
      </c>
      <c r="J79" s="5" t="s">
        <v>36</v>
      </c>
      <c r="K79" s="5" t="str">
        <f>CONCATENATE("")</f>
        <v/>
      </c>
      <c r="L79" s="5" t="str">
        <f>CONCATENATE("11 11.1 4b")</f>
        <v>11 11.1 4b</v>
      </c>
      <c r="M79" s="5" t="str">
        <f>CONCATENATE("TTOCRN67R64G920M")</f>
        <v>TTOCRN67R64G920M</v>
      </c>
      <c r="N79" s="5" t="s">
        <v>164</v>
      </c>
      <c r="O79" s="5" t="s">
        <v>163</v>
      </c>
      <c r="P79" s="6">
        <v>44013</v>
      </c>
      <c r="Q79" s="5" t="s">
        <v>31</v>
      </c>
      <c r="R79" s="5" t="s">
        <v>32</v>
      </c>
      <c r="S79" s="5" t="s">
        <v>33</v>
      </c>
      <c r="T79" s="5"/>
      <c r="U79" s="5">
        <v>68.66</v>
      </c>
      <c r="V79" s="5">
        <v>29.61</v>
      </c>
      <c r="W79" s="5">
        <v>27.34</v>
      </c>
      <c r="X79" s="5">
        <v>0</v>
      </c>
      <c r="Y79" s="5">
        <v>11.71</v>
      </c>
    </row>
    <row r="80" spans="1:25" ht="24.75" x14ac:dyDescent="0.25">
      <c r="A80" s="5" t="s">
        <v>26</v>
      </c>
      <c r="B80" s="5" t="s">
        <v>34</v>
      </c>
      <c r="C80" s="5" t="s">
        <v>49</v>
      </c>
      <c r="D80" s="5" t="s">
        <v>54</v>
      </c>
      <c r="E80" s="5" t="s">
        <v>35</v>
      </c>
      <c r="F80" s="5" t="s">
        <v>97</v>
      </c>
      <c r="G80" s="5">
        <v>2017</v>
      </c>
      <c r="H80" s="5" t="str">
        <f>CONCATENATE("94270174199")</f>
        <v>94270174199</v>
      </c>
      <c r="I80" s="5" t="s">
        <v>42</v>
      </c>
      <c r="J80" s="5" t="s">
        <v>36</v>
      </c>
      <c r="K80" s="5" t="str">
        <f>CONCATENATE("")</f>
        <v/>
      </c>
      <c r="L80" s="5" t="str">
        <f>CONCATENATE("6 6.1 2b")</f>
        <v>6 6.1 2b</v>
      </c>
      <c r="M80" s="5" t="str">
        <f>CONCATENATE("01914540438")</f>
        <v>01914540438</v>
      </c>
      <c r="N80" s="5" t="s">
        <v>165</v>
      </c>
      <c r="O80" s="5" t="s">
        <v>166</v>
      </c>
      <c r="P80" s="6">
        <v>44013</v>
      </c>
      <c r="Q80" s="5" t="s">
        <v>31</v>
      </c>
      <c r="R80" s="5" t="s">
        <v>32</v>
      </c>
      <c r="S80" s="5" t="s">
        <v>33</v>
      </c>
      <c r="T80" s="5"/>
      <c r="U80" s="7">
        <v>42000</v>
      </c>
      <c r="V80" s="7">
        <v>18110.400000000001</v>
      </c>
      <c r="W80" s="7">
        <v>16724.400000000001</v>
      </c>
      <c r="X80" s="5">
        <v>0</v>
      </c>
      <c r="Y80" s="7">
        <v>7165.2</v>
      </c>
    </row>
    <row r="81" spans="1:25" ht="24.75" x14ac:dyDescent="0.25">
      <c r="A81" s="5" t="s">
        <v>26</v>
      </c>
      <c r="B81" s="5" t="s">
        <v>34</v>
      </c>
      <c r="C81" s="5" t="s">
        <v>49</v>
      </c>
      <c r="D81" s="5" t="s">
        <v>54</v>
      </c>
      <c r="E81" s="5" t="s">
        <v>35</v>
      </c>
      <c r="F81" s="5" t="s">
        <v>97</v>
      </c>
      <c r="G81" s="5">
        <v>2017</v>
      </c>
      <c r="H81" s="5" t="str">
        <f>CONCATENATE("94270174207")</f>
        <v>94270174207</v>
      </c>
      <c r="I81" s="5" t="s">
        <v>42</v>
      </c>
      <c r="J81" s="5" t="s">
        <v>36</v>
      </c>
      <c r="K81" s="5" t="str">
        <f>CONCATENATE("")</f>
        <v/>
      </c>
      <c r="L81" s="5" t="str">
        <f>CONCATENATE("4 4.1 2a")</f>
        <v>4 4.1 2a</v>
      </c>
      <c r="M81" s="5" t="str">
        <f>CONCATENATE("01914540438")</f>
        <v>01914540438</v>
      </c>
      <c r="N81" s="5" t="s">
        <v>165</v>
      </c>
      <c r="O81" s="5" t="s">
        <v>167</v>
      </c>
      <c r="P81" s="6">
        <v>44013</v>
      </c>
      <c r="Q81" s="5" t="s">
        <v>31</v>
      </c>
      <c r="R81" s="5" t="s">
        <v>32</v>
      </c>
      <c r="S81" s="5" t="s">
        <v>33</v>
      </c>
      <c r="T81" s="5"/>
      <c r="U81" s="7">
        <v>55294.03</v>
      </c>
      <c r="V81" s="7">
        <v>23842.79</v>
      </c>
      <c r="W81" s="7">
        <v>22018.080000000002</v>
      </c>
      <c r="X81" s="5">
        <v>0</v>
      </c>
      <c r="Y81" s="7">
        <v>9433.16</v>
      </c>
    </row>
    <row r="82" spans="1:25" ht="24.75" x14ac:dyDescent="0.25">
      <c r="A82" s="5" t="s">
        <v>26</v>
      </c>
      <c r="B82" s="5" t="s">
        <v>27</v>
      </c>
      <c r="C82" s="5" t="s">
        <v>49</v>
      </c>
      <c r="D82" s="5" t="s">
        <v>67</v>
      </c>
      <c r="E82" s="5" t="s">
        <v>41</v>
      </c>
      <c r="F82" s="5" t="s">
        <v>168</v>
      </c>
      <c r="G82" s="5">
        <v>2019</v>
      </c>
      <c r="H82" s="5" t="str">
        <f>CONCATENATE("94240545890")</f>
        <v>94240545890</v>
      </c>
      <c r="I82" s="5" t="s">
        <v>29</v>
      </c>
      <c r="J82" s="5" t="s">
        <v>36</v>
      </c>
      <c r="K82" s="5" t="str">
        <f>CONCATENATE("")</f>
        <v/>
      </c>
      <c r="L82" s="5" t="str">
        <f>CONCATENATE("11 11.2 4b")</f>
        <v>11 11.2 4b</v>
      </c>
      <c r="M82" s="5" t="str">
        <f>CONCATENATE("CRULND80D62H224C")</f>
        <v>CRULND80D62H224C</v>
      </c>
      <c r="N82" s="5" t="s">
        <v>169</v>
      </c>
      <c r="O82" s="5" t="s">
        <v>170</v>
      </c>
      <c r="P82" s="6">
        <v>44013</v>
      </c>
      <c r="Q82" s="5" t="s">
        <v>31</v>
      </c>
      <c r="R82" s="5" t="s">
        <v>32</v>
      </c>
      <c r="S82" s="5" t="s">
        <v>33</v>
      </c>
      <c r="T82" s="5"/>
      <c r="U82" s="5">
        <v>978.98</v>
      </c>
      <c r="V82" s="5">
        <v>422.14</v>
      </c>
      <c r="W82" s="5">
        <v>389.83</v>
      </c>
      <c r="X82" s="5">
        <v>0</v>
      </c>
      <c r="Y82" s="5">
        <v>167.01</v>
      </c>
    </row>
    <row r="83" spans="1:25" ht="24.75" x14ac:dyDescent="0.25">
      <c r="A83" s="5" t="s">
        <v>26</v>
      </c>
      <c r="B83" s="5" t="s">
        <v>34</v>
      </c>
      <c r="C83" s="5" t="s">
        <v>49</v>
      </c>
      <c r="D83" s="5" t="s">
        <v>54</v>
      </c>
      <c r="E83" s="5" t="s">
        <v>37</v>
      </c>
      <c r="F83" s="5" t="s">
        <v>37</v>
      </c>
      <c r="G83" s="5">
        <v>2017</v>
      </c>
      <c r="H83" s="5" t="str">
        <f>CONCATENATE("04270070552")</f>
        <v>04270070552</v>
      </c>
      <c r="I83" s="5" t="s">
        <v>29</v>
      </c>
      <c r="J83" s="5" t="s">
        <v>36</v>
      </c>
      <c r="K83" s="5" t="str">
        <f>CONCATENATE("")</f>
        <v/>
      </c>
      <c r="L83" s="5" t="str">
        <f>CONCATENATE("6 6.1 2b")</f>
        <v>6 6.1 2b</v>
      </c>
      <c r="M83" s="5" t="str">
        <f>CONCATENATE("01912770433")</f>
        <v>01912770433</v>
      </c>
      <c r="N83" s="5" t="s">
        <v>157</v>
      </c>
      <c r="O83" s="5" t="s">
        <v>171</v>
      </c>
      <c r="P83" s="6">
        <v>44013</v>
      </c>
      <c r="Q83" s="5" t="s">
        <v>31</v>
      </c>
      <c r="R83" s="5" t="s">
        <v>32</v>
      </c>
      <c r="S83" s="5" t="s">
        <v>33</v>
      </c>
      <c r="T83" s="5"/>
      <c r="U83" s="7">
        <v>15000</v>
      </c>
      <c r="V83" s="7">
        <v>6468</v>
      </c>
      <c r="W83" s="7">
        <v>5973</v>
      </c>
      <c r="X83" s="5">
        <v>0</v>
      </c>
      <c r="Y83" s="7">
        <v>2559</v>
      </c>
    </row>
    <row r="84" spans="1:25" ht="24.75" x14ac:dyDescent="0.25">
      <c r="A84" s="5" t="s">
        <v>26</v>
      </c>
      <c r="B84" s="5" t="s">
        <v>34</v>
      </c>
      <c r="C84" s="5" t="s">
        <v>49</v>
      </c>
      <c r="D84" s="5" t="s">
        <v>67</v>
      </c>
      <c r="E84" s="5" t="s">
        <v>37</v>
      </c>
      <c r="F84" s="5" t="s">
        <v>37</v>
      </c>
      <c r="G84" s="5">
        <v>2017</v>
      </c>
      <c r="H84" s="5" t="str">
        <f>CONCATENATE("84270138377")</f>
        <v>84270138377</v>
      </c>
      <c r="I84" s="5" t="s">
        <v>29</v>
      </c>
      <c r="J84" s="5" t="s">
        <v>36</v>
      </c>
      <c r="K84" s="5" t="str">
        <f>CONCATENATE("")</f>
        <v/>
      </c>
      <c r="L84" s="5" t="str">
        <f>CONCATENATE("1 1.1 2a")</f>
        <v>1 1.1 2a</v>
      </c>
      <c r="M84" s="5" t="str">
        <f>CONCATENATE("01491360424")</f>
        <v>01491360424</v>
      </c>
      <c r="N84" s="5" t="s">
        <v>172</v>
      </c>
      <c r="O84" s="5" t="s">
        <v>173</v>
      </c>
      <c r="P84" s="6">
        <v>44013</v>
      </c>
      <c r="Q84" s="5" t="s">
        <v>31</v>
      </c>
      <c r="R84" s="5" t="s">
        <v>32</v>
      </c>
      <c r="S84" s="5" t="s">
        <v>33</v>
      </c>
      <c r="T84" s="5"/>
      <c r="U84" s="7">
        <v>3899.52</v>
      </c>
      <c r="V84" s="7">
        <v>1681.47</v>
      </c>
      <c r="W84" s="7">
        <v>1552.79</v>
      </c>
      <c r="X84" s="5">
        <v>0</v>
      </c>
      <c r="Y84" s="5">
        <v>665.26</v>
      </c>
    </row>
    <row r="85" spans="1:25" ht="24.75" x14ac:dyDescent="0.25">
      <c r="A85" s="5" t="s">
        <v>26</v>
      </c>
      <c r="B85" s="5" t="s">
        <v>27</v>
      </c>
      <c r="C85" s="5" t="s">
        <v>49</v>
      </c>
      <c r="D85" s="5" t="s">
        <v>64</v>
      </c>
      <c r="E85" s="5" t="s">
        <v>28</v>
      </c>
      <c r="F85" s="5" t="s">
        <v>44</v>
      </c>
      <c r="G85" s="5">
        <v>2019</v>
      </c>
      <c r="H85" s="5" t="str">
        <f>CONCATENATE("94210884626")</f>
        <v>94210884626</v>
      </c>
      <c r="I85" s="5" t="s">
        <v>42</v>
      </c>
      <c r="J85" s="5" t="s">
        <v>36</v>
      </c>
      <c r="K85" s="5" t="str">
        <f>CONCATENATE("")</f>
        <v/>
      </c>
      <c r="L85" s="5" t="str">
        <f>CONCATENATE("12 12.1 4a")</f>
        <v>12 12.1 4a</v>
      </c>
      <c r="M85" s="5" t="str">
        <f>CONCATENATE("02486560408")</f>
        <v>02486560408</v>
      </c>
      <c r="N85" s="5" t="s">
        <v>174</v>
      </c>
      <c r="O85" s="5" t="s">
        <v>175</v>
      </c>
      <c r="P85" s="6">
        <v>44013</v>
      </c>
      <c r="Q85" s="5" t="s">
        <v>31</v>
      </c>
      <c r="R85" s="5" t="s">
        <v>32</v>
      </c>
      <c r="S85" s="5" t="s">
        <v>33</v>
      </c>
      <c r="T85" s="5"/>
      <c r="U85" s="7">
        <v>3507.4</v>
      </c>
      <c r="V85" s="7">
        <v>1512.39</v>
      </c>
      <c r="W85" s="7">
        <v>1396.65</v>
      </c>
      <c r="X85" s="5">
        <v>0</v>
      </c>
      <c r="Y85" s="5">
        <v>598.36</v>
      </c>
    </row>
    <row r="86" spans="1:25" x14ac:dyDescent="0.25">
      <c r="A86" s="5" t="s">
        <v>26</v>
      </c>
      <c r="B86" s="5" t="s">
        <v>27</v>
      </c>
      <c r="C86" s="5" t="s">
        <v>49</v>
      </c>
      <c r="D86" s="5" t="s">
        <v>54</v>
      </c>
      <c r="E86" s="5" t="s">
        <v>35</v>
      </c>
      <c r="F86" s="5" t="s">
        <v>72</v>
      </c>
      <c r="G86" s="5">
        <v>2019</v>
      </c>
      <c r="H86" s="5" t="str">
        <f>CONCATENATE("94770036518")</f>
        <v>94770036518</v>
      </c>
      <c r="I86" s="5" t="s">
        <v>29</v>
      </c>
      <c r="J86" s="5" t="s">
        <v>30</v>
      </c>
      <c r="K86" s="5" t="str">
        <f>CONCATENATE("214")</f>
        <v>214</v>
      </c>
      <c r="L86" s="5" t="str">
        <f>CONCATENATE("11 11.2 4b")</f>
        <v>11 11.2 4b</v>
      </c>
      <c r="M86" s="5" t="str">
        <f>CONCATENATE("CNFNLL53D24I156R")</f>
        <v>CNFNLL53D24I156R</v>
      </c>
      <c r="N86" s="5" t="s">
        <v>176</v>
      </c>
      <c r="O86" s="5" t="s">
        <v>128</v>
      </c>
      <c r="P86" s="6">
        <v>44013</v>
      </c>
      <c r="Q86" s="5" t="s">
        <v>31</v>
      </c>
      <c r="R86" s="5" t="s">
        <v>32</v>
      </c>
      <c r="S86" s="5" t="s">
        <v>33</v>
      </c>
      <c r="T86" s="5"/>
      <c r="U86" s="5">
        <v>506.29</v>
      </c>
      <c r="V86" s="5">
        <v>218.31</v>
      </c>
      <c r="W86" s="5">
        <v>201.6</v>
      </c>
      <c r="X86" s="5">
        <v>0</v>
      </c>
      <c r="Y86" s="5">
        <v>86.38</v>
      </c>
    </row>
    <row r="87" spans="1:25" x14ac:dyDescent="0.25">
      <c r="A87" s="5" t="s">
        <v>26</v>
      </c>
      <c r="B87" s="5" t="s">
        <v>27</v>
      </c>
      <c r="C87" s="5" t="s">
        <v>49</v>
      </c>
      <c r="D87" s="5" t="s">
        <v>54</v>
      </c>
      <c r="E87" s="5" t="s">
        <v>45</v>
      </c>
      <c r="F87" s="5" t="s">
        <v>70</v>
      </c>
      <c r="G87" s="5">
        <v>2019</v>
      </c>
      <c r="H87" s="5" t="str">
        <f>CONCATENATE("94770043837")</f>
        <v>94770043837</v>
      </c>
      <c r="I87" s="5" t="s">
        <v>29</v>
      </c>
      <c r="J87" s="5" t="s">
        <v>30</v>
      </c>
      <c r="K87" s="5" t="str">
        <f>CONCATENATE("214")</f>
        <v>214</v>
      </c>
      <c r="L87" s="5" t="str">
        <f>CONCATENATE("11 11.2 4b")</f>
        <v>11 11.2 4b</v>
      </c>
      <c r="M87" s="5" t="str">
        <f>CONCATENATE("PRGPPL74E24I436K")</f>
        <v>PRGPPL74E24I436K</v>
      </c>
      <c r="N87" s="5" t="s">
        <v>177</v>
      </c>
      <c r="O87" s="5" t="s">
        <v>128</v>
      </c>
      <c r="P87" s="6">
        <v>44013</v>
      </c>
      <c r="Q87" s="5" t="s">
        <v>31</v>
      </c>
      <c r="R87" s="5" t="s">
        <v>32</v>
      </c>
      <c r="S87" s="5" t="s">
        <v>33</v>
      </c>
      <c r="T87" s="5"/>
      <c r="U87" s="5">
        <v>652.17999999999995</v>
      </c>
      <c r="V87" s="5">
        <v>281.22000000000003</v>
      </c>
      <c r="W87" s="5">
        <v>259.7</v>
      </c>
      <c r="X87" s="5">
        <v>0</v>
      </c>
      <c r="Y87" s="5">
        <v>111.26</v>
      </c>
    </row>
    <row r="88" spans="1:25" x14ac:dyDescent="0.25">
      <c r="A88" s="5" t="s">
        <v>26</v>
      </c>
      <c r="B88" s="5" t="s">
        <v>27</v>
      </c>
      <c r="C88" s="5" t="s">
        <v>49</v>
      </c>
      <c r="D88" s="5" t="s">
        <v>54</v>
      </c>
      <c r="E88" s="5" t="s">
        <v>35</v>
      </c>
      <c r="F88" s="5" t="s">
        <v>72</v>
      </c>
      <c r="G88" s="5">
        <v>2019</v>
      </c>
      <c r="H88" s="5" t="str">
        <f>CONCATENATE("94770049438")</f>
        <v>94770049438</v>
      </c>
      <c r="I88" s="5" t="s">
        <v>29</v>
      </c>
      <c r="J88" s="5" t="s">
        <v>30</v>
      </c>
      <c r="K88" s="5" t="str">
        <f>CONCATENATE("214")</f>
        <v>214</v>
      </c>
      <c r="L88" s="5" t="str">
        <f>CONCATENATE("11 11.2 4b")</f>
        <v>11 11.2 4b</v>
      </c>
      <c r="M88" s="5" t="str">
        <f>CONCATENATE("CNTNGL56E05I156K")</f>
        <v>CNTNGL56E05I156K</v>
      </c>
      <c r="N88" s="5" t="s">
        <v>178</v>
      </c>
      <c r="O88" s="5" t="s">
        <v>128</v>
      </c>
      <c r="P88" s="6">
        <v>44013</v>
      </c>
      <c r="Q88" s="5" t="s">
        <v>31</v>
      </c>
      <c r="R88" s="5" t="s">
        <v>32</v>
      </c>
      <c r="S88" s="5" t="s">
        <v>33</v>
      </c>
      <c r="T88" s="5"/>
      <c r="U88" s="5">
        <v>882.67</v>
      </c>
      <c r="V88" s="5">
        <v>380.61</v>
      </c>
      <c r="W88" s="5">
        <v>351.48</v>
      </c>
      <c r="X88" s="5">
        <v>0</v>
      </c>
      <c r="Y88" s="5">
        <v>150.58000000000001</v>
      </c>
    </row>
    <row r="89" spans="1:25" x14ac:dyDescent="0.25">
      <c r="A89" s="5" t="s">
        <v>26</v>
      </c>
      <c r="B89" s="5" t="s">
        <v>27</v>
      </c>
      <c r="C89" s="5" t="s">
        <v>49</v>
      </c>
      <c r="D89" s="5" t="s">
        <v>54</v>
      </c>
      <c r="E89" s="5" t="s">
        <v>35</v>
      </c>
      <c r="F89" s="5" t="s">
        <v>55</v>
      </c>
      <c r="G89" s="5">
        <v>2019</v>
      </c>
      <c r="H89" s="5" t="str">
        <f>CONCATENATE("94770031980")</f>
        <v>94770031980</v>
      </c>
      <c r="I89" s="5" t="s">
        <v>29</v>
      </c>
      <c r="J89" s="5" t="s">
        <v>30</v>
      </c>
      <c r="K89" s="5" t="str">
        <f>CONCATENATE("214")</f>
        <v>214</v>
      </c>
      <c r="L89" s="5" t="str">
        <f>CONCATENATE("11 11.2 4b")</f>
        <v>11 11.2 4b</v>
      </c>
      <c r="M89" s="5" t="str">
        <f>CONCATENATE("MRCFBA70M30F051R")</f>
        <v>MRCFBA70M30F051R</v>
      </c>
      <c r="N89" s="5" t="s">
        <v>179</v>
      </c>
      <c r="O89" s="5" t="s">
        <v>128</v>
      </c>
      <c r="P89" s="6">
        <v>44013</v>
      </c>
      <c r="Q89" s="5" t="s">
        <v>31</v>
      </c>
      <c r="R89" s="5" t="s">
        <v>32</v>
      </c>
      <c r="S89" s="5" t="s">
        <v>33</v>
      </c>
      <c r="T89" s="5"/>
      <c r="U89" s="7">
        <v>5001.62</v>
      </c>
      <c r="V89" s="7">
        <v>2156.6999999999998</v>
      </c>
      <c r="W89" s="7">
        <v>1991.65</v>
      </c>
      <c r="X89" s="5">
        <v>0</v>
      </c>
      <c r="Y89" s="5">
        <v>853.27</v>
      </c>
    </row>
    <row r="90" spans="1:25" ht="24.75" x14ac:dyDescent="0.25">
      <c r="A90" s="5" t="s">
        <v>26</v>
      </c>
      <c r="B90" s="5" t="s">
        <v>27</v>
      </c>
      <c r="C90" s="5" t="s">
        <v>49</v>
      </c>
      <c r="D90" s="5" t="s">
        <v>67</v>
      </c>
      <c r="E90" s="5" t="s">
        <v>41</v>
      </c>
      <c r="F90" s="5" t="s">
        <v>135</v>
      </c>
      <c r="G90" s="5">
        <v>2018</v>
      </c>
      <c r="H90" s="5" t="str">
        <f>CONCATENATE("84240798268")</f>
        <v>84240798268</v>
      </c>
      <c r="I90" s="5" t="s">
        <v>29</v>
      </c>
      <c r="J90" s="5" t="s">
        <v>36</v>
      </c>
      <c r="K90" s="5" t="str">
        <f>CONCATENATE("")</f>
        <v/>
      </c>
      <c r="L90" s="5" t="str">
        <f>CONCATENATE("11 11.1 4b")</f>
        <v>11 11.1 4b</v>
      </c>
      <c r="M90" s="5" t="str">
        <f>CONCATENATE("GNNLCU96D30A252H")</f>
        <v>GNNLCU96D30A252H</v>
      </c>
      <c r="N90" s="5" t="s">
        <v>180</v>
      </c>
      <c r="O90" s="5" t="s">
        <v>170</v>
      </c>
      <c r="P90" s="6">
        <v>44013</v>
      </c>
      <c r="Q90" s="5" t="s">
        <v>31</v>
      </c>
      <c r="R90" s="5" t="s">
        <v>32</v>
      </c>
      <c r="S90" s="5" t="s">
        <v>33</v>
      </c>
      <c r="T90" s="5"/>
      <c r="U90" s="7">
        <v>2459.0500000000002</v>
      </c>
      <c r="V90" s="7">
        <v>1060.3399999999999</v>
      </c>
      <c r="W90" s="5">
        <v>979.19</v>
      </c>
      <c r="X90" s="5">
        <v>0</v>
      </c>
      <c r="Y90" s="5">
        <v>419.52</v>
      </c>
    </row>
    <row r="91" spans="1:25" x14ac:dyDescent="0.25">
      <c r="A91" s="5" t="s">
        <v>26</v>
      </c>
      <c r="B91" s="5" t="s">
        <v>34</v>
      </c>
      <c r="C91" s="5" t="s">
        <v>49</v>
      </c>
      <c r="D91" s="5" t="s">
        <v>54</v>
      </c>
      <c r="E91" s="5" t="s">
        <v>37</v>
      </c>
      <c r="F91" s="5" t="s">
        <v>37</v>
      </c>
      <c r="G91" s="5">
        <v>2017</v>
      </c>
      <c r="H91" s="5" t="str">
        <f>CONCATENATE("04270067699")</f>
        <v>04270067699</v>
      </c>
      <c r="I91" s="5" t="s">
        <v>42</v>
      </c>
      <c r="J91" s="5" t="s">
        <v>36</v>
      </c>
      <c r="K91" s="5" t="str">
        <f>CONCATENATE("")</f>
        <v/>
      </c>
      <c r="L91" s="5" t="str">
        <f>CONCATENATE("1 1.1 2a")</f>
        <v>1 1.1 2a</v>
      </c>
      <c r="M91" s="5" t="str">
        <f>CONCATENATE("02051370423")</f>
        <v>02051370423</v>
      </c>
      <c r="N91" s="5" t="s">
        <v>181</v>
      </c>
      <c r="O91" s="5" t="s">
        <v>182</v>
      </c>
      <c r="P91" s="6">
        <v>44013</v>
      </c>
      <c r="Q91" s="5" t="s">
        <v>31</v>
      </c>
      <c r="R91" s="5" t="s">
        <v>32</v>
      </c>
      <c r="S91" s="5" t="s">
        <v>33</v>
      </c>
      <c r="T91" s="5"/>
      <c r="U91" s="7">
        <v>1584</v>
      </c>
      <c r="V91" s="5">
        <v>683.02</v>
      </c>
      <c r="W91" s="5">
        <v>630.75</v>
      </c>
      <c r="X91" s="5">
        <v>0</v>
      </c>
      <c r="Y91" s="5">
        <v>270.23</v>
      </c>
    </row>
    <row r="92" spans="1:25" ht="24.75" x14ac:dyDescent="0.25">
      <c r="A92" s="5" t="s">
        <v>26</v>
      </c>
      <c r="B92" s="5" t="s">
        <v>34</v>
      </c>
      <c r="C92" s="5" t="s">
        <v>49</v>
      </c>
      <c r="D92" s="5" t="s">
        <v>64</v>
      </c>
      <c r="E92" s="5" t="s">
        <v>37</v>
      </c>
      <c r="F92" s="5" t="s">
        <v>37</v>
      </c>
      <c r="G92" s="5">
        <v>2017</v>
      </c>
      <c r="H92" s="5" t="str">
        <f>CONCATENATE("94270174173")</f>
        <v>94270174173</v>
      </c>
      <c r="I92" s="5" t="s">
        <v>29</v>
      </c>
      <c r="J92" s="5" t="s">
        <v>36</v>
      </c>
      <c r="K92" s="5" t="str">
        <f>CONCATENATE("")</f>
        <v/>
      </c>
      <c r="L92" s="5" t="str">
        <f>CONCATENATE("1 1.1 2a")</f>
        <v>1 1.1 2a</v>
      </c>
      <c r="M92" s="5" t="str">
        <f>CONCATENATE("02051370423")</f>
        <v>02051370423</v>
      </c>
      <c r="N92" s="5" t="s">
        <v>181</v>
      </c>
      <c r="O92" s="5" t="s">
        <v>183</v>
      </c>
      <c r="P92" s="6">
        <v>44013</v>
      </c>
      <c r="Q92" s="5" t="s">
        <v>31</v>
      </c>
      <c r="R92" s="5" t="s">
        <v>32</v>
      </c>
      <c r="S92" s="5" t="s">
        <v>33</v>
      </c>
      <c r="T92" s="5"/>
      <c r="U92" s="7">
        <v>2988.69</v>
      </c>
      <c r="V92" s="7">
        <v>1288.72</v>
      </c>
      <c r="W92" s="7">
        <v>1190.0999999999999</v>
      </c>
      <c r="X92" s="5">
        <v>0</v>
      </c>
      <c r="Y92" s="5">
        <v>509.87</v>
      </c>
    </row>
    <row r="93" spans="1:25" ht="24.75" x14ac:dyDescent="0.25">
      <c r="A93" s="5" t="s">
        <v>26</v>
      </c>
      <c r="B93" s="5" t="s">
        <v>34</v>
      </c>
      <c r="C93" s="5" t="s">
        <v>49</v>
      </c>
      <c r="D93" s="5" t="s">
        <v>64</v>
      </c>
      <c r="E93" s="5" t="s">
        <v>37</v>
      </c>
      <c r="F93" s="5" t="s">
        <v>37</v>
      </c>
      <c r="G93" s="5">
        <v>2017</v>
      </c>
      <c r="H93" s="5" t="str">
        <f>CONCATENATE("94270174165")</f>
        <v>94270174165</v>
      </c>
      <c r="I93" s="5" t="s">
        <v>29</v>
      </c>
      <c r="J93" s="5" t="s">
        <v>36</v>
      </c>
      <c r="K93" s="5" t="str">
        <f>CONCATENATE("")</f>
        <v/>
      </c>
      <c r="L93" s="5" t="str">
        <f>CONCATENATE("1 1.1 2a")</f>
        <v>1 1.1 2a</v>
      </c>
      <c r="M93" s="5" t="str">
        <f>CONCATENATE("02051370423")</f>
        <v>02051370423</v>
      </c>
      <c r="N93" s="5" t="s">
        <v>181</v>
      </c>
      <c r="O93" s="5" t="s">
        <v>183</v>
      </c>
      <c r="P93" s="6">
        <v>44013</v>
      </c>
      <c r="Q93" s="5" t="s">
        <v>31</v>
      </c>
      <c r="R93" s="5" t="s">
        <v>32</v>
      </c>
      <c r="S93" s="5" t="s">
        <v>33</v>
      </c>
      <c r="T93" s="5"/>
      <c r="U93" s="7">
        <v>4500.8599999999997</v>
      </c>
      <c r="V93" s="7">
        <v>1940.77</v>
      </c>
      <c r="W93" s="7">
        <v>1792.24</v>
      </c>
      <c r="X93" s="5">
        <v>0</v>
      </c>
      <c r="Y93" s="5">
        <v>767.85</v>
      </c>
    </row>
    <row r="94" spans="1:25" ht="24.75" x14ac:dyDescent="0.25">
      <c r="A94" s="5" t="s">
        <v>26</v>
      </c>
      <c r="B94" s="5" t="s">
        <v>34</v>
      </c>
      <c r="C94" s="5" t="s">
        <v>49</v>
      </c>
      <c r="D94" s="5" t="s">
        <v>64</v>
      </c>
      <c r="E94" s="5" t="s">
        <v>37</v>
      </c>
      <c r="F94" s="5" t="s">
        <v>37</v>
      </c>
      <c r="G94" s="5">
        <v>2017</v>
      </c>
      <c r="H94" s="5" t="str">
        <f>CONCATENATE("04270070479")</f>
        <v>04270070479</v>
      </c>
      <c r="I94" s="5" t="s">
        <v>29</v>
      </c>
      <c r="J94" s="5" t="s">
        <v>36</v>
      </c>
      <c r="K94" s="5" t="str">
        <f>CONCATENATE("")</f>
        <v/>
      </c>
      <c r="L94" s="5" t="str">
        <f>CONCATENATE("1 1.1 2a")</f>
        <v>1 1.1 2a</v>
      </c>
      <c r="M94" s="5" t="str">
        <f>CONCATENATE("02051370423")</f>
        <v>02051370423</v>
      </c>
      <c r="N94" s="5" t="s">
        <v>181</v>
      </c>
      <c r="O94" s="5" t="s">
        <v>184</v>
      </c>
      <c r="P94" s="6">
        <v>44013</v>
      </c>
      <c r="Q94" s="5" t="s">
        <v>31</v>
      </c>
      <c r="R94" s="5" t="s">
        <v>32</v>
      </c>
      <c r="S94" s="5" t="s">
        <v>33</v>
      </c>
      <c r="T94" s="5"/>
      <c r="U94" s="7">
        <v>1100</v>
      </c>
      <c r="V94" s="5">
        <v>474.32</v>
      </c>
      <c r="W94" s="5">
        <v>438.02</v>
      </c>
      <c r="X94" s="5">
        <v>0</v>
      </c>
      <c r="Y94" s="5">
        <v>187.66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2020-07-07T09:44:16Z</dcterms:created>
  <dcterms:modified xsi:type="dcterms:W3CDTF">2020-07-07T09:44:51Z</dcterms:modified>
</cp:coreProperties>
</file>