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62\"/>
    </mc:Choice>
  </mc:AlternateContent>
  <xr:revisionPtr revIDLastSave="0" documentId="8_{43CD5166-E017-480B-A67D-D5CE288DA877}" xr6:coauthVersionLast="45" xr6:coauthVersionMax="45" xr10:uidLastSave="{00000000-0000-0000-0000-000000000000}"/>
  <bookViews>
    <workbookView xWindow="-120" yWindow="-120" windowWidth="20730" windowHeight="11160" xr2:uid="{247DB895-4342-4DFB-B994-3C384649CFA2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6" i="1" l="1"/>
  <c r="L296" i="1"/>
  <c r="K296" i="1"/>
  <c r="H296" i="1"/>
  <c r="M295" i="1"/>
  <c r="L295" i="1"/>
  <c r="K295" i="1"/>
  <c r="H295" i="1"/>
  <c r="M294" i="1"/>
  <c r="L294" i="1"/>
  <c r="K294" i="1"/>
  <c r="H294" i="1"/>
  <c r="M293" i="1"/>
  <c r="L293" i="1"/>
  <c r="K293" i="1"/>
  <c r="H293" i="1"/>
  <c r="M292" i="1"/>
  <c r="L292" i="1"/>
  <c r="K292" i="1"/>
  <c r="H292" i="1"/>
  <c r="M291" i="1"/>
  <c r="L291" i="1"/>
  <c r="K291" i="1"/>
  <c r="H291" i="1"/>
  <c r="M290" i="1"/>
  <c r="L290" i="1"/>
  <c r="K290" i="1"/>
  <c r="H290" i="1"/>
  <c r="M289" i="1"/>
  <c r="L289" i="1"/>
  <c r="K289" i="1"/>
  <c r="H289" i="1"/>
  <c r="M288" i="1"/>
  <c r="L288" i="1"/>
  <c r="K288" i="1"/>
  <c r="H288" i="1"/>
  <c r="M287" i="1"/>
  <c r="L287" i="1"/>
  <c r="K287" i="1"/>
  <c r="H287" i="1"/>
  <c r="M286" i="1"/>
  <c r="L286" i="1"/>
  <c r="K286" i="1"/>
  <c r="H286" i="1"/>
  <c r="M285" i="1"/>
  <c r="L285" i="1"/>
  <c r="K285" i="1"/>
  <c r="H285" i="1"/>
  <c r="M284" i="1"/>
  <c r="L284" i="1"/>
  <c r="K284" i="1"/>
  <c r="H284" i="1"/>
  <c r="M283" i="1"/>
  <c r="L283" i="1"/>
  <c r="K283" i="1"/>
  <c r="H283" i="1"/>
  <c r="M282" i="1"/>
  <c r="L282" i="1"/>
  <c r="K282" i="1"/>
  <c r="H282" i="1"/>
  <c r="M281" i="1"/>
  <c r="L281" i="1"/>
  <c r="K281" i="1"/>
  <c r="H281" i="1"/>
  <c r="M280" i="1"/>
  <c r="L280" i="1"/>
  <c r="K280" i="1"/>
  <c r="H280" i="1"/>
  <c r="M279" i="1"/>
  <c r="L279" i="1"/>
  <c r="K279" i="1"/>
  <c r="H279" i="1"/>
  <c r="M278" i="1"/>
  <c r="L278" i="1"/>
  <c r="K278" i="1"/>
  <c r="H278" i="1"/>
  <c r="M277" i="1"/>
  <c r="L277" i="1"/>
  <c r="K277" i="1"/>
  <c r="H277" i="1"/>
  <c r="M276" i="1"/>
  <c r="L276" i="1"/>
  <c r="K276" i="1"/>
  <c r="H276" i="1"/>
  <c r="M275" i="1"/>
  <c r="L275" i="1"/>
  <c r="K275" i="1"/>
  <c r="H275" i="1"/>
  <c r="M274" i="1"/>
  <c r="L274" i="1"/>
  <c r="K274" i="1"/>
  <c r="H274" i="1"/>
  <c r="M273" i="1"/>
  <c r="L273" i="1"/>
  <c r="K273" i="1"/>
  <c r="H273" i="1"/>
  <c r="M272" i="1"/>
  <c r="L272" i="1"/>
  <c r="K272" i="1"/>
  <c r="H272" i="1"/>
  <c r="M271" i="1"/>
  <c r="L271" i="1"/>
  <c r="K271" i="1"/>
  <c r="H271" i="1"/>
  <c r="M270" i="1"/>
  <c r="L270" i="1"/>
  <c r="K270" i="1"/>
  <c r="H270" i="1"/>
  <c r="M269" i="1"/>
  <c r="L269" i="1"/>
  <c r="K269" i="1"/>
  <c r="H269" i="1"/>
  <c r="M268" i="1"/>
  <c r="L268" i="1"/>
  <c r="K268" i="1"/>
  <c r="H268" i="1"/>
  <c r="M267" i="1"/>
  <c r="L267" i="1"/>
  <c r="K267" i="1"/>
  <c r="H267" i="1"/>
  <c r="M266" i="1"/>
  <c r="L266" i="1"/>
  <c r="K266" i="1"/>
  <c r="H266" i="1"/>
  <c r="M265" i="1"/>
  <c r="L265" i="1"/>
  <c r="K265" i="1"/>
  <c r="H265" i="1"/>
  <c r="M264" i="1"/>
  <c r="L264" i="1"/>
  <c r="K264" i="1"/>
  <c r="H264" i="1"/>
  <c r="M263" i="1"/>
  <c r="L263" i="1"/>
  <c r="K263" i="1"/>
  <c r="H263" i="1"/>
  <c r="M262" i="1"/>
  <c r="L262" i="1"/>
  <c r="K262" i="1"/>
  <c r="H262" i="1"/>
  <c r="M261" i="1"/>
  <c r="L261" i="1"/>
  <c r="K261" i="1"/>
  <c r="H261" i="1"/>
  <c r="M260" i="1"/>
  <c r="L260" i="1"/>
  <c r="K260" i="1"/>
  <c r="H260" i="1"/>
  <c r="M259" i="1"/>
  <c r="L259" i="1"/>
  <c r="K259" i="1"/>
  <c r="H259" i="1"/>
  <c r="M258" i="1"/>
  <c r="L258" i="1"/>
  <c r="K258" i="1"/>
  <c r="H258" i="1"/>
  <c r="M257" i="1"/>
  <c r="L257" i="1"/>
  <c r="K257" i="1"/>
  <c r="H257" i="1"/>
  <c r="M256" i="1"/>
  <c r="L256" i="1"/>
  <c r="K256" i="1"/>
  <c r="H256" i="1"/>
  <c r="M255" i="1"/>
  <c r="L255" i="1"/>
  <c r="K255" i="1"/>
  <c r="H255" i="1"/>
  <c r="M254" i="1"/>
  <c r="L254" i="1"/>
  <c r="K254" i="1"/>
  <c r="H254" i="1"/>
  <c r="M253" i="1"/>
  <c r="L253" i="1"/>
  <c r="K253" i="1"/>
  <c r="H253" i="1"/>
  <c r="M252" i="1"/>
  <c r="L252" i="1"/>
  <c r="K252" i="1"/>
  <c r="H252" i="1"/>
  <c r="M251" i="1"/>
  <c r="L251" i="1"/>
  <c r="K251" i="1"/>
  <c r="H251" i="1"/>
  <c r="M250" i="1"/>
  <c r="L250" i="1"/>
  <c r="K250" i="1"/>
  <c r="H250" i="1"/>
  <c r="M249" i="1"/>
  <c r="L249" i="1"/>
  <c r="K249" i="1"/>
  <c r="H249" i="1"/>
  <c r="M248" i="1"/>
  <c r="L248" i="1"/>
  <c r="K248" i="1"/>
  <c r="H248" i="1"/>
  <c r="M247" i="1"/>
  <c r="L247" i="1"/>
  <c r="K247" i="1"/>
  <c r="H247" i="1"/>
  <c r="M246" i="1"/>
  <c r="L246" i="1"/>
  <c r="K246" i="1"/>
  <c r="H246" i="1"/>
  <c r="M245" i="1"/>
  <c r="L245" i="1"/>
  <c r="K245" i="1"/>
  <c r="H245" i="1"/>
  <c r="M244" i="1"/>
  <c r="L244" i="1"/>
  <c r="K244" i="1"/>
  <c r="H244" i="1"/>
  <c r="M243" i="1"/>
  <c r="L243" i="1"/>
  <c r="K243" i="1"/>
  <c r="H243" i="1"/>
  <c r="M242" i="1"/>
  <c r="L242" i="1"/>
  <c r="K242" i="1"/>
  <c r="H242" i="1"/>
  <c r="M241" i="1"/>
  <c r="L241" i="1"/>
  <c r="K241" i="1"/>
  <c r="H241" i="1"/>
  <c r="M240" i="1"/>
  <c r="L240" i="1"/>
  <c r="K240" i="1"/>
  <c r="H240" i="1"/>
  <c r="M239" i="1"/>
  <c r="L239" i="1"/>
  <c r="K239" i="1"/>
  <c r="H239" i="1"/>
  <c r="M238" i="1"/>
  <c r="L238" i="1"/>
  <c r="K238" i="1"/>
  <c r="H238" i="1"/>
  <c r="M237" i="1"/>
  <c r="L237" i="1"/>
  <c r="K237" i="1"/>
  <c r="H237" i="1"/>
  <c r="M236" i="1"/>
  <c r="L236" i="1"/>
  <c r="K236" i="1"/>
  <c r="H236" i="1"/>
  <c r="M235" i="1"/>
  <c r="L235" i="1"/>
  <c r="K235" i="1"/>
  <c r="H235" i="1"/>
  <c r="M234" i="1"/>
  <c r="L234" i="1"/>
  <c r="K234" i="1"/>
  <c r="H234" i="1"/>
  <c r="M233" i="1"/>
  <c r="L233" i="1"/>
  <c r="K233" i="1"/>
  <c r="H233" i="1"/>
  <c r="M232" i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<sst xmlns="http://schemas.openxmlformats.org/spreadsheetml/2006/main" count="3835" uniqueCount="384">
  <si>
    <t>Dettaglio Domande Pagabili Decreto 362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</si>
  <si>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</si>
  <si>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</si>
  <si>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</si>
  <si>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</si>
  <si>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</si>
  <si>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</si>
  <si>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</si>
  <si>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</si>
  <si>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</si>
  <si>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</si>
  <si>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</si>
  <si>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</si>
  <si>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</si>
  <si>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</si>
  <si>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</si>
  <si>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</si>
  <si>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</si>
  <si>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</si>
  <si>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</si>
  <si>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</si>
  <si>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</si>
  <si>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</si>
  <si>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</si>
  <si>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</si>
  <si>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</si>
  <si>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</si>
  <si>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</si>
  <si>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Coldiretti srl</t>
  </si>
  <si>
    <t>NO</t>
  </si>
  <si>
    <t>Trascinamenti</t>
  </si>
  <si>
    <t>In Liquidazione</t>
  </si>
  <si>
    <t>Saldo</t>
  </si>
  <si>
    <t>Co-Finanziato</t>
  </si>
  <si>
    <t>Misure Strutturali</t>
  </si>
  <si>
    <t>CAA CIA srl</t>
  </si>
  <si>
    <t>Nuova Programmazione</t>
  </si>
  <si>
    <t>SI</t>
  </si>
  <si>
    <t>CAA-CAF AGRI S.R.L.</t>
  </si>
  <si>
    <t>CAA Confagricoltura srl</t>
  </si>
  <si>
    <t>IN PROPRIO</t>
  </si>
  <si>
    <t>Anticipo</t>
  </si>
  <si>
    <t>SAL</t>
  </si>
  <si>
    <t>CAA AGRISERVIZI s.r.l.</t>
  </si>
  <si>
    <t>CAA UNICAA srl</t>
  </si>
  <si>
    <t>CAA LiberiAgricoltori srl già CAA AGCI srl</t>
  </si>
  <si>
    <t>CAA degli Agricoltori Srl</t>
  </si>
  <si>
    <t>CAA Liberi Professionisti srl</t>
  </si>
  <si>
    <t>CAA Coldiretti - VITERBO - 007</t>
  </si>
  <si>
    <t>ROSSI FRANCO</t>
  </si>
  <si>
    <t>MARCHE</t>
  </si>
  <si>
    <t>SERV. DEC. AGRICOLTURA E ALIMENTAZIONE - ANCONA</t>
  </si>
  <si>
    <t>CAA Coldiretti - ANCONA - 003</t>
  </si>
  <si>
    <t>SOCIETA' SEMPLICE AGRICOLA "LA COLLINA" DI BRACACCINI E CURSI</t>
  </si>
  <si>
    <t>AGEA.ASR.2019.1037909</t>
  </si>
  <si>
    <t>IMPRESA VERDE MARCHE SRL</t>
  </si>
  <si>
    <t>AGEA.ASR.2020.0336044</t>
  </si>
  <si>
    <t>SERV. DEC. AGRICOLTURA E ALIM. - MACERATA</t>
  </si>
  <si>
    <t>SERV. DEC. AGRICOLTURA E ALIM. -ASCOLI PICENO</t>
  </si>
  <si>
    <t>CAA Coldiretti - ASCOLI PICENO - 010</t>
  </si>
  <si>
    <t>PAOLINA SOCIETA' AGRICOLA SEMPLICE DEI FRATELLI CAMACCI</t>
  </si>
  <si>
    <t>AGEA.ASR.2020.0338201</t>
  </si>
  <si>
    <t>SERV. DEC. AGRICOLTURA E ALIMENTAZIONE - PESARO</t>
  </si>
  <si>
    <t>CAA Coldiretti - PESARO E URBINO - 013</t>
  </si>
  <si>
    <t>TAMBURINI ARNALDO</t>
  </si>
  <si>
    <t>CAA Coldiretti - FERMO - 001</t>
  </si>
  <si>
    <t>ACCORSI CARLO</t>
  </si>
  <si>
    <t>CAA UNICAA - ASCOLI PICENO - 003</t>
  </si>
  <si>
    <t>AZ. AGRICOLA COLLE CERRETO DI PERONI GIUSEPPE &amp; C. SOC. SEMPLICE</t>
  </si>
  <si>
    <t>CAA UNICAA - ANCONA - 003</t>
  </si>
  <si>
    <t>CALANDA NICOLO'</t>
  </si>
  <si>
    <t>CAA Coldiretti - PESARO E URBINO - 008</t>
  </si>
  <si>
    <t>FORMICA GIANLUCA</t>
  </si>
  <si>
    <t>CAA Confagricoltura - PESARO E URBINO - 001</t>
  </si>
  <si>
    <t>MIGIANI TIZIANO</t>
  </si>
  <si>
    <t>CAA CIA - PESARO E URBINO - 008</t>
  </si>
  <si>
    <t>NONNI PAOLO</t>
  </si>
  <si>
    <t>CAA CAF AGRI - ANCONA - 228</t>
  </si>
  <si>
    <t>OTTAVIANI TERESA</t>
  </si>
  <si>
    <t>PERI BRUNO</t>
  </si>
  <si>
    <t>PIERANI BRUNO</t>
  </si>
  <si>
    <t>CAA Coldiretti - PESARO E URBINO - 001</t>
  </si>
  <si>
    <t>TRUFELLI PATRIZIA</t>
  </si>
  <si>
    <t>CAA LiberiAgricoltori - PESARO E URBINO - 001</t>
  </si>
  <si>
    <t>UGOLINI LUCA</t>
  </si>
  <si>
    <t>CAA CIA - PESARO E URBINO - 002</t>
  </si>
  <si>
    <t>BORGOGNONI LIDIA</t>
  </si>
  <si>
    <t>CAA Coldiretti - ANCONA - 002</t>
  </si>
  <si>
    <t>CICCOLINI ROBERTO</t>
  </si>
  <si>
    <t>CAA CAF AGRI - ASCOLI PICENO - 222</t>
  </si>
  <si>
    <t>CONTI VINCENZO</t>
  </si>
  <si>
    <t>CAA CAF AGRI - ANCONA - 225</t>
  </si>
  <si>
    <t>GALLI ANNUNZIATA</t>
  </si>
  <si>
    <t>CAA Coldiretti - PESARO E URBINO - 006</t>
  </si>
  <si>
    <t>STORONI CESARE</t>
  </si>
  <si>
    <t>LAURI MARIO</t>
  </si>
  <si>
    <t>MARCACCINI GIUSEPPE</t>
  </si>
  <si>
    <t>CAA Coldiretti - MACERATA - 017</t>
  </si>
  <si>
    <t>PAPILLI MARIO</t>
  </si>
  <si>
    <t>CAA CIA - PESARO E URBINO - 005</t>
  </si>
  <si>
    <t>PIERETTI FAUSTO</t>
  </si>
  <si>
    <t>CAA Coldiretti - ANCONA - 005</t>
  </si>
  <si>
    <t>VECCHI TOMMASO</t>
  </si>
  <si>
    <t>BALDUCCI GABRIELE</t>
  </si>
  <si>
    <t>DI COSMO CLAUDIA</t>
  </si>
  <si>
    <t>DURASTANTI SETTIMIO</t>
  </si>
  <si>
    <t>FIORI GIANCARLO</t>
  </si>
  <si>
    <t>LAZZARI ANDREA</t>
  </si>
  <si>
    <t>PERETTI FRANCESCO</t>
  </si>
  <si>
    <t>CAA CAF AGRI - PESARO E URBINO - 222</t>
  </si>
  <si>
    <t>ROMITI FRANCESCO</t>
  </si>
  <si>
    <t>SEVERINI VIOLETTA</t>
  </si>
  <si>
    <t>SOCIETA' AGRICOLA MASCIOLI MIRCO E ROBERTO S.S.</t>
  </si>
  <si>
    <t>CAA CAF AGRI - PESARO E URBINO - 221</t>
  </si>
  <si>
    <t>CANCELLIERI MAURIZIO</t>
  </si>
  <si>
    <t>SPADINI SILVANO</t>
  </si>
  <si>
    <t>TENTORINI DE SANTIS FRANCESCA LUISA</t>
  </si>
  <si>
    <t>CAA Coldiretti - PESARO E URBINO - 004</t>
  </si>
  <si>
    <t>VANNUCCI DOMENICO</t>
  </si>
  <si>
    <t>CAA CIA - ANCONA - 005</t>
  </si>
  <si>
    <t>SOCIETA' AGRICOLA VALDICASTRO DI FILIPPO ZENOBI &amp; C. S.N.C.</t>
  </si>
  <si>
    <t>G.A.I.A. SOCIETA' COOPERATIVA</t>
  </si>
  <si>
    <t>CAA CIA - ANCONA - 002</t>
  </si>
  <si>
    <t>LATINI ANTONIO</t>
  </si>
  <si>
    <t>MAURI GIANMARCO</t>
  </si>
  <si>
    <t>AGEA.ASR.2020.0336077</t>
  </si>
  <si>
    <t>SOCIETA' AGRICOLA ARTEMIDE S.S.</t>
  </si>
  <si>
    <t>BALDUCCI MAURIZIO</t>
  </si>
  <si>
    <t>TICCHI ORIETTA</t>
  </si>
  <si>
    <t>PAPIRI ROBERTO</t>
  </si>
  <si>
    <t>BRUSCOLI NADIA</t>
  </si>
  <si>
    <t>IL GIARDINO S.S. - SOCIETA' AGRICOLA</t>
  </si>
  <si>
    <t>BUCCI MORENO</t>
  </si>
  <si>
    <t>GAGGINI GIULIANA</t>
  </si>
  <si>
    <t>SESTINI ELISA</t>
  </si>
  <si>
    <t>SOCIETA' SEMPLICE AZ. AGRICOLA MORELLOAUSTERA DI LUPATELLI IGOR E IVAN</t>
  </si>
  <si>
    <t>DEPLANU SALVATORE &amp; ALESSANDRO SOC.SEMPL.AGRICOLA</t>
  </si>
  <si>
    <t>CAA CIA - PESARO E URBINO - 007</t>
  </si>
  <si>
    <t>MATTEACCI RITA</t>
  </si>
  <si>
    <t>MARINELLI ALFREDO</t>
  </si>
  <si>
    <t>IEZZI FRANCESCO E GIOVANNI</t>
  </si>
  <si>
    <t>CAA Coldiretti - PESARO E URBINO - 010</t>
  </si>
  <si>
    <t>MATTEUCCI ASSUNTA</t>
  </si>
  <si>
    <t>GALIZI GIOVANNA</t>
  </si>
  <si>
    <t>BARGNESI MARISA</t>
  </si>
  <si>
    <t>BONIFAZI MASSIMO</t>
  </si>
  <si>
    <t>CICCONI PIETRO</t>
  </si>
  <si>
    <t>CORBELLI LUIGINO</t>
  </si>
  <si>
    <t>DI COLA ANNUNZIO</t>
  </si>
  <si>
    <t>FOSCOLI PAOLO</t>
  </si>
  <si>
    <t>GIONNI GINA</t>
  </si>
  <si>
    <t>SARAGA PIERO</t>
  </si>
  <si>
    <t>CAA UNICAA - ASCOLI PICENO - 004</t>
  </si>
  <si>
    <t>TENUTA AGRICOLA LA RISERVA DI MATTIOLI DINA &amp; C. SAS - SOCIETA' AGRICO</t>
  </si>
  <si>
    <t>AGEA.ASR.2020.0347812</t>
  </si>
  <si>
    <t>FUNARI GINESIO</t>
  </si>
  <si>
    <t>CAA LiberiAgricoltori - PESARO E URBINO - 002</t>
  </si>
  <si>
    <t>GERICO SOCIETA' COOPERATIVA SOCIALE</t>
  </si>
  <si>
    <t>CAA Liberi Prof.- PESARO E URBINO - 001</t>
  </si>
  <si>
    <t>MORDINI NICOLA</t>
  </si>
  <si>
    <t>OTTAVIANI GIUSEPPE</t>
  </si>
  <si>
    <t>TASSI FERNANDO</t>
  </si>
  <si>
    <t>CACCHIARELLI TERESA</t>
  </si>
  <si>
    <t>CIAMPICONI QUINTO</t>
  </si>
  <si>
    <t>COMUNANZA AGRARIA DEGLI UOMINI ORIGINARI DI SERRA SANT'ABBONDIO</t>
  </si>
  <si>
    <t>CAA CIA - ASCOLI PICENO - 001</t>
  </si>
  <si>
    <t>COOPERATIVA AGRICOLA SANT'ANTONIO ABATE</t>
  </si>
  <si>
    <t>DAMIANI MASSIMO</t>
  </si>
  <si>
    <t>CAA Coldiretti - ASCOLI PICENO - 025</t>
  </si>
  <si>
    <t>MICHETTI MARCELLO</t>
  </si>
  <si>
    <t>CAA Confagricoltura - ASCOLI PICENO - 001</t>
  </si>
  <si>
    <t>PARADISI FRANCO E LUCIANO SOCIETA' AGRICOLA S.S.</t>
  </si>
  <si>
    <t>SEBASTIANELLI MORENO</t>
  </si>
  <si>
    <t>CAA CAF AGRI - ANCONA - 221</t>
  </si>
  <si>
    <t>AGENZIA DI SVILUPPO RURALE SRL</t>
  </si>
  <si>
    <t>AGEA.ASR.2020.0336097</t>
  </si>
  <si>
    <t>SIMONCINI ADRIANO E SILVIA SOCIETA' SEMPLICE</t>
  </si>
  <si>
    <t>SOCIETA AGRICOLA L OLMO S.S.</t>
  </si>
  <si>
    <t>SOCIETA' AGRICOLA TERRA E SOLE BOSCARINI DI BOSCARINI EMANUELE &amp; C. -</t>
  </si>
  <si>
    <t>STORONI GIUSEPPE</t>
  </si>
  <si>
    <t>COMUNE DI ROTELLA</t>
  </si>
  <si>
    <t>AGEA.ASR.2020.0300954</t>
  </si>
  <si>
    <t>COMUNE DI ROCCAFLUVIONE</t>
  </si>
  <si>
    <t>AGEA.ASR.2020.0300929</t>
  </si>
  <si>
    <t>AGEA.ASR.2020.0301075</t>
  </si>
  <si>
    <t>GABELLINI GABRIELE-DOMENICO</t>
  </si>
  <si>
    <t>NONNI LAMBERTO</t>
  </si>
  <si>
    <t>DURO FRANCA</t>
  </si>
  <si>
    <t>MONTI GIUSEPPE</t>
  </si>
  <si>
    <t>PAPARELLI PAOLO</t>
  </si>
  <si>
    <t>AGEA.ASR.2020.0336063</t>
  </si>
  <si>
    <t>AGEA.ASR.2020.0301098</t>
  </si>
  <si>
    <t>SINT SOLUZIONI INTEGRATE S.R.L.</t>
  </si>
  <si>
    <t>CAA CIA - ANCONA - 004</t>
  </si>
  <si>
    <t>STALLA SAN FORTUNATO SOCIETA' COOPERATIVA AGRICOLA</t>
  </si>
  <si>
    <t>AGEA.ASR.2020.0340087</t>
  </si>
  <si>
    <t>CAA Coldiretti - RIMINI - 005</t>
  </si>
  <si>
    <t>BAGNOLI EZIO</t>
  </si>
  <si>
    <t>AGEA.ASR.2020.0270794</t>
  </si>
  <si>
    <t>COMUNANZA AGRARIA DI S.GIOVANNI-GROTTE E PRECICCHIE</t>
  </si>
  <si>
    <t>MANNARA SERGIO</t>
  </si>
  <si>
    <t>RICCARDI GIORGIO</t>
  </si>
  <si>
    <t>CINGOLANI VITTORUGO</t>
  </si>
  <si>
    <t>CARLONI CARLO</t>
  </si>
  <si>
    <t>PESARESI ELIO</t>
  </si>
  <si>
    <t>PALMIERI ALBERTO</t>
  </si>
  <si>
    <t>BASTARI CRISTIANO</t>
  </si>
  <si>
    <t>CAA Coldiretti - ANCONA - 008</t>
  </si>
  <si>
    <t>BERLUTI MATTEO</t>
  </si>
  <si>
    <t>AGEA.ASR.2020.0337804</t>
  </si>
  <si>
    <t>BRAVI PAOLA</t>
  </si>
  <si>
    <t>UNIONE MONTANA POTENZA ESINO MUSONE</t>
  </si>
  <si>
    <t>AGEA.ASR.2020.0364749</t>
  </si>
  <si>
    <t>TRIVELLI SELENE</t>
  </si>
  <si>
    <t>AGEA.ASR.2020.0368635</t>
  </si>
  <si>
    <t>CECCHINI DANILO</t>
  </si>
  <si>
    <t>AGEA.ASR.2020.0364536</t>
  </si>
  <si>
    <t>CINGOLANI GIOVANNI</t>
  </si>
  <si>
    <t>AGEA.ASR.2020.0364584</t>
  </si>
  <si>
    <t>CAMBORATA MARTA</t>
  </si>
  <si>
    <t>AGEA.ASR.2020.0374641</t>
  </si>
  <si>
    <t>ROMITELLI FAUSTO</t>
  </si>
  <si>
    <t>CAA Coldiretti - MACERATA - 007</t>
  </si>
  <si>
    <t>FACEN ALESSANDRO</t>
  </si>
  <si>
    <t>CARDUCCI MARIO</t>
  </si>
  <si>
    <t>AZIENDA AGRICOLA AGOSTINI DI AGOSTINI MATTEO &amp; C. S.N.C.</t>
  </si>
  <si>
    <t>BRANDONI ALESSIO</t>
  </si>
  <si>
    <t>CAA CIA - PESARO E URBINO - 001</t>
  </si>
  <si>
    <t>LANZILLOTTI PALMA</t>
  </si>
  <si>
    <t>PODERE LA CACCETTA SOCIETA' AGRICOLA SEMPLICE</t>
  </si>
  <si>
    <t>VITTORI MATTIA</t>
  </si>
  <si>
    <t>MAURIZI LUIGINO</t>
  </si>
  <si>
    <t>AGEA.ASR.2020.0374629</t>
  </si>
  <si>
    <t>CAA Coldiretti - MACERATA - 008</t>
  </si>
  <si>
    <t>TRAVERSI ENRICO</t>
  </si>
  <si>
    <t>CAA LiberiAgricoltori - MACERATA - 002</t>
  </si>
  <si>
    <t>SOCIETA' AGRICOLA CAPPUCCINI S.S.</t>
  </si>
  <si>
    <t>SCOLASTICI ROBERTO</t>
  </si>
  <si>
    <t>CAA Coldiretti - PESARO E URBINO - 007</t>
  </si>
  <si>
    <t>BARTOLINI FABIO</t>
  </si>
  <si>
    <t>AGEA.ASR.2020.0373282</t>
  </si>
  <si>
    <t>CAVALLINI ANTONELLA</t>
  </si>
  <si>
    <t>FERRI SAURO</t>
  </si>
  <si>
    <t>AGEA.ASR.2020.0364547</t>
  </si>
  <si>
    <t>BIANCHELLA MARCELLO</t>
  </si>
  <si>
    <t>COMUNE DI BELMONTE PICENO</t>
  </si>
  <si>
    <t>AGEA.ASR.2020.0379243</t>
  </si>
  <si>
    <t>AGEA.ASR.2020.0368603</t>
  </si>
  <si>
    <t>CAA CIA - ASCOLI PICENO - 005</t>
  </si>
  <si>
    <t>ANTOGNOZZI GABRIELLA</t>
  </si>
  <si>
    <t>AGEA.ASR.2020.0125082</t>
  </si>
  <si>
    <t>FELIZIANI GIANNI</t>
  </si>
  <si>
    <t>EREDI VERDICCHIO FILIPPO</t>
  </si>
  <si>
    <t>COMUNE DI ACQUAVIVA PICENA</t>
  </si>
  <si>
    <t>ACCIARRI MARIA LAURA</t>
  </si>
  <si>
    <t>ANGELINI MARIA GRAZIA</t>
  </si>
  <si>
    <t>CARZEDDA MARCO</t>
  </si>
  <si>
    <t>AGRICOLA MONTEFIORE DI LUIGI D'AMBROGI &amp; C. S.N.C.</t>
  </si>
  <si>
    <t>CAA AGRISERVIZI - LATINA - 001</t>
  </si>
  <si>
    <t>FILIPPONI ALBINO</t>
  </si>
  <si>
    <t>CAA CIA - ASCOLI PICENO - 004</t>
  </si>
  <si>
    <t>GIANGROSSI CRISTIANO</t>
  </si>
  <si>
    <t>CIARROCCHI MARINELLA</t>
  </si>
  <si>
    <t>GUERRA MARCO</t>
  </si>
  <si>
    <t>DI NICOLO' SILVANO</t>
  </si>
  <si>
    <t>ISOPI PASQUALE</t>
  </si>
  <si>
    <t>PORTELLI VALENTINA</t>
  </si>
  <si>
    <t>RICCI BRUNO</t>
  </si>
  <si>
    <t>DI MATTIA SABATINO</t>
  </si>
  <si>
    <t>SOC.AGRICOLA FONTE DI VALLE SRL</t>
  </si>
  <si>
    <t>FOSCOLI GIUSEPPE</t>
  </si>
  <si>
    <t>AZIENDA AGRARIA DELL'ISTITUTO TECNICO AGRARIO STATALE</t>
  </si>
  <si>
    <t>LAMONA GIUSEPPE</t>
  </si>
  <si>
    <t>BASSETTI EMIDIO</t>
  </si>
  <si>
    <t>CAA CIA - ASCOLI PICENO - 006</t>
  </si>
  <si>
    <t>KLEIDORFER JOHANN</t>
  </si>
  <si>
    <t>CAPONI &amp; MARSILI SOCIETA' SEMPLICE AGRICOLA</t>
  </si>
  <si>
    <t>I MANDORLI DI MARSILI EBE &amp; ANNA S.S.AGRICOLA</t>
  </si>
  <si>
    <t>MANNOCCHI GABRIELE &amp; MATTIOLI GIULIANA</t>
  </si>
  <si>
    <t>ROSSI EMANUELE</t>
  </si>
  <si>
    <t>VOLPONI PAOLA</t>
  </si>
  <si>
    <t>MUCCICHINI MICHELA</t>
  </si>
  <si>
    <t>BALDACCIONI GRAZIANO</t>
  </si>
  <si>
    <t>CINAGLIA LUIGI</t>
  </si>
  <si>
    <t>CAA CAF AGRI - ASCOLI PICENO - 221</t>
  </si>
  <si>
    <t>CITERONI GIOACCHINO</t>
  </si>
  <si>
    <t>AGEA.ASR.2020.0374650</t>
  </si>
  <si>
    <t>CAA Coldiretti - MACERATA - 010</t>
  </si>
  <si>
    <t>LA FRATERNITA' SOCIETA' COOPERATIVA SOCIALE A R.L.</t>
  </si>
  <si>
    <t>AGEA.ASR.2020.0374810</t>
  </si>
  <si>
    <t>GROSSI SIMONETTA</t>
  </si>
  <si>
    <t>PENTAPLAST S.R.L.</t>
  </si>
  <si>
    <t>MARIANI FRANCESCO</t>
  </si>
  <si>
    <t>TAMBELLA MAURO</t>
  </si>
  <si>
    <t>CAA Coldiretti - CAMPOBASSO - 007</t>
  </si>
  <si>
    <t>AGRICOLA CHRISTIAN</t>
  </si>
  <si>
    <t>AGRIFORAGGI SOC. AGRICOLA DI CARESTIA DANIELE &amp; C. S.S.</t>
  </si>
  <si>
    <t>CAA Coldiretti - MACERATA - 009</t>
  </si>
  <si>
    <t>DA ROS GUALBERTO</t>
  </si>
  <si>
    <t>CAA Coldiretti - MACERATA - 018</t>
  </si>
  <si>
    <t>IMAC SOCIETA' AGRICOLA SRL</t>
  </si>
  <si>
    <t>CAA LiberiAgricoltori - MACERATA - 001</t>
  </si>
  <si>
    <t>FLORES CASTILLO ANA</t>
  </si>
  <si>
    <t>GIOSUE' ENDRIO</t>
  </si>
  <si>
    <t>CAA Coldiretti - AREZZO - 008</t>
  </si>
  <si>
    <t>FERRI MARINI GINO</t>
  </si>
  <si>
    <t>VENTURI ANTONIO</t>
  </si>
  <si>
    <t>AURELI MACCARIO</t>
  </si>
  <si>
    <t>CAA LiberiAgricoltori - MACERATA - 005</t>
  </si>
  <si>
    <t>SOCIETA' AGRICOLA FONTENOCE S.R.L.</t>
  </si>
  <si>
    <t>IANNI FRANCO</t>
  </si>
  <si>
    <t>PALAZZETTI GIOVANNA</t>
  </si>
  <si>
    <t>GIATTINI ETTORE</t>
  </si>
  <si>
    <t>VOLPI ROSELLA</t>
  </si>
  <si>
    <t>CAA UNICAA - PESARO E URBINO - 003</t>
  </si>
  <si>
    <t>PIERINI GIOVANNI</t>
  </si>
  <si>
    <t>CAA Confagricoltura - MACERATA - 001</t>
  </si>
  <si>
    <t>PRENNA NICOLA</t>
  </si>
  <si>
    <t>SALTARELLI ROBERTO</t>
  </si>
  <si>
    <t>CAA Confagricoltura - ANCONA - 001</t>
  </si>
  <si>
    <t>PANCOTTI A. E C. - S.S. SOC.AGR.</t>
  </si>
  <si>
    <t>AGEA.ASR.2020.0270848</t>
  </si>
  <si>
    <t>SOCIETA' AGRICOLA IL RAGGIO DI SOLE DI ORPELLO S.S.</t>
  </si>
  <si>
    <t>MARCHESANA SOC.COOP.AGRICOLA</t>
  </si>
  <si>
    <t>AMICI ALESSANDRO</t>
  </si>
  <si>
    <t>SOCIETA' AGRICOLA VILLANUOVA DI GIAMPAOLI LORIS E ANGELO S.S.</t>
  </si>
  <si>
    <t>MAURIZI ROBERTO</t>
  </si>
  <si>
    <t>CAA CAF AGRI - MACERATA - 226</t>
  </si>
  <si>
    <t>AGRICOLA PATRIGNONI DI PATRIGNONI A. &amp; C. S.A.S.</t>
  </si>
  <si>
    <t>CARSETTI PASQUALE</t>
  </si>
  <si>
    <t>SOCIETA' AGRICOLA BIO DI NUCCELLI BARBARA E SERENA S.R.L.</t>
  </si>
  <si>
    <t>ROMALDINI MAURO</t>
  </si>
  <si>
    <t>ROSSI ALESSANDRO CLAUDIO</t>
  </si>
  <si>
    <t>CAA CIA - MACERATA - 001</t>
  </si>
  <si>
    <t>ERCOLI SILVANO</t>
  </si>
  <si>
    <t>CAA CAF AGRI - MACERATA - 224</t>
  </si>
  <si>
    <t>PASSACANTANDO ANDREA</t>
  </si>
  <si>
    <t>PETETTA DANIELE</t>
  </si>
  <si>
    <t>MISICI FRANCO</t>
  </si>
  <si>
    <t>VIRGILI GIULIANO</t>
  </si>
  <si>
    <t>SOCIETA' AGRICOLA LUCANGELI AYMERICH DI LACONI SOCIETA' SEMPLICE DETTA</t>
  </si>
  <si>
    <t>FIORELLI DIEGO</t>
  </si>
  <si>
    <t>PANSONI FRANCISCA</t>
  </si>
  <si>
    <t>VIRGILI MARISA</t>
  </si>
  <si>
    <t>DOMINICI RITA</t>
  </si>
  <si>
    <t>DI CARO CLAUDIO</t>
  </si>
  <si>
    <t>STROPPA SILVANA</t>
  </si>
  <si>
    <t>VONO MATTIA MARTA</t>
  </si>
  <si>
    <t>SOCIETA' AGRICOLA BIO-VITALY S.S.</t>
  </si>
  <si>
    <t>CAA Coldiretti - ANCONA - 006</t>
  </si>
  <si>
    <t>SOCIETA' AGRICOLA AGRI BLU DI ZINGARETTI E SOCI S.S.</t>
  </si>
  <si>
    <t>MOBIL BABY SOCIETA' AGRICOLA S.N.C. DI MICCINI GABRIELE &amp; C.</t>
  </si>
  <si>
    <t>CAMPILIA LUCREZIA</t>
  </si>
  <si>
    <t>SCOLASTICI MARCO</t>
  </si>
  <si>
    <t>SOCIETA' AGRICOLA RADENTI S.S.</t>
  </si>
  <si>
    <t>SOCIETA' AGRICOLA VERDOLIO SS DI ALFEI FRANCESCO E C</t>
  </si>
  <si>
    <t>VILLA SAN PELLEGRINO SOCIETA' SEMPLICE</t>
  </si>
  <si>
    <t>CAA Degli Agricoltori - ANCONA - 102</t>
  </si>
  <si>
    <t>PAOLONI SIMONE</t>
  </si>
  <si>
    <t>CORVARO LUCIANA</t>
  </si>
  <si>
    <t>MICHETTI NUNZIO SALVATORE</t>
  </si>
  <si>
    <t>DI LUCA ALESSANDRO</t>
  </si>
  <si>
    <t>SOCIETA' AGRICOLA FABRIZI VENANZO FABRIZIO E LIBERTI ENZA S.S.</t>
  </si>
  <si>
    <t>SOCIETA' AGRICOLA FERIOLI DI FERIOLI RICCARDO &amp; C. s.s.</t>
  </si>
  <si>
    <t>RAPACCINI PASQUALE</t>
  </si>
  <si>
    <t>CAA UNICAA - MACERATA - 002</t>
  </si>
  <si>
    <t>CLEMENTI PIERLUIGI</t>
  </si>
  <si>
    <t>SOCIETA' AGRICOLA RIVELLI SOCIETA' SEMPLICE</t>
  </si>
  <si>
    <t>TONTI GIORGIO</t>
  </si>
  <si>
    <t>CARBONI SAMANTA</t>
  </si>
  <si>
    <t>MORODER ALESSANDRO</t>
  </si>
  <si>
    <t>BEDETTA ALESSANDRO</t>
  </si>
  <si>
    <t>POLOZZI ANDREA</t>
  </si>
  <si>
    <t>APPIGNANESI LEONIDA</t>
  </si>
  <si>
    <t>PROCACCINI ALFONSO</t>
  </si>
  <si>
    <t>CAPONI MAURIZIO</t>
  </si>
  <si>
    <t>MARCONI ANNA</t>
  </si>
  <si>
    <t>C.B.M. SOCIETA' AGRICOLA A R.L.</t>
  </si>
  <si>
    <t>ESPOSTO ANDREA</t>
  </si>
  <si>
    <t>AGEA.ASR.2020.0368421</t>
  </si>
  <si>
    <t>GRANDONI CORRADO</t>
  </si>
  <si>
    <t>SOCIETA' AGRICOLA MINUTELLI S.S. DI BARBIERI MASSIMO &amp; C.</t>
  </si>
  <si>
    <t>BARONCIANI MARINO</t>
  </si>
  <si>
    <t>AGEA.ASR.2020.0373191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</si>
</sst>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3C9E4-2B31-4861-A5DE-A8E7FDC8BB72}">
  <dimension ref="A1:Y296"/>
  <sheetViews>
    <sheetView showGridLines="0" tabSelected="1" workbookViewId="0">
      <selection activeCell="E300" sqref="E300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5703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6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50</v>
      </c>
      <c r="D4" s="5" t="s">
        <v>51</v>
      </c>
      <c r="E4" s="5" t="s">
        <v>28</v>
      </c>
      <c r="F4" s="5" t="s">
        <v>52</v>
      </c>
      <c r="G4" s="5">
        <v>2017</v>
      </c>
      <c r="H4" s="5" t="str">
        <f>CONCATENATE("74780052598")</f>
        <v>74780052598</v>
      </c>
      <c r="I4" s="5" t="s">
        <v>37</v>
      </c>
      <c r="J4" s="5" t="s">
        <v>30</v>
      </c>
      <c r="K4" s="5" t="str">
        <f>CONCATENATE("221")</f>
        <v>221</v>
      </c>
      <c r="L4" s="5" t="str">
        <f>CONCATENATE("8 8.1 5e")</f>
        <v>8 8.1 5e</v>
      </c>
      <c r="M4" s="5" t="str">
        <f>CONCATENATE("02372530424")</f>
        <v>02372530424</v>
      </c>
      <c r="N4" s="5" t="s">
        <v>53</v>
      </c>
      <c r="O4" s="5" t="s">
        <v>54</v>
      </c>
      <c r="P4" s="6">
        <v>43675</v>
      </c>
      <c r="Q4" s="5" t="s">
        <v>31</v>
      </c>
      <c r="R4" s="5" t="s">
        <v>32</v>
      </c>
      <c r="S4" s="5" t="s">
        <v>33</v>
      </c>
      <c r="T4" s="5"/>
      <c r="U4" s="7">
        <v>1970.43</v>
      </c>
      <c r="V4" s="5">
        <v>849.65</v>
      </c>
      <c r="W4" s="5">
        <v>784.63</v>
      </c>
      <c r="X4" s="5">
        <v>0</v>
      </c>
      <c r="Y4" s="5">
        <v>336.15</v>
      </c>
    </row>
    <row r="5" spans="1:25" ht="24.75" x14ac:dyDescent="0.25">
      <c r="A5" s="5" t="s">
        <v>26</v>
      </c>
      <c r="B5" s="5" t="s">
        <v>34</v>
      </c>
      <c r="C5" s="5" t="s">
        <v>50</v>
      </c>
      <c r="D5" s="5" t="s">
        <v>51</v>
      </c>
      <c r="E5" s="5" t="s">
        <v>40</v>
      </c>
      <c r="F5" s="5" t="s">
        <v>40</v>
      </c>
      <c r="G5" s="5">
        <v>2017</v>
      </c>
      <c r="H5" s="5" t="str">
        <f>CONCATENATE("94270173886")</f>
        <v>94270173886</v>
      </c>
      <c r="I5" s="5" t="s">
        <v>29</v>
      </c>
      <c r="J5" s="5" t="s">
        <v>36</v>
      </c>
      <c r="K5" s="5" t="str">
        <f>CONCATENATE("")</f>
        <v/>
      </c>
      <c r="L5" s="5" t="str">
        <f>CONCATENATE("1 1.1 2a")</f>
        <v>1 1.1 2a</v>
      </c>
      <c r="M5" s="5" t="str">
        <f>CONCATENATE("02051370423")</f>
        <v>02051370423</v>
      </c>
      <c r="N5" s="5" t="s">
        <v>55</v>
      </c>
      <c r="O5" s="5" t="s">
        <v>56</v>
      </c>
      <c r="P5" s="6">
        <v>43945</v>
      </c>
      <c r="Q5" s="5" t="s">
        <v>31</v>
      </c>
      <c r="R5" s="5" t="s">
        <v>32</v>
      </c>
      <c r="S5" s="5" t="s">
        <v>33</v>
      </c>
      <c r="T5" s="5"/>
      <c r="U5" s="7">
        <v>3432</v>
      </c>
      <c r="V5" s="7">
        <v>1479.88</v>
      </c>
      <c r="W5" s="7">
        <v>1366.62</v>
      </c>
      <c r="X5" s="5">
        <v>0</v>
      </c>
      <c r="Y5" s="5">
        <v>585.5</v>
      </c>
    </row>
    <row r="6" spans="1:25" x14ac:dyDescent="0.25">
      <c r="A6" s="5" t="s">
        <v>26</v>
      </c>
      <c r="B6" s="5" t="s">
        <v>34</v>
      </c>
      <c r="C6" s="5" t="s">
        <v>50</v>
      </c>
      <c r="D6" s="5" t="s">
        <v>57</v>
      </c>
      <c r="E6" s="5" t="s">
        <v>40</v>
      </c>
      <c r="F6" s="5" t="s">
        <v>40</v>
      </c>
      <c r="G6" s="5">
        <v>2017</v>
      </c>
      <c r="H6" s="5" t="str">
        <f>CONCATENATE("94270173878")</f>
        <v>94270173878</v>
      </c>
      <c r="I6" s="5" t="s">
        <v>29</v>
      </c>
      <c r="J6" s="5" t="s">
        <v>36</v>
      </c>
      <c r="K6" s="5" t="str">
        <f>CONCATENATE("")</f>
        <v/>
      </c>
      <c r="L6" s="5" t="str">
        <f>CONCATENATE("1 1.1 2a")</f>
        <v>1 1.1 2a</v>
      </c>
      <c r="M6" s="5" t="str">
        <f>CONCATENATE("02051370423")</f>
        <v>02051370423</v>
      </c>
      <c r="N6" s="5" t="s">
        <v>55</v>
      </c>
      <c r="O6" s="5" t="s">
        <v>56</v>
      </c>
      <c r="P6" s="6">
        <v>43945</v>
      </c>
      <c r="Q6" s="5" t="s">
        <v>31</v>
      </c>
      <c r="R6" s="5" t="s">
        <v>32</v>
      </c>
      <c r="S6" s="5" t="s">
        <v>33</v>
      </c>
      <c r="T6" s="5"/>
      <c r="U6" s="7">
        <v>2508</v>
      </c>
      <c r="V6" s="7">
        <v>1081.45</v>
      </c>
      <c r="W6" s="5">
        <v>998.69</v>
      </c>
      <c r="X6" s="5">
        <v>0</v>
      </c>
      <c r="Y6" s="5">
        <v>427.86</v>
      </c>
    </row>
    <row r="7" spans="1:25" ht="24.75" x14ac:dyDescent="0.25">
      <c r="A7" s="5" t="s">
        <v>26</v>
      </c>
      <c r="B7" s="5" t="s">
        <v>27</v>
      </c>
      <c r="C7" s="5" t="s">
        <v>50</v>
      </c>
      <c r="D7" s="5" t="s">
        <v>58</v>
      </c>
      <c r="E7" s="5" t="s">
        <v>28</v>
      </c>
      <c r="F7" s="5" t="s">
        <v>59</v>
      </c>
      <c r="G7" s="5">
        <v>2019</v>
      </c>
      <c r="H7" s="5" t="str">
        <f>CONCATENATE("94210896539")</f>
        <v>94210896539</v>
      </c>
      <c r="I7" s="5" t="s">
        <v>29</v>
      </c>
      <c r="J7" s="5" t="s">
        <v>36</v>
      </c>
      <c r="K7" s="5" t="str">
        <f>CONCATENATE("")</f>
        <v/>
      </c>
      <c r="L7" s="5" t="str">
        <f>CONCATENATE("13 13.1 4a")</f>
        <v>13 13.1 4a</v>
      </c>
      <c r="M7" s="5" t="str">
        <f>CONCATENATE("02341960447")</f>
        <v>02341960447</v>
      </c>
      <c r="N7" s="5" t="s">
        <v>60</v>
      </c>
      <c r="O7" s="5" t="s">
        <v>61</v>
      </c>
      <c r="P7" s="6">
        <v>43945</v>
      </c>
      <c r="Q7" s="5" t="s">
        <v>31</v>
      </c>
      <c r="R7" s="5" t="s">
        <v>32</v>
      </c>
      <c r="S7" s="5" t="s">
        <v>33</v>
      </c>
      <c r="T7" s="5"/>
      <c r="U7" s="7">
        <v>1180.05</v>
      </c>
      <c r="V7" s="5">
        <v>508.84</v>
      </c>
      <c r="W7" s="5">
        <v>469.9</v>
      </c>
      <c r="X7" s="5">
        <v>0</v>
      </c>
      <c r="Y7" s="5">
        <v>201.31</v>
      </c>
    </row>
    <row r="8" spans="1:25" ht="24.75" x14ac:dyDescent="0.25">
      <c r="A8" s="5" t="s">
        <v>26</v>
      </c>
      <c r="B8" s="5" t="s">
        <v>27</v>
      </c>
      <c r="C8" s="5" t="s">
        <v>50</v>
      </c>
      <c r="D8" s="5" t="s">
        <v>62</v>
      </c>
      <c r="E8" s="5" t="s">
        <v>28</v>
      </c>
      <c r="F8" s="5" t="s">
        <v>63</v>
      </c>
      <c r="G8" s="5">
        <v>2019</v>
      </c>
      <c r="H8" s="5" t="str">
        <f>CONCATENATE("94210087329")</f>
        <v>94210087329</v>
      </c>
      <c r="I8" s="5" t="s">
        <v>29</v>
      </c>
      <c r="J8" s="5" t="s">
        <v>36</v>
      </c>
      <c r="K8" s="5" t="str">
        <f>CONCATENATE("")</f>
        <v/>
      </c>
      <c r="L8" s="5" t="str">
        <f>CONCATENATE("13 13.1 4a")</f>
        <v>13 13.1 4a</v>
      </c>
      <c r="M8" s="5" t="str">
        <f>CONCATENATE("TMBRLD33H14F497X")</f>
        <v>TMBRLD33H14F497X</v>
      </c>
      <c r="N8" s="5" t="s">
        <v>64</v>
      </c>
      <c r="O8" s="5" t="s">
        <v>61</v>
      </c>
      <c r="P8" s="6">
        <v>43945</v>
      </c>
      <c r="Q8" s="5" t="s">
        <v>31</v>
      </c>
      <c r="R8" s="5" t="s">
        <v>32</v>
      </c>
      <c r="S8" s="5" t="s">
        <v>33</v>
      </c>
      <c r="T8" s="5"/>
      <c r="U8" s="7">
        <v>2897.26</v>
      </c>
      <c r="V8" s="7">
        <v>1249.3</v>
      </c>
      <c r="W8" s="7">
        <v>1153.69</v>
      </c>
      <c r="X8" s="5">
        <v>0</v>
      </c>
      <c r="Y8" s="5">
        <v>494.27</v>
      </c>
    </row>
    <row r="9" spans="1:25" ht="24.75" x14ac:dyDescent="0.25">
      <c r="A9" s="5" t="s">
        <v>26</v>
      </c>
      <c r="B9" s="5" t="s">
        <v>27</v>
      </c>
      <c r="C9" s="5" t="s">
        <v>50</v>
      </c>
      <c r="D9" s="5" t="s">
        <v>58</v>
      </c>
      <c r="E9" s="5" t="s">
        <v>28</v>
      </c>
      <c r="F9" s="5" t="s">
        <v>65</v>
      </c>
      <c r="G9" s="5">
        <v>2019</v>
      </c>
      <c r="H9" s="5" t="str">
        <f>CONCATENATE("94210186642")</f>
        <v>94210186642</v>
      </c>
      <c r="I9" s="5" t="s">
        <v>37</v>
      </c>
      <c r="J9" s="5" t="s">
        <v>36</v>
      </c>
      <c r="K9" s="5" t="str">
        <f>CONCATENATE("")</f>
        <v/>
      </c>
      <c r="L9" s="5" t="str">
        <f>CONCATENATE("13 13.1 4a")</f>
        <v>13 13.1 4a</v>
      </c>
      <c r="M9" s="5" t="str">
        <f>CONCATENATE("CCRCRL52C29D691C")</f>
        <v>CCRCRL52C29D691C</v>
      </c>
      <c r="N9" s="5" t="s">
        <v>66</v>
      </c>
      <c r="O9" s="5" t="s">
        <v>61</v>
      </c>
      <c r="P9" s="6">
        <v>43945</v>
      </c>
      <c r="Q9" s="5" t="s">
        <v>31</v>
      </c>
      <c r="R9" s="5" t="s">
        <v>32</v>
      </c>
      <c r="S9" s="5" t="s">
        <v>33</v>
      </c>
      <c r="T9" s="5"/>
      <c r="U9" s="5">
        <v>316.38</v>
      </c>
      <c r="V9" s="5">
        <v>136.41999999999999</v>
      </c>
      <c r="W9" s="5">
        <v>125.98</v>
      </c>
      <c r="X9" s="5">
        <v>0</v>
      </c>
      <c r="Y9" s="5">
        <v>53.98</v>
      </c>
    </row>
    <row r="10" spans="1:25" ht="24.75" x14ac:dyDescent="0.25">
      <c r="A10" s="5" t="s">
        <v>26</v>
      </c>
      <c r="B10" s="5" t="s">
        <v>27</v>
      </c>
      <c r="C10" s="5" t="s">
        <v>50</v>
      </c>
      <c r="D10" s="5" t="s">
        <v>58</v>
      </c>
      <c r="E10" s="5" t="s">
        <v>44</v>
      </c>
      <c r="F10" s="5" t="s">
        <v>67</v>
      </c>
      <c r="G10" s="5">
        <v>2019</v>
      </c>
      <c r="H10" s="5" t="str">
        <f>CONCATENATE("94211371375")</f>
        <v>94211371375</v>
      </c>
      <c r="I10" s="5" t="s">
        <v>29</v>
      </c>
      <c r="J10" s="5" t="s">
        <v>36</v>
      </c>
      <c r="K10" s="5" t="str">
        <f>CONCATENATE("")</f>
        <v/>
      </c>
      <c r="L10" s="5" t="str">
        <f>CONCATENATE("13 13.1 4a")</f>
        <v>13 13.1 4a</v>
      </c>
      <c r="M10" s="5" t="str">
        <f>CONCATENATE("00709200448")</f>
        <v>00709200448</v>
      </c>
      <c r="N10" s="5" t="s">
        <v>68</v>
      </c>
      <c r="O10" s="5" t="s">
        <v>61</v>
      </c>
      <c r="P10" s="6">
        <v>43945</v>
      </c>
      <c r="Q10" s="5" t="s">
        <v>31</v>
      </c>
      <c r="R10" s="5" t="s">
        <v>32</v>
      </c>
      <c r="S10" s="5" t="s">
        <v>33</v>
      </c>
      <c r="T10" s="5"/>
      <c r="U10" s="7">
        <v>1033.8399999999999</v>
      </c>
      <c r="V10" s="5">
        <v>445.79</v>
      </c>
      <c r="W10" s="5">
        <v>411.68</v>
      </c>
      <c r="X10" s="5">
        <v>0</v>
      </c>
      <c r="Y10" s="5">
        <v>176.37</v>
      </c>
    </row>
    <row r="11" spans="1:25" x14ac:dyDescent="0.25">
      <c r="A11" s="5" t="s">
        <v>26</v>
      </c>
      <c r="B11" s="5" t="s">
        <v>27</v>
      </c>
      <c r="C11" s="5" t="s">
        <v>50</v>
      </c>
      <c r="D11" s="5" t="s">
        <v>57</v>
      </c>
      <c r="E11" s="5" t="s">
        <v>44</v>
      </c>
      <c r="F11" s="5" t="s">
        <v>69</v>
      </c>
      <c r="G11" s="5">
        <v>2019</v>
      </c>
      <c r="H11" s="5" t="str">
        <f>CONCATENATE("94210747583")</f>
        <v>94210747583</v>
      </c>
      <c r="I11" s="5" t="s">
        <v>29</v>
      </c>
      <c r="J11" s="5" t="s">
        <v>36</v>
      </c>
      <c r="K11" s="5" t="str">
        <f>CONCATENATE("")</f>
        <v/>
      </c>
      <c r="L11" s="5" t="str">
        <f>CONCATENATE("13 13.1 4a")</f>
        <v>13 13.1 4a</v>
      </c>
      <c r="M11" s="5" t="str">
        <f>CONCATENATE("CLNNCL95A21D912U")</f>
        <v>CLNNCL95A21D912U</v>
      </c>
      <c r="N11" s="5" t="s">
        <v>70</v>
      </c>
      <c r="O11" s="5" t="s">
        <v>61</v>
      </c>
      <c r="P11" s="6">
        <v>43945</v>
      </c>
      <c r="Q11" s="5" t="s">
        <v>31</v>
      </c>
      <c r="R11" s="5" t="s">
        <v>32</v>
      </c>
      <c r="S11" s="5" t="s">
        <v>33</v>
      </c>
      <c r="T11" s="5"/>
      <c r="U11" s="5">
        <v>31.73</v>
      </c>
      <c r="V11" s="5">
        <v>13.68</v>
      </c>
      <c r="W11" s="5">
        <v>12.63</v>
      </c>
      <c r="X11" s="5">
        <v>0</v>
      </c>
      <c r="Y11" s="5">
        <v>5.42</v>
      </c>
    </row>
    <row r="12" spans="1:25" ht="24.75" x14ac:dyDescent="0.25">
      <c r="A12" s="5" t="s">
        <v>26</v>
      </c>
      <c r="B12" s="5" t="s">
        <v>27</v>
      </c>
      <c r="C12" s="5" t="s">
        <v>50</v>
      </c>
      <c r="D12" s="5" t="s">
        <v>62</v>
      </c>
      <c r="E12" s="5" t="s">
        <v>28</v>
      </c>
      <c r="F12" s="5" t="s">
        <v>71</v>
      </c>
      <c r="G12" s="5">
        <v>2019</v>
      </c>
      <c r="H12" s="5" t="str">
        <f>CONCATENATE("94210424506")</f>
        <v>94210424506</v>
      </c>
      <c r="I12" s="5" t="s">
        <v>29</v>
      </c>
      <c r="J12" s="5" t="s">
        <v>36</v>
      </c>
      <c r="K12" s="5" t="str">
        <f>CONCATENATE("")</f>
        <v/>
      </c>
      <c r="L12" s="5" t="str">
        <f>CONCATENATE("13 13.1 4a")</f>
        <v>13 13.1 4a</v>
      </c>
      <c r="M12" s="5" t="str">
        <f>CONCATENATE("FRMGLC79E12L500W")</f>
        <v>FRMGLC79E12L500W</v>
      </c>
      <c r="N12" s="5" t="s">
        <v>72</v>
      </c>
      <c r="O12" s="5" t="s">
        <v>61</v>
      </c>
      <c r="P12" s="6">
        <v>43945</v>
      </c>
      <c r="Q12" s="5" t="s">
        <v>31</v>
      </c>
      <c r="R12" s="5" t="s">
        <v>32</v>
      </c>
      <c r="S12" s="5" t="s">
        <v>33</v>
      </c>
      <c r="T12" s="5"/>
      <c r="U12" s="7">
        <v>3714.64</v>
      </c>
      <c r="V12" s="7">
        <v>1601.75</v>
      </c>
      <c r="W12" s="7">
        <v>1479.17</v>
      </c>
      <c r="X12" s="5">
        <v>0</v>
      </c>
      <c r="Y12" s="5">
        <v>633.72</v>
      </c>
    </row>
    <row r="13" spans="1:25" ht="24.75" x14ac:dyDescent="0.25">
      <c r="A13" s="5" t="s">
        <v>26</v>
      </c>
      <c r="B13" s="5" t="s">
        <v>27</v>
      </c>
      <c r="C13" s="5" t="s">
        <v>50</v>
      </c>
      <c r="D13" s="5" t="s">
        <v>62</v>
      </c>
      <c r="E13" s="5" t="s">
        <v>39</v>
      </c>
      <c r="F13" s="5" t="s">
        <v>73</v>
      </c>
      <c r="G13" s="5">
        <v>2019</v>
      </c>
      <c r="H13" s="5" t="str">
        <f>CONCATENATE("94210850239")</f>
        <v>94210850239</v>
      </c>
      <c r="I13" s="5" t="s">
        <v>29</v>
      </c>
      <c r="J13" s="5" t="s">
        <v>36</v>
      </c>
      <c r="K13" s="5" t="str">
        <f>CONCATENATE("")</f>
        <v/>
      </c>
      <c r="L13" s="5" t="str">
        <f>CONCATENATE("13 13.1 4a")</f>
        <v>13 13.1 4a</v>
      </c>
      <c r="M13" s="5" t="str">
        <f>CONCATENATE("MGNTZN60B12I459H")</f>
        <v>MGNTZN60B12I459H</v>
      </c>
      <c r="N13" s="5" t="s">
        <v>74</v>
      </c>
      <c r="O13" s="5" t="s">
        <v>61</v>
      </c>
      <c r="P13" s="6">
        <v>43945</v>
      </c>
      <c r="Q13" s="5" t="s">
        <v>31</v>
      </c>
      <c r="R13" s="5" t="s">
        <v>32</v>
      </c>
      <c r="S13" s="5" t="s">
        <v>33</v>
      </c>
      <c r="T13" s="5"/>
      <c r="U13" s="7">
        <v>4678.8900000000003</v>
      </c>
      <c r="V13" s="7">
        <v>2017.54</v>
      </c>
      <c r="W13" s="7">
        <v>1863.13</v>
      </c>
      <c r="X13" s="5">
        <v>0</v>
      </c>
      <c r="Y13" s="5">
        <v>798.22</v>
      </c>
    </row>
    <row r="14" spans="1:25" ht="24.75" x14ac:dyDescent="0.25">
      <c r="A14" s="5" t="s">
        <v>26</v>
      </c>
      <c r="B14" s="5" t="s">
        <v>27</v>
      </c>
      <c r="C14" s="5" t="s">
        <v>50</v>
      </c>
      <c r="D14" s="5" t="s">
        <v>62</v>
      </c>
      <c r="E14" s="5" t="s">
        <v>35</v>
      </c>
      <c r="F14" s="5" t="s">
        <v>75</v>
      </c>
      <c r="G14" s="5">
        <v>2019</v>
      </c>
      <c r="H14" s="5" t="str">
        <f>CONCATENATE("94210382407")</f>
        <v>94210382407</v>
      </c>
      <c r="I14" s="5" t="s">
        <v>29</v>
      </c>
      <c r="J14" s="5" t="s">
        <v>36</v>
      </c>
      <c r="K14" s="5" t="str">
        <f>CONCATENATE("")</f>
        <v/>
      </c>
      <c r="L14" s="5" t="str">
        <f>CONCATENATE("13 13.1 4a")</f>
        <v>13 13.1 4a</v>
      </c>
      <c r="M14" s="5" t="str">
        <f>CONCATENATE("NNNPLA58C22I459S")</f>
        <v>NNNPLA58C22I459S</v>
      </c>
      <c r="N14" s="5" t="s">
        <v>76</v>
      </c>
      <c r="O14" s="5" t="s">
        <v>61</v>
      </c>
      <c r="P14" s="6">
        <v>43945</v>
      </c>
      <c r="Q14" s="5" t="s">
        <v>31</v>
      </c>
      <c r="R14" s="5" t="s">
        <v>32</v>
      </c>
      <c r="S14" s="5" t="s">
        <v>33</v>
      </c>
      <c r="T14" s="5"/>
      <c r="U14" s="7">
        <v>1825.48</v>
      </c>
      <c r="V14" s="5">
        <v>787.15</v>
      </c>
      <c r="W14" s="5">
        <v>726.91</v>
      </c>
      <c r="X14" s="5">
        <v>0</v>
      </c>
      <c r="Y14" s="5">
        <v>311.42</v>
      </c>
    </row>
    <row r="15" spans="1:25" ht="24.75" x14ac:dyDescent="0.25">
      <c r="A15" s="5" t="s">
        <v>26</v>
      </c>
      <c r="B15" s="5" t="s">
        <v>27</v>
      </c>
      <c r="C15" s="5" t="s">
        <v>50</v>
      </c>
      <c r="D15" s="5" t="s">
        <v>51</v>
      </c>
      <c r="E15" s="5" t="s">
        <v>38</v>
      </c>
      <c r="F15" s="5" t="s">
        <v>77</v>
      </c>
      <c r="G15" s="5">
        <v>2019</v>
      </c>
      <c r="H15" s="5" t="str">
        <f>CONCATENATE("94210044791")</f>
        <v>94210044791</v>
      </c>
      <c r="I15" s="5" t="s">
        <v>29</v>
      </c>
      <c r="J15" s="5" t="s">
        <v>36</v>
      </c>
      <c r="K15" s="5" t="str">
        <f>CONCATENATE("")</f>
        <v/>
      </c>
      <c r="L15" s="5" t="str">
        <f>CONCATENATE("13 13.1 4a")</f>
        <v>13 13.1 4a</v>
      </c>
      <c r="M15" s="5" t="str">
        <f>CONCATENATE("TTVTRS52R45I461V")</f>
        <v>TTVTRS52R45I461V</v>
      </c>
      <c r="N15" s="5" t="s">
        <v>78</v>
      </c>
      <c r="O15" s="5" t="s">
        <v>61</v>
      </c>
      <c r="P15" s="6">
        <v>43945</v>
      </c>
      <c r="Q15" s="5" t="s">
        <v>31</v>
      </c>
      <c r="R15" s="5" t="s">
        <v>32</v>
      </c>
      <c r="S15" s="5" t="s">
        <v>33</v>
      </c>
      <c r="T15" s="5"/>
      <c r="U15" s="5">
        <v>628.16</v>
      </c>
      <c r="V15" s="5">
        <v>270.86</v>
      </c>
      <c r="W15" s="5">
        <v>250.13</v>
      </c>
      <c r="X15" s="5">
        <v>0</v>
      </c>
      <c r="Y15" s="5">
        <v>107.17</v>
      </c>
    </row>
    <row r="16" spans="1:25" ht="24.75" x14ac:dyDescent="0.25">
      <c r="A16" s="5" t="s">
        <v>26</v>
      </c>
      <c r="B16" s="5" t="s">
        <v>27</v>
      </c>
      <c r="C16" s="5" t="s">
        <v>50</v>
      </c>
      <c r="D16" s="5" t="s">
        <v>62</v>
      </c>
      <c r="E16" s="5" t="s">
        <v>28</v>
      </c>
      <c r="F16" s="5" t="s">
        <v>71</v>
      </c>
      <c r="G16" s="5">
        <v>2019</v>
      </c>
      <c r="H16" s="5" t="str">
        <f>CONCATENATE("94210225176")</f>
        <v>94210225176</v>
      </c>
      <c r="I16" s="5" t="s">
        <v>29</v>
      </c>
      <c r="J16" s="5" t="s">
        <v>36</v>
      </c>
      <c r="K16" s="5" t="str">
        <f>CONCATENATE("")</f>
        <v/>
      </c>
      <c r="L16" s="5" t="str">
        <f>CONCATENATE("13 13.1 4a")</f>
        <v>13 13.1 4a</v>
      </c>
      <c r="M16" s="5" t="str">
        <f>CONCATENATE("PREBRN31C15L500Z")</f>
        <v>PREBRN31C15L500Z</v>
      </c>
      <c r="N16" s="5" t="s">
        <v>79</v>
      </c>
      <c r="O16" s="5" t="s">
        <v>61</v>
      </c>
      <c r="P16" s="6">
        <v>43945</v>
      </c>
      <c r="Q16" s="5" t="s">
        <v>31</v>
      </c>
      <c r="R16" s="5" t="s">
        <v>32</v>
      </c>
      <c r="S16" s="5" t="s">
        <v>33</v>
      </c>
      <c r="T16" s="5"/>
      <c r="U16" s="5">
        <v>335.32</v>
      </c>
      <c r="V16" s="5">
        <v>144.59</v>
      </c>
      <c r="W16" s="5">
        <v>133.52000000000001</v>
      </c>
      <c r="X16" s="5">
        <v>0</v>
      </c>
      <c r="Y16" s="5">
        <v>57.21</v>
      </c>
    </row>
    <row r="17" spans="1:25" ht="24.75" x14ac:dyDescent="0.25">
      <c r="A17" s="5" t="s">
        <v>26</v>
      </c>
      <c r="B17" s="5" t="s">
        <v>27</v>
      </c>
      <c r="C17" s="5" t="s">
        <v>50</v>
      </c>
      <c r="D17" s="5" t="s">
        <v>62</v>
      </c>
      <c r="E17" s="5" t="s">
        <v>35</v>
      </c>
      <c r="F17" s="5" t="s">
        <v>75</v>
      </c>
      <c r="G17" s="5">
        <v>2019</v>
      </c>
      <c r="H17" s="5" t="str">
        <f>CONCATENATE("94210183292")</f>
        <v>94210183292</v>
      </c>
      <c r="I17" s="5" t="s">
        <v>29</v>
      </c>
      <c r="J17" s="5" t="s">
        <v>36</v>
      </c>
      <c r="K17" s="5" t="str">
        <f>CONCATENATE("")</f>
        <v/>
      </c>
      <c r="L17" s="5" t="str">
        <f>CONCATENATE("13 13.1 4a")</f>
        <v>13 13.1 4a</v>
      </c>
      <c r="M17" s="5" t="str">
        <f>CONCATENATE("PRNBRN52A27G627H")</f>
        <v>PRNBRN52A27G627H</v>
      </c>
      <c r="N17" s="5" t="s">
        <v>80</v>
      </c>
      <c r="O17" s="5" t="s">
        <v>61</v>
      </c>
      <c r="P17" s="6">
        <v>43945</v>
      </c>
      <c r="Q17" s="5" t="s">
        <v>31</v>
      </c>
      <c r="R17" s="5" t="s">
        <v>32</v>
      </c>
      <c r="S17" s="5" t="s">
        <v>33</v>
      </c>
      <c r="T17" s="5"/>
      <c r="U17" s="7">
        <v>1023.8</v>
      </c>
      <c r="V17" s="5">
        <v>441.46</v>
      </c>
      <c r="W17" s="5">
        <v>407.68</v>
      </c>
      <c r="X17" s="5">
        <v>0</v>
      </c>
      <c r="Y17" s="5">
        <v>174.66</v>
      </c>
    </row>
    <row r="18" spans="1:25" ht="24.75" x14ac:dyDescent="0.25">
      <c r="A18" s="5" t="s">
        <v>26</v>
      </c>
      <c r="B18" s="5" t="s">
        <v>27</v>
      </c>
      <c r="C18" s="5" t="s">
        <v>50</v>
      </c>
      <c r="D18" s="5" t="s">
        <v>62</v>
      </c>
      <c r="E18" s="5" t="s">
        <v>28</v>
      </c>
      <c r="F18" s="5" t="s">
        <v>81</v>
      </c>
      <c r="G18" s="5">
        <v>2019</v>
      </c>
      <c r="H18" s="5" t="str">
        <f>CONCATENATE("94210210426")</f>
        <v>94210210426</v>
      </c>
      <c r="I18" s="5" t="s">
        <v>29</v>
      </c>
      <c r="J18" s="5" t="s">
        <v>36</v>
      </c>
      <c r="K18" s="5" t="str">
        <f>CONCATENATE("")</f>
        <v/>
      </c>
      <c r="L18" s="5" t="str">
        <f>CONCATENATE("13 13.1 4a")</f>
        <v>13 13.1 4a</v>
      </c>
      <c r="M18" s="5" t="str">
        <f>CONCATENATE("TRFPRZ62S45B352A")</f>
        <v>TRFPRZ62S45B352A</v>
      </c>
      <c r="N18" s="5" t="s">
        <v>82</v>
      </c>
      <c r="O18" s="5" t="s">
        <v>61</v>
      </c>
      <c r="P18" s="6">
        <v>43945</v>
      </c>
      <c r="Q18" s="5" t="s">
        <v>31</v>
      </c>
      <c r="R18" s="5" t="s">
        <v>32</v>
      </c>
      <c r="S18" s="5" t="s">
        <v>33</v>
      </c>
      <c r="T18" s="5"/>
      <c r="U18" s="7">
        <v>2428.66</v>
      </c>
      <c r="V18" s="7">
        <v>1047.24</v>
      </c>
      <c r="W18" s="5">
        <v>967.09</v>
      </c>
      <c r="X18" s="5">
        <v>0</v>
      </c>
      <c r="Y18" s="5">
        <v>414.33</v>
      </c>
    </row>
    <row r="19" spans="1:25" ht="24.75" x14ac:dyDescent="0.25">
      <c r="A19" s="5" t="s">
        <v>26</v>
      </c>
      <c r="B19" s="5" t="s">
        <v>27</v>
      </c>
      <c r="C19" s="5" t="s">
        <v>50</v>
      </c>
      <c r="D19" s="5" t="s">
        <v>62</v>
      </c>
      <c r="E19" s="5" t="s">
        <v>45</v>
      </c>
      <c r="F19" s="5" t="s">
        <v>83</v>
      </c>
      <c r="G19" s="5">
        <v>2018</v>
      </c>
      <c r="H19" s="5" t="str">
        <f>CONCATENATE("84210328195")</f>
        <v>84210328195</v>
      </c>
      <c r="I19" s="5" t="s">
        <v>29</v>
      </c>
      <c r="J19" s="5" t="s">
        <v>36</v>
      </c>
      <c r="K19" s="5" t="str">
        <f>CONCATENATE("")</f>
        <v/>
      </c>
      <c r="L19" s="5" t="str">
        <f>CONCATENATE("13 13.1 4a")</f>
        <v>13 13.1 4a</v>
      </c>
      <c r="M19" s="5" t="str">
        <f>CONCATENATE("GLNLCU83B18D488H")</f>
        <v>GLNLCU83B18D488H</v>
      </c>
      <c r="N19" s="5" t="s">
        <v>84</v>
      </c>
      <c r="O19" s="5" t="s">
        <v>61</v>
      </c>
      <c r="P19" s="6">
        <v>43945</v>
      </c>
      <c r="Q19" s="5" t="s">
        <v>31</v>
      </c>
      <c r="R19" s="5" t="s">
        <v>32</v>
      </c>
      <c r="S19" s="5" t="s">
        <v>33</v>
      </c>
      <c r="T19" s="5"/>
      <c r="U19" s="5">
        <v>405.77</v>
      </c>
      <c r="V19" s="5">
        <v>174.97</v>
      </c>
      <c r="W19" s="5">
        <v>161.58000000000001</v>
      </c>
      <c r="X19" s="5">
        <v>0</v>
      </c>
      <c r="Y19" s="5">
        <v>69.22</v>
      </c>
    </row>
    <row r="20" spans="1:25" ht="24.75" x14ac:dyDescent="0.25">
      <c r="A20" s="5" t="s">
        <v>26</v>
      </c>
      <c r="B20" s="5" t="s">
        <v>27</v>
      </c>
      <c r="C20" s="5" t="s">
        <v>50</v>
      </c>
      <c r="D20" s="5" t="s">
        <v>62</v>
      </c>
      <c r="E20" s="5" t="s">
        <v>35</v>
      </c>
      <c r="F20" s="5" t="s">
        <v>85</v>
      </c>
      <c r="G20" s="5">
        <v>2019</v>
      </c>
      <c r="H20" s="5" t="str">
        <f>CONCATENATE("94210364025")</f>
        <v>94210364025</v>
      </c>
      <c r="I20" s="5" t="s">
        <v>29</v>
      </c>
      <c r="J20" s="5" t="s">
        <v>36</v>
      </c>
      <c r="K20" s="5" t="str">
        <f>CONCATENATE("")</f>
        <v/>
      </c>
      <c r="L20" s="5" t="str">
        <f>CONCATENATE("13 13.1 4a")</f>
        <v>13 13.1 4a</v>
      </c>
      <c r="M20" s="5" t="str">
        <f>CONCATENATE("BRGLDI48B59A493W")</f>
        <v>BRGLDI48B59A493W</v>
      </c>
      <c r="N20" s="5" t="s">
        <v>86</v>
      </c>
      <c r="O20" s="5" t="s">
        <v>61</v>
      </c>
      <c r="P20" s="6">
        <v>43945</v>
      </c>
      <c r="Q20" s="5" t="s">
        <v>31</v>
      </c>
      <c r="R20" s="5" t="s">
        <v>32</v>
      </c>
      <c r="S20" s="5" t="s">
        <v>33</v>
      </c>
      <c r="T20" s="5"/>
      <c r="U20" s="7">
        <v>1607.46</v>
      </c>
      <c r="V20" s="5">
        <v>693.14</v>
      </c>
      <c r="W20" s="5">
        <v>640.09</v>
      </c>
      <c r="X20" s="5">
        <v>0</v>
      </c>
      <c r="Y20" s="5">
        <v>274.23</v>
      </c>
    </row>
    <row r="21" spans="1:25" ht="24.75" x14ac:dyDescent="0.25">
      <c r="A21" s="5" t="s">
        <v>26</v>
      </c>
      <c r="B21" s="5" t="s">
        <v>27</v>
      </c>
      <c r="C21" s="5" t="s">
        <v>50</v>
      </c>
      <c r="D21" s="5" t="s">
        <v>51</v>
      </c>
      <c r="E21" s="5" t="s">
        <v>28</v>
      </c>
      <c r="F21" s="5" t="s">
        <v>87</v>
      </c>
      <c r="G21" s="5">
        <v>2019</v>
      </c>
      <c r="H21" s="5" t="str">
        <f>CONCATENATE("94210202381")</f>
        <v>94210202381</v>
      </c>
      <c r="I21" s="5" t="s">
        <v>29</v>
      </c>
      <c r="J21" s="5" t="s">
        <v>36</v>
      </c>
      <c r="K21" s="5" t="str">
        <f>CONCATENATE("")</f>
        <v/>
      </c>
      <c r="L21" s="5" t="str">
        <f>CONCATENATE("13 13.1 4a")</f>
        <v>13 13.1 4a</v>
      </c>
      <c r="M21" s="5" t="str">
        <f>CONCATENATE("CCCRRT69S30C524S")</f>
        <v>CCCRRT69S30C524S</v>
      </c>
      <c r="N21" s="5" t="s">
        <v>88</v>
      </c>
      <c r="O21" s="5" t="s">
        <v>61</v>
      </c>
      <c r="P21" s="6">
        <v>43945</v>
      </c>
      <c r="Q21" s="5" t="s">
        <v>31</v>
      </c>
      <c r="R21" s="5" t="s">
        <v>32</v>
      </c>
      <c r="S21" s="5" t="s">
        <v>33</v>
      </c>
      <c r="T21" s="5"/>
      <c r="U21" s="7">
        <v>1124.2</v>
      </c>
      <c r="V21" s="5">
        <v>484.76</v>
      </c>
      <c r="W21" s="5">
        <v>447.66</v>
      </c>
      <c r="X21" s="5">
        <v>0</v>
      </c>
      <c r="Y21" s="5">
        <v>191.78</v>
      </c>
    </row>
    <row r="22" spans="1:25" ht="24.75" x14ac:dyDescent="0.25">
      <c r="A22" s="5" t="s">
        <v>26</v>
      </c>
      <c r="B22" s="5" t="s">
        <v>27</v>
      </c>
      <c r="C22" s="5" t="s">
        <v>50</v>
      </c>
      <c r="D22" s="5" t="s">
        <v>58</v>
      </c>
      <c r="E22" s="5" t="s">
        <v>38</v>
      </c>
      <c r="F22" s="5" t="s">
        <v>89</v>
      </c>
      <c r="G22" s="5">
        <v>2018</v>
      </c>
      <c r="H22" s="5" t="str">
        <f>CONCATENATE("84210383851")</f>
        <v>84210383851</v>
      </c>
      <c r="I22" s="5" t="s">
        <v>29</v>
      </c>
      <c r="J22" s="5" t="s">
        <v>36</v>
      </c>
      <c r="K22" s="5" t="str">
        <f>CONCATENATE("")</f>
        <v/>
      </c>
      <c r="L22" s="5" t="str">
        <f>CONCATENATE("13 13.1 4a")</f>
        <v>13 13.1 4a</v>
      </c>
      <c r="M22" s="5" t="str">
        <f>CONCATENATE("CNTVCN49B06H390Y")</f>
        <v>CNTVCN49B06H390Y</v>
      </c>
      <c r="N22" s="5" t="s">
        <v>90</v>
      </c>
      <c r="O22" s="5" t="s">
        <v>61</v>
      </c>
      <c r="P22" s="6">
        <v>43945</v>
      </c>
      <c r="Q22" s="5" t="s">
        <v>31</v>
      </c>
      <c r="R22" s="5" t="s">
        <v>32</v>
      </c>
      <c r="S22" s="5" t="s">
        <v>33</v>
      </c>
      <c r="T22" s="5"/>
      <c r="U22" s="7">
        <v>1432.54</v>
      </c>
      <c r="V22" s="5">
        <v>617.71</v>
      </c>
      <c r="W22" s="5">
        <v>570.44000000000005</v>
      </c>
      <c r="X22" s="5">
        <v>0</v>
      </c>
      <c r="Y22" s="5">
        <v>244.39</v>
      </c>
    </row>
    <row r="23" spans="1:25" ht="24.75" x14ac:dyDescent="0.25">
      <c r="A23" s="5" t="s">
        <v>26</v>
      </c>
      <c r="B23" s="5" t="s">
        <v>27</v>
      </c>
      <c r="C23" s="5" t="s">
        <v>50</v>
      </c>
      <c r="D23" s="5" t="s">
        <v>51</v>
      </c>
      <c r="E23" s="5" t="s">
        <v>38</v>
      </c>
      <c r="F23" s="5" t="s">
        <v>91</v>
      </c>
      <c r="G23" s="5">
        <v>2019</v>
      </c>
      <c r="H23" s="5" t="str">
        <f>CONCATENATE("94210165604")</f>
        <v>94210165604</v>
      </c>
      <c r="I23" s="5" t="s">
        <v>29</v>
      </c>
      <c r="J23" s="5" t="s">
        <v>36</v>
      </c>
      <c r="K23" s="5" t="str">
        <f>CONCATENATE("")</f>
        <v/>
      </c>
      <c r="L23" s="5" t="str">
        <f>CONCATENATE("13 13.1 4a")</f>
        <v>13 13.1 4a</v>
      </c>
      <c r="M23" s="5" t="str">
        <f>CONCATENATE("GLLNNZ12S53Z404B")</f>
        <v>GLLNNZ12S53Z404B</v>
      </c>
      <c r="N23" s="5" t="s">
        <v>92</v>
      </c>
      <c r="O23" s="5" t="s">
        <v>61</v>
      </c>
      <c r="P23" s="6">
        <v>43945</v>
      </c>
      <c r="Q23" s="5" t="s">
        <v>31</v>
      </c>
      <c r="R23" s="5" t="s">
        <v>32</v>
      </c>
      <c r="S23" s="5" t="s">
        <v>33</v>
      </c>
      <c r="T23" s="5"/>
      <c r="U23" s="7">
        <v>1028.94</v>
      </c>
      <c r="V23" s="5">
        <v>443.68</v>
      </c>
      <c r="W23" s="5">
        <v>409.72</v>
      </c>
      <c r="X23" s="5">
        <v>0</v>
      </c>
      <c r="Y23" s="5">
        <v>175.54</v>
      </c>
    </row>
    <row r="24" spans="1:25" ht="24.75" x14ac:dyDescent="0.25">
      <c r="A24" s="5" t="s">
        <v>26</v>
      </c>
      <c r="B24" s="5" t="s">
        <v>27</v>
      </c>
      <c r="C24" s="5" t="s">
        <v>50</v>
      </c>
      <c r="D24" s="5" t="s">
        <v>51</v>
      </c>
      <c r="E24" s="5" t="s">
        <v>38</v>
      </c>
      <c r="F24" s="5" t="s">
        <v>77</v>
      </c>
      <c r="G24" s="5">
        <v>2018</v>
      </c>
      <c r="H24" s="5" t="str">
        <f>CONCATENATE("84210677567")</f>
        <v>84210677567</v>
      </c>
      <c r="I24" s="5" t="s">
        <v>29</v>
      </c>
      <c r="J24" s="5" t="s">
        <v>36</v>
      </c>
      <c r="K24" s="5" t="str">
        <f>CONCATENATE("")</f>
        <v/>
      </c>
      <c r="L24" s="5" t="str">
        <f>CONCATENATE("13 13.1 4a")</f>
        <v>13 13.1 4a</v>
      </c>
      <c r="M24" s="5" t="str">
        <f>CONCATENATE("TTVTRS52R45I461V")</f>
        <v>TTVTRS52R45I461V</v>
      </c>
      <c r="N24" s="5" t="s">
        <v>78</v>
      </c>
      <c r="O24" s="5" t="s">
        <v>61</v>
      </c>
      <c r="P24" s="6">
        <v>43945</v>
      </c>
      <c r="Q24" s="5" t="s">
        <v>31</v>
      </c>
      <c r="R24" s="5" t="s">
        <v>32</v>
      </c>
      <c r="S24" s="5" t="s">
        <v>33</v>
      </c>
      <c r="T24" s="5"/>
      <c r="U24" s="7">
        <v>4187.72</v>
      </c>
      <c r="V24" s="7">
        <v>1805.74</v>
      </c>
      <c r="W24" s="7">
        <v>1667.55</v>
      </c>
      <c r="X24" s="5">
        <v>0</v>
      </c>
      <c r="Y24" s="5">
        <v>714.43</v>
      </c>
    </row>
    <row r="25" spans="1:25" ht="24.75" x14ac:dyDescent="0.25">
      <c r="A25" s="5" t="s">
        <v>26</v>
      </c>
      <c r="B25" s="5" t="s">
        <v>27</v>
      </c>
      <c r="C25" s="5" t="s">
        <v>50</v>
      </c>
      <c r="D25" s="5" t="s">
        <v>62</v>
      </c>
      <c r="E25" s="5" t="s">
        <v>28</v>
      </c>
      <c r="F25" s="5" t="s">
        <v>93</v>
      </c>
      <c r="G25" s="5">
        <v>2019</v>
      </c>
      <c r="H25" s="5" t="str">
        <f>CONCATENATE("94210595727")</f>
        <v>94210595727</v>
      </c>
      <c r="I25" s="5" t="s">
        <v>29</v>
      </c>
      <c r="J25" s="5" t="s">
        <v>36</v>
      </c>
      <c r="K25" s="5" t="str">
        <f>CONCATENATE("")</f>
        <v/>
      </c>
      <c r="L25" s="5" t="str">
        <f>CONCATENATE("13 13.1 4a")</f>
        <v>13 13.1 4a</v>
      </c>
      <c r="M25" s="5" t="str">
        <f>CONCATENATE("STRCSR62A12D791T")</f>
        <v>STRCSR62A12D791T</v>
      </c>
      <c r="N25" s="5" t="s">
        <v>94</v>
      </c>
      <c r="O25" s="5" t="s">
        <v>61</v>
      </c>
      <c r="P25" s="6">
        <v>43945</v>
      </c>
      <c r="Q25" s="5" t="s">
        <v>31</v>
      </c>
      <c r="R25" s="5" t="s">
        <v>32</v>
      </c>
      <c r="S25" s="5" t="s">
        <v>33</v>
      </c>
      <c r="T25" s="5"/>
      <c r="U25" s="7">
        <v>3163.76</v>
      </c>
      <c r="V25" s="7">
        <v>1364.21</v>
      </c>
      <c r="W25" s="7">
        <v>1259.81</v>
      </c>
      <c r="X25" s="5">
        <v>0</v>
      </c>
      <c r="Y25" s="5">
        <v>539.74</v>
      </c>
    </row>
    <row r="26" spans="1:25" ht="24.75" x14ac:dyDescent="0.25">
      <c r="A26" s="5" t="s">
        <v>26</v>
      </c>
      <c r="B26" s="5" t="s">
        <v>27</v>
      </c>
      <c r="C26" s="5" t="s">
        <v>50</v>
      </c>
      <c r="D26" s="5" t="s">
        <v>58</v>
      </c>
      <c r="E26" s="5" t="s">
        <v>28</v>
      </c>
      <c r="F26" s="5" t="s">
        <v>59</v>
      </c>
      <c r="G26" s="5">
        <v>2019</v>
      </c>
      <c r="H26" s="5" t="str">
        <f>CONCATENATE("94210082767")</f>
        <v>94210082767</v>
      </c>
      <c r="I26" s="5" t="s">
        <v>29</v>
      </c>
      <c r="J26" s="5" t="s">
        <v>36</v>
      </c>
      <c r="K26" s="5" t="str">
        <f>CONCATENATE("")</f>
        <v/>
      </c>
      <c r="L26" s="5" t="str">
        <f>CONCATENATE("13 13.1 4a")</f>
        <v>13 13.1 4a</v>
      </c>
      <c r="M26" s="5" t="str">
        <f>CONCATENATE("LRAMRA57E22A437D")</f>
        <v>LRAMRA57E22A437D</v>
      </c>
      <c r="N26" s="5" t="s">
        <v>95</v>
      </c>
      <c r="O26" s="5" t="s">
        <v>61</v>
      </c>
      <c r="P26" s="6">
        <v>43945</v>
      </c>
      <c r="Q26" s="5" t="s">
        <v>31</v>
      </c>
      <c r="R26" s="5" t="s">
        <v>32</v>
      </c>
      <c r="S26" s="5" t="s">
        <v>33</v>
      </c>
      <c r="T26" s="5"/>
      <c r="U26" s="7">
        <v>2854.96</v>
      </c>
      <c r="V26" s="7">
        <v>1231.06</v>
      </c>
      <c r="W26" s="7">
        <v>1136.8499999999999</v>
      </c>
      <c r="X26" s="5">
        <v>0</v>
      </c>
      <c r="Y26" s="5">
        <v>487.05</v>
      </c>
    </row>
    <row r="27" spans="1:25" ht="24.75" x14ac:dyDescent="0.25">
      <c r="A27" s="5" t="s">
        <v>26</v>
      </c>
      <c r="B27" s="5" t="s">
        <v>27</v>
      </c>
      <c r="C27" s="5" t="s">
        <v>50</v>
      </c>
      <c r="D27" s="5" t="s">
        <v>62</v>
      </c>
      <c r="E27" s="5" t="s">
        <v>35</v>
      </c>
      <c r="F27" s="5" t="s">
        <v>75</v>
      </c>
      <c r="G27" s="5">
        <v>2019</v>
      </c>
      <c r="H27" s="5" t="str">
        <f>CONCATENATE("94210072560")</f>
        <v>94210072560</v>
      </c>
      <c r="I27" s="5" t="s">
        <v>29</v>
      </c>
      <c r="J27" s="5" t="s">
        <v>36</v>
      </c>
      <c r="K27" s="5" t="str">
        <f>CONCATENATE("")</f>
        <v/>
      </c>
      <c r="L27" s="5" t="str">
        <f>CONCATENATE("13 13.1 4a")</f>
        <v>13 13.1 4a</v>
      </c>
      <c r="M27" s="5" t="str">
        <f>CONCATENATE("MRCGPP26B21F524C")</f>
        <v>MRCGPP26B21F524C</v>
      </c>
      <c r="N27" s="5" t="s">
        <v>96</v>
      </c>
      <c r="O27" s="5" t="s">
        <v>61</v>
      </c>
      <c r="P27" s="6">
        <v>43945</v>
      </c>
      <c r="Q27" s="5" t="s">
        <v>31</v>
      </c>
      <c r="R27" s="5" t="s">
        <v>32</v>
      </c>
      <c r="S27" s="5" t="s">
        <v>33</v>
      </c>
      <c r="T27" s="5"/>
      <c r="U27" s="7">
        <v>1713.41</v>
      </c>
      <c r="V27" s="5">
        <v>738.82</v>
      </c>
      <c r="W27" s="5">
        <v>682.28</v>
      </c>
      <c r="X27" s="5">
        <v>0</v>
      </c>
      <c r="Y27" s="5">
        <v>292.31</v>
      </c>
    </row>
    <row r="28" spans="1:25" x14ac:dyDescent="0.25">
      <c r="A28" s="5" t="s">
        <v>26</v>
      </c>
      <c r="B28" s="5" t="s">
        <v>27</v>
      </c>
      <c r="C28" s="5" t="s">
        <v>50</v>
      </c>
      <c r="D28" s="5" t="s">
        <v>57</v>
      </c>
      <c r="E28" s="5" t="s">
        <v>28</v>
      </c>
      <c r="F28" s="5" t="s">
        <v>97</v>
      </c>
      <c r="G28" s="5">
        <v>2019</v>
      </c>
      <c r="H28" s="5" t="str">
        <f>CONCATENATE("94210101237")</f>
        <v>94210101237</v>
      </c>
      <c r="I28" s="5" t="s">
        <v>29</v>
      </c>
      <c r="J28" s="5" t="s">
        <v>36</v>
      </c>
      <c r="K28" s="5" t="str">
        <f>CONCATENATE("")</f>
        <v/>
      </c>
      <c r="L28" s="5" t="str">
        <f>CONCATENATE("13 13.1 4a")</f>
        <v>13 13.1 4a</v>
      </c>
      <c r="M28" s="5" t="str">
        <f>CONCATENATE("PPLMRA57P15B474B")</f>
        <v>PPLMRA57P15B474B</v>
      </c>
      <c r="N28" s="5" t="s">
        <v>98</v>
      </c>
      <c r="O28" s="5" t="s">
        <v>61</v>
      </c>
      <c r="P28" s="6">
        <v>43945</v>
      </c>
      <c r="Q28" s="5" t="s">
        <v>31</v>
      </c>
      <c r="R28" s="5" t="s">
        <v>32</v>
      </c>
      <c r="S28" s="5" t="s">
        <v>33</v>
      </c>
      <c r="T28" s="5"/>
      <c r="U28" s="7">
        <v>6211.69</v>
      </c>
      <c r="V28" s="7">
        <v>2678.48</v>
      </c>
      <c r="W28" s="7">
        <v>2473.4899999999998</v>
      </c>
      <c r="X28" s="5">
        <v>0</v>
      </c>
      <c r="Y28" s="7">
        <v>1059.72</v>
      </c>
    </row>
    <row r="29" spans="1:25" ht="24.75" x14ac:dyDescent="0.25">
      <c r="A29" s="5" t="s">
        <v>26</v>
      </c>
      <c r="B29" s="5" t="s">
        <v>27</v>
      </c>
      <c r="C29" s="5" t="s">
        <v>50</v>
      </c>
      <c r="D29" s="5" t="s">
        <v>62</v>
      </c>
      <c r="E29" s="5" t="s">
        <v>35</v>
      </c>
      <c r="F29" s="5" t="s">
        <v>99</v>
      </c>
      <c r="G29" s="5">
        <v>2019</v>
      </c>
      <c r="H29" s="5" t="str">
        <f>CONCATENATE("94210292317")</f>
        <v>94210292317</v>
      </c>
      <c r="I29" s="5" t="s">
        <v>37</v>
      </c>
      <c r="J29" s="5" t="s">
        <v>36</v>
      </c>
      <c r="K29" s="5" t="str">
        <f>CONCATENATE("")</f>
        <v/>
      </c>
      <c r="L29" s="5" t="str">
        <f>CONCATENATE("13 13.1 4a")</f>
        <v>13 13.1 4a</v>
      </c>
      <c r="M29" s="5" t="str">
        <f>CONCATENATE("PRTFST63D07G453J")</f>
        <v>PRTFST63D07G453J</v>
      </c>
      <c r="N29" s="5" t="s">
        <v>100</v>
      </c>
      <c r="O29" s="5" t="s">
        <v>61</v>
      </c>
      <c r="P29" s="6">
        <v>43945</v>
      </c>
      <c r="Q29" s="5" t="s">
        <v>31</v>
      </c>
      <c r="R29" s="5" t="s">
        <v>32</v>
      </c>
      <c r="S29" s="5" t="s">
        <v>33</v>
      </c>
      <c r="T29" s="5"/>
      <c r="U29" s="7">
        <v>1669.84</v>
      </c>
      <c r="V29" s="5">
        <v>720.04</v>
      </c>
      <c r="W29" s="5">
        <v>664.93</v>
      </c>
      <c r="X29" s="5">
        <v>0</v>
      </c>
      <c r="Y29" s="5">
        <v>284.87</v>
      </c>
    </row>
    <row r="30" spans="1:25" ht="24.75" x14ac:dyDescent="0.25">
      <c r="A30" s="5" t="s">
        <v>26</v>
      </c>
      <c r="B30" s="5" t="s">
        <v>27</v>
      </c>
      <c r="C30" s="5" t="s">
        <v>50</v>
      </c>
      <c r="D30" s="5" t="s">
        <v>51</v>
      </c>
      <c r="E30" s="5" t="s">
        <v>28</v>
      </c>
      <c r="F30" s="5" t="s">
        <v>101</v>
      </c>
      <c r="G30" s="5">
        <v>2019</v>
      </c>
      <c r="H30" s="5" t="str">
        <f>CONCATENATE("94210447002")</f>
        <v>94210447002</v>
      </c>
      <c r="I30" s="5" t="s">
        <v>29</v>
      </c>
      <c r="J30" s="5" t="s">
        <v>36</v>
      </c>
      <c r="K30" s="5" t="str">
        <f>CONCATENATE("")</f>
        <v/>
      </c>
      <c r="L30" s="5" t="str">
        <f>CONCATENATE("13 13.1 4a")</f>
        <v>13 13.1 4a</v>
      </c>
      <c r="M30" s="5" t="str">
        <f>CONCATENATE("VCCTMS58C10H501Q")</f>
        <v>VCCTMS58C10H501Q</v>
      </c>
      <c r="N30" s="5" t="s">
        <v>102</v>
      </c>
      <c r="O30" s="5" t="s">
        <v>61</v>
      </c>
      <c r="P30" s="6">
        <v>43945</v>
      </c>
      <c r="Q30" s="5" t="s">
        <v>31</v>
      </c>
      <c r="R30" s="5" t="s">
        <v>32</v>
      </c>
      <c r="S30" s="5" t="s">
        <v>33</v>
      </c>
      <c r="T30" s="5"/>
      <c r="U30" s="5">
        <v>611.55999999999995</v>
      </c>
      <c r="V30" s="5">
        <v>263.7</v>
      </c>
      <c r="W30" s="5">
        <v>243.52</v>
      </c>
      <c r="X30" s="5">
        <v>0</v>
      </c>
      <c r="Y30" s="5">
        <v>104.34</v>
      </c>
    </row>
    <row r="31" spans="1:25" ht="24.75" x14ac:dyDescent="0.25">
      <c r="A31" s="5" t="s">
        <v>26</v>
      </c>
      <c r="B31" s="5" t="s">
        <v>27</v>
      </c>
      <c r="C31" s="5" t="s">
        <v>50</v>
      </c>
      <c r="D31" s="5" t="s">
        <v>62</v>
      </c>
      <c r="E31" s="5" t="s">
        <v>28</v>
      </c>
      <c r="F31" s="5" t="s">
        <v>63</v>
      </c>
      <c r="G31" s="5">
        <v>2019</v>
      </c>
      <c r="H31" s="5" t="str">
        <f>CONCATENATE("94210191964")</f>
        <v>94210191964</v>
      </c>
      <c r="I31" s="5" t="s">
        <v>29</v>
      </c>
      <c r="J31" s="5" t="s">
        <v>36</v>
      </c>
      <c r="K31" s="5" t="str">
        <f>CONCATENATE("")</f>
        <v/>
      </c>
      <c r="L31" s="5" t="str">
        <f>CONCATENATE("13 13.1 4a")</f>
        <v>13 13.1 4a</v>
      </c>
      <c r="M31" s="5" t="str">
        <f>CONCATENATE("BLDGRL58S01D749R")</f>
        <v>BLDGRL58S01D749R</v>
      </c>
      <c r="N31" s="5" t="s">
        <v>103</v>
      </c>
      <c r="O31" s="5" t="s">
        <v>61</v>
      </c>
      <c r="P31" s="6">
        <v>43945</v>
      </c>
      <c r="Q31" s="5" t="s">
        <v>31</v>
      </c>
      <c r="R31" s="5" t="s">
        <v>32</v>
      </c>
      <c r="S31" s="5" t="s">
        <v>33</v>
      </c>
      <c r="T31" s="5"/>
      <c r="U31" s="7">
        <v>3125.71</v>
      </c>
      <c r="V31" s="7">
        <v>1347.81</v>
      </c>
      <c r="W31" s="7">
        <v>1244.6600000000001</v>
      </c>
      <c r="X31" s="5">
        <v>0</v>
      </c>
      <c r="Y31" s="5">
        <v>533.24</v>
      </c>
    </row>
    <row r="32" spans="1:25" ht="24.75" x14ac:dyDescent="0.25">
      <c r="A32" s="5" t="s">
        <v>26</v>
      </c>
      <c r="B32" s="5" t="s">
        <v>27</v>
      </c>
      <c r="C32" s="5" t="s">
        <v>50</v>
      </c>
      <c r="D32" s="5" t="s">
        <v>58</v>
      </c>
      <c r="E32" s="5" t="s">
        <v>28</v>
      </c>
      <c r="F32" s="5" t="s">
        <v>59</v>
      </c>
      <c r="G32" s="5">
        <v>2019</v>
      </c>
      <c r="H32" s="5" t="str">
        <f>CONCATENATE("94210534924")</f>
        <v>94210534924</v>
      </c>
      <c r="I32" s="5" t="s">
        <v>29</v>
      </c>
      <c r="J32" s="5" t="s">
        <v>36</v>
      </c>
      <c r="K32" s="5" t="str">
        <f>CONCATENATE("")</f>
        <v/>
      </c>
      <c r="L32" s="5" t="str">
        <f>CONCATENATE("13 13.1 4a")</f>
        <v>13 13.1 4a</v>
      </c>
      <c r="M32" s="5" t="str">
        <f>CONCATENATE("DCSCLD86E47A258K")</f>
        <v>DCSCLD86E47A258K</v>
      </c>
      <c r="N32" s="5" t="s">
        <v>104</v>
      </c>
      <c r="O32" s="5" t="s">
        <v>61</v>
      </c>
      <c r="P32" s="6">
        <v>43945</v>
      </c>
      <c r="Q32" s="5" t="s">
        <v>31</v>
      </c>
      <c r="R32" s="5" t="s">
        <v>32</v>
      </c>
      <c r="S32" s="5" t="s">
        <v>33</v>
      </c>
      <c r="T32" s="5"/>
      <c r="U32" s="5">
        <v>623.91999999999996</v>
      </c>
      <c r="V32" s="5">
        <v>269.02999999999997</v>
      </c>
      <c r="W32" s="5">
        <v>248.44</v>
      </c>
      <c r="X32" s="5">
        <v>0</v>
      </c>
      <c r="Y32" s="5">
        <v>106.45</v>
      </c>
    </row>
    <row r="33" spans="1:25" ht="24.75" x14ac:dyDescent="0.25">
      <c r="A33" s="5" t="s">
        <v>26</v>
      </c>
      <c r="B33" s="5" t="s">
        <v>27</v>
      </c>
      <c r="C33" s="5" t="s">
        <v>50</v>
      </c>
      <c r="D33" s="5" t="s">
        <v>58</v>
      </c>
      <c r="E33" s="5" t="s">
        <v>28</v>
      </c>
      <c r="F33" s="5" t="s">
        <v>59</v>
      </c>
      <c r="G33" s="5">
        <v>2018</v>
      </c>
      <c r="H33" s="5" t="str">
        <f>CONCATENATE("84210941674")</f>
        <v>84210941674</v>
      </c>
      <c r="I33" s="5" t="s">
        <v>29</v>
      </c>
      <c r="J33" s="5" t="s">
        <v>36</v>
      </c>
      <c r="K33" s="5" t="str">
        <f>CONCATENATE("")</f>
        <v/>
      </c>
      <c r="L33" s="5" t="str">
        <f>CONCATENATE("13 13.1 4a")</f>
        <v>13 13.1 4a</v>
      </c>
      <c r="M33" s="5" t="str">
        <f>CONCATENATE("DRSSTM77L22A462F")</f>
        <v>DRSSTM77L22A462F</v>
      </c>
      <c r="N33" s="5" t="s">
        <v>105</v>
      </c>
      <c r="O33" s="5" t="s">
        <v>61</v>
      </c>
      <c r="P33" s="6">
        <v>43945</v>
      </c>
      <c r="Q33" s="5" t="s">
        <v>31</v>
      </c>
      <c r="R33" s="5" t="s">
        <v>32</v>
      </c>
      <c r="S33" s="5" t="s">
        <v>33</v>
      </c>
      <c r="T33" s="5"/>
      <c r="U33" s="5">
        <v>66.7</v>
      </c>
      <c r="V33" s="5">
        <v>28.76</v>
      </c>
      <c r="W33" s="5">
        <v>26.56</v>
      </c>
      <c r="X33" s="5">
        <v>0</v>
      </c>
      <c r="Y33" s="5">
        <v>11.38</v>
      </c>
    </row>
    <row r="34" spans="1:25" ht="24.75" x14ac:dyDescent="0.25">
      <c r="A34" s="5" t="s">
        <v>26</v>
      </c>
      <c r="B34" s="5" t="s">
        <v>27</v>
      </c>
      <c r="C34" s="5" t="s">
        <v>50</v>
      </c>
      <c r="D34" s="5" t="s">
        <v>51</v>
      </c>
      <c r="E34" s="5" t="s">
        <v>28</v>
      </c>
      <c r="F34" s="5" t="s">
        <v>101</v>
      </c>
      <c r="G34" s="5">
        <v>2019</v>
      </c>
      <c r="H34" s="5" t="str">
        <f>CONCATENATE("94210502061")</f>
        <v>94210502061</v>
      </c>
      <c r="I34" s="5" t="s">
        <v>29</v>
      </c>
      <c r="J34" s="5" t="s">
        <v>36</v>
      </c>
      <c r="K34" s="5" t="str">
        <f>CONCATENATE("")</f>
        <v/>
      </c>
      <c r="L34" s="5" t="str">
        <f>CONCATENATE("13 13.1 4a")</f>
        <v>13 13.1 4a</v>
      </c>
      <c r="M34" s="5" t="str">
        <f>CONCATENATE("FRIGCR56A20I461T")</f>
        <v>FRIGCR56A20I461T</v>
      </c>
      <c r="N34" s="5" t="s">
        <v>106</v>
      </c>
      <c r="O34" s="5" t="s">
        <v>61</v>
      </c>
      <c r="P34" s="6">
        <v>43945</v>
      </c>
      <c r="Q34" s="5" t="s">
        <v>31</v>
      </c>
      <c r="R34" s="5" t="s">
        <v>32</v>
      </c>
      <c r="S34" s="5" t="s">
        <v>33</v>
      </c>
      <c r="T34" s="5"/>
      <c r="U34" s="7">
        <v>1951.32</v>
      </c>
      <c r="V34" s="5">
        <v>841.41</v>
      </c>
      <c r="W34" s="5">
        <v>777.02</v>
      </c>
      <c r="X34" s="5">
        <v>0</v>
      </c>
      <c r="Y34" s="5">
        <v>332.89</v>
      </c>
    </row>
    <row r="35" spans="1:25" ht="24.75" x14ac:dyDescent="0.25">
      <c r="A35" s="5" t="s">
        <v>26</v>
      </c>
      <c r="B35" s="5" t="s">
        <v>27</v>
      </c>
      <c r="C35" s="5" t="s">
        <v>50</v>
      </c>
      <c r="D35" s="5" t="s">
        <v>62</v>
      </c>
      <c r="E35" s="5" t="s">
        <v>28</v>
      </c>
      <c r="F35" s="5" t="s">
        <v>63</v>
      </c>
      <c r="G35" s="5">
        <v>2018</v>
      </c>
      <c r="H35" s="5" t="str">
        <f>CONCATENATE("84211625334")</f>
        <v>84211625334</v>
      </c>
      <c r="I35" s="5" t="s">
        <v>29</v>
      </c>
      <c r="J35" s="5" t="s">
        <v>36</v>
      </c>
      <c r="K35" s="5" t="str">
        <f>CONCATENATE("")</f>
        <v/>
      </c>
      <c r="L35" s="5" t="str">
        <f>CONCATENATE("13 13.1 4a")</f>
        <v>13 13.1 4a</v>
      </c>
      <c r="M35" s="5" t="str">
        <f>CONCATENATE("LZZNDR66E22D488J")</f>
        <v>LZZNDR66E22D488J</v>
      </c>
      <c r="N35" s="5" t="s">
        <v>107</v>
      </c>
      <c r="O35" s="5" t="s">
        <v>61</v>
      </c>
      <c r="P35" s="6">
        <v>43945</v>
      </c>
      <c r="Q35" s="5" t="s">
        <v>31</v>
      </c>
      <c r="R35" s="5" t="s">
        <v>32</v>
      </c>
      <c r="S35" s="5" t="s">
        <v>33</v>
      </c>
      <c r="T35" s="5"/>
      <c r="U35" s="7">
        <v>1119.08</v>
      </c>
      <c r="V35" s="5">
        <v>482.55</v>
      </c>
      <c r="W35" s="5">
        <v>445.62</v>
      </c>
      <c r="X35" s="5">
        <v>0</v>
      </c>
      <c r="Y35" s="5">
        <v>190.91</v>
      </c>
    </row>
    <row r="36" spans="1:25" ht="24.75" x14ac:dyDescent="0.25">
      <c r="A36" s="5" t="s">
        <v>26</v>
      </c>
      <c r="B36" s="5" t="s">
        <v>27</v>
      </c>
      <c r="C36" s="5" t="s">
        <v>50</v>
      </c>
      <c r="D36" s="5" t="s">
        <v>58</v>
      </c>
      <c r="E36" s="5" t="s">
        <v>38</v>
      </c>
      <c r="F36" s="5" t="s">
        <v>89</v>
      </c>
      <c r="G36" s="5">
        <v>2019</v>
      </c>
      <c r="H36" s="5" t="str">
        <f>CONCATENATE("94210215722")</f>
        <v>94210215722</v>
      </c>
      <c r="I36" s="5" t="s">
        <v>29</v>
      </c>
      <c r="J36" s="5" t="s">
        <v>36</v>
      </c>
      <c r="K36" s="5" t="str">
        <f>CONCATENATE("")</f>
        <v/>
      </c>
      <c r="L36" s="5" t="str">
        <f>CONCATENATE("13 13.1 4a")</f>
        <v>13 13.1 4a</v>
      </c>
      <c r="M36" s="5" t="str">
        <f>CONCATENATE("PRTFNC66P05A462O")</f>
        <v>PRTFNC66P05A462O</v>
      </c>
      <c r="N36" s="5" t="s">
        <v>108</v>
      </c>
      <c r="O36" s="5" t="s">
        <v>61</v>
      </c>
      <c r="P36" s="6">
        <v>43945</v>
      </c>
      <c r="Q36" s="5" t="s">
        <v>31</v>
      </c>
      <c r="R36" s="5" t="s">
        <v>32</v>
      </c>
      <c r="S36" s="5" t="s">
        <v>33</v>
      </c>
      <c r="T36" s="5"/>
      <c r="U36" s="5">
        <v>134.41</v>
      </c>
      <c r="V36" s="5">
        <v>57.96</v>
      </c>
      <c r="W36" s="5">
        <v>53.52</v>
      </c>
      <c r="X36" s="5">
        <v>0</v>
      </c>
      <c r="Y36" s="5">
        <v>22.93</v>
      </c>
    </row>
    <row r="37" spans="1:25" ht="24.75" x14ac:dyDescent="0.25">
      <c r="A37" s="5" t="s">
        <v>26</v>
      </c>
      <c r="B37" s="5" t="s">
        <v>27</v>
      </c>
      <c r="C37" s="5" t="s">
        <v>50</v>
      </c>
      <c r="D37" s="5" t="s">
        <v>62</v>
      </c>
      <c r="E37" s="5" t="s">
        <v>38</v>
      </c>
      <c r="F37" s="5" t="s">
        <v>109</v>
      </c>
      <c r="G37" s="5">
        <v>2019</v>
      </c>
      <c r="H37" s="5" t="str">
        <f>CONCATENATE("94210895929")</f>
        <v>94210895929</v>
      </c>
      <c r="I37" s="5" t="s">
        <v>29</v>
      </c>
      <c r="J37" s="5" t="s">
        <v>36</v>
      </c>
      <c r="K37" s="5" t="str">
        <f>CONCATENATE("")</f>
        <v/>
      </c>
      <c r="L37" s="5" t="str">
        <f>CONCATENATE("13 13.1 4a")</f>
        <v>13 13.1 4a</v>
      </c>
      <c r="M37" s="5" t="str">
        <f>CONCATENATE("RMTFNC77B27D749T")</f>
        <v>RMTFNC77B27D749T</v>
      </c>
      <c r="N37" s="5" t="s">
        <v>110</v>
      </c>
      <c r="O37" s="5" t="s">
        <v>61</v>
      </c>
      <c r="P37" s="6">
        <v>43945</v>
      </c>
      <c r="Q37" s="5" t="s">
        <v>31</v>
      </c>
      <c r="R37" s="5" t="s">
        <v>32</v>
      </c>
      <c r="S37" s="5" t="s">
        <v>33</v>
      </c>
      <c r="T37" s="5"/>
      <c r="U37" s="5">
        <v>981.65</v>
      </c>
      <c r="V37" s="5">
        <v>423.29</v>
      </c>
      <c r="W37" s="5">
        <v>390.89</v>
      </c>
      <c r="X37" s="5">
        <v>0</v>
      </c>
      <c r="Y37" s="5">
        <v>167.47</v>
      </c>
    </row>
    <row r="38" spans="1:25" ht="24.75" x14ac:dyDescent="0.25">
      <c r="A38" s="5" t="s">
        <v>26</v>
      </c>
      <c r="B38" s="5" t="s">
        <v>27</v>
      </c>
      <c r="C38" s="5" t="s">
        <v>50</v>
      </c>
      <c r="D38" s="5" t="s">
        <v>62</v>
      </c>
      <c r="E38" s="5" t="s">
        <v>35</v>
      </c>
      <c r="F38" s="5" t="s">
        <v>75</v>
      </c>
      <c r="G38" s="5">
        <v>2019</v>
      </c>
      <c r="H38" s="5" t="str">
        <f>CONCATENATE("94210328178")</f>
        <v>94210328178</v>
      </c>
      <c r="I38" s="5" t="s">
        <v>29</v>
      </c>
      <c r="J38" s="5" t="s">
        <v>36</v>
      </c>
      <c r="K38" s="5" t="str">
        <f>CONCATENATE("")</f>
        <v/>
      </c>
      <c r="L38" s="5" t="str">
        <f>CONCATENATE("13 13.1 4a")</f>
        <v>13 13.1 4a</v>
      </c>
      <c r="M38" s="5" t="str">
        <f>CONCATENATE("SVRVTT67S67E785M")</f>
        <v>SVRVTT67S67E785M</v>
      </c>
      <c r="N38" s="5" t="s">
        <v>111</v>
      </c>
      <c r="O38" s="5" t="s">
        <v>61</v>
      </c>
      <c r="P38" s="6">
        <v>43945</v>
      </c>
      <c r="Q38" s="5" t="s">
        <v>31</v>
      </c>
      <c r="R38" s="5" t="s">
        <v>32</v>
      </c>
      <c r="S38" s="5" t="s">
        <v>33</v>
      </c>
      <c r="T38" s="5"/>
      <c r="U38" s="7">
        <v>1532.26</v>
      </c>
      <c r="V38" s="5">
        <v>660.71</v>
      </c>
      <c r="W38" s="5">
        <v>610.15</v>
      </c>
      <c r="X38" s="5">
        <v>0</v>
      </c>
      <c r="Y38" s="5">
        <v>261.39999999999998</v>
      </c>
    </row>
    <row r="39" spans="1:25" ht="24.75" x14ac:dyDescent="0.25">
      <c r="A39" s="5" t="s">
        <v>26</v>
      </c>
      <c r="B39" s="5" t="s">
        <v>27</v>
      </c>
      <c r="C39" s="5" t="s">
        <v>50</v>
      </c>
      <c r="D39" s="5" t="s">
        <v>62</v>
      </c>
      <c r="E39" s="5" t="s">
        <v>38</v>
      </c>
      <c r="F39" s="5" t="s">
        <v>109</v>
      </c>
      <c r="G39" s="5">
        <v>2019</v>
      </c>
      <c r="H39" s="5" t="str">
        <f>CONCATENATE("94210782911")</f>
        <v>94210782911</v>
      </c>
      <c r="I39" s="5" t="s">
        <v>29</v>
      </c>
      <c r="J39" s="5" t="s">
        <v>36</v>
      </c>
      <c r="K39" s="5" t="str">
        <f>CONCATENATE("")</f>
        <v/>
      </c>
      <c r="L39" s="5" t="str">
        <f>CONCATENATE("13 13.1 4a")</f>
        <v>13 13.1 4a</v>
      </c>
      <c r="M39" s="5" t="str">
        <f>CONCATENATE("01496630417")</f>
        <v>01496630417</v>
      </c>
      <c r="N39" s="5" t="s">
        <v>112</v>
      </c>
      <c r="O39" s="5" t="s">
        <v>61</v>
      </c>
      <c r="P39" s="6">
        <v>43945</v>
      </c>
      <c r="Q39" s="5" t="s">
        <v>31</v>
      </c>
      <c r="R39" s="5" t="s">
        <v>32</v>
      </c>
      <c r="S39" s="5" t="s">
        <v>33</v>
      </c>
      <c r="T39" s="5"/>
      <c r="U39" s="5">
        <v>675.93</v>
      </c>
      <c r="V39" s="5">
        <v>291.45999999999998</v>
      </c>
      <c r="W39" s="5">
        <v>269.16000000000003</v>
      </c>
      <c r="X39" s="5">
        <v>0</v>
      </c>
      <c r="Y39" s="5">
        <v>115.31</v>
      </c>
    </row>
    <row r="40" spans="1:25" ht="24.75" x14ac:dyDescent="0.25">
      <c r="A40" s="5" t="s">
        <v>26</v>
      </c>
      <c r="B40" s="5" t="s">
        <v>27</v>
      </c>
      <c r="C40" s="5" t="s">
        <v>50</v>
      </c>
      <c r="D40" s="5" t="s">
        <v>62</v>
      </c>
      <c r="E40" s="5" t="s">
        <v>38</v>
      </c>
      <c r="F40" s="5" t="s">
        <v>113</v>
      </c>
      <c r="G40" s="5">
        <v>2019</v>
      </c>
      <c r="H40" s="5" t="str">
        <f>CONCATENATE("94210581271")</f>
        <v>94210581271</v>
      </c>
      <c r="I40" s="5" t="s">
        <v>29</v>
      </c>
      <c r="J40" s="5" t="s">
        <v>36</v>
      </c>
      <c r="K40" s="5" t="str">
        <f>CONCATENATE("")</f>
        <v/>
      </c>
      <c r="L40" s="5" t="str">
        <f>CONCATENATE("13 13.1 4a")</f>
        <v>13 13.1 4a</v>
      </c>
      <c r="M40" s="5" t="str">
        <f>CONCATENATE("CNCMRZ62L09F467R")</f>
        <v>CNCMRZ62L09F467R</v>
      </c>
      <c r="N40" s="5" t="s">
        <v>114</v>
      </c>
      <c r="O40" s="5" t="s">
        <v>61</v>
      </c>
      <c r="P40" s="6">
        <v>43945</v>
      </c>
      <c r="Q40" s="5" t="s">
        <v>31</v>
      </c>
      <c r="R40" s="5" t="s">
        <v>32</v>
      </c>
      <c r="S40" s="5" t="s">
        <v>33</v>
      </c>
      <c r="T40" s="5"/>
      <c r="U40" s="7">
        <v>2263.41</v>
      </c>
      <c r="V40" s="5">
        <v>975.98</v>
      </c>
      <c r="W40" s="5">
        <v>901.29</v>
      </c>
      <c r="X40" s="5">
        <v>0</v>
      </c>
      <c r="Y40" s="5">
        <v>386.14</v>
      </c>
    </row>
    <row r="41" spans="1:25" ht="24.75" x14ac:dyDescent="0.25">
      <c r="A41" s="5" t="s">
        <v>26</v>
      </c>
      <c r="B41" s="5" t="s">
        <v>27</v>
      </c>
      <c r="C41" s="5" t="s">
        <v>50</v>
      </c>
      <c r="D41" s="5" t="s">
        <v>62</v>
      </c>
      <c r="E41" s="5" t="s">
        <v>35</v>
      </c>
      <c r="F41" s="5" t="s">
        <v>75</v>
      </c>
      <c r="G41" s="5">
        <v>2019</v>
      </c>
      <c r="H41" s="5" t="str">
        <f>CONCATENATE("94210152438")</f>
        <v>94210152438</v>
      </c>
      <c r="I41" s="5" t="s">
        <v>29</v>
      </c>
      <c r="J41" s="5" t="s">
        <v>36</v>
      </c>
      <c r="K41" s="5" t="str">
        <f>CONCATENATE("")</f>
        <v/>
      </c>
      <c r="L41" s="5" t="str">
        <f>CONCATENATE("13 13.1 4a")</f>
        <v>13 13.1 4a</v>
      </c>
      <c r="M41" s="5" t="str">
        <f>CONCATENATE("SPDSVN54M18F467L")</f>
        <v>SPDSVN54M18F467L</v>
      </c>
      <c r="N41" s="5" t="s">
        <v>115</v>
      </c>
      <c r="O41" s="5" t="s">
        <v>61</v>
      </c>
      <c r="P41" s="6">
        <v>43945</v>
      </c>
      <c r="Q41" s="5" t="s">
        <v>31</v>
      </c>
      <c r="R41" s="5" t="s">
        <v>32</v>
      </c>
      <c r="S41" s="5" t="s">
        <v>33</v>
      </c>
      <c r="T41" s="5"/>
      <c r="U41" s="7">
        <v>9000</v>
      </c>
      <c r="V41" s="7">
        <v>3880.8</v>
      </c>
      <c r="W41" s="7">
        <v>3583.8</v>
      </c>
      <c r="X41" s="5">
        <v>0</v>
      </c>
      <c r="Y41" s="7">
        <v>1535.4</v>
      </c>
    </row>
    <row r="42" spans="1:25" ht="24.75" x14ac:dyDescent="0.25">
      <c r="A42" s="5" t="s">
        <v>26</v>
      </c>
      <c r="B42" s="5" t="s">
        <v>27</v>
      </c>
      <c r="C42" s="5" t="s">
        <v>50</v>
      </c>
      <c r="D42" s="5" t="s">
        <v>58</v>
      </c>
      <c r="E42" s="5" t="s">
        <v>38</v>
      </c>
      <c r="F42" s="5" t="s">
        <v>89</v>
      </c>
      <c r="G42" s="5">
        <v>2019</v>
      </c>
      <c r="H42" s="5" t="str">
        <f>CONCATENATE("94211405744")</f>
        <v>94211405744</v>
      </c>
      <c r="I42" s="5" t="s">
        <v>29</v>
      </c>
      <c r="J42" s="5" t="s">
        <v>36</v>
      </c>
      <c r="K42" s="5" t="str">
        <f>CONCATENATE("")</f>
        <v/>
      </c>
      <c r="L42" s="5" t="str">
        <f>CONCATENATE("13 13.1 4a")</f>
        <v>13 13.1 4a</v>
      </c>
      <c r="M42" s="5" t="str">
        <f>CONCATENATE("TNTFNC61A71A462I")</f>
        <v>TNTFNC61A71A462I</v>
      </c>
      <c r="N42" s="5" t="s">
        <v>116</v>
      </c>
      <c r="O42" s="5" t="s">
        <v>61</v>
      </c>
      <c r="P42" s="6">
        <v>43945</v>
      </c>
      <c r="Q42" s="5" t="s">
        <v>31</v>
      </c>
      <c r="R42" s="5" t="s">
        <v>32</v>
      </c>
      <c r="S42" s="5" t="s">
        <v>33</v>
      </c>
      <c r="T42" s="5"/>
      <c r="U42" s="5">
        <v>615.25</v>
      </c>
      <c r="V42" s="5">
        <v>265.3</v>
      </c>
      <c r="W42" s="5">
        <v>244.99</v>
      </c>
      <c r="X42" s="5">
        <v>0</v>
      </c>
      <c r="Y42" s="5">
        <v>104.96</v>
      </c>
    </row>
    <row r="43" spans="1:25" ht="24.75" x14ac:dyDescent="0.25">
      <c r="A43" s="5" t="s">
        <v>26</v>
      </c>
      <c r="B43" s="5" t="s">
        <v>27</v>
      </c>
      <c r="C43" s="5" t="s">
        <v>50</v>
      </c>
      <c r="D43" s="5" t="s">
        <v>62</v>
      </c>
      <c r="E43" s="5" t="s">
        <v>28</v>
      </c>
      <c r="F43" s="5" t="s">
        <v>117</v>
      </c>
      <c r="G43" s="5">
        <v>2019</v>
      </c>
      <c r="H43" s="5" t="str">
        <f>CONCATENATE("94210169267")</f>
        <v>94210169267</v>
      </c>
      <c r="I43" s="5" t="s">
        <v>29</v>
      </c>
      <c r="J43" s="5" t="s">
        <v>36</v>
      </c>
      <c r="K43" s="5" t="str">
        <f>CONCATENATE("")</f>
        <v/>
      </c>
      <c r="L43" s="5" t="str">
        <f>CONCATENATE("13 13.1 4a")</f>
        <v>13 13.1 4a</v>
      </c>
      <c r="M43" s="5" t="str">
        <f>CONCATENATE("VNNDNC48D29F524O")</f>
        <v>VNNDNC48D29F524O</v>
      </c>
      <c r="N43" s="5" t="s">
        <v>118</v>
      </c>
      <c r="O43" s="5" t="s">
        <v>61</v>
      </c>
      <c r="P43" s="6">
        <v>43945</v>
      </c>
      <c r="Q43" s="5" t="s">
        <v>31</v>
      </c>
      <c r="R43" s="5" t="s">
        <v>32</v>
      </c>
      <c r="S43" s="5" t="s">
        <v>33</v>
      </c>
      <c r="T43" s="5"/>
      <c r="U43" s="7">
        <v>2789.08</v>
      </c>
      <c r="V43" s="7">
        <v>1202.6500000000001</v>
      </c>
      <c r="W43" s="7">
        <v>1110.6099999999999</v>
      </c>
      <c r="X43" s="5">
        <v>0</v>
      </c>
      <c r="Y43" s="5">
        <v>475.82</v>
      </c>
    </row>
    <row r="44" spans="1:25" ht="24.75" x14ac:dyDescent="0.25">
      <c r="A44" s="5" t="s">
        <v>26</v>
      </c>
      <c r="B44" s="5" t="s">
        <v>27</v>
      </c>
      <c r="C44" s="5" t="s">
        <v>50</v>
      </c>
      <c r="D44" s="5" t="s">
        <v>51</v>
      </c>
      <c r="E44" s="5" t="s">
        <v>35</v>
      </c>
      <c r="F44" s="5" t="s">
        <v>119</v>
      </c>
      <c r="G44" s="5">
        <v>2019</v>
      </c>
      <c r="H44" s="5" t="str">
        <f>CONCATENATE("94210804335")</f>
        <v>94210804335</v>
      </c>
      <c r="I44" s="5" t="s">
        <v>29</v>
      </c>
      <c r="J44" s="5" t="s">
        <v>36</v>
      </c>
      <c r="K44" s="5" t="str">
        <f>CONCATENATE("")</f>
        <v/>
      </c>
      <c r="L44" s="5" t="str">
        <f>CONCATENATE("13 13.1 4a")</f>
        <v>13 13.1 4a</v>
      </c>
      <c r="M44" s="5" t="str">
        <f>CONCATENATE("02672760424")</f>
        <v>02672760424</v>
      </c>
      <c r="N44" s="5" t="s">
        <v>120</v>
      </c>
      <c r="O44" s="5" t="s">
        <v>61</v>
      </c>
      <c r="P44" s="6">
        <v>43945</v>
      </c>
      <c r="Q44" s="5" t="s">
        <v>31</v>
      </c>
      <c r="R44" s="5" t="s">
        <v>32</v>
      </c>
      <c r="S44" s="5" t="s">
        <v>33</v>
      </c>
      <c r="T44" s="5"/>
      <c r="U44" s="5">
        <v>196.54</v>
      </c>
      <c r="V44" s="5">
        <v>84.75</v>
      </c>
      <c r="W44" s="5">
        <v>78.260000000000005</v>
      </c>
      <c r="X44" s="5">
        <v>0</v>
      </c>
      <c r="Y44" s="5">
        <v>33.53</v>
      </c>
    </row>
    <row r="45" spans="1:25" ht="24.75" x14ac:dyDescent="0.25">
      <c r="A45" s="5" t="s">
        <v>26</v>
      </c>
      <c r="B45" s="5" t="s">
        <v>27</v>
      </c>
      <c r="C45" s="5" t="s">
        <v>50</v>
      </c>
      <c r="D45" s="5" t="s">
        <v>58</v>
      </c>
      <c r="E45" s="5" t="s">
        <v>39</v>
      </c>
      <c r="F45" s="5" t="s">
        <v>73</v>
      </c>
      <c r="G45" s="5">
        <v>2019</v>
      </c>
      <c r="H45" s="5" t="str">
        <f>CONCATENATE("94211101269")</f>
        <v>94211101269</v>
      </c>
      <c r="I45" s="5" t="s">
        <v>29</v>
      </c>
      <c r="J45" s="5" t="s">
        <v>36</v>
      </c>
      <c r="K45" s="5" t="str">
        <f>CONCATENATE("")</f>
        <v/>
      </c>
      <c r="L45" s="5" t="str">
        <f>CONCATENATE("13 13.1 4a")</f>
        <v>13 13.1 4a</v>
      </c>
      <c r="M45" s="5" t="str">
        <f>CONCATENATE("83005350422")</f>
        <v>83005350422</v>
      </c>
      <c r="N45" s="5" t="s">
        <v>121</v>
      </c>
      <c r="O45" s="5" t="s">
        <v>61</v>
      </c>
      <c r="P45" s="6">
        <v>43945</v>
      </c>
      <c r="Q45" s="5" t="s">
        <v>31</v>
      </c>
      <c r="R45" s="5" t="s">
        <v>32</v>
      </c>
      <c r="S45" s="5" t="s">
        <v>33</v>
      </c>
      <c r="T45" s="5"/>
      <c r="U45" s="5">
        <v>940.52</v>
      </c>
      <c r="V45" s="5">
        <v>405.55</v>
      </c>
      <c r="W45" s="5">
        <v>374.52</v>
      </c>
      <c r="X45" s="5">
        <v>0</v>
      </c>
      <c r="Y45" s="5">
        <v>160.44999999999999</v>
      </c>
    </row>
    <row r="46" spans="1:25" ht="24.75" x14ac:dyDescent="0.25">
      <c r="A46" s="5" t="s">
        <v>26</v>
      </c>
      <c r="B46" s="5" t="s">
        <v>27</v>
      </c>
      <c r="C46" s="5" t="s">
        <v>50</v>
      </c>
      <c r="D46" s="5" t="s">
        <v>51</v>
      </c>
      <c r="E46" s="5" t="s">
        <v>35</v>
      </c>
      <c r="F46" s="5" t="s">
        <v>122</v>
      </c>
      <c r="G46" s="5">
        <v>2019</v>
      </c>
      <c r="H46" s="5" t="str">
        <f>CONCATENATE("94210753268")</f>
        <v>94210753268</v>
      </c>
      <c r="I46" s="5" t="s">
        <v>29</v>
      </c>
      <c r="J46" s="5" t="s">
        <v>36</v>
      </c>
      <c r="K46" s="5" t="str">
        <f>CONCATENATE("")</f>
        <v/>
      </c>
      <c r="L46" s="5" t="str">
        <f>CONCATENATE("13 13.1 4a")</f>
        <v>13 13.1 4a</v>
      </c>
      <c r="M46" s="5" t="str">
        <f>CONCATENATE("LTNNTN43C08D211Y")</f>
        <v>LTNNTN43C08D211Y</v>
      </c>
      <c r="N46" s="5" t="s">
        <v>123</v>
      </c>
      <c r="O46" s="5" t="s">
        <v>61</v>
      </c>
      <c r="P46" s="6">
        <v>43945</v>
      </c>
      <c r="Q46" s="5" t="s">
        <v>31</v>
      </c>
      <c r="R46" s="5" t="s">
        <v>32</v>
      </c>
      <c r="S46" s="5" t="s">
        <v>33</v>
      </c>
      <c r="T46" s="5"/>
      <c r="U46" s="5">
        <v>791.7</v>
      </c>
      <c r="V46" s="5">
        <v>341.38</v>
      </c>
      <c r="W46" s="5">
        <v>315.25</v>
      </c>
      <c r="X46" s="5">
        <v>0</v>
      </c>
      <c r="Y46" s="5">
        <v>135.07</v>
      </c>
    </row>
    <row r="47" spans="1:25" ht="24.75" x14ac:dyDescent="0.25">
      <c r="A47" s="5" t="s">
        <v>26</v>
      </c>
      <c r="B47" s="5" t="s">
        <v>27</v>
      </c>
      <c r="C47" s="5" t="s">
        <v>50</v>
      </c>
      <c r="D47" s="5" t="s">
        <v>62</v>
      </c>
      <c r="E47" s="5" t="s">
        <v>38</v>
      </c>
      <c r="F47" s="5" t="s">
        <v>113</v>
      </c>
      <c r="G47" s="5">
        <v>2019</v>
      </c>
      <c r="H47" s="5" t="str">
        <f>CONCATENATE("94211373207")</f>
        <v>94211373207</v>
      </c>
      <c r="I47" s="5" t="s">
        <v>29</v>
      </c>
      <c r="J47" s="5" t="s">
        <v>36</v>
      </c>
      <c r="K47" s="5" t="str">
        <f>CONCATENATE("")</f>
        <v/>
      </c>
      <c r="L47" s="5" t="str">
        <f>CONCATENATE("13 13.1 4a")</f>
        <v>13 13.1 4a</v>
      </c>
      <c r="M47" s="5" t="str">
        <f>CONCATENATE("MRAGMR00S04L500U")</f>
        <v>MRAGMR00S04L500U</v>
      </c>
      <c r="N47" s="5" t="s">
        <v>124</v>
      </c>
      <c r="O47" s="5" t="s">
        <v>61</v>
      </c>
      <c r="P47" s="6">
        <v>43945</v>
      </c>
      <c r="Q47" s="5" t="s">
        <v>31</v>
      </c>
      <c r="R47" s="5" t="s">
        <v>32</v>
      </c>
      <c r="S47" s="5" t="s">
        <v>33</v>
      </c>
      <c r="T47" s="5"/>
      <c r="U47" s="7">
        <v>8910</v>
      </c>
      <c r="V47" s="7">
        <v>3841.99</v>
      </c>
      <c r="W47" s="7">
        <v>3547.96</v>
      </c>
      <c r="X47" s="5">
        <v>0</v>
      </c>
      <c r="Y47" s="7">
        <v>1520.05</v>
      </c>
    </row>
    <row r="48" spans="1:25" x14ac:dyDescent="0.25">
      <c r="A48" s="5" t="s">
        <v>26</v>
      </c>
      <c r="B48" s="5" t="s">
        <v>34</v>
      </c>
      <c r="C48" s="5" t="s">
        <v>50</v>
      </c>
      <c r="D48" s="5" t="s">
        <v>57</v>
      </c>
      <c r="E48" s="5" t="s">
        <v>40</v>
      </c>
      <c r="F48" s="5" t="s">
        <v>40</v>
      </c>
      <c r="G48" s="5">
        <v>2017</v>
      </c>
      <c r="H48" s="5" t="str">
        <f>CONCATENATE("04270037643")</f>
        <v>04270037643</v>
      </c>
      <c r="I48" s="5" t="s">
        <v>29</v>
      </c>
      <c r="J48" s="5" t="s">
        <v>36</v>
      </c>
      <c r="K48" s="5" t="str">
        <f>CONCATENATE("")</f>
        <v/>
      </c>
      <c r="L48" s="5" t="str">
        <f>CONCATENATE("1 1.1 2a")</f>
        <v>1 1.1 2a</v>
      </c>
      <c r="M48" s="5" t="str">
        <f>CONCATENATE("02051370423")</f>
        <v>02051370423</v>
      </c>
      <c r="N48" s="5" t="s">
        <v>55</v>
      </c>
      <c r="O48" s="5" t="s">
        <v>125</v>
      </c>
      <c r="P48" s="6">
        <v>43945</v>
      </c>
      <c r="Q48" s="5" t="s">
        <v>31</v>
      </c>
      <c r="R48" s="5" t="s">
        <v>32</v>
      </c>
      <c r="S48" s="5" t="s">
        <v>33</v>
      </c>
      <c r="T48" s="5"/>
      <c r="U48" s="7">
        <v>2376</v>
      </c>
      <c r="V48" s="7">
        <v>1024.53</v>
      </c>
      <c r="W48" s="5">
        <v>946.12</v>
      </c>
      <c r="X48" s="5">
        <v>0</v>
      </c>
      <c r="Y48" s="5">
        <v>405.35</v>
      </c>
    </row>
    <row r="49" spans="1:25" x14ac:dyDescent="0.25">
      <c r="A49" s="5" t="s">
        <v>26</v>
      </c>
      <c r="B49" s="5" t="s">
        <v>27</v>
      </c>
      <c r="C49" s="5" t="s">
        <v>50</v>
      </c>
      <c r="D49" s="5" t="s">
        <v>57</v>
      </c>
      <c r="E49" s="5" t="s">
        <v>28</v>
      </c>
      <c r="F49" s="5" t="s">
        <v>97</v>
      </c>
      <c r="G49" s="5">
        <v>2019</v>
      </c>
      <c r="H49" s="5" t="str">
        <f>CONCATENATE("94210513571")</f>
        <v>94210513571</v>
      </c>
      <c r="I49" s="5" t="s">
        <v>29</v>
      </c>
      <c r="J49" s="5" t="s">
        <v>36</v>
      </c>
      <c r="K49" s="5" t="str">
        <f>CONCATENATE("")</f>
        <v/>
      </c>
      <c r="L49" s="5" t="str">
        <f>CONCATENATE("13 13.1 4a")</f>
        <v>13 13.1 4a</v>
      </c>
      <c r="M49" s="5" t="str">
        <f>CONCATENATE("01990710434")</f>
        <v>01990710434</v>
      </c>
      <c r="N49" s="5" t="s">
        <v>126</v>
      </c>
      <c r="O49" s="5" t="s">
        <v>61</v>
      </c>
      <c r="P49" s="6">
        <v>43945</v>
      </c>
      <c r="Q49" s="5" t="s">
        <v>31</v>
      </c>
      <c r="R49" s="5" t="s">
        <v>32</v>
      </c>
      <c r="S49" s="5" t="s">
        <v>33</v>
      </c>
      <c r="T49" s="5"/>
      <c r="U49" s="5">
        <v>582.72</v>
      </c>
      <c r="V49" s="5">
        <v>251.27</v>
      </c>
      <c r="W49" s="5">
        <v>232.04</v>
      </c>
      <c r="X49" s="5">
        <v>0</v>
      </c>
      <c r="Y49" s="5">
        <v>99.41</v>
      </c>
    </row>
    <row r="50" spans="1:25" ht="24.75" x14ac:dyDescent="0.25">
      <c r="A50" s="5" t="s">
        <v>26</v>
      </c>
      <c r="B50" s="5" t="s">
        <v>27</v>
      </c>
      <c r="C50" s="5" t="s">
        <v>50</v>
      </c>
      <c r="D50" s="5" t="s">
        <v>62</v>
      </c>
      <c r="E50" s="5" t="s">
        <v>28</v>
      </c>
      <c r="F50" s="5" t="s">
        <v>63</v>
      </c>
      <c r="G50" s="5">
        <v>2019</v>
      </c>
      <c r="H50" s="5" t="str">
        <f>CONCATENATE("94210040278")</f>
        <v>94210040278</v>
      </c>
      <c r="I50" s="5" t="s">
        <v>29</v>
      </c>
      <c r="J50" s="5" t="s">
        <v>36</v>
      </c>
      <c r="K50" s="5" t="str">
        <f>CONCATENATE("")</f>
        <v/>
      </c>
      <c r="L50" s="5" t="str">
        <f>CONCATENATE("13 13.1 4a")</f>
        <v>13 13.1 4a</v>
      </c>
      <c r="M50" s="5" t="str">
        <f>CONCATENATE("BLDMRZ62S06D749W")</f>
        <v>BLDMRZ62S06D749W</v>
      </c>
      <c r="N50" s="5" t="s">
        <v>127</v>
      </c>
      <c r="O50" s="5" t="s">
        <v>61</v>
      </c>
      <c r="P50" s="6">
        <v>43945</v>
      </c>
      <c r="Q50" s="5" t="s">
        <v>31</v>
      </c>
      <c r="R50" s="5" t="s">
        <v>32</v>
      </c>
      <c r="S50" s="5" t="s">
        <v>33</v>
      </c>
      <c r="T50" s="5"/>
      <c r="U50" s="5">
        <v>827.87</v>
      </c>
      <c r="V50" s="5">
        <v>356.98</v>
      </c>
      <c r="W50" s="5">
        <v>329.66</v>
      </c>
      <c r="X50" s="5">
        <v>0</v>
      </c>
      <c r="Y50" s="5">
        <v>141.22999999999999</v>
      </c>
    </row>
    <row r="51" spans="1:25" ht="24.75" x14ac:dyDescent="0.25">
      <c r="A51" s="5" t="s">
        <v>26</v>
      </c>
      <c r="B51" s="5" t="s">
        <v>27</v>
      </c>
      <c r="C51" s="5" t="s">
        <v>50</v>
      </c>
      <c r="D51" s="5" t="s">
        <v>51</v>
      </c>
      <c r="E51" s="5" t="s">
        <v>35</v>
      </c>
      <c r="F51" s="5" t="s">
        <v>119</v>
      </c>
      <c r="G51" s="5">
        <v>2019</v>
      </c>
      <c r="H51" s="5" t="str">
        <f>CONCATENATE("94210595693")</f>
        <v>94210595693</v>
      </c>
      <c r="I51" s="5" t="s">
        <v>29</v>
      </c>
      <c r="J51" s="5" t="s">
        <v>36</v>
      </c>
      <c r="K51" s="5" t="str">
        <f>CONCATENATE("")</f>
        <v/>
      </c>
      <c r="L51" s="5" t="str">
        <f>CONCATENATE("13 13.1 4a")</f>
        <v>13 13.1 4a</v>
      </c>
      <c r="M51" s="5" t="str">
        <f>CONCATENATE("TCCRTT67B44G453D")</f>
        <v>TCCRTT67B44G453D</v>
      </c>
      <c r="N51" s="5" t="s">
        <v>128</v>
      </c>
      <c r="O51" s="5" t="s">
        <v>61</v>
      </c>
      <c r="P51" s="6">
        <v>43945</v>
      </c>
      <c r="Q51" s="5" t="s">
        <v>31</v>
      </c>
      <c r="R51" s="5" t="s">
        <v>32</v>
      </c>
      <c r="S51" s="5" t="s">
        <v>33</v>
      </c>
      <c r="T51" s="5"/>
      <c r="U51" s="5">
        <v>561.32000000000005</v>
      </c>
      <c r="V51" s="5">
        <v>242.04</v>
      </c>
      <c r="W51" s="5">
        <v>223.52</v>
      </c>
      <c r="X51" s="5">
        <v>0</v>
      </c>
      <c r="Y51" s="5">
        <v>95.76</v>
      </c>
    </row>
    <row r="52" spans="1:25" ht="24.75" x14ac:dyDescent="0.25">
      <c r="A52" s="5" t="s">
        <v>26</v>
      </c>
      <c r="B52" s="5" t="s">
        <v>27</v>
      </c>
      <c r="C52" s="5" t="s">
        <v>50</v>
      </c>
      <c r="D52" s="5" t="s">
        <v>58</v>
      </c>
      <c r="E52" s="5" t="s">
        <v>38</v>
      </c>
      <c r="F52" s="5" t="s">
        <v>89</v>
      </c>
      <c r="G52" s="5">
        <v>2019</v>
      </c>
      <c r="H52" s="5" t="str">
        <f>CONCATENATE("94210808229")</f>
        <v>94210808229</v>
      </c>
      <c r="I52" s="5" t="s">
        <v>29</v>
      </c>
      <c r="J52" s="5" t="s">
        <v>36</v>
      </c>
      <c r="K52" s="5" t="str">
        <f>CONCATENATE("")</f>
        <v/>
      </c>
      <c r="L52" s="5" t="str">
        <f>CONCATENATE("13 13.1 4a")</f>
        <v>13 13.1 4a</v>
      </c>
      <c r="M52" s="5" t="str">
        <f>CONCATENATE("PPRRRT54E29I774E")</f>
        <v>PPRRRT54E29I774E</v>
      </c>
      <c r="N52" s="5" t="s">
        <v>129</v>
      </c>
      <c r="O52" s="5" t="s">
        <v>61</v>
      </c>
      <c r="P52" s="6">
        <v>43945</v>
      </c>
      <c r="Q52" s="5" t="s">
        <v>31</v>
      </c>
      <c r="R52" s="5" t="s">
        <v>32</v>
      </c>
      <c r="S52" s="5" t="s">
        <v>33</v>
      </c>
      <c r="T52" s="5"/>
      <c r="U52" s="5">
        <v>137.55000000000001</v>
      </c>
      <c r="V52" s="5">
        <v>59.31</v>
      </c>
      <c r="W52" s="5">
        <v>54.77</v>
      </c>
      <c r="X52" s="5">
        <v>0</v>
      </c>
      <c r="Y52" s="5">
        <v>23.47</v>
      </c>
    </row>
    <row r="53" spans="1:25" ht="24.75" x14ac:dyDescent="0.25">
      <c r="A53" s="5" t="s">
        <v>26</v>
      </c>
      <c r="B53" s="5" t="s">
        <v>27</v>
      </c>
      <c r="C53" s="5" t="s">
        <v>50</v>
      </c>
      <c r="D53" s="5" t="s">
        <v>62</v>
      </c>
      <c r="E53" s="5" t="s">
        <v>39</v>
      </c>
      <c r="F53" s="5" t="s">
        <v>73</v>
      </c>
      <c r="G53" s="5">
        <v>2019</v>
      </c>
      <c r="H53" s="5" t="str">
        <f>CONCATENATE("94210552405")</f>
        <v>94210552405</v>
      </c>
      <c r="I53" s="5" t="s">
        <v>29</v>
      </c>
      <c r="J53" s="5" t="s">
        <v>36</v>
      </c>
      <c r="K53" s="5" t="str">
        <f>CONCATENATE("")</f>
        <v/>
      </c>
      <c r="L53" s="5" t="str">
        <f>CONCATENATE("13 13.1 4a")</f>
        <v>13 13.1 4a</v>
      </c>
      <c r="M53" s="5" t="str">
        <f>CONCATENATE("BRSNDA48A47Z103Q")</f>
        <v>BRSNDA48A47Z103Q</v>
      </c>
      <c r="N53" s="5" t="s">
        <v>130</v>
      </c>
      <c r="O53" s="5" t="s">
        <v>61</v>
      </c>
      <c r="P53" s="6">
        <v>43945</v>
      </c>
      <c r="Q53" s="5" t="s">
        <v>31</v>
      </c>
      <c r="R53" s="5" t="s">
        <v>32</v>
      </c>
      <c r="S53" s="5" t="s">
        <v>33</v>
      </c>
      <c r="T53" s="5"/>
      <c r="U53" s="7">
        <v>9000</v>
      </c>
      <c r="V53" s="7">
        <v>3880.8</v>
      </c>
      <c r="W53" s="7">
        <v>3583.8</v>
      </c>
      <c r="X53" s="5">
        <v>0</v>
      </c>
      <c r="Y53" s="7">
        <v>1535.4</v>
      </c>
    </row>
    <row r="54" spans="1:25" ht="24.75" x14ac:dyDescent="0.25">
      <c r="A54" s="5" t="s">
        <v>26</v>
      </c>
      <c r="B54" s="5" t="s">
        <v>27</v>
      </c>
      <c r="C54" s="5" t="s">
        <v>50</v>
      </c>
      <c r="D54" s="5" t="s">
        <v>62</v>
      </c>
      <c r="E54" s="5" t="s">
        <v>38</v>
      </c>
      <c r="F54" s="5" t="s">
        <v>113</v>
      </c>
      <c r="G54" s="5">
        <v>2019</v>
      </c>
      <c r="H54" s="5" t="str">
        <f>CONCATENATE("94210936855")</f>
        <v>94210936855</v>
      </c>
      <c r="I54" s="5" t="s">
        <v>29</v>
      </c>
      <c r="J54" s="5" t="s">
        <v>36</v>
      </c>
      <c r="K54" s="5" t="str">
        <f>CONCATENATE("")</f>
        <v/>
      </c>
      <c r="L54" s="5" t="str">
        <f>CONCATENATE("13 13.1 4a")</f>
        <v>13 13.1 4a</v>
      </c>
      <c r="M54" s="5" t="str">
        <f>CONCATENATE("02605260419")</f>
        <v>02605260419</v>
      </c>
      <c r="N54" s="5" t="s">
        <v>131</v>
      </c>
      <c r="O54" s="5" t="s">
        <v>61</v>
      </c>
      <c r="P54" s="6">
        <v>43945</v>
      </c>
      <c r="Q54" s="5" t="s">
        <v>31</v>
      </c>
      <c r="R54" s="5" t="s">
        <v>32</v>
      </c>
      <c r="S54" s="5" t="s">
        <v>33</v>
      </c>
      <c r="T54" s="5"/>
      <c r="U54" s="7">
        <v>1350</v>
      </c>
      <c r="V54" s="5">
        <v>582.12</v>
      </c>
      <c r="W54" s="5">
        <v>537.57000000000005</v>
      </c>
      <c r="X54" s="5">
        <v>0</v>
      </c>
      <c r="Y54" s="5">
        <v>230.31</v>
      </c>
    </row>
    <row r="55" spans="1:25" ht="24.75" x14ac:dyDescent="0.25">
      <c r="A55" s="5" t="s">
        <v>26</v>
      </c>
      <c r="B55" s="5" t="s">
        <v>27</v>
      </c>
      <c r="C55" s="5" t="s">
        <v>50</v>
      </c>
      <c r="D55" s="5" t="s">
        <v>51</v>
      </c>
      <c r="E55" s="5" t="s">
        <v>35</v>
      </c>
      <c r="F55" s="5" t="s">
        <v>119</v>
      </c>
      <c r="G55" s="5">
        <v>2019</v>
      </c>
      <c r="H55" s="5" t="str">
        <f>CONCATENATE("94210367713")</f>
        <v>94210367713</v>
      </c>
      <c r="I55" s="5" t="s">
        <v>29</v>
      </c>
      <c r="J55" s="5" t="s">
        <v>36</v>
      </c>
      <c r="K55" s="5" t="str">
        <f>CONCATENATE("")</f>
        <v/>
      </c>
      <c r="L55" s="5" t="str">
        <f>CONCATENATE("13 13.1 4a")</f>
        <v>13 13.1 4a</v>
      </c>
      <c r="M55" s="5" t="str">
        <f>CONCATENATE("BCCMRN76S08A366S")</f>
        <v>BCCMRN76S08A366S</v>
      </c>
      <c r="N55" s="5" t="s">
        <v>132</v>
      </c>
      <c r="O55" s="5" t="s">
        <v>61</v>
      </c>
      <c r="P55" s="6">
        <v>43945</v>
      </c>
      <c r="Q55" s="5" t="s">
        <v>31</v>
      </c>
      <c r="R55" s="5" t="s">
        <v>32</v>
      </c>
      <c r="S55" s="5" t="s">
        <v>33</v>
      </c>
      <c r="T55" s="5"/>
      <c r="U55" s="7">
        <v>4085.42</v>
      </c>
      <c r="V55" s="7">
        <v>1761.63</v>
      </c>
      <c r="W55" s="7">
        <v>1626.81</v>
      </c>
      <c r="X55" s="5">
        <v>0</v>
      </c>
      <c r="Y55" s="5">
        <v>696.98</v>
      </c>
    </row>
    <row r="56" spans="1:25" ht="24.75" x14ac:dyDescent="0.25">
      <c r="A56" s="5" t="s">
        <v>26</v>
      </c>
      <c r="B56" s="5" t="s">
        <v>27</v>
      </c>
      <c r="C56" s="5" t="s">
        <v>50</v>
      </c>
      <c r="D56" s="5" t="s">
        <v>62</v>
      </c>
      <c r="E56" s="5" t="s">
        <v>28</v>
      </c>
      <c r="F56" s="5" t="s">
        <v>117</v>
      </c>
      <c r="G56" s="5">
        <v>2018</v>
      </c>
      <c r="H56" s="5" t="str">
        <f>CONCATENATE("84210259549")</f>
        <v>84210259549</v>
      </c>
      <c r="I56" s="5" t="s">
        <v>29</v>
      </c>
      <c r="J56" s="5" t="s">
        <v>36</v>
      </c>
      <c r="K56" s="5" t="str">
        <f>CONCATENATE("")</f>
        <v/>
      </c>
      <c r="L56" s="5" t="str">
        <f>CONCATENATE("13 13.1 4a")</f>
        <v>13 13.1 4a</v>
      </c>
      <c r="M56" s="5" t="str">
        <f>CONCATENATE("GGGGLN66H63I459X")</f>
        <v>GGGGLN66H63I459X</v>
      </c>
      <c r="N56" s="5" t="s">
        <v>133</v>
      </c>
      <c r="O56" s="5" t="s">
        <v>61</v>
      </c>
      <c r="P56" s="6">
        <v>43945</v>
      </c>
      <c r="Q56" s="5" t="s">
        <v>31</v>
      </c>
      <c r="R56" s="5" t="s">
        <v>32</v>
      </c>
      <c r="S56" s="5" t="s">
        <v>33</v>
      </c>
      <c r="T56" s="5"/>
      <c r="U56" s="5">
        <v>694.58</v>
      </c>
      <c r="V56" s="5">
        <v>299.5</v>
      </c>
      <c r="W56" s="5">
        <v>276.58</v>
      </c>
      <c r="X56" s="5">
        <v>0</v>
      </c>
      <c r="Y56" s="5">
        <v>118.5</v>
      </c>
    </row>
    <row r="57" spans="1:25" ht="24.75" x14ac:dyDescent="0.25">
      <c r="A57" s="5" t="s">
        <v>26</v>
      </c>
      <c r="B57" s="5" t="s">
        <v>27</v>
      </c>
      <c r="C57" s="5" t="s">
        <v>50</v>
      </c>
      <c r="D57" s="5" t="s">
        <v>58</v>
      </c>
      <c r="E57" s="5" t="s">
        <v>38</v>
      </c>
      <c r="F57" s="5" t="s">
        <v>89</v>
      </c>
      <c r="G57" s="5">
        <v>2019</v>
      </c>
      <c r="H57" s="5" t="str">
        <f>CONCATENATE("94210802107")</f>
        <v>94210802107</v>
      </c>
      <c r="I57" s="5" t="s">
        <v>29</v>
      </c>
      <c r="J57" s="5" t="s">
        <v>36</v>
      </c>
      <c r="K57" s="5" t="str">
        <f>CONCATENATE("")</f>
        <v/>
      </c>
      <c r="L57" s="5" t="str">
        <f>CONCATENATE("13 13.1 4a")</f>
        <v>13 13.1 4a</v>
      </c>
      <c r="M57" s="5" t="str">
        <f>CONCATENATE("SSTLSE63R49C935F")</f>
        <v>SSTLSE63R49C935F</v>
      </c>
      <c r="N57" s="5" t="s">
        <v>134</v>
      </c>
      <c r="O57" s="5" t="s">
        <v>61</v>
      </c>
      <c r="P57" s="6">
        <v>43945</v>
      </c>
      <c r="Q57" s="5" t="s">
        <v>31</v>
      </c>
      <c r="R57" s="5" t="s">
        <v>32</v>
      </c>
      <c r="S57" s="5" t="s">
        <v>33</v>
      </c>
      <c r="T57" s="5"/>
      <c r="U57" s="5">
        <v>425.22</v>
      </c>
      <c r="V57" s="5">
        <v>183.35</v>
      </c>
      <c r="W57" s="5">
        <v>169.32</v>
      </c>
      <c r="X57" s="5">
        <v>0</v>
      </c>
      <c r="Y57" s="5">
        <v>72.55</v>
      </c>
    </row>
    <row r="58" spans="1:25" ht="24.75" x14ac:dyDescent="0.25">
      <c r="A58" s="5" t="s">
        <v>26</v>
      </c>
      <c r="B58" s="5" t="s">
        <v>27</v>
      </c>
      <c r="C58" s="5" t="s">
        <v>50</v>
      </c>
      <c r="D58" s="5" t="s">
        <v>62</v>
      </c>
      <c r="E58" s="5" t="s">
        <v>28</v>
      </c>
      <c r="F58" s="5" t="s">
        <v>117</v>
      </c>
      <c r="G58" s="5">
        <v>2019</v>
      </c>
      <c r="H58" s="5" t="str">
        <f>CONCATENATE("94210417831")</f>
        <v>94210417831</v>
      </c>
      <c r="I58" s="5" t="s">
        <v>29</v>
      </c>
      <c r="J58" s="5" t="s">
        <v>36</v>
      </c>
      <c r="K58" s="5" t="str">
        <f>CONCATENATE("")</f>
        <v/>
      </c>
      <c r="L58" s="5" t="str">
        <f>CONCATENATE("13 13.1 4a")</f>
        <v>13 13.1 4a</v>
      </c>
      <c r="M58" s="5" t="str">
        <f>CONCATENATE("RSSFNC28D20I459B")</f>
        <v>RSSFNC28D20I459B</v>
      </c>
      <c r="N58" s="5" t="s">
        <v>49</v>
      </c>
      <c r="O58" s="5" t="s">
        <v>61</v>
      </c>
      <c r="P58" s="6">
        <v>43945</v>
      </c>
      <c r="Q58" s="5" t="s">
        <v>31</v>
      </c>
      <c r="R58" s="5" t="s">
        <v>32</v>
      </c>
      <c r="S58" s="5" t="s">
        <v>33</v>
      </c>
      <c r="T58" s="5"/>
      <c r="U58" s="7">
        <v>2604.1</v>
      </c>
      <c r="V58" s="7">
        <v>1122.8900000000001</v>
      </c>
      <c r="W58" s="7">
        <v>1036.95</v>
      </c>
      <c r="X58" s="5">
        <v>0</v>
      </c>
      <c r="Y58" s="5">
        <v>444.26</v>
      </c>
    </row>
    <row r="59" spans="1:25" ht="24.75" x14ac:dyDescent="0.25">
      <c r="A59" s="5" t="s">
        <v>26</v>
      </c>
      <c r="B59" s="5" t="s">
        <v>27</v>
      </c>
      <c r="C59" s="5" t="s">
        <v>50</v>
      </c>
      <c r="D59" s="5" t="s">
        <v>62</v>
      </c>
      <c r="E59" s="5" t="s">
        <v>28</v>
      </c>
      <c r="F59" s="5" t="s">
        <v>81</v>
      </c>
      <c r="G59" s="5">
        <v>2018</v>
      </c>
      <c r="H59" s="5" t="str">
        <f>CONCATENATE("84211109834")</f>
        <v>84211109834</v>
      </c>
      <c r="I59" s="5" t="s">
        <v>29</v>
      </c>
      <c r="J59" s="5" t="s">
        <v>36</v>
      </c>
      <c r="K59" s="5" t="str">
        <f>CONCATENATE("")</f>
        <v/>
      </c>
      <c r="L59" s="5" t="str">
        <f>CONCATENATE("13 13.1 4a")</f>
        <v>13 13.1 4a</v>
      </c>
      <c r="M59" s="5" t="str">
        <f>CONCATENATE("02317820419")</f>
        <v>02317820419</v>
      </c>
      <c r="N59" s="5" t="s">
        <v>135</v>
      </c>
      <c r="O59" s="5" t="s">
        <v>61</v>
      </c>
      <c r="P59" s="6">
        <v>43945</v>
      </c>
      <c r="Q59" s="5" t="s">
        <v>31</v>
      </c>
      <c r="R59" s="5" t="s">
        <v>32</v>
      </c>
      <c r="S59" s="5" t="s">
        <v>33</v>
      </c>
      <c r="T59" s="5"/>
      <c r="U59" s="7">
        <v>1075.08</v>
      </c>
      <c r="V59" s="5">
        <v>463.57</v>
      </c>
      <c r="W59" s="5">
        <v>428.1</v>
      </c>
      <c r="X59" s="5">
        <v>0</v>
      </c>
      <c r="Y59" s="5">
        <v>183.41</v>
      </c>
    </row>
    <row r="60" spans="1:25" ht="24.75" x14ac:dyDescent="0.25">
      <c r="A60" s="5" t="s">
        <v>26</v>
      </c>
      <c r="B60" s="5" t="s">
        <v>27</v>
      </c>
      <c r="C60" s="5" t="s">
        <v>50</v>
      </c>
      <c r="D60" s="5" t="s">
        <v>58</v>
      </c>
      <c r="E60" s="5" t="s">
        <v>28</v>
      </c>
      <c r="F60" s="5" t="s">
        <v>65</v>
      </c>
      <c r="G60" s="5">
        <v>2019</v>
      </c>
      <c r="H60" s="5" t="str">
        <f>CONCATENATE("94210472059")</f>
        <v>94210472059</v>
      </c>
      <c r="I60" s="5" t="s">
        <v>29</v>
      </c>
      <c r="J60" s="5" t="s">
        <v>36</v>
      </c>
      <c r="K60" s="5" t="str">
        <f>CONCATENATE("")</f>
        <v/>
      </c>
      <c r="L60" s="5" t="str">
        <f>CONCATENATE("13 13.1 4a")</f>
        <v>13 13.1 4a</v>
      </c>
      <c r="M60" s="5" t="str">
        <f>CONCATENATE("01146920440")</f>
        <v>01146920440</v>
      </c>
      <c r="N60" s="5" t="s">
        <v>136</v>
      </c>
      <c r="O60" s="5" t="s">
        <v>61</v>
      </c>
      <c r="P60" s="6">
        <v>43945</v>
      </c>
      <c r="Q60" s="5" t="s">
        <v>31</v>
      </c>
      <c r="R60" s="5" t="s">
        <v>32</v>
      </c>
      <c r="S60" s="5" t="s">
        <v>33</v>
      </c>
      <c r="T60" s="5"/>
      <c r="U60" s="7">
        <v>1865.4</v>
      </c>
      <c r="V60" s="5">
        <v>804.36</v>
      </c>
      <c r="W60" s="5">
        <v>742.8</v>
      </c>
      <c r="X60" s="5">
        <v>0</v>
      </c>
      <c r="Y60" s="5">
        <v>318.24</v>
      </c>
    </row>
    <row r="61" spans="1:25" ht="24.75" x14ac:dyDescent="0.25">
      <c r="A61" s="5" t="s">
        <v>26</v>
      </c>
      <c r="B61" s="5" t="s">
        <v>27</v>
      </c>
      <c r="C61" s="5" t="s">
        <v>50</v>
      </c>
      <c r="D61" s="5" t="s">
        <v>62</v>
      </c>
      <c r="E61" s="5" t="s">
        <v>35</v>
      </c>
      <c r="F61" s="5" t="s">
        <v>137</v>
      </c>
      <c r="G61" s="5">
        <v>2019</v>
      </c>
      <c r="H61" s="5" t="str">
        <f>CONCATENATE("94210172519")</f>
        <v>94210172519</v>
      </c>
      <c r="I61" s="5" t="s">
        <v>37</v>
      </c>
      <c r="J61" s="5" t="s">
        <v>36</v>
      </c>
      <c r="K61" s="5" t="str">
        <f>CONCATENATE("")</f>
        <v/>
      </c>
      <c r="L61" s="5" t="str">
        <f>CONCATENATE("13 13.1 4a")</f>
        <v>13 13.1 4a</v>
      </c>
      <c r="M61" s="5" t="str">
        <f>CONCATENATE("MTTRTI51C58B636L")</f>
        <v>MTTRTI51C58B636L</v>
      </c>
      <c r="N61" s="5" t="s">
        <v>138</v>
      </c>
      <c r="O61" s="5" t="s">
        <v>61</v>
      </c>
      <c r="P61" s="6">
        <v>43945</v>
      </c>
      <c r="Q61" s="5" t="s">
        <v>31</v>
      </c>
      <c r="R61" s="5" t="s">
        <v>32</v>
      </c>
      <c r="S61" s="5" t="s">
        <v>33</v>
      </c>
      <c r="T61" s="5"/>
      <c r="U61" s="7">
        <v>1213.78</v>
      </c>
      <c r="V61" s="5">
        <v>523.38</v>
      </c>
      <c r="W61" s="5">
        <v>483.33</v>
      </c>
      <c r="X61" s="5">
        <v>0</v>
      </c>
      <c r="Y61" s="5">
        <v>207.07</v>
      </c>
    </row>
    <row r="62" spans="1:25" ht="24.75" x14ac:dyDescent="0.25">
      <c r="A62" s="5" t="s">
        <v>26</v>
      </c>
      <c r="B62" s="5" t="s">
        <v>27</v>
      </c>
      <c r="C62" s="5" t="s">
        <v>50</v>
      </c>
      <c r="D62" s="5" t="s">
        <v>51</v>
      </c>
      <c r="E62" s="5" t="s">
        <v>28</v>
      </c>
      <c r="F62" s="5" t="s">
        <v>87</v>
      </c>
      <c r="G62" s="5">
        <v>2019</v>
      </c>
      <c r="H62" s="5" t="str">
        <f>CONCATENATE("94210283068")</f>
        <v>94210283068</v>
      </c>
      <c r="I62" s="5" t="s">
        <v>29</v>
      </c>
      <c r="J62" s="5" t="s">
        <v>36</v>
      </c>
      <c r="K62" s="5" t="str">
        <f>CONCATENATE("")</f>
        <v/>
      </c>
      <c r="L62" s="5" t="str">
        <f>CONCATENATE("13 13.1 4a")</f>
        <v>13 13.1 4a</v>
      </c>
      <c r="M62" s="5" t="str">
        <f>CONCATENATE("MRNLRD69A12D451V")</f>
        <v>MRNLRD69A12D451V</v>
      </c>
      <c r="N62" s="5" t="s">
        <v>139</v>
      </c>
      <c r="O62" s="5" t="s">
        <v>61</v>
      </c>
      <c r="P62" s="6">
        <v>43945</v>
      </c>
      <c r="Q62" s="5" t="s">
        <v>31</v>
      </c>
      <c r="R62" s="5" t="s">
        <v>32</v>
      </c>
      <c r="S62" s="5" t="s">
        <v>33</v>
      </c>
      <c r="T62" s="5"/>
      <c r="U62" s="7">
        <v>3248.53</v>
      </c>
      <c r="V62" s="7">
        <v>1400.77</v>
      </c>
      <c r="W62" s="7">
        <v>1293.56</v>
      </c>
      <c r="X62" s="5">
        <v>0</v>
      </c>
      <c r="Y62" s="5">
        <v>554.20000000000005</v>
      </c>
    </row>
    <row r="63" spans="1:25" ht="24.75" x14ac:dyDescent="0.25">
      <c r="A63" s="5" t="s">
        <v>26</v>
      </c>
      <c r="B63" s="5" t="s">
        <v>27</v>
      </c>
      <c r="C63" s="5" t="s">
        <v>50</v>
      </c>
      <c r="D63" s="5" t="s">
        <v>58</v>
      </c>
      <c r="E63" s="5" t="s">
        <v>28</v>
      </c>
      <c r="F63" s="5" t="s">
        <v>65</v>
      </c>
      <c r="G63" s="5">
        <v>2018</v>
      </c>
      <c r="H63" s="5" t="str">
        <f>CONCATENATE("84210612689")</f>
        <v>84210612689</v>
      </c>
      <c r="I63" s="5" t="s">
        <v>29</v>
      </c>
      <c r="J63" s="5" t="s">
        <v>36</v>
      </c>
      <c r="K63" s="5" t="str">
        <f>CONCATENATE("")</f>
        <v/>
      </c>
      <c r="L63" s="5" t="str">
        <f>CONCATENATE("13 13.1 4a")</f>
        <v>13 13.1 4a</v>
      </c>
      <c r="M63" s="5" t="str">
        <f>CONCATENATE("01263460444")</f>
        <v>01263460444</v>
      </c>
      <c r="N63" s="5" t="s">
        <v>140</v>
      </c>
      <c r="O63" s="5" t="s">
        <v>61</v>
      </c>
      <c r="P63" s="6">
        <v>43945</v>
      </c>
      <c r="Q63" s="5" t="s">
        <v>31</v>
      </c>
      <c r="R63" s="5" t="s">
        <v>32</v>
      </c>
      <c r="S63" s="5" t="s">
        <v>33</v>
      </c>
      <c r="T63" s="5"/>
      <c r="U63" s="7">
        <v>1225.55</v>
      </c>
      <c r="V63" s="5">
        <v>528.46</v>
      </c>
      <c r="W63" s="5">
        <v>488.01</v>
      </c>
      <c r="X63" s="5">
        <v>0</v>
      </c>
      <c r="Y63" s="5">
        <v>209.08</v>
      </c>
    </row>
    <row r="64" spans="1:25" ht="24.75" x14ac:dyDescent="0.25">
      <c r="A64" s="5" t="s">
        <v>26</v>
      </c>
      <c r="B64" s="5" t="s">
        <v>27</v>
      </c>
      <c r="C64" s="5" t="s">
        <v>50</v>
      </c>
      <c r="D64" s="5" t="s">
        <v>62</v>
      </c>
      <c r="E64" s="5" t="s">
        <v>28</v>
      </c>
      <c r="F64" s="5" t="s">
        <v>141</v>
      </c>
      <c r="G64" s="5">
        <v>2019</v>
      </c>
      <c r="H64" s="5" t="str">
        <f>CONCATENATE("94210175637")</f>
        <v>94210175637</v>
      </c>
      <c r="I64" s="5" t="s">
        <v>29</v>
      </c>
      <c r="J64" s="5" t="s">
        <v>36</v>
      </c>
      <c r="K64" s="5" t="str">
        <f>CONCATENATE("")</f>
        <v/>
      </c>
      <c r="L64" s="5" t="str">
        <f>CONCATENATE("13 13.1 4a")</f>
        <v>13 13.1 4a</v>
      </c>
      <c r="M64" s="5" t="str">
        <f>CONCATENATE("MTTSNT49C42F135F")</f>
        <v>MTTSNT49C42F135F</v>
      </c>
      <c r="N64" s="5" t="s">
        <v>142</v>
      </c>
      <c r="O64" s="5" t="s">
        <v>61</v>
      </c>
      <c r="P64" s="6">
        <v>43945</v>
      </c>
      <c r="Q64" s="5" t="s">
        <v>31</v>
      </c>
      <c r="R64" s="5" t="s">
        <v>32</v>
      </c>
      <c r="S64" s="5" t="s">
        <v>33</v>
      </c>
      <c r="T64" s="5"/>
      <c r="U64" s="7">
        <v>2142.36</v>
      </c>
      <c r="V64" s="5">
        <v>923.79</v>
      </c>
      <c r="W64" s="5">
        <v>853.09</v>
      </c>
      <c r="X64" s="5">
        <v>0</v>
      </c>
      <c r="Y64" s="5">
        <v>365.48</v>
      </c>
    </row>
    <row r="65" spans="1:25" ht="24.75" x14ac:dyDescent="0.25">
      <c r="A65" s="5" t="s">
        <v>26</v>
      </c>
      <c r="B65" s="5" t="s">
        <v>27</v>
      </c>
      <c r="C65" s="5" t="s">
        <v>50</v>
      </c>
      <c r="D65" s="5" t="s">
        <v>58</v>
      </c>
      <c r="E65" s="5" t="s">
        <v>28</v>
      </c>
      <c r="F65" s="5" t="s">
        <v>65</v>
      </c>
      <c r="G65" s="5">
        <v>2019</v>
      </c>
      <c r="H65" s="5" t="str">
        <f>CONCATENATE("94210217090")</f>
        <v>94210217090</v>
      </c>
      <c r="I65" s="5" t="s">
        <v>29</v>
      </c>
      <c r="J65" s="5" t="s">
        <v>36</v>
      </c>
      <c r="K65" s="5" t="str">
        <f>CONCATENATE("")</f>
        <v/>
      </c>
      <c r="L65" s="5" t="str">
        <f>CONCATENATE("13 13.1 4a")</f>
        <v>13 13.1 4a</v>
      </c>
      <c r="M65" s="5" t="str">
        <f>CONCATENATE("GLZGNN75M56D691T")</f>
        <v>GLZGNN75M56D691T</v>
      </c>
      <c r="N65" s="5" t="s">
        <v>143</v>
      </c>
      <c r="O65" s="5" t="s">
        <v>61</v>
      </c>
      <c r="P65" s="6">
        <v>43945</v>
      </c>
      <c r="Q65" s="5" t="s">
        <v>31</v>
      </c>
      <c r="R65" s="5" t="s">
        <v>32</v>
      </c>
      <c r="S65" s="5" t="s">
        <v>33</v>
      </c>
      <c r="T65" s="5"/>
      <c r="U65" s="7">
        <v>2998.24</v>
      </c>
      <c r="V65" s="7">
        <v>1292.8399999999999</v>
      </c>
      <c r="W65" s="7">
        <v>1193.9000000000001</v>
      </c>
      <c r="X65" s="5">
        <v>0</v>
      </c>
      <c r="Y65" s="5">
        <v>511.5</v>
      </c>
    </row>
    <row r="66" spans="1:25" ht="24.75" x14ac:dyDescent="0.25">
      <c r="A66" s="5" t="s">
        <v>26</v>
      </c>
      <c r="B66" s="5" t="s">
        <v>27</v>
      </c>
      <c r="C66" s="5" t="s">
        <v>50</v>
      </c>
      <c r="D66" s="5" t="s">
        <v>62</v>
      </c>
      <c r="E66" s="5" t="s">
        <v>39</v>
      </c>
      <c r="F66" s="5" t="s">
        <v>73</v>
      </c>
      <c r="G66" s="5">
        <v>2017</v>
      </c>
      <c r="H66" s="5" t="str">
        <f>CONCATENATE("74210155334")</f>
        <v>74210155334</v>
      </c>
      <c r="I66" s="5" t="s">
        <v>29</v>
      </c>
      <c r="J66" s="5" t="s">
        <v>36</v>
      </c>
      <c r="K66" s="5" t="str">
        <f>CONCATENATE("")</f>
        <v/>
      </c>
      <c r="L66" s="5" t="str">
        <f>CONCATENATE("13 13.1 4a")</f>
        <v>13 13.1 4a</v>
      </c>
      <c r="M66" s="5" t="str">
        <f>CONCATENATE("BRGMRS34C61B846B")</f>
        <v>BRGMRS34C61B846B</v>
      </c>
      <c r="N66" s="5" t="s">
        <v>144</v>
      </c>
      <c r="O66" s="5" t="s">
        <v>61</v>
      </c>
      <c r="P66" s="6">
        <v>43945</v>
      </c>
      <c r="Q66" s="5" t="s">
        <v>31</v>
      </c>
      <c r="R66" s="5" t="s">
        <v>32</v>
      </c>
      <c r="S66" s="5" t="s">
        <v>33</v>
      </c>
      <c r="T66" s="5"/>
      <c r="U66" s="7">
        <v>1644.67</v>
      </c>
      <c r="V66" s="5">
        <v>709.18</v>
      </c>
      <c r="W66" s="5">
        <v>654.91</v>
      </c>
      <c r="X66" s="5">
        <v>0</v>
      </c>
      <c r="Y66" s="5">
        <v>280.58</v>
      </c>
    </row>
    <row r="67" spans="1:25" ht="24.75" x14ac:dyDescent="0.25">
      <c r="A67" s="5" t="s">
        <v>26</v>
      </c>
      <c r="B67" s="5" t="s">
        <v>27</v>
      </c>
      <c r="C67" s="5" t="s">
        <v>50</v>
      </c>
      <c r="D67" s="5" t="s">
        <v>58</v>
      </c>
      <c r="E67" s="5" t="s">
        <v>28</v>
      </c>
      <c r="F67" s="5" t="s">
        <v>65</v>
      </c>
      <c r="G67" s="5">
        <v>2019</v>
      </c>
      <c r="H67" s="5" t="str">
        <f>CONCATENATE("94210163369")</f>
        <v>94210163369</v>
      </c>
      <c r="I67" s="5" t="s">
        <v>29</v>
      </c>
      <c r="J67" s="5" t="s">
        <v>36</v>
      </c>
      <c r="K67" s="5" t="str">
        <f>CONCATENATE("")</f>
        <v/>
      </c>
      <c r="L67" s="5" t="str">
        <f>CONCATENATE("13 13.1 4a")</f>
        <v>13 13.1 4a</v>
      </c>
      <c r="M67" s="5" t="str">
        <f>CONCATENATE("BNFMSM75D10A252E")</f>
        <v>BNFMSM75D10A252E</v>
      </c>
      <c r="N67" s="5" t="s">
        <v>145</v>
      </c>
      <c r="O67" s="5" t="s">
        <v>61</v>
      </c>
      <c r="P67" s="6">
        <v>43945</v>
      </c>
      <c r="Q67" s="5" t="s">
        <v>31</v>
      </c>
      <c r="R67" s="5" t="s">
        <v>32</v>
      </c>
      <c r="S67" s="5" t="s">
        <v>33</v>
      </c>
      <c r="T67" s="5"/>
      <c r="U67" s="5">
        <v>471.72</v>
      </c>
      <c r="V67" s="5">
        <v>203.41</v>
      </c>
      <c r="W67" s="5">
        <v>187.84</v>
      </c>
      <c r="X67" s="5">
        <v>0</v>
      </c>
      <c r="Y67" s="5">
        <v>80.47</v>
      </c>
    </row>
    <row r="68" spans="1:25" ht="24.75" x14ac:dyDescent="0.25">
      <c r="A68" s="5" t="s">
        <v>26</v>
      </c>
      <c r="B68" s="5" t="s">
        <v>27</v>
      </c>
      <c r="C68" s="5" t="s">
        <v>50</v>
      </c>
      <c r="D68" s="5" t="s">
        <v>58</v>
      </c>
      <c r="E68" s="5" t="s">
        <v>28</v>
      </c>
      <c r="F68" s="5" t="s">
        <v>59</v>
      </c>
      <c r="G68" s="5">
        <v>2017</v>
      </c>
      <c r="H68" s="5" t="str">
        <f>CONCATENATE("74211407601")</f>
        <v>74211407601</v>
      </c>
      <c r="I68" s="5" t="s">
        <v>29</v>
      </c>
      <c r="J68" s="5" t="s">
        <v>36</v>
      </c>
      <c r="K68" s="5" t="str">
        <f>CONCATENATE("")</f>
        <v/>
      </c>
      <c r="L68" s="5" t="str">
        <f>CONCATENATE("13 13.1 4a")</f>
        <v>13 13.1 4a</v>
      </c>
      <c r="M68" s="5" t="str">
        <f>CONCATENATE("CCCPTR47B26H390L")</f>
        <v>CCCPTR47B26H390L</v>
      </c>
      <c r="N68" s="5" t="s">
        <v>146</v>
      </c>
      <c r="O68" s="5" t="s">
        <v>61</v>
      </c>
      <c r="P68" s="6">
        <v>43945</v>
      </c>
      <c r="Q68" s="5" t="s">
        <v>31</v>
      </c>
      <c r="R68" s="5" t="s">
        <v>32</v>
      </c>
      <c r="S68" s="5" t="s">
        <v>33</v>
      </c>
      <c r="T68" s="5"/>
      <c r="U68" s="5">
        <v>319.24</v>
      </c>
      <c r="V68" s="5">
        <v>137.66</v>
      </c>
      <c r="W68" s="5">
        <v>127.12</v>
      </c>
      <c r="X68" s="5">
        <v>0</v>
      </c>
      <c r="Y68" s="5">
        <v>54.46</v>
      </c>
    </row>
    <row r="69" spans="1:25" ht="24.75" x14ac:dyDescent="0.25">
      <c r="A69" s="5" t="s">
        <v>26</v>
      </c>
      <c r="B69" s="5" t="s">
        <v>27</v>
      </c>
      <c r="C69" s="5" t="s">
        <v>50</v>
      </c>
      <c r="D69" s="5" t="s">
        <v>58</v>
      </c>
      <c r="E69" s="5" t="s">
        <v>38</v>
      </c>
      <c r="F69" s="5" t="s">
        <v>89</v>
      </c>
      <c r="G69" s="5">
        <v>2019</v>
      </c>
      <c r="H69" s="5" t="str">
        <f>CONCATENATE("94210836824")</f>
        <v>94210836824</v>
      </c>
      <c r="I69" s="5" t="s">
        <v>29</v>
      </c>
      <c r="J69" s="5" t="s">
        <v>36</v>
      </c>
      <c r="K69" s="5" t="str">
        <f>CONCATENATE("")</f>
        <v/>
      </c>
      <c r="L69" s="5" t="str">
        <f>CONCATENATE("13 13.1 4a")</f>
        <v>13 13.1 4a</v>
      </c>
      <c r="M69" s="5" t="str">
        <f>CONCATENATE("CRBLGN60E22F570O")</f>
        <v>CRBLGN60E22F570O</v>
      </c>
      <c r="N69" s="5" t="s">
        <v>147</v>
      </c>
      <c r="O69" s="5" t="s">
        <v>61</v>
      </c>
      <c r="P69" s="6">
        <v>43945</v>
      </c>
      <c r="Q69" s="5" t="s">
        <v>31</v>
      </c>
      <c r="R69" s="5" t="s">
        <v>32</v>
      </c>
      <c r="S69" s="5" t="s">
        <v>33</v>
      </c>
      <c r="T69" s="5"/>
      <c r="U69" s="7">
        <v>6081.96</v>
      </c>
      <c r="V69" s="7">
        <v>2622.54</v>
      </c>
      <c r="W69" s="7">
        <v>2421.84</v>
      </c>
      <c r="X69" s="5">
        <v>0</v>
      </c>
      <c r="Y69" s="7">
        <v>1037.58</v>
      </c>
    </row>
    <row r="70" spans="1:25" ht="24.75" x14ac:dyDescent="0.25">
      <c r="A70" s="5" t="s">
        <v>26</v>
      </c>
      <c r="B70" s="5" t="s">
        <v>27</v>
      </c>
      <c r="C70" s="5" t="s">
        <v>50</v>
      </c>
      <c r="D70" s="5" t="s">
        <v>58</v>
      </c>
      <c r="E70" s="5" t="s">
        <v>28</v>
      </c>
      <c r="F70" s="5" t="s">
        <v>59</v>
      </c>
      <c r="G70" s="5">
        <v>2019</v>
      </c>
      <c r="H70" s="5" t="str">
        <f>CONCATENATE("94210641554")</f>
        <v>94210641554</v>
      </c>
      <c r="I70" s="5" t="s">
        <v>29</v>
      </c>
      <c r="J70" s="5" t="s">
        <v>36</v>
      </c>
      <c r="K70" s="5" t="str">
        <f>CONCATENATE("")</f>
        <v/>
      </c>
      <c r="L70" s="5" t="str">
        <f>CONCATENATE("13 13.1 4a")</f>
        <v>13 13.1 4a</v>
      </c>
      <c r="M70" s="5" t="str">
        <f>CONCATENATE("DCLNNZ83C05H501B")</f>
        <v>DCLNNZ83C05H501B</v>
      </c>
      <c r="N70" s="5" t="s">
        <v>148</v>
      </c>
      <c r="O70" s="5" t="s">
        <v>61</v>
      </c>
      <c r="P70" s="6">
        <v>43945</v>
      </c>
      <c r="Q70" s="5" t="s">
        <v>31</v>
      </c>
      <c r="R70" s="5" t="s">
        <v>32</v>
      </c>
      <c r="S70" s="5" t="s">
        <v>33</v>
      </c>
      <c r="T70" s="5"/>
      <c r="U70" s="5">
        <v>400.26</v>
      </c>
      <c r="V70" s="5">
        <v>172.59</v>
      </c>
      <c r="W70" s="5">
        <v>159.38</v>
      </c>
      <c r="X70" s="5">
        <v>0</v>
      </c>
      <c r="Y70" s="5">
        <v>68.290000000000006</v>
      </c>
    </row>
    <row r="71" spans="1:25" ht="24.75" x14ac:dyDescent="0.25">
      <c r="A71" s="5" t="s">
        <v>26</v>
      </c>
      <c r="B71" s="5" t="s">
        <v>27</v>
      </c>
      <c r="C71" s="5" t="s">
        <v>50</v>
      </c>
      <c r="D71" s="5" t="s">
        <v>62</v>
      </c>
      <c r="E71" s="5" t="s">
        <v>35</v>
      </c>
      <c r="F71" s="5" t="s">
        <v>75</v>
      </c>
      <c r="G71" s="5">
        <v>2019</v>
      </c>
      <c r="H71" s="5" t="str">
        <f>CONCATENATE("94210095397")</f>
        <v>94210095397</v>
      </c>
      <c r="I71" s="5" t="s">
        <v>29</v>
      </c>
      <c r="J71" s="5" t="s">
        <v>36</v>
      </c>
      <c r="K71" s="5" t="str">
        <f>CONCATENATE("")</f>
        <v/>
      </c>
      <c r="L71" s="5" t="str">
        <f>CONCATENATE("13 13.1 4a")</f>
        <v>13 13.1 4a</v>
      </c>
      <c r="M71" s="5" t="str">
        <f>CONCATENATE("FSCPLA66B21E785Q")</f>
        <v>FSCPLA66B21E785Q</v>
      </c>
      <c r="N71" s="5" t="s">
        <v>149</v>
      </c>
      <c r="O71" s="5" t="s">
        <v>61</v>
      </c>
      <c r="P71" s="6">
        <v>43945</v>
      </c>
      <c r="Q71" s="5" t="s">
        <v>31</v>
      </c>
      <c r="R71" s="5" t="s">
        <v>32</v>
      </c>
      <c r="S71" s="5" t="s">
        <v>33</v>
      </c>
      <c r="T71" s="5"/>
      <c r="U71" s="7">
        <v>4539.3900000000003</v>
      </c>
      <c r="V71" s="7">
        <v>1957.38</v>
      </c>
      <c r="W71" s="7">
        <v>1807.59</v>
      </c>
      <c r="X71" s="5">
        <v>0</v>
      </c>
      <c r="Y71" s="5">
        <v>774.42</v>
      </c>
    </row>
    <row r="72" spans="1:25" ht="24.75" x14ac:dyDescent="0.25">
      <c r="A72" s="5" t="s">
        <v>26</v>
      </c>
      <c r="B72" s="5" t="s">
        <v>27</v>
      </c>
      <c r="C72" s="5" t="s">
        <v>50</v>
      </c>
      <c r="D72" s="5" t="s">
        <v>58</v>
      </c>
      <c r="E72" s="5" t="s">
        <v>40</v>
      </c>
      <c r="F72" s="5" t="s">
        <v>40</v>
      </c>
      <c r="G72" s="5">
        <v>2019</v>
      </c>
      <c r="H72" s="5" t="str">
        <f>CONCATENATE("94210810423")</f>
        <v>94210810423</v>
      </c>
      <c r="I72" s="5" t="s">
        <v>29</v>
      </c>
      <c r="J72" s="5" t="s">
        <v>36</v>
      </c>
      <c r="K72" s="5" t="str">
        <f>CONCATENATE("")</f>
        <v/>
      </c>
      <c r="L72" s="5" t="str">
        <f>CONCATENATE("13 13.1 4a")</f>
        <v>13 13.1 4a</v>
      </c>
      <c r="M72" s="5" t="str">
        <f>CONCATENATE("GNNGNI49T54C935L")</f>
        <v>GNNGNI49T54C935L</v>
      </c>
      <c r="N72" s="5" t="s">
        <v>150</v>
      </c>
      <c r="O72" s="5" t="s">
        <v>61</v>
      </c>
      <c r="P72" s="6">
        <v>43945</v>
      </c>
      <c r="Q72" s="5" t="s">
        <v>31</v>
      </c>
      <c r="R72" s="5" t="s">
        <v>32</v>
      </c>
      <c r="S72" s="5" t="s">
        <v>33</v>
      </c>
      <c r="T72" s="5"/>
      <c r="U72" s="7">
        <v>4627.2</v>
      </c>
      <c r="V72" s="7">
        <v>1995.25</v>
      </c>
      <c r="W72" s="7">
        <v>1842.55</v>
      </c>
      <c r="X72" s="5">
        <v>0</v>
      </c>
      <c r="Y72" s="5">
        <v>789.4</v>
      </c>
    </row>
    <row r="73" spans="1:25" ht="24.75" x14ac:dyDescent="0.25">
      <c r="A73" s="5" t="s">
        <v>26</v>
      </c>
      <c r="B73" s="5" t="s">
        <v>27</v>
      </c>
      <c r="C73" s="5" t="s">
        <v>50</v>
      </c>
      <c r="D73" s="5" t="s">
        <v>62</v>
      </c>
      <c r="E73" s="5" t="s">
        <v>28</v>
      </c>
      <c r="F73" s="5" t="s">
        <v>81</v>
      </c>
      <c r="G73" s="5">
        <v>2019</v>
      </c>
      <c r="H73" s="5" t="str">
        <f>CONCATENATE("94210641109")</f>
        <v>94210641109</v>
      </c>
      <c r="I73" s="5" t="s">
        <v>37</v>
      </c>
      <c r="J73" s="5" t="s">
        <v>36</v>
      </c>
      <c r="K73" s="5" t="str">
        <f>CONCATENATE("")</f>
        <v/>
      </c>
      <c r="L73" s="5" t="str">
        <f>CONCATENATE("13 13.1 4a")</f>
        <v>13 13.1 4a</v>
      </c>
      <c r="M73" s="5" t="str">
        <f>CONCATENATE("SRGPRI28D20B352M")</f>
        <v>SRGPRI28D20B352M</v>
      </c>
      <c r="N73" s="5" t="s">
        <v>151</v>
      </c>
      <c r="O73" s="5" t="s">
        <v>61</v>
      </c>
      <c r="P73" s="6">
        <v>43945</v>
      </c>
      <c r="Q73" s="5" t="s">
        <v>31</v>
      </c>
      <c r="R73" s="5" t="s">
        <v>32</v>
      </c>
      <c r="S73" s="5" t="s">
        <v>33</v>
      </c>
      <c r="T73" s="5"/>
      <c r="U73" s="5">
        <v>945.8</v>
      </c>
      <c r="V73" s="5">
        <v>407.83</v>
      </c>
      <c r="W73" s="5">
        <v>376.62</v>
      </c>
      <c r="X73" s="5">
        <v>0</v>
      </c>
      <c r="Y73" s="5">
        <v>161.35</v>
      </c>
    </row>
    <row r="74" spans="1:25" ht="24.75" x14ac:dyDescent="0.25">
      <c r="A74" s="5" t="s">
        <v>26</v>
      </c>
      <c r="B74" s="5" t="s">
        <v>34</v>
      </c>
      <c r="C74" s="5" t="s">
        <v>50</v>
      </c>
      <c r="D74" s="5" t="s">
        <v>58</v>
      </c>
      <c r="E74" s="5" t="s">
        <v>44</v>
      </c>
      <c r="F74" s="5" t="s">
        <v>152</v>
      </c>
      <c r="G74" s="5">
        <v>2017</v>
      </c>
      <c r="H74" s="5" t="str">
        <f>CONCATENATE("94270173571")</f>
        <v>94270173571</v>
      </c>
      <c r="I74" s="5" t="s">
        <v>29</v>
      </c>
      <c r="J74" s="5" t="s">
        <v>36</v>
      </c>
      <c r="K74" s="5" t="str">
        <f>CONCATENATE("")</f>
        <v/>
      </c>
      <c r="L74" s="5" t="str">
        <f>CONCATENATE("4 4.1 2a")</f>
        <v>4 4.1 2a</v>
      </c>
      <c r="M74" s="5" t="str">
        <f>CONCATENATE("01985600442")</f>
        <v>01985600442</v>
      </c>
      <c r="N74" s="5" t="s">
        <v>153</v>
      </c>
      <c r="O74" s="5" t="s">
        <v>154</v>
      </c>
      <c r="P74" s="6">
        <v>43945</v>
      </c>
      <c r="Q74" s="5" t="s">
        <v>31</v>
      </c>
      <c r="R74" s="5" t="s">
        <v>32</v>
      </c>
      <c r="S74" s="5" t="s">
        <v>33</v>
      </c>
      <c r="T74" s="5"/>
      <c r="U74" s="7">
        <v>24092.06</v>
      </c>
      <c r="V74" s="7">
        <v>10388.5</v>
      </c>
      <c r="W74" s="7">
        <v>9593.4599999999991</v>
      </c>
      <c r="X74" s="5">
        <v>0</v>
      </c>
      <c r="Y74" s="7">
        <v>4110.1000000000004</v>
      </c>
    </row>
    <row r="75" spans="1:25" ht="24.75" x14ac:dyDescent="0.25">
      <c r="A75" s="5" t="s">
        <v>26</v>
      </c>
      <c r="B75" s="5" t="s">
        <v>27</v>
      </c>
      <c r="C75" s="5" t="s">
        <v>50</v>
      </c>
      <c r="D75" s="5" t="s">
        <v>58</v>
      </c>
      <c r="E75" s="5" t="s">
        <v>38</v>
      </c>
      <c r="F75" s="5" t="s">
        <v>89</v>
      </c>
      <c r="G75" s="5">
        <v>2019</v>
      </c>
      <c r="H75" s="5" t="str">
        <f>CONCATENATE("94210808617")</f>
        <v>94210808617</v>
      </c>
      <c r="I75" s="5" t="s">
        <v>29</v>
      </c>
      <c r="J75" s="5" t="s">
        <v>36</v>
      </c>
      <c r="K75" s="5" t="str">
        <f>CONCATENATE("")</f>
        <v/>
      </c>
      <c r="L75" s="5" t="str">
        <f>CONCATENATE("13 13.1 4a")</f>
        <v>13 13.1 4a</v>
      </c>
      <c r="M75" s="5" t="str">
        <f>CONCATENATE("FNRGNS56D09I774K")</f>
        <v>FNRGNS56D09I774K</v>
      </c>
      <c r="N75" s="5" t="s">
        <v>155</v>
      </c>
      <c r="O75" s="5" t="s">
        <v>61</v>
      </c>
      <c r="P75" s="6">
        <v>43945</v>
      </c>
      <c r="Q75" s="5" t="s">
        <v>31</v>
      </c>
      <c r="R75" s="5" t="s">
        <v>32</v>
      </c>
      <c r="S75" s="5" t="s">
        <v>33</v>
      </c>
      <c r="T75" s="5"/>
      <c r="U75" s="7">
        <v>1480.72</v>
      </c>
      <c r="V75" s="5">
        <v>638.49</v>
      </c>
      <c r="W75" s="5">
        <v>589.62</v>
      </c>
      <c r="X75" s="5">
        <v>0</v>
      </c>
      <c r="Y75" s="5">
        <v>252.61</v>
      </c>
    </row>
    <row r="76" spans="1:25" ht="24.75" x14ac:dyDescent="0.25">
      <c r="A76" s="5" t="s">
        <v>26</v>
      </c>
      <c r="B76" s="5" t="s">
        <v>27</v>
      </c>
      <c r="C76" s="5" t="s">
        <v>50</v>
      </c>
      <c r="D76" s="5" t="s">
        <v>62</v>
      </c>
      <c r="E76" s="5" t="s">
        <v>45</v>
      </c>
      <c r="F76" s="5" t="s">
        <v>156</v>
      </c>
      <c r="G76" s="5">
        <v>2019</v>
      </c>
      <c r="H76" s="5" t="str">
        <f>CONCATENATE("94210009612")</f>
        <v>94210009612</v>
      </c>
      <c r="I76" s="5" t="s">
        <v>29</v>
      </c>
      <c r="J76" s="5" t="s">
        <v>36</v>
      </c>
      <c r="K76" s="5" t="str">
        <f>CONCATENATE("")</f>
        <v/>
      </c>
      <c r="L76" s="5" t="str">
        <f>CONCATENATE("13 13.1 4a")</f>
        <v>13 13.1 4a</v>
      </c>
      <c r="M76" s="5" t="str">
        <f>CONCATENATE("01388820415")</f>
        <v>01388820415</v>
      </c>
      <c r="N76" s="5" t="s">
        <v>157</v>
      </c>
      <c r="O76" s="5" t="s">
        <v>61</v>
      </c>
      <c r="P76" s="6">
        <v>43945</v>
      </c>
      <c r="Q76" s="5" t="s">
        <v>31</v>
      </c>
      <c r="R76" s="5" t="s">
        <v>32</v>
      </c>
      <c r="S76" s="5" t="s">
        <v>33</v>
      </c>
      <c r="T76" s="5"/>
      <c r="U76" s="7">
        <v>1951.7</v>
      </c>
      <c r="V76" s="5">
        <v>841.57</v>
      </c>
      <c r="W76" s="5">
        <v>777.17</v>
      </c>
      <c r="X76" s="5">
        <v>0</v>
      </c>
      <c r="Y76" s="5">
        <v>332.96</v>
      </c>
    </row>
    <row r="77" spans="1:25" ht="24.75" x14ac:dyDescent="0.25">
      <c r="A77" s="5" t="s">
        <v>26</v>
      </c>
      <c r="B77" s="5" t="s">
        <v>27</v>
      </c>
      <c r="C77" s="5" t="s">
        <v>50</v>
      </c>
      <c r="D77" s="5" t="s">
        <v>62</v>
      </c>
      <c r="E77" s="5" t="s">
        <v>47</v>
      </c>
      <c r="F77" s="5" t="s">
        <v>158</v>
      </c>
      <c r="G77" s="5">
        <v>2019</v>
      </c>
      <c r="H77" s="5" t="str">
        <f>CONCATENATE("94210527746")</f>
        <v>94210527746</v>
      </c>
      <c r="I77" s="5" t="s">
        <v>29</v>
      </c>
      <c r="J77" s="5" t="s">
        <v>36</v>
      </c>
      <c r="K77" s="5" t="str">
        <f>CONCATENATE("")</f>
        <v/>
      </c>
      <c r="L77" s="5" t="str">
        <f>CONCATENATE("13 13.1 4a")</f>
        <v>13 13.1 4a</v>
      </c>
      <c r="M77" s="5" t="str">
        <f>CONCATENATE("MRDNCL79C28E801Q")</f>
        <v>MRDNCL79C28E801Q</v>
      </c>
      <c r="N77" s="5" t="s">
        <v>159</v>
      </c>
      <c r="O77" s="5" t="s">
        <v>61</v>
      </c>
      <c r="P77" s="6">
        <v>43945</v>
      </c>
      <c r="Q77" s="5" t="s">
        <v>31</v>
      </c>
      <c r="R77" s="5" t="s">
        <v>32</v>
      </c>
      <c r="S77" s="5" t="s">
        <v>33</v>
      </c>
      <c r="T77" s="5"/>
      <c r="U77" s="5">
        <v>988.85</v>
      </c>
      <c r="V77" s="5">
        <v>426.39</v>
      </c>
      <c r="W77" s="5">
        <v>393.76</v>
      </c>
      <c r="X77" s="5">
        <v>0</v>
      </c>
      <c r="Y77" s="5">
        <v>168.7</v>
      </c>
    </row>
    <row r="78" spans="1:25" ht="24.75" x14ac:dyDescent="0.25">
      <c r="A78" s="5" t="s">
        <v>26</v>
      </c>
      <c r="B78" s="5" t="s">
        <v>27</v>
      </c>
      <c r="C78" s="5" t="s">
        <v>50</v>
      </c>
      <c r="D78" s="5" t="s">
        <v>58</v>
      </c>
      <c r="E78" s="5" t="s">
        <v>40</v>
      </c>
      <c r="F78" s="5" t="s">
        <v>40</v>
      </c>
      <c r="G78" s="5">
        <v>2019</v>
      </c>
      <c r="H78" s="5" t="str">
        <f>CONCATENATE("94210855014")</f>
        <v>94210855014</v>
      </c>
      <c r="I78" s="5" t="s">
        <v>29</v>
      </c>
      <c r="J78" s="5" t="s">
        <v>36</v>
      </c>
      <c r="K78" s="5" t="str">
        <f>CONCATENATE("")</f>
        <v/>
      </c>
      <c r="L78" s="5" t="str">
        <f>CONCATENATE("13 13.1 4a")</f>
        <v>13 13.1 4a</v>
      </c>
      <c r="M78" s="5" t="str">
        <f>CONCATENATE("TTVGPP57D14F509N")</f>
        <v>TTVGPP57D14F509N</v>
      </c>
      <c r="N78" s="5" t="s">
        <v>160</v>
      </c>
      <c r="O78" s="5" t="s">
        <v>61</v>
      </c>
      <c r="P78" s="6">
        <v>43945</v>
      </c>
      <c r="Q78" s="5" t="s">
        <v>31</v>
      </c>
      <c r="R78" s="5" t="s">
        <v>32</v>
      </c>
      <c r="S78" s="5" t="s">
        <v>33</v>
      </c>
      <c r="T78" s="5"/>
      <c r="U78" s="7">
        <v>9000</v>
      </c>
      <c r="V78" s="7">
        <v>3880.8</v>
      </c>
      <c r="W78" s="7">
        <v>3583.8</v>
      </c>
      <c r="X78" s="5">
        <v>0</v>
      </c>
      <c r="Y78" s="7">
        <v>1535.4</v>
      </c>
    </row>
    <row r="79" spans="1:25" ht="24.75" x14ac:dyDescent="0.25">
      <c r="A79" s="5" t="s">
        <v>26</v>
      </c>
      <c r="B79" s="5" t="s">
        <v>27</v>
      </c>
      <c r="C79" s="5" t="s">
        <v>50</v>
      </c>
      <c r="D79" s="5" t="s">
        <v>51</v>
      </c>
      <c r="E79" s="5" t="s">
        <v>28</v>
      </c>
      <c r="F79" s="5" t="s">
        <v>87</v>
      </c>
      <c r="G79" s="5">
        <v>2019</v>
      </c>
      <c r="H79" s="5" t="str">
        <f>CONCATENATE("94210173525")</f>
        <v>94210173525</v>
      </c>
      <c r="I79" s="5" t="s">
        <v>29</v>
      </c>
      <c r="J79" s="5" t="s">
        <v>36</v>
      </c>
      <c r="K79" s="5" t="str">
        <f>CONCATENATE("")</f>
        <v/>
      </c>
      <c r="L79" s="5" t="str">
        <f>CONCATENATE("13 13.1 4a")</f>
        <v>13 13.1 4a</v>
      </c>
      <c r="M79" s="5" t="str">
        <f>CONCATENATE("TSSFNN62E17D451N")</f>
        <v>TSSFNN62E17D451N</v>
      </c>
      <c r="N79" s="5" t="s">
        <v>161</v>
      </c>
      <c r="O79" s="5" t="s">
        <v>61</v>
      </c>
      <c r="P79" s="6">
        <v>43945</v>
      </c>
      <c r="Q79" s="5" t="s">
        <v>31</v>
      </c>
      <c r="R79" s="5" t="s">
        <v>32</v>
      </c>
      <c r="S79" s="5" t="s">
        <v>33</v>
      </c>
      <c r="T79" s="5"/>
      <c r="U79" s="5">
        <v>798.7</v>
      </c>
      <c r="V79" s="5">
        <v>344.4</v>
      </c>
      <c r="W79" s="5">
        <v>318.04000000000002</v>
      </c>
      <c r="X79" s="5">
        <v>0</v>
      </c>
      <c r="Y79" s="5">
        <v>136.26</v>
      </c>
    </row>
    <row r="80" spans="1:25" ht="24.75" x14ac:dyDescent="0.25">
      <c r="A80" s="5" t="s">
        <v>26</v>
      </c>
      <c r="B80" s="5" t="s">
        <v>27</v>
      </c>
      <c r="C80" s="5" t="s">
        <v>50</v>
      </c>
      <c r="D80" s="5" t="s">
        <v>58</v>
      </c>
      <c r="E80" s="5" t="s">
        <v>38</v>
      </c>
      <c r="F80" s="5" t="s">
        <v>89</v>
      </c>
      <c r="G80" s="5">
        <v>2019</v>
      </c>
      <c r="H80" s="5" t="str">
        <f>CONCATENATE("94210823608")</f>
        <v>94210823608</v>
      </c>
      <c r="I80" s="5" t="s">
        <v>29</v>
      </c>
      <c r="J80" s="5" t="s">
        <v>36</v>
      </c>
      <c r="K80" s="5" t="str">
        <f>CONCATENATE("")</f>
        <v/>
      </c>
      <c r="L80" s="5" t="str">
        <f>CONCATENATE("13 13.1 4a")</f>
        <v>13 13.1 4a</v>
      </c>
      <c r="M80" s="5" t="str">
        <f>CONCATENATE("CCCTRS54B53F268R")</f>
        <v>CCCTRS54B53F268R</v>
      </c>
      <c r="N80" s="5" t="s">
        <v>162</v>
      </c>
      <c r="O80" s="5" t="s">
        <v>61</v>
      </c>
      <c r="P80" s="6">
        <v>43945</v>
      </c>
      <c r="Q80" s="5" t="s">
        <v>31</v>
      </c>
      <c r="R80" s="5" t="s">
        <v>32</v>
      </c>
      <c r="S80" s="5" t="s">
        <v>33</v>
      </c>
      <c r="T80" s="5"/>
      <c r="U80" s="7">
        <v>1233.94</v>
      </c>
      <c r="V80" s="5">
        <v>532.07000000000005</v>
      </c>
      <c r="W80" s="5">
        <v>491.35</v>
      </c>
      <c r="X80" s="5">
        <v>0</v>
      </c>
      <c r="Y80" s="5">
        <v>210.52</v>
      </c>
    </row>
    <row r="81" spans="1:25" ht="24.75" x14ac:dyDescent="0.25">
      <c r="A81" s="5" t="s">
        <v>26</v>
      </c>
      <c r="B81" s="5" t="s">
        <v>27</v>
      </c>
      <c r="C81" s="5" t="s">
        <v>50</v>
      </c>
      <c r="D81" s="5" t="s">
        <v>62</v>
      </c>
      <c r="E81" s="5" t="s">
        <v>28</v>
      </c>
      <c r="F81" s="5" t="s">
        <v>81</v>
      </c>
      <c r="G81" s="5">
        <v>2019</v>
      </c>
      <c r="H81" s="5" t="str">
        <f>CONCATENATE("94210282896")</f>
        <v>94210282896</v>
      </c>
      <c r="I81" s="5" t="s">
        <v>29</v>
      </c>
      <c r="J81" s="5" t="s">
        <v>36</v>
      </c>
      <c r="K81" s="5" t="str">
        <f>CONCATENATE("")</f>
        <v/>
      </c>
      <c r="L81" s="5" t="str">
        <f>CONCATENATE("13 13.1 4a")</f>
        <v>13 13.1 4a</v>
      </c>
      <c r="M81" s="5" t="str">
        <f>CONCATENATE("CMPQNT38C31B352M")</f>
        <v>CMPQNT38C31B352M</v>
      </c>
      <c r="N81" s="5" t="s">
        <v>163</v>
      </c>
      <c r="O81" s="5" t="s">
        <v>61</v>
      </c>
      <c r="P81" s="6">
        <v>43945</v>
      </c>
      <c r="Q81" s="5" t="s">
        <v>31</v>
      </c>
      <c r="R81" s="5" t="s">
        <v>32</v>
      </c>
      <c r="S81" s="5" t="s">
        <v>33</v>
      </c>
      <c r="T81" s="5"/>
      <c r="U81" s="7">
        <v>2021.04</v>
      </c>
      <c r="V81" s="5">
        <v>871.47</v>
      </c>
      <c r="W81" s="5">
        <v>804.78</v>
      </c>
      <c r="X81" s="5">
        <v>0</v>
      </c>
      <c r="Y81" s="5">
        <v>344.79</v>
      </c>
    </row>
    <row r="82" spans="1:25" ht="24.75" x14ac:dyDescent="0.25">
      <c r="A82" s="5" t="s">
        <v>26</v>
      </c>
      <c r="B82" s="5" t="s">
        <v>27</v>
      </c>
      <c r="C82" s="5" t="s">
        <v>50</v>
      </c>
      <c r="D82" s="5" t="s">
        <v>62</v>
      </c>
      <c r="E82" s="5" t="s">
        <v>35</v>
      </c>
      <c r="F82" s="5" t="s">
        <v>137</v>
      </c>
      <c r="G82" s="5">
        <v>2019</v>
      </c>
      <c r="H82" s="5" t="str">
        <f>CONCATENATE("94210492834")</f>
        <v>94210492834</v>
      </c>
      <c r="I82" s="5" t="s">
        <v>37</v>
      </c>
      <c r="J82" s="5" t="s">
        <v>36</v>
      </c>
      <c r="K82" s="5" t="str">
        <f>CONCATENATE("")</f>
        <v/>
      </c>
      <c r="L82" s="5" t="str">
        <f>CONCATENATE("13 13.1 4a")</f>
        <v>13 13.1 4a</v>
      </c>
      <c r="M82" s="5" t="str">
        <f>CONCATENATE("00328980412")</f>
        <v>00328980412</v>
      </c>
      <c r="N82" s="5" t="s">
        <v>164</v>
      </c>
      <c r="O82" s="5" t="s">
        <v>61</v>
      </c>
      <c r="P82" s="6">
        <v>43945</v>
      </c>
      <c r="Q82" s="5" t="s">
        <v>31</v>
      </c>
      <c r="R82" s="5" t="s">
        <v>32</v>
      </c>
      <c r="S82" s="5" t="s">
        <v>33</v>
      </c>
      <c r="T82" s="5"/>
      <c r="U82" s="7">
        <v>9000</v>
      </c>
      <c r="V82" s="7">
        <v>3880.8</v>
      </c>
      <c r="W82" s="7">
        <v>3583.8</v>
      </c>
      <c r="X82" s="5">
        <v>0</v>
      </c>
      <c r="Y82" s="7">
        <v>1535.4</v>
      </c>
    </row>
    <row r="83" spans="1:25" ht="24.75" x14ac:dyDescent="0.25">
      <c r="A83" s="5" t="s">
        <v>26</v>
      </c>
      <c r="B83" s="5" t="s">
        <v>27</v>
      </c>
      <c r="C83" s="5" t="s">
        <v>50</v>
      </c>
      <c r="D83" s="5" t="s">
        <v>58</v>
      </c>
      <c r="E83" s="5" t="s">
        <v>35</v>
      </c>
      <c r="F83" s="5" t="s">
        <v>165</v>
      </c>
      <c r="G83" s="5">
        <v>2018</v>
      </c>
      <c r="H83" s="5" t="str">
        <f>CONCATENATE("84210702670")</f>
        <v>84210702670</v>
      </c>
      <c r="I83" s="5" t="s">
        <v>29</v>
      </c>
      <c r="J83" s="5" t="s">
        <v>36</v>
      </c>
      <c r="K83" s="5" t="str">
        <f>CONCATENATE("")</f>
        <v/>
      </c>
      <c r="L83" s="5" t="str">
        <f>CONCATENATE("13 13.1 4a")</f>
        <v>13 13.1 4a</v>
      </c>
      <c r="M83" s="5" t="str">
        <f>CONCATENATE("02253280446")</f>
        <v>02253280446</v>
      </c>
      <c r="N83" s="5" t="s">
        <v>166</v>
      </c>
      <c r="O83" s="5" t="s">
        <v>61</v>
      </c>
      <c r="P83" s="6">
        <v>43945</v>
      </c>
      <c r="Q83" s="5" t="s">
        <v>31</v>
      </c>
      <c r="R83" s="5" t="s">
        <v>32</v>
      </c>
      <c r="S83" s="5" t="s">
        <v>33</v>
      </c>
      <c r="T83" s="5"/>
      <c r="U83" s="5">
        <v>877.22</v>
      </c>
      <c r="V83" s="5">
        <v>378.26</v>
      </c>
      <c r="W83" s="5">
        <v>349.31</v>
      </c>
      <c r="X83" s="5">
        <v>0</v>
      </c>
      <c r="Y83" s="5">
        <v>149.65</v>
      </c>
    </row>
    <row r="84" spans="1:25" ht="24.75" x14ac:dyDescent="0.25">
      <c r="A84" s="5" t="s">
        <v>26</v>
      </c>
      <c r="B84" s="5" t="s">
        <v>27</v>
      </c>
      <c r="C84" s="5" t="s">
        <v>50</v>
      </c>
      <c r="D84" s="5" t="s">
        <v>62</v>
      </c>
      <c r="E84" s="5" t="s">
        <v>38</v>
      </c>
      <c r="F84" s="5" t="s">
        <v>109</v>
      </c>
      <c r="G84" s="5">
        <v>2019</v>
      </c>
      <c r="H84" s="5" t="str">
        <f>CONCATENATE("94210789247")</f>
        <v>94210789247</v>
      </c>
      <c r="I84" s="5" t="s">
        <v>29</v>
      </c>
      <c r="J84" s="5" t="s">
        <v>36</v>
      </c>
      <c r="K84" s="5" t="str">
        <f>CONCATENATE("")</f>
        <v/>
      </c>
      <c r="L84" s="5" t="str">
        <f>CONCATENATE("13 13.1 4a")</f>
        <v>13 13.1 4a</v>
      </c>
      <c r="M84" s="5" t="str">
        <f>CONCATENATE("DMNMSM62H11F497U")</f>
        <v>DMNMSM62H11F497U</v>
      </c>
      <c r="N84" s="5" t="s">
        <v>167</v>
      </c>
      <c r="O84" s="5" t="s">
        <v>61</v>
      </c>
      <c r="P84" s="6">
        <v>43945</v>
      </c>
      <c r="Q84" s="5" t="s">
        <v>31</v>
      </c>
      <c r="R84" s="5" t="s">
        <v>32</v>
      </c>
      <c r="S84" s="5" t="s">
        <v>33</v>
      </c>
      <c r="T84" s="5"/>
      <c r="U84" s="5">
        <v>547.92999999999995</v>
      </c>
      <c r="V84" s="5">
        <v>236.27</v>
      </c>
      <c r="W84" s="5">
        <v>218.19</v>
      </c>
      <c r="X84" s="5">
        <v>0</v>
      </c>
      <c r="Y84" s="5">
        <v>93.47</v>
      </c>
    </row>
    <row r="85" spans="1:25" ht="24.75" x14ac:dyDescent="0.25">
      <c r="A85" s="5" t="s">
        <v>26</v>
      </c>
      <c r="B85" s="5" t="s">
        <v>27</v>
      </c>
      <c r="C85" s="5" t="s">
        <v>50</v>
      </c>
      <c r="D85" s="5" t="s">
        <v>58</v>
      </c>
      <c r="E85" s="5" t="s">
        <v>28</v>
      </c>
      <c r="F85" s="5" t="s">
        <v>168</v>
      </c>
      <c r="G85" s="5">
        <v>2018</v>
      </c>
      <c r="H85" s="5" t="str">
        <f>CONCATENATE("84210950998")</f>
        <v>84210950998</v>
      </c>
      <c r="I85" s="5" t="s">
        <v>29</v>
      </c>
      <c r="J85" s="5" t="s">
        <v>36</v>
      </c>
      <c r="K85" s="5" t="str">
        <f>CONCATENATE("")</f>
        <v/>
      </c>
      <c r="L85" s="5" t="str">
        <f>CONCATENATE("13 13.1 4a")</f>
        <v>13 13.1 4a</v>
      </c>
      <c r="M85" s="5" t="str">
        <f>CONCATENATE("MCHMCL61L12D691O")</f>
        <v>MCHMCL61L12D691O</v>
      </c>
      <c r="N85" s="5" t="s">
        <v>169</v>
      </c>
      <c r="O85" s="5" t="s">
        <v>61</v>
      </c>
      <c r="P85" s="6">
        <v>43945</v>
      </c>
      <c r="Q85" s="5" t="s">
        <v>31</v>
      </c>
      <c r="R85" s="5" t="s">
        <v>32</v>
      </c>
      <c r="S85" s="5" t="s">
        <v>33</v>
      </c>
      <c r="T85" s="5"/>
      <c r="U85" s="7">
        <v>7801.32</v>
      </c>
      <c r="V85" s="7">
        <v>3363.93</v>
      </c>
      <c r="W85" s="7">
        <v>3106.49</v>
      </c>
      <c r="X85" s="5">
        <v>0</v>
      </c>
      <c r="Y85" s="7">
        <v>1330.9</v>
      </c>
    </row>
    <row r="86" spans="1:25" ht="24.75" x14ac:dyDescent="0.25">
      <c r="A86" s="5" t="s">
        <v>26</v>
      </c>
      <c r="B86" s="5" t="s">
        <v>27</v>
      </c>
      <c r="C86" s="5" t="s">
        <v>50</v>
      </c>
      <c r="D86" s="5" t="s">
        <v>58</v>
      </c>
      <c r="E86" s="5" t="s">
        <v>39</v>
      </c>
      <c r="F86" s="5" t="s">
        <v>170</v>
      </c>
      <c r="G86" s="5">
        <v>2019</v>
      </c>
      <c r="H86" s="5" t="str">
        <f>CONCATENATE("94210769942")</f>
        <v>94210769942</v>
      </c>
      <c r="I86" s="5" t="s">
        <v>29</v>
      </c>
      <c r="J86" s="5" t="s">
        <v>36</v>
      </c>
      <c r="K86" s="5" t="str">
        <f>CONCATENATE("")</f>
        <v/>
      </c>
      <c r="L86" s="5" t="str">
        <f>CONCATENATE("13 13.1 4a")</f>
        <v>13 13.1 4a</v>
      </c>
      <c r="M86" s="5" t="str">
        <f>CONCATENATE("01429450446")</f>
        <v>01429450446</v>
      </c>
      <c r="N86" s="5" t="s">
        <v>171</v>
      </c>
      <c r="O86" s="5" t="s">
        <v>61</v>
      </c>
      <c r="P86" s="6">
        <v>43945</v>
      </c>
      <c r="Q86" s="5" t="s">
        <v>31</v>
      </c>
      <c r="R86" s="5" t="s">
        <v>32</v>
      </c>
      <c r="S86" s="5" t="s">
        <v>33</v>
      </c>
      <c r="T86" s="5"/>
      <c r="U86" s="5">
        <v>551.13</v>
      </c>
      <c r="V86" s="5">
        <v>237.65</v>
      </c>
      <c r="W86" s="5">
        <v>219.46</v>
      </c>
      <c r="X86" s="5">
        <v>0</v>
      </c>
      <c r="Y86" s="5">
        <v>94.02</v>
      </c>
    </row>
    <row r="87" spans="1:25" ht="24.75" x14ac:dyDescent="0.25">
      <c r="A87" s="5" t="s">
        <v>26</v>
      </c>
      <c r="B87" s="5" t="s">
        <v>27</v>
      </c>
      <c r="C87" s="5" t="s">
        <v>50</v>
      </c>
      <c r="D87" s="5" t="s">
        <v>51</v>
      </c>
      <c r="E87" s="5" t="s">
        <v>28</v>
      </c>
      <c r="F87" s="5" t="s">
        <v>101</v>
      </c>
      <c r="G87" s="5">
        <v>2019</v>
      </c>
      <c r="H87" s="5" t="str">
        <f>CONCATENATE("94210474378")</f>
        <v>94210474378</v>
      </c>
      <c r="I87" s="5" t="s">
        <v>29</v>
      </c>
      <c r="J87" s="5" t="s">
        <v>36</v>
      </c>
      <c r="K87" s="5" t="str">
        <f>CONCATENATE("")</f>
        <v/>
      </c>
      <c r="L87" s="5" t="str">
        <f>CONCATENATE("13 13.1 4a")</f>
        <v>13 13.1 4a</v>
      </c>
      <c r="M87" s="5" t="str">
        <f>CONCATENATE("SBSMRN81R21A366M")</f>
        <v>SBSMRN81R21A366M</v>
      </c>
      <c r="N87" s="5" t="s">
        <v>172</v>
      </c>
      <c r="O87" s="5" t="s">
        <v>61</v>
      </c>
      <c r="P87" s="6">
        <v>43945</v>
      </c>
      <c r="Q87" s="5" t="s">
        <v>31</v>
      </c>
      <c r="R87" s="5" t="s">
        <v>32</v>
      </c>
      <c r="S87" s="5" t="s">
        <v>33</v>
      </c>
      <c r="T87" s="5"/>
      <c r="U87" s="7">
        <v>5845.74</v>
      </c>
      <c r="V87" s="7">
        <v>2520.6799999999998</v>
      </c>
      <c r="W87" s="7">
        <v>2327.77</v>
      </c>
      <c r="X87" s="5">
        <v>0</v>
      </c>
      <c r="Y87" s="5">
        <v>997.29</v>
      </c>
    </row>
    <row r="88" spans="1:25" ht="24.75" x14ac:dyDescent="0.25">
      <c r="A88" s="5" t="s">
        <v>26</v>
      </c>
      <c r="B88" s="5" t="s">
        <v>34</v>
      </c>
      <c r="C88" s="5" t="s">
        <v>50</v>
      </c>
      <c r="D88" s="5" t="s">
        <v>58</v>
      </c>
      <c r="E88" s="5" t="s">
        <v>38</v>
      </c>
      <c r="F88" s="5" t="s">
        <v>173</v>
      </c>
      <c r="G88" s="5">
        <v>2017</v>
      </c>
      <c r="H88" s="5" t="str">
        <f>CONCATENATE("84270138351")</f>
        <v>84270138351</v>
      </c>
      <c r="I88" s="5" t="s">
        <v>37</v>
      </c>
      <c r="J88" s="5" t="s">
        <v>36</v>
      </c>
      <c r="K88" s="5" t="str">
        <f>CONCATENATE("")</f>
        <v/>
      </c>
      <c r="L88" s="5" t="str">
        <f>CONCATENATE("1 1.2 2a")</f>
        <v>1 1.2 2a</v>
      </c>
      <c r="M88" s="5" t="str">
        <f>CONCATENATE("02043720446")</f>
        <v>02043720446</v>
      </c>
      <c r="N88" s="5" t="s">
        <v>174</v>
      </c>
      <c r="O88" s="5" t="s">
        <v>175</v>
      </c>
      <c r="P88" s="6">
        <v>43945</v>
      </c>
      <c r="Q88" s="5" t="s">
        <v>31</v>
      </c>
      <c r="R88" s="5" t="s">
        <v>32</v>
      </c>
      <c r="S88" s="5" t="s">
        <v>33</v>
      </c>
      <c r="T88" s="5"/>
      <c r="U88" s="7">
        <v>25270.57</v>
      </c>
      <c r="V88" s="7">
        <v>10896.67</v>
      </c>
      <c r="W88" s="7">
        <v>10062.74</v>
      </c>
      <c r="X88" s="5">
        <v>0</v>
      </c>
      <c r="Y88" s="7">
        <v>4311.16</v>
      </c>
    </row>
    <row r="89" spans="1:25" ht="24.75" x14ac:dyDescent="0.25">
      <c r="A89" s="5" t="s">
        <v>26</v>
      </c>
      <c r="B89" s="5" t="s">
        <v>27</v>
      </c>
      <c r="C89" s="5" t="s">
        <v>50</v>
      </c>
      <c r="D89" s="5" t="s">
        <v>62</v>
      </c>
      <c r="E89" s="5" t="s">
        <v>38</v>
      </c>
      <c r="F89" s="5" t="s">
        <v>113</v>
      </c>
      <c r="G89" s="5">
        <v>2019</v>
      </c>
      <c r="H89" s="5" t="str">
        <f>CONCATENATE("94211373967")</f>
        <v>94211373967</v>
      </c>
      <c r="I89" s="5" t="s">
        <v>29</v>
      </c>
      <c r="J89" s="5" t="s">
        <v>36</v>
      </c>
      <c r="K89" s="5" t="str">
        <f>CONCATENATE("")</f>
        <v/>
      </c>
      <c r="L89" s="5" t="str">
        <f>CONCATENATE("13 13.1 4a")</f>
        <v>13 13.1 4a</v>
      </c>
      <c r="M89" s="5" t="str">
        <f>CONCATENATE("01432950416")</f>
        <v>01432950416</v>
      </c>
      <c r="N89" s="5" t="s">
        <v>176</v>
      </c>
      <c r="O89" s="5" t="s">
        <v>61</v>
      </c>
      <c r="P89" s="6">
        <v>43945</v>
      </c>
      <c r="Q89" s="5" t="s">
        <v>31</v>
      </c>
      <c r="R89" s="5" t="s">
        <v>32</v>
      </c>
      <c r="S89" s="5" t="s">
        <v>33</v>
      </c>
      <c r="T89" s="5"/>
      <c r="U89" s="7">
        <v>3314.9</v>
      </c>
      <c r="V89" s="7">
        <v>1429.38</v>
      </c>
      <c r="W89" s="7">
        <v>1319.99</v>
      </c>
      <c r="X89" s="5">
        <v>0</v>
      </c>
      <c r="Y89" s="5">
        <v>565.53</v>
      </c>
    </row>
    <row r="90" spans="1:25" ht="24.75" x14ac:dyDescent="0.25">
      <c r="A90" s="5" t="s">
        <v>26</v>
      </c>
      <c r="B90" s="5" t="s">
        <v>27</v>
      </c>
      <c r="C90" s="5" t="s">
        <v>50</v>
      </c>
      <c r="D90" s="5" t="s">
        <v>62</v>
      </c>
      <c r="E90" s="5" t="s">
        <v>45</v>
      </c>
      <c r="F90" s="5" t="s">
        <v>83</v>
      </c>
      <c r="G90" s="5">
        <v>2019</v>
      </c>
      <c r="H90" s="5" t="str">
        <f>CONCATENATE("94211101293")</f>
        <v>94211101293</v>
      </c>
      <c r="I90" s="5" t="s">
        <v>29</v>
      </c>
      <c r="J90" s="5" t="s">
        <v>36</v>
      </c>
      <c r="K90" s="5" t="str">
        <f>CONCATENATE("")</f>
        <v/>
      </c>
      <c r="L90" s="5" t="str">
        <f>CONCATENATE("13 13.1 4a")</f>
        <v>13 13.1 4a</v>
      </c>
      <c r="M90" s="5" t="str">
        <f>CONCATENATE("02361800416")</f>
        <v>02361800416</v>
      </c>
      <c r="N90" s="5" t="s">
        <v>177</v>
      </c>
      <c r="O90" s="5" t="s">
        <v>61</v>
      </c>
      <c r="P90" s="6">
        <v>43945</v>
      </c>
      <c r="Q90" s="5" t="s">
        <v>31</v>
      </c>
      <c r="R90" s="5" t="s">
        <v>32</v>
      </c>
      <c r="S90" s="5" t="s">
        <v>33</v>
      </c>
      <c r="T90" s="5"/>
      <c r="U90" s="7">
        <v>8460.5</v>
      </c>
      <c r="V90" s="7">
        <v>3648.17</v>
      </c>
      <c r="W90" s="7">
        <v>3368.97</v>
      </c>
      <c r="X90" s="5">
        <v>0</v>
      </c>
      <c r="Y90" s="7">
        <v>1443.36</v>
      </c>
    </row>
    <row r="91" spans="1:25" ht="24.75" x14ac:dyDescent="0.25">
      <c r="A91" s="5" t="s">
        <v>26</v>
      </c>
      <c r="B91" s="5" t="s">
        <v>27</v>
      </c>
      <c r="C91" s="5" t="s">
        <v>50</v>
      </c>
      <c r="D91" s="5" t="s">
        <v>62</v>
      </c>
      <c r="E91" s="5" t="s">
        <v>38</v>
      </c>
      <c r="F91" s="5" t="s">
        <v>113</v>
      </c>
      <c r="G91" s="5">
        <v>2019</v>
      </c>
      <c r="H91" s="5" t="str">
        <f>CONCATENATE("94210535608")</f>
        <v>94210535608</v>
      </c>
      <c r="I91" s="5" t="s">
        <v>29</v>
      </c>
      <c r="J91" s="5" t="s">
        <v>36</v>
      </c>
      <c r="K91" s="5" t="str">
        <f>CONCATENATE("")</f>
        <v/>
      </c>
      <c r="L91" s="5" t="str">
        <f>CONCATENATE("13 13.1 4a")</f>
        <v>13 13.1 4a</v>
      </c>
      <c r="M91" s="5" t="str">
        <f>CONCATENATE("02615600414")</f>
        <v>02615600414</v>
      </c>
      <c r="N91" s="5" t="s">
        <v>178</v>
      </c>
      <c r="O91" s="5" t="s">
        <v>61</v>
      </c>
      <c r="P91" s="6">
        <v>43945</v>
      </c>
      <c r="Q91" s="5" t="s">
        <v>31</v>
      </c>
      <c r="R91" s="5" t="s">
        <v>32</v>
      </c>
      <c r="S91" s="5" t="s">
        <v>33</v>
      </c>
      <c r="T91" s="5"/>
      <c r="U91" s="7">
        <v>8730</v>
      </c>
      <c r="V91" s="7">
        <v>3764.38</v>
      </c>
      <c r="W91" s="7">
        <v>3476.29</v>
      </c>
      <c r="X91" s="5">
        <v>0</v>
      </c>
      <c r="Y91" s="7">
        <v>1489.33</v>
      </c>
    </row>
    <row r="92" spans="1:25" ht="24.75" x14ac:dyDescent="0.25">
      <c r="A92" s="5" t="s">
        <v>26</v>
      </c>
      <c r="B92" s="5" t="s">
        <v>27</v>
      </c>
      <c r="C92" s="5" t="s">
        <v>50</v>
      </c>
      <c r="D92" s="5" t="s">
        <v>62</v>
      </c>
      <c r="E92" s="5" t="s">
        <v>28</v>
      </c>
      <c r="F92" s="5" t="s">
        <v>93</v>
      </c>
      <c r="G92" s="5">
        <v>2019</v>
      </c>
      <c r="H92" s="5" t="str">
        <f>CONCATENATE("94211405686")</f>
        <v>94211405686</v>
      </c>
      <c r="I92" s="5" t="s">
        <v>29</v>
      </c>
      <c r="J92" s="5" t="s">
        <v>36</v>
      </c>
      <c r="K92" s="5" t="str">
        <f>CONCATENATE("")</f>
        <v/>
      </c>
      <c r="L92" s="5" t="str">
        <f>CONCATENATE("13 13.1 4a")</f>
        <v>13 13.1 4a</v>
      </c>
      <c r="M92" s="5" t="str">
        <f>CONCATENATE("STRGPP57M14D007C")</f>
        <v>STRGPP57M14D007C</v>
      </c>
      <c r="N92" s="5" t="s">
        <v>179</v>
      </c>
      <c r="O92" s="5" t="s">
        <v>61</v>
      </c>
      <c r="P92" s="6">
        <v>43945</v>
      </c>
      <c r="Q92" s="5" t="s">
        <v>31</v>
      </c>
      <c r="R92" s="5" t="s">
        <v>32</v>
      </c>
      <c r="S92" s="5" t="s">
        <v>33</v>
      </c>
      <c r="T92" s="5"/>
      <c r="U92" s="7">
        <v>4346.08</v>
      </c>
      <c r="V92" s="7">
        <v>1874.03</v>
      </c>
      <c r="W92" s="7">
        <v>1730.61</v>
      </c>
      <c r="X92" s="5">
        <v>0</v>
      </c>
      <c r="Y92" s="5">
        <v>741.44</v>
      </c>
    </row>
    <row r="93" spans="1:25" x14ac:dyDescent="0.25">
      <c r="A93" s="5" t="s">
        <v>26</v>
      </c>
      <c r="B93" s="5" t="s">
        <v>34</v>
      </c>
      <c r="C93" s="5" t="s">
        <v>50</v>
      </c>
      <c r="D93" s="5" t="s">
        <v>50</v>
      </c>
      <c r="E93" s="5" t="s">
        <v>44</v>
      </c>
      <c r="F93" s="5" t="s">
        <v>152</v>
      </c>
      <c r="G93" s="5">
        <v>2017</v>
      </c>
      <c r="H93" s="5" t="str">
        <f>CONCATENATE("94270173845")</f>
        <v>94270173845</v>
      </c>
      <c r="I93" s="5" t="s">
        <v>29</v>
      </c>
      <c r="J93" s="5" t="s">
        <v>36</v>
      </c>
      <c r="K93" s="5" t="str">
        <f>CONCATENATE("")</f>
        <v/>
      </c>
      <c r="L93" s="5" t="str">
        <f>CONCATENATE("19 19.2 6b")</f>
        <v>19 19.2 6b</v>
      </c>
      <c r="M93" s="5" t="str">
        <f>CONCATENATE("00358230449")</f>
        <v>00358230449</v>
      </c>
      <c r="N93" s="5" t="s">
        <v>180</v>
      </c>
      <c r="O93" s="5" t="s">
        <v>181</v>
      </c>
      <c r="P93" s="6">
        <v>43942</v>
      </c>
      <c r="Q93" s="5" t="s">
        <v>31</v>
      </c>
      <c r="R93" s="5" t="s">
        <v>41</v>
      </c>
      <c r="S93" s="5" t="s">
        <v>33</v>
      </c>
      <c r="T93" s="5"/>
      <c r="U93" s="7">
        <v>12728.91</v>
      </c>
      <c r="V93" s="7">
        <v>5488.71</v>
      </c>
      <c r="W93" s="7">
        <v>5068.6499999999996</v>
      </c>
      <c r="X93" s="5">
        <v>0</v>
      </c>
      <c r="Y93" s="7">
        <v>2171.5500000000002</v>
      </c>
    </row>
    <row r="94" spans="1:25" x14ac:dyDescent="0.25">
      <c r="A94" s="5" t="s">
        <v>26</v>
      </c>
      <c r="B94" s="5" t="s">
        <v>34</v>
      </c>
      <c r="C94" s="5" t="s">
        <v>50</v>
      </c>
      <c r="D94" s="5" t="s">
        <v>50</v>
      </c>
      <c r="E94" s="5" t="s">
        <v>40</v>
      </c>
      <c r="F94" s="5" t="s">
        <v>40</v>
      </c>
      <c r="G94" s="5">
        <v>2017</v>
      </c>
      <c r="H94" s="5" t="str">
        <f>CONCATENATE("04270034020")</f>
        <v>04270034020</v>
      </c>
      <c r="I94" s="5" t="s">
        <v>29</v>
      </c>
      <c r="J94" s="5" t="s">
        <v>36</v>
      </c>
      <c r="K94" s="5" t="str">
        <f>CONCATENATE("")</f>
        <v/>
      </c>
      <c r="L94" s="5" t="str">
        <f>CONCATENATE("19 19.2 6b")</f>
        <v>19 19.2 6b</v>
      </c>
      <c r="M94" s="5" t="str">
        <f>CONCATENATE("80004250447")</f>
        <v>80004250447</v>
      </c>
      <c r="N94" s="5" t="s">
        <v>182</v>
      </c>
      <c r="O94" s="5" t="s">
        <v>183</v>
      </c>
      <c r="P94" s="6">
        <v>43942</v>
      </c>
      <c r="Q94" s="5" t="s">
        <v>31</v>
      </c>
      <c r="R94" s="5" t="s">
        <v>41</v>
      </c>
      <c r="S94" s="5" t="s">
        <v>33</v>
      </c>
      <c r="T94" s="5"/>
      <c r="U94" s="7">
        <v>20000</v>
      </c>
      <c r="V94" s="7">
        <v>8624</v>
      </c>
      <c r="W94" s="7">
        <v>7964</v>
      </c>
      <c r="X94" s="5">
        <v>0</v>
      </c>
      <c r="Y94" s="7">
        <v>3412</v>
      </c>
    </row>
    <row r="95" spans="1:25" x14ac:dyDescent="0.25">
      <c r="A95" s="5" t="s">
        <v>26</v>
      </c>
      <c r="B95" s="5" t="s">
        <v>34</v>
      </c>
      <c r="C95" s="5" t="s">
        <v>50</v>
      </c>
      <c r="D95" s="5" t="s">
        <v>50</v>
      </c>
      <c r="E95" s="5" t="s">
        <v>40</v>
      </c>
      <c r="F95" s="5" t="s">
        <v>40</v>
      </c>
      <c r="G95" s="5">
        <v>2017</v>
      </c>
      <c r="H95" s="5" t="str">
        <f>CONCATENATE("04270034046")</f>
        <v>04270034046</v>
      </c>
      <c r="I95" s="5" t="s">
        <v>29</v>
      </c>
      <c r="J95" s="5" t="s">
        <v>36</v>
      </c>
      <c r="K95" s="5" t="str">
        <f>CONCATENATE("")</f>
        <v/>
      </c>
      <c r="L95" s="5" t="str">
        <f>CONCATENATE("19 19.2 6b")</f>
        <v>19 19.2 6b</v>
      </c>
      <c r="M95" s="5" t="str">
        <f>CONCATENATE("80004250447")</f>
        <v>80004250447</v>
      </c>
      <c r="N95" s="5" t="s">
        <v>182</v>
      </c>
      <c r="O95" s="5" t="s">
        <v>184</v>
      </c>
      <c r="P95" s="6">
        <v>43942</v>
      </c>
      <c r="Q95" s="5" t="s">
        <v>31</v>
      </c>
      <c r="R95" s="5" t="s">
        <v>41</v>
      </c>
      <c r="S95" s="5" t="s">
        <v>33</v>
      </c>
      <c r="T95" s="5"/>
      <c r="U95" s="7">
        <v>7872.92</v>
      </c>
      <c r="V95" s="7">
        <v>3394.8</v>
      </c>
      <c r="W95" s="7">
        <v>3135</v>
      </c>
      <c r="X95" s="5">
        <v>0</v>
      </c>
      <c r="Y95" s="7">
        <v>1343.12</v>
      </c>
    </row>
    <row r="96" spans="1:25" ht="24.75" x14ac:dyDescent="0.25">
      <c r="A96" s="5" t="s">
        <v>26</v>
      </c>
      <c r="B96" s="5" t="s">
        <v>27</v>
      </c>
      <c r="C96" s="5" t="s">
        <v>50</v>
      </c>
      <c r="D96" s="5" t="s">
        <v>62</v>
      </c>
      <c r="E96" s="5" t="s">
        <v>28</v>
      </c>
      <c r="F96" s="5" t="s">
        <v>141</v>
      </c>
      <c r="G96" s="5">
        <v>2019</v>
      </c>
      <c r="H96" s="5" t="str">
        <f>CONCATENATE("94210474766")</f>
        <v>94210474766</v>
      </c>
      <c r="I96" s="5" t="s">
        <v>29</v>
      </c>
      <c r="J96" s="5" t="s">
        <v>36</v>
      </c>
      <c r="K96" s="5" t="str">
        <f>CONCATENATE("")</f>
        <v/>
      </c>
      <c r="L96" s="5" t="str">
        <f>CONCATENATE("13 13.1 4a")</f>
        <v>13 13.1 4a</v>
      </c>
      <c r="M96" s="5" t="str">
        <f>CONCATENATE("GBLGRL36S26B026C")</f>
        <v>GBLGRL36S26B026C</v>
      </c>
      <c r="N96" s="5" t="s">
        <v>185</v>
      </c>
      <c r="O96" s="5" t="s">
        <v>61</v>
      </c>
      <c r="P96" s="6">
        <v>43945</v>
      </c>
      <c r="Q96" s="5" t="s">
        <v>31</v>
      </c>
      <c r="R96" s="5" t="s">
        <v>32</v>
      </c>
      <c r="S96" s="5" t="s">
        <v>33</v>
      </c>
      <c r="T96" s="5"/>
      <c r="U96" s="5">
        <v>143.65</v>
      </c>
      <c r="V96" s="5">
        <v>61.94</v>
      </c>
      <c r="W96" s="5">
        <v>57.2</v>
      </c>
      <c r="X96" s="5">
        <v>0</v>
      </c>
      <c r="Y96" s="5">
        <v>24.51</v>
      </c>
    </row>
    <row r="97" spans="1:25" ht="24.75" x14ac:dyDescent="0.25">
      <c r="A97" s="5" t="s">
        <v>26</v>
      </c>
      <c r="B97" s="5" t="s">
        <v>27</v>
      </c>
      <c r="C97" s="5" t="s">
        <v>50</v>
      </c>
      <c r="D97" s="5" t="s">
        <v>62</v>
      </c>
      <c r="E97" s="5" t="s">
        <v>35</v>
      </c>
      <c r="F97" s="5" t="s">
        <v>75</v>
      </c>
      <c r="G97" s="5">
        <v>2019</v>
      </c>
      <c r="H97" s="5" t="str">
        <f>CONCATENATE("94210144732")</f>
        <v>94210144732</v>
      </c>
      <c r="I97" s="5" t="s">
        <v>29</v>
      </c>
      <c r="J97" s="5" t="s">
        <v>36</v>
      </c>
      <c r="K97" s="5" t="str">
        <f>CONCATENATE("")</f>
        <v/>
      </c>
      <c r="L97" s="5" t="str">
        <f>CONCATENATE("13 13.1 4a")</f>
        <v>13 13.1 4a</v>
      </c>
      <c r="M97" s="5" t="str">
        <f>CONCATENATE("NNNLBR67E07I459Q")</f>
        <v>NNNLBR67E07I459Q</v>
      </c>
      <c r="N97" s="5" t="s">
        <v>186</v>
      </c>
      <c r="O97" s="5" t="s">
        <v>61</v>
      </c>
      <c r="P97" s="6">
        <v>43945</v>
      </c>
      <c r="Q97" s="5" t="s">
        <v>31</v>
      </c>
      <c r="R97" s="5" t="s">
        <v>32</v>
      </c>
      <c r="S97" s="5" t="s">
        <v>33</v>
      </c>
      <c r="T97" s="5"/>
      <c r="U97" s="7">
        <v>2527.96</v>
      </c>
      <c r="V97" s="7">
        <v>1090.06</v>
      </c>
      <c r="W97" s="7">
        <v>1006.63</v>
      </c>
      <c r="X97" s="5">
        <v>0</v>
      </c>
      <c r="Y97" s="5">
        <v>431.27</v>
      </c>
    </row>
    <row r="98" spans="1:25" ht="24.75" x14ac:dyDescent="0.25">
      <c r="A98" s="5" t="s">
        <v>26</v>
      </c>
      <c r="B98" s="5" t="s">
        <v>27</v>
      </c>
      <c r="C98" s="5" t="s">
        <v>50</v>
      </c>
      <c r="D98" s="5" t="s">
        <v>62</v>
      </c>
      <c r="E98" s="5" t="s">
        <v>28</v>
      </c>
      <c r="F98" s="5" t="s">
        <v>81</v>
      </c>
      <c r="G98" s="5">
        <v>2019</v>
      </c>
      <c r="H98" s="5" t="str">
        <f>CONCATENATE("94210424472")</f>
        <v>94210424472</v>
      </c>
      <c r="I98" s="5" t="s">
        <v>29</v>
      </c>
      <c r="J98" s="5" t="s">
        <v>36</v>
      </c>
      <c r="K98" s="5" t="str">
        <f>CONCATENATE("")</f>
        <v/>
      </c>
      <c r="L98" s="5" t="str">
        <f>CONCATENATE("13 13.1 4a")</f>
        <v>13 13.1 4a</v>
      </c>
      <c r="M98" s="5" t="str">
        <f>CONCATENATE("DRUFNC63C69B636V")</f>
        <v>DRUFNC63C69B636V</v>
      </c>
      <c r="N98" s="5" t="s">
        <v>187</v>
      </c>
      <c r="O98" s="5" t="s">
        <v>61</v>
      </c>
      <c r="P98" s="6">
        <v>43945</v>
      </c>
      <c r="Q98" s="5" t="s">
        <v>31</v>
      </c>
      <c r="R98" s="5" t="s">
        <v>32</v>
      </c>
      <c r="S98" s="5" t="s">
        <v>33</v>
      </c>
      <c r="T98" s="5"/>
      <c r="U98" s="7">
        <v>4541.16</v>
      </c>
      <c r="V98" s="7">
        <v>1958.15</v>
      </c>
      <c r="W98" s="7">
        <v>1808.29</v>
      </c>
      <c r="X98" s="5">
        <v>0</v>
      </c>
      <c r="Y98" s="5">
        <v>774.72</v>
      </c>
    </row>
    <row r="99" spans="1:25" ht="24.75" x14ac:dyDescent="0.25">
      <c r="A99" s="5" t="s">
        <v>26</v>
      </c>
      <c r="B99" s="5" t="s">
        <v>27</v>
      </c>
      <c r="C99" s="5" t="s">
        <v>50</v>
      </c>
      <c r="D99" s="5" t="s">
        <v>58</v>
      </c>
      <c r="E99" s="5" t="s">
        <v>28</v>
      </c>
      <c r="F99" s="5" t="s">
        <v>59</v>
      </c>
      <c r="G99" s="5">
        <v>2019</v>
      </c>
      <c r="H99" s="5" t="str">
        <f>CONCATENATE("94210717867")</f>
        <v>94210717867</v>
      </c>
      <c r="I99" s="5" t="s">
        <v>29</v>
      </c>
      <c r="J99" s="5" t="s">
        <v>36</v>
      </c>
      <c r="K99" s="5" t="str">
        <f>CONCATENATE("")</f>
        <v/>
      </c>
      <c r="L99" s="5" t="str">
        <f>CONCATENATE("13 13.1 4a")</f>
        <v>13 13.1 4a</v>
      </c>
      <c r="M99" s="5" t="str">
        <f>CONCATENATE("MNTGPP52E04L597W")</f>
        <v>MNTGPP52E04L597W</v>
      </c>
      <c r="N99" s="5" t="s">
        <v>188</v>
      </c>
      <c r="O99" s="5" t="s">
        <v>61</v>
      </c>
      <c r="P99" s="6">
        <v>43945</v>
      </c>
      <c r="Q99" s="5" t="s">
        <v>31</v>
      </c>
      <c r="R99" s="5" t="s">
        <v>32</v>
      </c>
      <c r="S99" s="5" t="s">
        <v>33</v>
      </c>
      <c r="T99" s="5"/>
      <c r="U99" s="7">
        <v>9000</v>
      </c>
      <c r="V99" s="7">
        <v>3880.8</v>
      </c>
      <c r="W99" s="7">
        <v>3583.8</v>
      </c>
      <c r="X99" s="5">
        <v>0</v>
      </c>
      <c r="Y99" s="7">
        <v>1535.4</v>
      </c>
    </row>
    <row r="100" spans="1:25" ht="24.75" x14ac:dyDescent="0.25">
      <c r="A100" s="5" t="s">
        <v>26</v>
      </c>
      <c r="B100" s="5" t="s">
        <v>27</v>
      </c>
      <c r="C100" s="5" t="s">
        <v>50</v>
      </c>
      <c r="D100" s="5" t="s">
        <v>51</v>
      </c>
      <c r="E100" s="5" t="s">
        <v>28</v>
      </c>
      <c r="F100" s="5" t="s">
        <v>87</v>
      </c>
      <c r="G100" s="5">
        <v>2019</v>
      </c>
      <c r="H100" s="5" t="str">
        <f>CONCATENATE("94210091065")</f>
        <v>94210091065</v>
      </c>
      <c r="I100" s="5" t="s">
        <v>29</v>
      </c>
      <c r="J100" s="5" t="s">
        <v>36</v>
      </c>
      <c r="K100" s="5" t="str">
        <f>CONCATENATE("")</f>
        <v/>
      </c>
      <c r="L100" s="5" t="str">
        <f>CONCATENATE("13 13.1 4a")</f>
        <v>13 13.1 4a</v>
      </c>
      <c r="M100" s="5" t="str">
        <f>CONCATENATE("PPRPLA58S20D451U")</f>
        <v>PPRPLA58S20D451U</v>
      </c>
      <c r="N100" s="5" t="s">
        <v>189</v>
      </c>
      <c r="O100" s="5" t="s">
        <v>61</v>
      </c>
      <c r="P100" s="6">
        <v>43945</v>
      </c>
      <c r="Q100" s="5" t="s">
        <v>31</v>
      </c>
      <c r="R100" s="5" t="s">
        <v>32</v>
      </c>
      <c r="S100" s="5" t="s">
        <v>33</v>
      </c>
      <c r="T100" s="5"/>
      <c r="U100" s="7">
        <v>1589.06</v>
      </c>
      <c r="V100" s="5">
        <v>685.2</v>
      </c>
      <c r="W100" s="5">
        <v>632.76</v>
      </c>
      <c r="X100" s="5">
        <v>0</v>
      </c>
      <c r="Y100" s="5">
        <v>271.10000000000002</v>
      </c>
    </row>
    <row r="101" spans="1:25" x14ac:dyDescent="0.25">
      <c r="A101" s="5" t="s">
        <v>26</v>
      </c>
      <c r="B101" s="5" t="s">
        <v>34</v>
      </c>
      <c r="C101" s="5" t="s">
        <v>50</v>
      </c>
      <c r="D101" s="5" t="s">
        <v>57</v>
      </c>
      <c r="E101" s="5" t="s">
        <v>40</v>
      </c>
      <c r="F101" s="5" t="s">
        <v>40</v>
      </c>
      <c r="G101" s="5">
        <v>2017</v>
      </c>
      <c r="H101" s="5" t="str">
        <f>CONCATENATE("04270037627")</f>
        <v>04270037627</v>
      </c>
      <c r="I101" s="5" t="s">
        <v>29</v>
      </c>
      <c r="J101" s="5" t="s">
        <v>36</v>
      </c>
      <c r="K101" s="5" t="str">
        <f>CONCATENATE("")</f>
        <v/>
      </c>
      <c r="L101" s="5" t="str">
        <f>CONCATENATE("1 1.1 2a")</f>
        <v>1 1.1 2a</v>
      </c>
      <c r="M101" s="5" t="str">
        <f>CONCATENATE("02051370423")</f>
        <v>02051370423</v>
      </c>
      <c r="N101" s="5" t="s">
        <v>55</v>
      </c>
      <c r="O101" s="5" t="s">
        <v>190</v>
      </c>
      <c r="P101" s="6">
        <v>43945</v>
      </c>
      <c r="Q101" s="5" t="s">
        <v>31</v>
      </c>
      <c r="R101" s="5" t="s">
        <v>32</v>
      </c>
      <c r="S101" s="5" t="s">
        <v>33</v>
      </c>
      <c r="T101" s="5"/>
      <c r="U101" s="7">
        <v>2376</v>
      </c>
      <c r="V101" s="7">
        <v>1024.53</v>
      </c>
      <c r="W101" s="5">
        <v>946.12</v>
      </c>
      <c r="X101" s="5">
        <v>0</v>
      </c>
      <c r="Y101" s="5">
        <v>405.35</v>
      </c>
    </row>
    <row r="102" spans="1:25" ht="24.75" x14ac:dyDescent="0.25">
      <c r="A102" s="5" t="s">
        <v>26</v>
      </c>
      <c r="B102" s="5" t="s">
        <v>34</v>
      </c>
      <c r="C102" s="5" t="s">
        <v>50</v>
      </c>
      <c r="D102" s="5" t="s">
        <v>62</v>
      </c>
      <c r="E102" s="5" t="s">
        <v>40</v>
      </c>
      <c r="F102" s="5" t="s">
        <v>40</v>
      </c>
      <c r="G102" s="5">
        <v>2017</v>
      </c>
      <c r="H102" s="5" t="str">
        <f>CONCATENATE("94270173852")</f>
        <v>94270173852</v>
      </c>
      <c r="I102" s="5" t="s">
        <v>29</v>
      </c>
      <c r="J102" s="5" t="s">
        <v>36</v>
      </c>
      <c r="K102" s="5" t="str">
        <f>CONCATENATE("")</f>
        <v/>
      </c>
      <c r="L102" s="5" t="str">
        <f>CONCATENATE("1 1.1 2a")</f>
        <v>1 1.1 2a</v>
      </c>
      <c r="M102" s="5" t="str">
        <f>CONCATENATE("02051370423")</f>
        <v>02051370423</v>
      </c>
      <c r="N102" s="5" t="s">
        <v>55</v>
      </c>
      <c r="O102" s="5" t="s">
        <v>191</v>
      </c>
      <c r="P102" s="6">
        <v>43942</v>
      </c>
      <c r="Q102" s="5" t="s">
        <v>31</v>
      </c>
      <c r="R102" s="5" t="s">
        <v>32</v>
      </c>
      <c r="S102" s="5" t="s">
        <v>33</v>
      </c>
      <c r="T102" s="5"/>
      <c r="U102" s="7">
        <v>1274.67</v>
      </c>
      <c r="V102" s="5">
        <v>549.64</v>
      </c>
      <c r="W102" s="5">
        <v>507.57</v>
      </c>
      <c r="X102" s="5">
        <v>0</v>
      </c>
      <c r="Y102" s="5">
        <v>217.46</v>
      </c>
    </row>
    <row r="103" spans="1:25" x14ac:dyDescent="0.25">
      <c r="A103" s="5" t="s">
        <v>26</v>
      </c>
      <c r="B103" s="5" t="s">
        <v>34</v>
      </c>
      <c r="C103" s="5" t="s">
        <v>50</v>
      </c>
      <c r="D103" s="5" t="s">
        <v>57</v>
      </c>
      <c r="E103" s="5" t="s">
        <v>40</v>
      </c>
      <c r="F103" s="5" t="s">
        <v>40</v>
      </c>
      <c r="G103" s="5">
        <v>2017</v>
      </c>
      <c r="H103" s="5" t="str">
        <f>CONCATENATE("04270037635")</f>
        <v>04270037635</v>
      </c>
      <c r="I103" s="5" t="s">
        <v>29</v>
      </c>
      <c r="J103" s="5" t="s">
        <v>36</v>
      </c>
      <c r="K103" s="5" t="str">
        <f>CONCATENATE("")</f>
        <v/>
      </c>
      <c r="L103" s="5" t="str">
        <f>CONCATENATE("1 1.1 2a")</f>
        <v>1 1.1 2a</v>
      </c>
      <c r="M103" s="5" t="str">
        <f>CONCATENATE("01493050429")</f>
        <v>01493050429</v>
      </c>
      <c r="N103" s="5" t="s">
        <v>192</v>
      </c>
      <c r="O103" s="5" t="s">
        <v>190</v>
      </c>
      <c r="P103" s="6">
        <v>43945</v>
      </c>
      <c r="Q103" s="5" t="s">
        <v>31</v>
      </c>
      <c r="R103" s="5" t="s">
        <v>32</v>
      </c>
      <c r="S103" s="5" t="s">
        <v>33</v>
      </c>
      <c r="T103" s="5"/>
      <c r="U103" s="7">
        <v>10494</v>
      </c>
      <c r="V103" s="7">
        <v>4525.01</v>
      </c>
      <c r="W103" s="7">
        <v>4178.71</v>
      </c>
      <c r="X103" s="5">
        <v>0</v>
      </c>
      <c r="Y103" s="7">
        <v>1790.28</v>
      </c>
    </row>
    <row r="104" spans="1:25" ht="24.75" x14ac:dyDescent="0.25">
      <c r="A104" s="5" t="s">
        <v>26</v>
      </c>
      <c r="B104" s="5" t="s">
        <v>27</v>
      </c>
      <c r="C104" s="5" t="s">
        <v>50</v>
      </c>
      <c r="D104" s="5" t="s">
        <v>51</v>
      </c>
      <c r="E104" s="5" t="s">
        <v>35</v>
      </c>
      <c r="F104" s="5" t="s">
        <v>193</v>
      </c>
      <c r="G104" s="5">
        <v>2019</v>
      </c>
      <c r="H104" s="5" t="str">
        <f>CONCATENATE("94241032179")</f>
        <v>94241032179</v>
      </c>
      <c r="I104" s="5" t="s">
        <v>29</v>
      </c>
      <c r="J104" s="5" t="s">
        <v>36</v>
      </c>
      <c r="K104" s="5" t="str">
        <f>CONCATENATE("")</f>
        <v/>
      </c>
      <c r="L104" s="5" t="str">
        <f>CONCATENATE("14 14.1 3a")</f>
        <v>14 14.1 3a</v>
      </c>
      <c r="M104" s="5" t="str">
        <f>CONCATENATE("82001730421")</f>
        <v>82001730421</v>
      </c>
      <c r="N104" s="5" t="s">
        <v>194</v>
      </c>
      <c r="O104" s="5" t="s">
        <v>195</v>
      </c>
      <c r="P104" s="6">
        <v>43945</v>
      </c>
      <c r="Q104" s="5" t="s">
        <v>31</v>
      </c>
      <c r="R104" s="5" t="s">
        <v>32</v>
      </c>
      <c r="S104" s="5" t="s">
        <v>33</v>
      </c>
      <c r="T104" s="5"/>
      <c r="U104" s="7">
        <v>22900</v>
      </c>
      <c r="V104" s="7">
        <v>9874.48</v>
      </c>
      <c r="W104" s="7">
        <v>9118.7800000000007</v>
      </c>
      <c r="X104" s="5">
        <v>0</v>
      </c>
      <c r="Y104" s="7">
        <v>3906.74</v>
      </c>
    </row>
    <row r="105" spans="1:25" ht="24.75" x14ac:dyDescent="0.25">
      <c r="A105" s="5" t="s">
        <v>26</v>
      </c>
      <c r="B105" s="5" t="s">
        <v>27</v>
      </c>
      <c r="C105" s="5" t="s">
        <v>50</v>
      </c>
      <c r="D105" s="5" t="s">
        <v>62</v>
      </c>
      <c r="E105" s="5" t="s">
        <v>28</v>
      </c>
      <c r="F105" s="5" t="s">
        <v>196</v>
      </c>
      <c r="G105" s="5">
        <v>2019</v>
      </c>
      <c r="H105" s="5" t="str">
        <f>CONCATENATE("94780037829")</f>
        <v>94780037829</v>
      </c>
      <c r="I105" s="5" t="s">
        <v>29</v>
      </c>
      <c r="J105" s="5" t="s">
        <v>30</v>
      </c>
      <c r="K105" s="5" t="str">
        <f>CONCATENATE("221")</f>
        <v>221</v>
      </c>
      <c r="L105" s="5" t="str">
        <f>CONCATENATE("8 8.1 5e")</f>
        <v>8 8.1 5e</v>
      </c>
      <c r="M105" s="5" t="str">
        <f>CONCATENATE("BGNZEI48E31I201G")</f>
        <v>BGNZEI48E31I201G</v>
      </c>
      <c r="N105" s="5" t="s">
        <v>197</v>
      </c>
      <c r="O105" s="5" t="s">
        <v>198</v>
      </c>
      <c r="P105" s="6">
        <v>43950</v>
      </c>
      <c r="Q105" s="5" t="s">
        <v>31</v>
      </c>
      <c r="R105" s="5" t="s">
        <v>32</v>
      </c>
      <c r="S105" s="5" t="s">
        <v>33</v>
      </c>
      <c r="T105" s="5"/>
      <c r="U105" s="5">
        <v>526.5</v>
      </c>
      <c r="V105" s="5">
        <v>227.03</v>
      </c>
      <c r="W105" s="5">
        <v>209.65</v>
      </c>
      <c r="X105" s="5">
        <v>0</v>
      </c>
      <c r="Y105" s="5">
        <v>89.82</v>
      </c>
    </row>
    <row r="106" spans="1:25" ht="24.75" x14ac:dyDescent="0.25">
      <c r="A106" s="5" t="s">
        <v>26</v>
      </c>
      <c r="B106" s="5" t="s">
        <v>27</v>
      </c>
      <c r="C106" s="5" t="s">
        <v>50</v>
      </c>
      <c r="D106" s="5" t="s">
        <v>62</v>
      </c>
      <c r="E106" s="5" t="s">
        <v>39</v>
      </c>
      <c r="F106" s="5" t="s">
        <v>73</v>
      </c>
      <c r="G106" s="5">
        <v>2019</v>
      </c>
      <c r="H106" s="5" t="str">
        <f>CONCATENATE("94780045350")</f>
        <v>94780045350</v>
      </c>
      <c r="I106" s="5" t="s">
        <v>29</v>
      </c>
      <c r="J106" s="5" t="s">
        <v>30</v>
      </c>
      <c r="K106" s="5" t="str">
        <f>CONCATENATE("221")</f>
        <v>221</v>
      </c>
      <c r="L106" s="5" t="str">
        <f>CONCATENATE("8 8.1 5e")</f>
        <v>8 8.1 5e</v>
      </c>
      <c r="M106" s="5" t="str">
        <f>CONCATENATE("BRSNDA48A47Z103Q")</f>
        <v>BRSNDA48A47Z103Q</v>
      </c>
      <c r="N106" s="5" t="s">
        <v>130</v>
      </c>
      <c r="O106" s="5" t="s">
        <v>198</v>
      </c>
      <c r="P106" s="6">
        <v>43950</v>
      </c>
      <c r="Q106" s="5" t="s">
        <v>31</v>
      </c>
      <c r="R106" s="5" t="s">
        <v>32</v>
      </c>
      <c r="S106" s="5" t="s">
        <v>33</v>
      </c>
      <c r="T106" s="5"/>
      <c r="U106" s="5">
        <v>830</v>
      </c>
      <c r="V106" s="5">
        <v>357.9</v>
      </c>
      <c r="W106" s="5">
        <v>330.51</v>
      </c>
      <c r="X106" s="5">
        <v>0</v>
      </c>
      <c r="Y106" s="5">
        <v>141.59</v>
      </c>
    </row>
    <row r="107" spans="1:25" ht="24.75" x14ac:dyDescent="0.25">
      <c r="A107" s="5" t="s">
        <v>26</v>
      </c>
      <c r="B107" s="5" t="s">
        <v>27</v>
      </c>
      <c r="C107" s="5" t="s">
        <v>50</v>
      </c>
      <c r="D107" s="5" t="s">
        <v>62</v>
      </c>
      <c r="E107" s="5" t="s">
        <v>39</v>
      </c>
      <c r="F107" s="5" t="s">
        <v>73</v>
      </c>
      <c r="G107" s="5">
        <v>2019</v>
      </c>
      <c r="H107" s="5" t="str">
        <f>CONCATENATE("94780046457")</f>
        <v>94780046457</v>
      </c>
      <c r="I107" s="5" t="s">
        <v>29</v>
      </c>
      <c r="J107" s="5" t="s">
        <v>30</v>
      </c>
      <c r="K107" s="5" t="str">
        <f>CONCATENATE("221")</f>
        <v>221</v>
      </c>
      <c r="L107" s="5" t="str">
        <f>CONCATENATE("8 8.1 5e")</f>
        <v>8 8.1 5e</v>
      </c>
      <c r="M107" s="5" t="str">
        <f>CONCATENATE("BRSNDA48A47Z103Q")</f>
        <v>BRSNDA48A47Z103Q</v>
      </c>
      <c r="N107" s="5" t="s">
        <v>130</v>
      </c>
      <c r="O107" s="5" t="s">
        <v>198</v>
      </c>
      <c r="P107" s="6">
        <v>43950</v>
      </c>
      <c r="Q107" s="5" t="s">
        <v>31</v>
      </c>
      <c r="R107" s="5" t="s">
        <v>32</v>
      </c>
      <c r="S107" s="5" t="s">
        <v>33</v>
      </c>
      <c r="T107" s="5"/>
      <c r="U107" s="5">
        <v>260.14999999999998</v>
      </c>
      <c r="V107" s="5">
        <v>112.18</v>
      </c>
      <c r="W107" s="5">
        <v>103.59</v>
      </c>
      <c r="X107" s="5">
        <v>0</v>
      </c>
      <c r="Y107" s="5">
        <v>44.38</v>
      </c>
    </row>
    <row r="108" spans="1:25" ht="24.75" x14ac:dyDescent="0.25">
      <c r="A108" s="5" t="s">
        <v>26</v>
      </c>
      <c r="B108" s="5" t="s">
        <v>27</v>
      </c>
      <c r="C108" s="5" t="s">
        <v>50</v>
      </c>
      <c r="D108" s="5" t="s">
        <v>51</v>
      </c>
      <c r="E108" s="5" t="s">
        <v>28</v>
      </c>
      <c r="F108" s="5" t="s">
        <v>87</v>
      </c>
      <c r="G108" s="5">
        <v>2019</v>
      </c>
      <c r="H108" s="5" t="str">
        <f>CONCATENATE("94780036615")</f>
        <v>94780036615</v>
      </c>
      <c r="I108" s="5" t="s">
        <v>29</v>
      </c>
      <c r="J108" s="5" t="s">
        <v>30</v>
      </c>
      <c r="K108" s="5" t="str">
        <f>CONCATENATE("221")</f>
        <v>221</v>
      </c>
      <c r="L108" s="5" t="str">
        <f>CONCATENATE("8 8.1 5e")</f>
        <v>8 8.1 5e</v>
      </c>
      <c r="M108" s="5" t="str">
        <f>CONCATENATE("01292470422")</f>
        <v>01292470422</v>
      </c>
      <c r="N108" s="5" t="s">
        <v>199</v>
      </c>
      <c r="O108" s="5" t="s">
        <v>198</v>
      </c>
      <c r="P108" s="6">
        <v>43950</v>
      </c>
      <c r="Q108" s="5" t="s">
        <v>31</v>
      </c>
      <c r="R108" s="5" t="s">
        <v>32</v>
      </c>
      <c r="S108" s="5" t="s">
        <v>33</v>
      </c>
      <c r="T108" s="5"/>
      <c r="U108" s="7">
        <v>2200</v>
      </c>
      <c r="V108" s="5">
        <v>948.64</v>
      </c>
      <c r="W108" s="5">
        <v>876.04</v>
      </c>
      <c r="X108" s="5">
        <v>0</v>
      </c>
      <c r="Y108" s="5">
        <v>375.32</v>
      </c>
    </row>
    <row r="109" spans="1:25" ht="24.75" x14ac:dyDescent="0.25">
      <c r="A109" s="5" t="s">
        <v>26</v>
      </c>
      <c r="B109" s="5" t="s">
        <v>27</v>
      </c>
      <c r="C109" s="5" t="s">
        <v>50</v>
      </c>
      <c r="D109" s="5" t="s">
        <v>62</v>
      </c>
      <c r="E109" s="5" t="s">
        <v>35</v>
      </c>
      <c r="F109" s="5" t="s">
        <v>137</v>
      </c>
      <c r="G109" s="5">
        <v>2019</v>
      </c>
      <c r="H109" s="5" t="str">
        <f>CONCATENATE("94780003060")</f>
        <v>94780003060</v>
      </c>
      <c r="I109" s="5" t="s">
        <v>37</v>
      </c>
      <c r="J109" s="5" t="s">
        <v>30</v>
      </c>
      <c r="K109" s="5" t="str">
        <f>CONCATENATE("221")</f>
        <v>221</v>
      </c>
      <c r="L109" s="5" t="str">
        <f>CONCATENATE("8 8.1 5e")</f>
        <v>8 8.1 5e</v>
      </c>
      <c r="M109" s="5" t="str">
        <f>CONCATENATE("MNNSRG55A02H703I")</f>
        <v>MNNSRG55A02H703I</v>
      </c>
      <c r="N109" s="5" t="s">
        <v>200</v>
      </c>
      <c r="O109" s="5" t="s">
        <v>198</v>
      </c>
      <c r="P109" s="6">
        <v>43950</v>
      </c>
      <c r="Q109" s="5" t="s">
        <v>31</v>
      </c>
      <c r="R109" s="5" t="s">
        <v>32</v>
      </c>
      <c r="S109" s="5" t="s">
        <v>33</v>
      </c>
      <c r="T109" s="5"/>
      <c r="U109" s="5">
        <v>675</v>
      </c>
      <c r="V109" s="5">
        <v>291.06</v>
      </c>
      <c r="W109" s="5">
        <v>268.79000000000002</v>
      </c>
      <c r="X109" s="5">
        <v>0</v>
      </c>
      <c r="Y109" s="5">
        <v>115.15</v>
      </c>
    </row>
    <row r="110" spans="1:25" ht="24.75" x14ac:dyDescent="0.25">
      <c r="A110" s="5" t="s">
        <v>26</v>
      </c>
      <c r="B110" s="5" t="s">
        <v>27</v>
      </c>
      <c r="C110" s="5" t="s">
        <v>50</v>
      </c>
      <c r="D110" s="5" t="s">
        <v>62</v>
      </c>
      <c r="E110" s="5" t="s">
        <v>28</v>
      </c>
      <c r="F110" s="5" t="s">
        <v>196</v>
      </c>
      <c r="G110" s="5">
        <v>2019</v>
      </c>
      <c r="H110" s="5" t="str">
        <f>CONCATENATE("94780042860")</f>
        <v>94780042860</v>
      </c>
      <c r="I110" s="5" t="s">
        <v>29</v>
      </c>
      <c r="J110" s="5" t="s">
        <v>30</v>
      </c>
      <c r="K110" s="5" t="str">
        <f>CONCATENATE("221")</f>
        <v>221</v>
      </c>
      <c r="L110" s="5" t="str">
        <f>CONCATENATE("8 8.1 5e")</f>
        <v>8 8.1 5e</v>
      </c>
      <c r="M110" s="5" t="str">
        <f>CONCATENATE("RCCGRG61H19G433L")</f>
        <v>RCCGRG61H19G433L</v>
      </c>
      <c r="N110" s="5" t="s">
        <v>201</v>
      </c>
      <c r="O110" s="5" t="s">
        <v>198</v>
      </c>
      <c r="P110" s="6">
        <v>43950</v>
      </c>
      <c r="Q110" s="5" t="s">
        <v>31</v>
      </c>
      <c r="R110" s="5" t="s">
        <v>32</v>
      </c>
      <c r="S110" s="5" t="s">
        <v>33</v>
      </c>
      <c r="T110" s="5"/>
      <c r="U110" s="5">
        <v>13.5</v>
      </c>
      <c r="V110" s="5">
        <v>5.82</v>
      </c>
      <c r="W110" s="5">
        <v>5.38</v>
      </c>
      <c r="X110" s="5">
        <v>0</v>
      </c>
      <c r="Y110" s="5">
        <v>2.2999999999999998</v>
      </c>
    </row>
    <row r="111" spans="1:25" ht="24.75" x14ac:dyDescent="0.25">
      <c r="A111" s="5" t="s">
        <v>26</v>
      </c>
      <c r="B111" s="5" t="s">
        <v>27</v>
      </c>
      <c r="C111" s="5" t="s">
        <v>50</v>
      </c>
      <c r="D111" s="5" t="s">
        <v>51</v>
      </c>
      <c r="E111" s="5" t="s">
        <v>35</v>
      </c>
      <c r="F111" s="5" t="s">
        <v>122</v>
      </c>
      <c r="G111" s="5">
        <v>2019</v>
      </c>
      <c r="H111" s="5" t="str">
        <f>CONCATENATE("94780015718")</f>
        <v>94780015718</v>
      </c>
      <c r="I111" s="5" t="s">
        <v>29</v>
      </c>
      <c r="J111" s="5" t="s">
        <v>30</v>
      </c>
      <c r="K111" s="5" t="str">
        <f>CONCATENATE("221")</f>
        <v>221</v>
      </c>
      <c r="L111" s="5" t="str">
        <f>CONCATENATE("8 8.1 5e")</f>
        <v>8 8.1 5e</v>
      </c>
      <c r="M111" s="5" t="str">
        <f>CONCATENATE("CNGVTR54A27A769K")</f>
        <v>CNGVTR54A27A769K</v>
      </c>
      <c r="N111" s="5" t="s">
        <v>202</v>
      </c>
      <c r="O111" s="5" t="s">
        <v>198</v>
      </c>
      <c r="P111" s="6">
        <v>43950</v>
      </c>
      <c r="Q111" s="5" t="s">
        <v>31</v>
      </c>
      <c r="R111" s="5" t="s">
        <v>32</v>
      </c>
      <c r="S111" s="5" t="s">
        <v>33</v>
      </c>
      <c r="T111" s="5"/>
      <c r="U111" s="5">
        <v>128.58000000000001</v>
      </c>
      <c r="V111" s="5">
        <v>55.44</v>
      </c>
      <c r="W111" s="5">
        <v>51.2</v>
      </c>
      <c r="X111" s="5">
        <v>0</v>
      </c>
      <c r="Y111" s="5">
        <v>21.94</v>
      </c>
    </row>
    <row r="112" spans="1:25" ht="24.75" x14ac:dyDescent="0.25">
      <c r="A112" s="5" t="s">
        <v>26</v>
      </c>
      <c r="B112" s="5" t="s">
        <v>27</v>
      </c>
      <c r="C112" s="5" t="s">
        <v>50</v>
      </c>
      <c r="D112" s="5" t="s">
        <v>62</v>
      </c>
      <c r="E112" s="5" t="s">
        <v>28</v>
      </c>
      <c r="F112" s="5" t="s">
        <v>63</v>
      </c>
      <c r="G112" s="5">
        <v>2019</v>
      </c>
      <c r="H112" s="5" t="str">
        <f>CONCATENATE("94780047273")</f>
        <v>94780047273</v>
      </c>
      <c r="I112" s="5" t="s">
        <v>29</v>
      </c>
      <c r="J112" s="5" t="s">
        <v>30</v>
      </c>
      <c r="K112" s="5" t="str">
        <f>CONCATENATE("221")</f>
        <v>221</v>
      </c>
      <c r="L112" s="5" t="str">
        <f>CONCATENATE("8 8.1 5e")</f>
        <v>8 8.1 5e</v>
      </c>
      <c r="M112" s="5" t="str">
        <f>CONCATENATE("CRLCRL60S27D749I")</f>
        <v>CRLCRL60S27D749I</v>
      </c>
      <c r="N112" s="5" t="s">
        <v>203</v>
      </c>
      <c r="O112" s="5" t="s">
        <v>198</v>
      </c>
      <c r="P112" s="6">
        <v>43950</v>
      </c>
      <c r="Q112" s="5" t="s">
        <v>31</v>
      </c>
      <c r="R112" s="5" t="s">
        <v>32</v>
      </c>
      <c r="S112" s="5" t="s">
        <v>33</v>
      </c>
      <c r="T112" s="5"/>
      <c r="U112" s="5">
        <v>135.83000000000001</v>
      </c>
      <c r="V112" s="5">
        <v>58.57</v>
      </c>
      <c r="W112" s="5">
        <v>54.09</v>
      </c>
      <c r="X112" s="5">
        <v>0</v>
      </c>
      <c r="Y112" s="5">
        <v>23.17</v>
      </c>
    </row>
    <row r="113" spans="1:25" ht="24.75" x14ac:dyDescent="0.25">
      <c r="A113" s="5" t="s">
        <v>26</v>
      </c>
      <c r="B113" s="5" t="s">
        <v>27</v>
      </c>
      <c r="C113" s="5" t="s">
        <v>50</v>
      </c>
      <c r="D113" s="5" t="s">
        <v>51</v>
      </c>
      <c r="E113" s="5" t="s">
        <v>35</v>
      </c>
      <c r="F113" s="5" t="s">
        <v>193</v>
      </c>
      <c r="G113" s="5">
        <v>2019</v>
      </c>
      <c r="H113" s="5" t="str">
        <f>CONCATENATE("94780019025")</f>
        <v>94780019025</v>
      </c>
      <c r="I113" s="5" t="s">
        <v>29</v>
      </c>
      <c r="J113" s="5" t="s">
        <v>30</v>
      </c>
      <c r="K113" s="5" t="str">
        <f>CONCATENATE("221")</f>
        <v>221</v>
      </c>
      <c r="L113" s="5" t="str">
        <f>CONCATENATE("8 8.1 5e")</f>
        <v>8 8.1 5e</v>
      </c>
      <c r="M113" s="5" t="str">
        <f>CONCATENATE("PSRLEI28D13I608X")</f>
        <v>PSRLEI28D13I608X</v>
      </c>
      <c r="N113" s="5" t="s">
        <v>204</v>
      </c>
      <c r="O113" s="5" t="s">
        <v>198</v>
      </c>
      <c r="P113" s="6">
        <v>43950</v>
      </c>
      <c r="Q113" s="5" t="s">
        <v>31</v>
      </c>
      <c r="R113" s="5" t="s">
        <v>32</v>
      </c>
      <c r="S113" s="5" t="s">
        <v>33</v>
      </c>
      <c r="T113" s="5"/>
      <c r="U113" s="7">
        <v>2727.16</v>
      </c>
      <c r="V113" s="7">
        <v>1175.95</v>
      </c>
      <c r="W113" s="7">
        <v>1085.96</v>
      </c>
      <c r="X113" s="5">
        <v>0</v>
      </c>
      <c r="Y113" s="5">
        <v>465.25</v>
      </c>
    </row>
    <row r="114" spans="1:25" ht="24.75" x14ac:dyDescent="0.25">
      <c r="A114" s="5" t="s">
        <v>26</v>
      </c>
      <c r="B114" s="5" t="s">
        <v>27</v>
      </c>
      <c r="C114" s="5" t="s">
        <v>50</v>
      </c>
      <c r="D114" s="5" t="s">
        <v>51</v>
      </c>
      <c r="E114" s="5" t="s">
        <v>38</v>
      </c>
      <c r="F114" s="5" t="s">
        <v>91</v>
      </c>
      <c r="G114" s="5">
        <v>2019</v>
      </c>
      <c r="H114" s="5" t="str">
        <f>CONCATENATE("94780047802")</f>
        <v>94780047802</v>
      </c>
      <c r="I114" s="5" t="s">
        <v>29</v>
      </c>
      <c r="J114" s="5" t="s">
        <v>30</v>
      </c>
      <c r="K114" s="5" t="str">
        <f>CONCATENATE("221")</f>
        <v>221</v>
      </c>
      <c r="L114" s="5" t="str">
        <f>CONCATENATE("8 8.1 5e")</f>
        <v>8 8.1 5e</v>
      </c>
      <c r="M114" s="5" t="str">
        <f>CONCATENATE("PLMLRT48L07C704G")</f>
        <v>PLMLRT48L07C704G</v>
      </c>
      <c r="N114" s="5" t="s">
        <v>205</v>
      </c>
      <c r="O114" s="5" t="s">
        <v>198</v>
      </c>
      <c r="P114" s="6">
        <v>43950</v>
      </c>
      <c r="Q114" s="5" t="s">
        <v>31</v>
      </c>
      <c r="R114" s="5" t="s">
        <v>32</v>
      </c>
      <c r="S114" s="5" t="s">
        <v>33</v>
      </c>
      <c r="T114" s="5"/>
      <c r="U114" s="5">
        <v>454.4</v>
      </c>
      <c r="V114" s="5">
        <v>195.94</v>
      </c>
      <c r="W114" s="5">
        <v>180.94</v>
      </c>
      <c r="X114" s="5">
        <v>0</v>
      </c>
      <c r="Y114" s="5">
        <v>77.52</v>
      </c>
    </row>
    <row r="115" spans="1:25" ht="24.75" x14ac:dyDescent="0.25">
      <c r="A115" s="5" t="s">
        <v>26</v>
      </c>
      <c r="B115" s="5" t="s">
        <v>27</v>
      </c>
      <c r="C115" s="5" t="s">
        <v>50</v>
      </c>
      <c r="D115" s="5" t="s">
        <v>51</v>
      </c>
      <c r="E115" s="5" t="s">
        <v>44</v>
      </c>
      <c r="F115" s="5" t="s">
        <v>69</v>
      </c>
      <c r="G115" s="5">
        <v>2019</v>
      </c>
      <c r="H115" s="5" t="str">
        <f>CONCATENATE("94780054360")</f>
        <v>94780054360</v>
      </c>
      <c r="I115" s="5" t="s">
        <v>29</v>
      </c>
      <c r="J115" s="5" t="s">
        <v>30</v>
      </c>
      <c r="K115" s="5" t="str">
        <f>CONCATENATE("221")</f>
        <v>221</v>
      </c>
      <c r="L115" s="5" t="str">
        <f>CONCATENATE("8 8.1 5e")</f>
        <v>8 8.1 5e</v>
      </c>
      <c r="M115" s="5" t="str">
        <f>CONCATENATE("BSTCST73A11E388V")</f>
        <v>BSTCST73A11E388V</v>
      </c>
      <c r="N115" s="5" t="s">
        <v>206</v>
      </c>
      <c r="O115" s="5" t="s">
        <v>198</v>
      </c>
      <c r="P115" s="6">
        <v>43950</v>
      </c>
      <c r="Q115" s="5" t="s">
        <v>31</v>
      </c>
      <c r="R115" s="5" t="s">
        <v>32</v>
      </c>
      <c r="S115" s="5" t="s">
        <v>33</v>
      </c>
      <c r="T115" s="5"/>
      <c r="U115" s="7">
        <v>1849.6</v>
      </c>
      <c r="V115" s="5">
        <v>797.55</v>
      </c>
      <c r="W115" s="5">
        <v>736.51</v>
      </c>
      <c r="X115" s="5">
        <v>0</v>
      </c>
      <c r="Y115" s="5">
        <v>315.54000000000002</v>
      </c>
    </row>
    <row r="116" spans="1:25" ht="24.75" x14ac:dyDescent="0.25">
      <c r="A116" s="5" t="s">
        <v>26</v>
      </c>
      <c r="B116" s="5" t="s">
        <v>27</v>
      </c>
      <c r="C116" s="5" t="s">
        <v>50</v>
      </c>
      <c r="D116" s="5" t="s">
        <v>51</v>
      </c>
      <c r="E116" s="5" t="s">
        <v>28</v>
      </c>
      <c r="F116" s="5" t="s">
        <v>207</v>
      </c>
      <c r="G116" s="5">
        <v>2019</v>
      </c>
      <c r="H116" s="5" t="str">
        <f>CONCATENATE("94780026103")</f>
        <v>94780026103</v>
      </c>
      <c r="I116" s="5" t="s">
        <v>29</v>
      </c>
      <c r="J116" s="5" t="s">
        <v>30</v>
      </c>
      <c r="K116" s="5" t="str">
        <f>CONCATENATE("221")</f>
        <v>221</v>
      </c>
      <c r="L116" s="5" t="str">
        <f>CONCATENATE("8 8.1 5e")</f>
        <v>8 8.1 5e</v>
      </c>
      <c r="M116" s="5" t="str">
        <f>CONCATENATE("BRLMTT85R12A271M")</f>
        <v>BRLMTT85R12A271M</v>
      </c>
      <c r="N116" s="5" t="s">
        <v>208</v>
      </c>
      <c r="O116" s="5" t="s">
        <v>198</v>
      </c>
      <c r="P116" s="6">
        <v>43950</v>
      </c>
      <c r="Q116" s="5" t="s">
        <v>31</v>
      </c>
      <c r="R116" s="5" t="s">
        <v>32</v>
      </c>
      <c r="S116" s="5" t="s">
        <v>33</v>
      </c>
      <c r="T116" s="5"/>
      <c r="U116" s="5">
        <v>827.63</v>
      </c>
      <c r="V116" s="5">
        <v>356.87</v>
      </c>
      <c r="W116" s="5">
        <v>329.56</v>
      </c>
      <c r="X116" s="5">
        <v>0</v>
      </c>
      <c r="Y116" s="5">
        <v>141.19999999999999</v>
      </c>
    </row>
    <row r="117" spans="1:25" ht="24.75" x14ac:dyDescent="0.25">
      <c r="A117" s="5" t="s">
        <v>26</v>
      </c>
      <c r="B117" s="5" t="s">
        <v>27</v>
      </c>
      <c r="C117" s="5" t="s">
        <v>50</v>
      </c>
      <c r="D117" s="5" t="s">
        <v>62</v>
      </c>
      <c r="E117" s="5" t="s">
        <v>28</v>
      </c>
      <c r="F117" s="5" t="s">
        <v>81</v>
      </c>
      <c r="G117" s="5">
        <v>2019</v>
      </c>
      <c r="H117" s="5" t="str">
        <f>CONCATENATE("94240337439")</f>
        <v>94240337439</v>
      </c>
      <c r="I117" s="5" t="s">
        <v>29</v>
      </c>
      <c r="J117" s="5" t="s">
        <v>36</v>
      </c>
      <c r="K117" s="5" t="str">
        <f>CONCATENATE("")</f>
        <v/>
      </c>
      <c r="L117" s="5" t="str">
        <f>CONCATENATE("10 10.1 4a")</f>
        <v>10 10.1 4a</v>
      </c>
      <c r="M117" s="5" t="str">
        <f>CONCATENATE("DRUFNC63C69B636V")</f>
        <v>DRUFNC63C69B636V</v>
      </c>
      <c r="N117" s="5" t="s">
        <v>187</v>
      </c>
      <c r="O117" s="5" t="s">
        <v>209</v>
      </c>
      <c r="P117" s="6">
        <v>43950</v>
      </c>
      <c r="Q117" s="5" t="s">
        <v>31</v>
      </c>
      <c r="R117" s="5" t="s">
        <v>32</v>
      </c>
      <c r="S117" s="5" t="s">
        <v>33</v>
      </c>
      <c r="T117" s="5"/>
      <c r="U117" s="7">
        <v>2600</v>
      </c>
      <c r="V117" s="7">
        <v>1121.1199999999999</v>
      </c>
      <c r="W117" s="7">
        <v>1035.32</v>
      </c>
      <c r="X117" s="5">
        <v>0</v>
      </c>
      <c r="Y117" s="5">
        <v>443.56</v>
      </c>
    </row>
    <row r="118" spans="1:25" ht="24.75" x14ac:dyDescent="0.25">
      <c r="A118" s="5" t="s">
        <v>26</v>
      </c>
      <c r="B118" s="5" t="s">
        <v>27</v>
      </c>
      <c r="C118" s="5" t="s">
        <v>50</v>
      </c>
      <c r="D118" s="5" t="s">
        <v>51</v>
      </c>
      <c r="E118" s="5" t="s">
        <v>35</v>
      </c>
      <c r="F118" s="5" t="s">
        <v>122</v>
      </c>
      <c r="G118" s="5">
        <v>2018</v>
      </c>
      <c r="H118" s="5" t="str">
        <f>CONCATENATE("84240198113")</f>
        <v>84240198113</v>
      </c>
      <c r="I118" s="5" t="s">
        <v>29</v>
      </c>
      <c r="J118" s="5" t="s">
        <v>36</v>
      </c>
      <c r="K118" s="5" t="str">
        <f>CONCATENATE("")</f>
        <v/>
      </c>
      <c r="L118" s="5" t="str">
        <f>CONCATENATE("10 10.1 4a")</f>
        <v>10 10.1 4a</v>
      </c>
      <c r="M118" s="5" t="str">
        <f>CONCATENATE("BRVPLA73A71E388I")</f>
        <v>BRVPLA73A71E388I</v>
      </c>
      <c r="N118" s="5" t="s">
        <v>210</v>
      </c>
      <c r="O118" s="5" t="s">
        <v>209</v>
      </c>
      <c r="P118" s="6">
        <v>43950</v>
      </c>
      <c r="Q118" s="5" t="s">
        <v>31</v>
      </c>
      <c r="R118" s="5" t="s">
        <v>32</v>
      </c>
      <c r="S118" s="5" t="s">
        <v>33</v>
      </c>
      <c r="T118" s="5"/>
      <c r="U118" s="5">
        <v>85.36</v>
      </c>
      <c r="V118" s="5">
        <v>36.81</v>
      </c>
      <c r="W118" s="5">
        <v>33.99</v>
      </c>
      <c r="X118" s="5">
        <v>0</v>
      </c>
      <c r="Y118" s="5">
        <v>14.56</v>
      </c>
    </row>
    <row r="119" spans="1:25" x14ac:dyDescent="0.25">
      <c r="A119" s="5" t="s">
        <v>26</v>
      </c>
      <c r="B119" s="5" t="s">
        <v>34</v>
      </c>
      <c r="C119" s="5" t="s">
        <v>50</v>
      </c>
      <c r="D119" s="5" t="s">
        <v>57</v>
      </c>
      <c r="E119" s="5" t="s">
        <v>40</v>
      </c>
      <c r="F119" s="5" t="s">
        <v>40</v>
      </c>
      <c r="G119" s="5">
        <v>2017</v>
      </c>
      <c r="H119" s="5" t="str">
        <f>CONCATENATE("94270173936")</f>
        <v>94270173936</v>
      </c>
      <c r="I119" s="5" t="s">
        <v>29</v>
      </c>
      <c r="J119" s="5" t="s">
        <v>36</v>
      </c>
      <c r="K119" s="5" t="str">
        <f>CONCATENATE("")</f>
        <v/>
      </c>
      <c r="L119" s="5" t="str">
        <f>CONCATENATE("8 8.3 5e")</f>
        <v>8 8.3 5e</v>
      </c>
      <c r="M119" s="5" t="str">
        <f>CONCATENATE("01874330432")</f>
        <v>01874330432</v>
      </c>
      <c r="N119" s="5" t="s">
        <v>211</v>
      </c>
      <c r="O119" s="5" t="s">
        <v>212</v>
      </c>
      <c r="P119" s="6">
        <v>43950</v>
      </c>
      <c r="Q119" s="5" t="s">
        <v>31</v>
      </c>
      <c r="R119" s="5" t="s">
        <v>32</v>
      </c>
      <c r="S119" s="5" t="s">
        <v>33</v>
      </c>
      <c r="T119" s="5"/>
      <c r="U119" s="7">
        <v>141383.46</v>
      </c>
      <c r="V119" s="7">
        <v>60964.55</v>
      </c>
      <c r="W119" s="7">
        <v>56298.89</v>
      </c>
      <c r="X119" s="5">
        <v>0</v>
      </c>
      <c r="Y119" s="7">
        <v>24120.02</v>
      </c>
    </row>
    <row r="120" spans="1:25" x14ac:dyDescent="0.25">
      <c r="A120" s="5" t="s">
        <v>26</v>
      </c>
      <c r="B120" s="5" t="s">
        <v>34</v>
      </c>
      <c r="C120" s="5" t="s">
        <v>50</v>
      </c>
      <c r="D120" s="5" t="s">
        <v>50</v>
      </c>
      <c r="E120" s="5" t="s">
        <v>40</v>
      </c>
      <c r="F120" s="5" t="s">
        <v>40</v>
      </c>
      <c r="G120" s="5">
        <v>2017</v>
      </c>
      <c r="H120" s="5" t="str">
        <f>CONCATENATE("94270173928")</f>
        <v>94270173928</v>
      </c>
      <c r="I120" s="5" t="s">
        <v>29</v>
      </c>
      <c r="J120" s="5" t="s">
        <v>36</v>
      </c>
      <c r="K120" s="5" t="str">
        <f>CONCATENATE("")</f>
        <v/>
      </c>
      <c r="L120" s="5" t="str">
        <f>CONCATENATE("19 19.2 6b")</f>
        <v>19 19.2 6b</v>
      </c>
      <c r="M120" s="5" t="str">
        <f>CONCATENATE("TRVSLN86C42A252A")</f>
        <v>TRVSLN86C42A252A</v>
      </c>
      <c r="N120" s="5" t="s">
        <v>213</v>
      </c>
      <c r="O120" s="5" t="s">
        <v>214</v>
      </c>
      <c r="P120" s="6">
        <v>43950</v>
      </c>
      <c r="Q120" s="5" t="s">
        <v>31</v>
      </c>
      <c r="R120" s="5" t="s">
        <v>32</v>
      </c>
      <c r="S120" s="5" t="s">
        <v>33</v>
      </c>
      <c r="T120" s="5"/>
      <c r="U120" s="7">
        <v>77379.42</v>
      </c>
      <c r="V120" s="7">
        <v>33366.01</v>
      </c>
      <c r="W120" s="7">
        <v>30812.49</v>
      </c>
      <c r="X120" s="5">
        <v>0</v>
      </c>
      <c r="Y120" s="7">
        <v>13200.92</v>
      </c>
    </row>
    <row r="121" spans="1:25" ht="24.75" x14ac:dyDescent="0.25">
      <c r="A121" s="5" t="s">
        <v>26</v>
      </c>
      <c r="B121" s="5" t="s">
        <v>34</v>
      </c>
      <c r="C121" s="5" t="s">
        <v>50</v>
      </c>
      <c r="D121" s="5" t="s">
        <v>58</v>
      </c>
      <c r="E121" s="5" t="s">
        <v>40</v>
      </c>
      <c r="F121" s="5" t="s">
        <v>40</v>
      </c>
      <c r="G121" s="5">
        <v>2017</v>
      </c>
      <c r="H121" s="5" t="str">
        <f>CONCATENATE("04270040050")</f>
        <v>04270040050</v>
      </c>
      <c r="I121" s="5" t="s">
        <v>29</v>
      </c>
      <c r="J121" s="5" t="s">
        <v>36</v>
      </c>
      <c r="K121" s="5" t="str">
        <f>CONCATENATE("")</f>
        <v/>
      </c>
      <c r="L121" s="5" t="str">
        <f>CONCATENATE("6 6.1 2b")</f>
        <v>6 6.1 2b</v>
      </c>
      <c r="M121" s="5" t="str">
        <f>CONCATENATE("CCCDNL89D07A462O")</f>
        <v>CCCDNL89D07A462O</v>
      </c>
      <c r="N121" s="5" t="s">
        <v>215</v>
      </c>
      <c r="O121" s="5" t="s">
        <v>216</v>
      </c>
      <c r="P121" s="6">
        <v>43950</v>
      </c>
      <c r="Q121" s="5" t="s">
        <v>31</v>
      </c>
      <c r="R121" s="5" t="s">
        <v>42</v>
      </c>
      <c r="S121" s="5" t="s">
        <v>33</v>
      </c>
      <c r="T121" s="5"/>
      <c r="U121" s="7">
        <v>42000</v>
      </c>
      <c r="V121" s="7">
        <v>18110.400000000001</v>
      </c>
      <c r="W121" s="7">
        <v>16724.400000000001</v>
      </c>
      <c r="X121" s="5">
        <v>0</v>
      </c>
      <c r="Y121" s="7">
        <v>7165.2</v>
      </c>
    </row>
    <row r="122" spans="1:25" ht="24.75" x14ac:dyDescent="0.25">
      <c r="A122" s="5" t="s">
        <v>26</v>
      </c>
      <c r="B122" s="5" t="s">
        <v>34</v>
      </c>
      <c r="C122" s="5" t="s">
        <v>50</v>
      </c>
      <c r="D122" s="5" t="s">
        <v>62</v>
      </c>
      <c r="E122" s="5" t="s">
        <v>28</v>
      </c>
      <c r="F122" s="5" t="s">
        <v>63</v>
      </c>
      <c r="G122" s="5">
        <v>2017</v>
      </c>
      <c r="H122" s="5" t="str">
        <f>CONCATENATE("94270173761")</f>
        <v>94270173761</v>
      </c>
      <c r="I122" s="5" t="s">
        <v>29</v>
      </c>
      <c r="J122" s="5" t="s">
        <v>36</v>
      </c>
      <c r="K122" s="5" t="str">
        <f>CONCATENATE("")</f>
        <v/>
      </c>
      <c r="L122" s="5" t="str">
        <f>CONCATENATE("4 4.1 2a")</f>
        <v>4 4.1 2a</v>
      </c>
      <c r="M122" s="5" t="str">
        <f>CONCATENATE("CNGGNN89D22I608A")</f>
        <v>CNGGNN89D22I608A</v>
      </c>
      <c r="N122" s="5" t="s">
        <v>217</v>
      </c>
      <c r="O122" s="5" t="s">
        <v>218</v>
      </c>
      <c r="P122" s="6">
        <v>43950</v>
      </c>
      <c r="Q122" s="5" t="s">
        <v>31</v>
      </c>
      <c r="R122" s="5" t="s">
        <v>42</v>
      </c>
      <c r="S122" s="5" t="s">
        <v>33</v>
      </c>
      <c r="T122" s="5"/>
      <c r="U122" s="7">
        <v>77570.880000000005</v>
      </c>
      <c r="V122" s="7">
        <v>33448.559999999998</v>
      </c>
      <c r="W122" s="7">
        <v>30888.720000000001</v>
      </c>
      <c r="X122" s="5">
        <v>0</v>
      </c>
      <c r="Y122" s="7">
        <v>13233.6</v>
      </c>
    </row>
    <row r="123" spans="1:25" ht="24.75" x14ac:dyDescent="0.25">
      <c r="A123" s="5" t="s">
        <v>26</v>
      </c>
      <c r="B123" s="5" t="s">
        <v>27</v>
      </c>
      <c r="C123" s="5" t="s">
        <v>50</v>
      </c>
      <c r="D123" s="5" t="s">
        <v>62</v>
      </c>
      <c r="E123" s="5" t="s">
        <v>35</v>
      </c>
      <c r="F123" s="5" t="s">
        <v>137</v>
      </c>
      <c r="G123" s="5">
        <v>2018</v>
      </c>
      <c r="H123" s="5" t="str">
        <f>CONCATENATE("84240425276")</f>
        <v>84240425276</v>
      </c>
      <c r="I123" s="5" t="s">
        <v>29</v>
      </c>
      <c r="J123" s="5" t="s">
        <v>36</v>
      </c>
      <c r="K123" s="5" t="str">
        <f>CONCATENATE("")</f>
        <v/>
      </c>
      <c r="L123" s="5" t="str">
        <f>CONCATENATE("10 10.1 4a")</f>
        <v>10 10.1 4a</v>
      </c>
      <c r="M123" s="5" t="str">
        <f>CONCATENATE("CMBMRT77M60B352T")</f>
        <v>CMBMRT77M60B352T</v>
      </c>
      <c r="N123" s="5" t="s">
        <v>219</v>
      </c>
      <c r="O123" s="5" t="s">
        <v>220</v>
      </c>
      <c r="P123" s="6">
        <v>43950</v>
      </c>
      <c r="Q123" s="5" t="s">
        <v>31</v>
      </c>
      <c r="R123" s="5" t="s">
        <v>32</v>
      </c>
      <c r="S123" s="5" t="s">
        <v>33</v>
      </c>
      <c r="T123" s="5"/>
      <c r="U123" s="5">
        <v>600</v>
      </c>
      <c r="V123" s="5">
        <v>258.72000000000003</v>
      </c>
      <c r="W123" s="5">
        <v>238.92</v>
      </c>
      <c r="X123" s="5">
        <v>0</v>
      </c>
      <c r="Y123" s="5">
        <v>102.36</v>
      </c>
    </row>
    <row r="124" spans="1:25" ht="24.75" x14ac:dyDescent="0.25">
      <c r="A124" s="5" t="s">
        <v>26</v>
      </c>
      <c r="B124" s="5" t="s">
        <v>27</v>
      </c>
      <c r="C124" s="5" t="s">
        <v>50</v>
      </c>
      <c r="D124" s="5" t="s">
        <v>62</v>
      </c>
      <c r="E124" s="5" t="s">
        <v>35</v>
      </c>
      <c r="F124" s="5" t="s">
        <v>137</v>
      </c>
      <c r="G124" s="5">
        <v>2019</v>
      </c>
      <c r="H124" s="5" t="str">
        <f>CONCATENATE("94240443484")</f>
        <v>94240443484</v>
      </c>
      <c r="I124" s="5" t="s">
        <v>29</v>
      </c>
      <c r="J124" s="5" t="s">
        <v>36</v>
      </c>
      <c r="K124" s="5" t="str">
        <f>CONCATENATE("")</f>
        <v/>
      </c>
      <c r="L124" s="5" t="str">
        <f>CONCATENATE("10 10.1 4a")</f>
        <v>10 10.1 4a</v>
      </c>
      <c r="M124" s="5" t="str">
        <f>CONCATENATE("CMBMRT77M60B352T")</f>
        <v>CMBMRT77M60B352T</v>
      </c>
      <c r="N124" s="5" t="s">
        <v>219</v>
      </c>
      <c r="O124" s="5" t="s">
        <v>220</v>
      </c>
      <c r="P124" s="6">
        <v>43950</v>
      </c>
      <c r="Q124" s="5" t="s">
        <v>31</v>
      </c>
      <c r="R124" s="5" t="s">
        <v>32</v>
      </c>
      <c r="S124" s="5" t="s">
        <v>33</v>
      </c>
      <c r="T124" s="5"/>
      <c r="U124" s="7">
        <v>3000</v>
      </c>
      <c r="V124" s="7">
        <v>1293.5999999999999</v>
      </c>
      <c r="W124" s="7">
        <v>1194.5999999999999</v>
      </c>
      <c r="X124" s="5">
        <v>0</v>
      </c>
      <c r="Y124" s="5">
        <v>511.8</v>
      </c>
    </row>
    <row r="125" spans="1:25" ht="24.75" x14ac:dyDescent="0.25">
      <c r="A125" s="5" t="s">
        <v>26</v>
      </c>
      <c r="B125" s="5" t="s">
        <v>27</v>
      </c>
      <c r="C125" s="5" t="s">
        <v>50</v>
      </c>
      <c r="D125" s="5" t="s">
        <v>62</v>
      </c>
      <c r="E125" s="5" t="s">
        <v>35</v>
      </c>
      <c r="F125" s="5" t="s">
        <v>137</v>
      </c>
      <c r="G125" s="5">
        <v>2019</v>
      </c>
      <c r="H125" s="5" t="str">
        <f>CONCATENATE("94240443500")</f>
        <v>94240443500</v>
      </c>
      <c r="I125" s="5" t="s">
        <v>29</v>
      </c>
      <c r="J125" s="5" t="s">
        <v>36</v>
      </c>
      <c r="K125" s="5" t="str">
        <f>CONCATENATE("")</f>
        <v/>
      </c>
      <c r="L125" s="5" t="str">
        <f>CONCATENATE("10 10.1 4a")</f>
        <v>10 10.1 4a</v>
      </c>
      <c r="M125" s="5" t="str">
        <f>CONCATENATE("CMBMRT77M60B352T")</f>
        <v>CMBMRT77M60B352T</v>
      </c>
      <c r="N125" s="5" t="s">
        <v>219</v>
      </c>
      <c r="O125" s="5" t="s">
        <v>220</v>
      </c>
      <c r="P125" s="6">
        <v>43950</v>
      </c>
      <c r="Q125" s="5" t="s">
        <v>31</v>
      </c>
      <c r="R125" s="5" t="s">
        <v>32</v>
      </c>
      <c r="S125" s="5" t="s">
        <v>33</v>
      </c>
      <c r="T125" s="5"/>
      <c r="U125" s="5">
        <v>600</v>
      </c>
      <c r="V125" s="5">
        <v>258.72000000000003</v>
      </c>
      <c r="W125" s="5">
        <v>238.92</v>
      </c>
      <c r="X125" s="5">
        <v>0</v>
      </c>
      <c r="Y125" s="5">
        <v>102.36</v>
      </c>
    </row>
    <row r="126" spans="1:25" ht="24.75" x14ac:dyDescent="0.25">
      <c r="A126" s="5" t="s">
        <v>26</v>
      </c>
      <c r="B126" s="5" t="s">
        <v>27</v>
      </c>
      <c r="C126" s="5" t="s">
        <v>50</v>
      </c>
      <c r="D126" s="5" t="s">
        <v>62</v>
      </c>
      <c r="E126" s="5" t="s">
        <v>35</v>
      </c>
      <c r="F126" s="5" t="s">
        <v>137</v>
      </c>
      <c r="G126" s="5">
        <v>2018</v>
      </c>
      <c r="H126" s="5" t="str">
        <f>CONCATENATE("84240425250")</f>
        <v>84240425250</v>
      </c>
      <c r="I126" s="5" t="s">
        <v>29</v>
      </c>
      <c r="J126" s="5" t="s">
        <v>36</v>
      </c>
      <c r="K126" s="5" t="str">
        <f>CONCATENATE("")</f>
        <v/>
      </c>
      <c r="L126" s="5" t="str">
        <f>CONCATENATE("10 10.1 4a")</f>
        <v>10 10.1 4a</v>
      </c>
      <c r="M126" s="5" t="str">
        <f>CONCATENATE("CMBMRT77M60B352T")</f>
        <v>CMBMRT77M60B352T</v>
      </c>
      <c r="N126" s="5" t="s">
        <v>219</v>
      </c>
      <c r="O126" s="5" t="s">
        <v>220</v>
      </c>
      <c r="P126" s="6">
        <v>43950</v>
      </c>
      <c r="Q126" s="5" t="s">
        <v>31</v>
      </c>
      <c r="R126" s="5" t="s">
        <v>32</v>
      </c>
      <c r="S126" s="5" t="s">
        <v>33</v>
      </c>
      <c r="T126" s="5"/>
      <c r="U126" s="7">
        <v>3000</v>
      </c>
      <c r="V126" s="7">
        <v>1293.5999999999999</v>
      </c>
      <c r="W126" s="7">
        <v>1194.5999999999999</v>
      </c>
      <c r="X126" s="5">
        <v>0</v>
      </c>
      <c r="Y126" s="5">
        <v>511.8</v>
      </c>
    </row>
    <row r="127" spans="1:25" ht="24.75" x14ac:dyDescent="0.25">
      <c r="A127" s="5" t="s">
        <v>26</v>
      </c>
      <c r="B127" s="5" t="s">
        <v>27</v>
      </c>
      <c r="C127" s="5" t="s">
        <v>50</v>
      </c>
      <c r="D127" s="5" t="s">
        <v>62</v>
      </c>
      <c r="E127" s="5" t="s">
        <v>28</v>
      </c>
      <c r="F127" s="5" t="s">
        <v>81</v>
      </c>
      <c r="G127" s="5">
        <v>2018</v>
      </c>
      <c r="H127" s="5" t="str">
        <f>CONCATENATE("84240479141")</f>
        <v>84240479141</v>
      </c>
      <c r="I127" s="5" t="s">
        <v>29</v>
      </c>
      <c r="J127" s="5" t="s">
        <v>36</v>
      </c>
      <c r="K127" s="5" t="str">
        <f>CONCATENATE("")</f>
        <v/>
      </c>
      <c r="L127" s="5" t="str">
        <f>CONCATENATE("10 10.1 4a")</f>
        <v>10 10.1 4a</v>
      </c>
      <c r="M127" s="5" t="str">
        <f>CONCATENATE("RMTFST55R10G478J")</f>
        <v>RMTFST55R10G478J</v>
      </c>
      <c r="N127" s="5" t="s">
        <v>221</v>
      </c>
      <c r="O127" s="5" t="s">
        <v>220</v>
      </c>
      <c r="P127" s="6">
        <v>43950</v>
      </c>
      <c r="Q127" s="5" t="s">
        <v>31</v>
      </c>
      <c r="R127" s="5" t="s">
        <v>32</v>
      </c>
      <c r="S127" s="5" t="s">
        <v>33</v>
      </c>
      <c r="T127" s="5"/>
      <c r="U127" s="7">
        <v>7000</v>
      </c>
      <c r="V127" s="7">
        <v>3018.4</v>
      </c>
      <c r="W127" s="7">
        <v>2787.4</v>
      </c>
      <c r="X127" s="5">
        <v>0</v>
      </c>
      <c r="Y127" s="7">
        <v>1194.2</v>
      </c>
    </row>
    <row r="128" spans="1:25" ht="24.75" x14ac:dyDescent="0.25">
      <c r="A128" s="5" t="s">
        <v>26</v>
      </c>
      <c r="B128" s="5" t="s">
        <v>27</v>
      </c>
      <c r="C128" s="5" t="s">
        <v>50</v>
      </c>
      <c r="D128" s="5" t="s">
        <v>62</v>
      </c>
      <c r="E128" s="5" t="s">
        <v>28</v>
      </c>
      <c r="F128" s="5" t="s">
        <v>81</v>
      </c>
      <c r="G128" s="5">
        <v>2019</v>
      </c>
      <c r="H128" s="5" t="str">
        <f>CONCATENATE("94240119969")</f>
        <v>94240119969</v>
      </c>
      <c r="I128" s="5" t="s">
        <v>29</v>
      </c>
      <c r="J128" s="5" t="s">
        <v>36</v>
      </c>
      <c r="K128" s="5" t="str">
        <f>CONCATENATE("")</f>
        <v/>
      </c>
      <c r="L128" s="5" t="str">
        <f>CONCATENATE("10 10.1 4a")</f>
        <v>10 10.1 4a</v>
      </c>
      <c r="M128" s="5" t="str">
        <f>CONCATENATE("RMTFST55R10G478J")</f>
        <v>RMTFST55R10G478J</v>
      </c>
      <c r="N128" s="5" t="s">
        <v>221</v>
      </c>
      <c r="O128" s="5" t="s">
        <v>220</v>
      </c>
      <c r="P128" s="6">
        <v>43950</v>
      </c>
      <c r="Q128" s="5" t="s">
        <v>31</v>
      </c>
      <c r="R128" s="5" t="s">
        <v>32</v>
      </c>
      <c r="S128" s="5" t="s">
        <v>33</v>
      </c>
      <c r="T128" s="5"/>
      <c r="U128" s="7">
        <v>7000</v>
      </c>
      <c r="V128" s="7">
        <v>3018.4</v>
      </c>
      <c r="W128" s="7">
        <v>2787.4</v>
      </c>
      <c r="X128" s="5">
        <v>0</v>
      </c>
      <c r="Y128" s="7">
        <v>1194.2</v>
      </c>
    </row>
    <row r="129" spans="1:25" ht="24.75" x14ac:dyDescent="0.25">
      <c r="A129" s="5" t="s">
        <v>26</v>
      </c>
      <c r="B129" s="5" t="s">
        <v>27</v>
      </c>
      <c r="C129" s="5" t="s">
        <v>50</v>
      </c>
      <c r="D129" s="5" t="s">
        <v>62</v>
      </c>
      <c r="E129" s="5" t="s">
        <v>28</v>
      </c>
      <c r="F129" s="5" t="s">
        <v>81</v>
      </c>
      <c r="G129" s="5">
        <v>2019</v>
      </c>
      <c r="H129" s="5" t="str">
        <f>CONCATENATE("94240120272")</f>
        <v>94240120272</v>
      </c>
      <c r="I129" s="5" t="s">
        <v>29</v>
      </c>
      <c r="J129" s="5" t="s">
        <v>36</v>
      </c>
      <c r="K129" s="5" t="str">
        <f>CONCATENATE("")</f>
        <v/>
      </c>
      <c r="L129" s="5" t="str">
        <f>CONCATENATE("10 10.1 4a")</f>
        <v>10 10.1 4a</v>
      </c>
      <c r="M129" s="5" t="str">
        <f>CONCATENATE("RMTFST55R10G478J")</f>
        <v>RMTFST55R10G478J</v>
      </c>
      <c r="N129" s="5" t="s">
        <v>221</v>
      </c>
      <c r="O129" s="5" t="s">
        <v>220</v>
      </c>
      <c r="P129" s="6">
        <v>43950</v>
      </c>
      <c r="Q129" s="5" t="s">
        <v>31</v>
      </c>
      <c r="R129" s="5" t="s">
        <v>32</v>
      </c>
      <c r="S129" s="5" t="s">
        <v>33</v>
      </c>
      <c r="T129" s="5"/>
      <c r="U129" s="7">
        <v>4000</v>
      </c>
      <c r="V129" s="7">
        <v>1724.8</v>
      </c>
      <c r="W129" s="7">
        <v>1592.8</v>
      </c>
      <c r="X129" s="5">
        <v>0</v>
      </c>
      <c r="Y129" s="5">
        <v>682.4</v>
      </c>
    </row>
    <row r="130" spans="1:25" x14ac:dyDescent="0.25">
      <c r="A130" s="5" t="s">
        <v>26</v>
      </c>
      <c r="B130" s="5" t="s">
        <v>27</v>
      </c>
      <c r="C130" s="5" t="s">
        <v>50</v>
      </c>
      <c r="D130" s="5" t="s">
        <v>57</v>
      </c>
      <c r="E130" s="5" t="s">
        <v>28</v>
      </c>
      <c r="F130" s="5" t="s">
        <v>222</v>
      </c>
      <c r="G130" s="5">
        <v>2019</v>
      </c>
      <c r="H130" s="5" t="str">
        <f>CONCATENATE("94240817646")</f>
        <v>94240817646</v>
      </c>
      <c r="I130" s="5" t="s">
        <v>29</v>
      </c>
      <c r="J130" s="5" t="s">
        <v>36</v>
      </c>
      <c r="K130" s="5" t="str">
        <f>CONCATENATE("")</f>
        <v/>
      </c>
      <c r="L130" s="5" t="str">
        <f>CONCATENATE("10 10.1 4a")</f>
        <v>10 10.1 4a</v>
      </c>
      <c r="M130" s="5" t="str">
        <f>CONCATENATE("FCNLSN56L12B160E")</f>
        <v>FCNLSN56L12B160E</v>
      </c>
      <c r="N130" s="5" t="s">
        <v>223</v>
      </c>
      <c r="O130" s="5" t="s">
        <v>220</v>
      </c>
      <c r="P130" s="6">
        <v>43950</v>
      </c>
      <c r="Q130" s="5" t="s">
        <v>31</v>
      </c>
      <c r="R130" s="5" t="s">
        <v>32</v>
      </c>
      <c r="S130" s="5" t="s">
        <v>33</v>
      </c>
      <c r="T130" s="5"/>
      <c r="U130" s="7">
        <v>1530</v>
      </c>
      <c r="V130" s="5">
        <v>659.74</v>
      </c>
      <c r="W130" s="5">
        <v>609.25</v>
      </c>
      <c r="X130" s="5">
        <v>0</v>
      </c>
      <c r="Y130" s="5">
        <v>261.01</v>
      </c>
    </row>
    <row r="131" spans="1:25" ht="24.75" x14ac:dyDescent="0.25">
      <c r="A131" s="5" t="s">
        <v>26</v>
      </c>
      <c r="B131" s="5" t="s">
        <v>27</v>
      </c>
      <c r="C131" s="5" t="s">
        <v>50</v>
      </c>
      <c r="D131" s="5" t="s">
        <v>57</v>
      </c>
      <c r="E131" s="5" t="s">
        <v>28</v>
      </c>
      <c r="F131" s="5" t="s">
        <v>222</v>
      </c>
      <c r="G131" s="5">
        <v>2018</v>
      </c>
      <c r="H131" s="5" t="str">
        <f>CONCATENATE("84240348577")</f>
        <v>84240348577</v>
      </c>
      <c r="I131" s="5" t="s">
        <v>29</v>
      </c>
      <c r="J131" s="5" t="s">
        <v>36</v>
      </c>
      <c r="K131" s="5" t="str">
        <f>CONCATENATE("")</f>
        <v/>
      </c>
      <c r="L131" s="5" t="str">
        <f>CONCATENATE("10 10.1 4a")</f>
        <v>10 10.1 4a</v>
      </c>
      <c r="M131" s="5" t="str">
        <f>CONCATENATE("CRDMRA51R04H876Y")</f>
        <v>CRDMRA51R04H876Y</v>
      </c>
      <c r="N131" s="5" t="s">
        <v>224</v>
      </c>
      <c r="O131" s="5" t="s">
        <v>209</v>
      </c>
      <c r="P131" s="6">
        <v>43950</v>
      </c>
      <c r="Q131" s="5" t="s">
        <v>31</v>
      </c>
      <c r="R131" s="5" t="s">
        <v>32</v>
      </c>
      <c r="S131" s="5" t="s">
        <v>33</v>
      </c>
      <c r="T131" s="5"/>
      <c r="U131" s="7">
        <v>1950</v>
      </c>
      <c r="V131" s="5">
        <v>840.84</v>
      </c>
      <c r="W131" s="5">
        <v>776.49</v>
      </c>
      <c r="X131" s="5">
        <v>0</v>
      </c>
      <c r="Y131" s="5">
        <v>332.67</v>
      </c>
    </row>
    <row r="132" spans="1:25" ht="24.75" x14ac:dyDescent="0.25">
      <c r="A132" s="5" t="s">
        <v>26</v>
      </c>
      <c r="B132" s="5" t="s">
        <v>27</v>
      </c>
      <c r="C132" s="5" t="s">
        <v>50</v>
      </c>
      <c r="D132" s="5" t="s">
        <v>57</v>
      </c>
      <c r="E132" s="5" t="s">
        <v>28</v>
      </c>
      <c r="F132" s="5" t="s">
        <v>222</v>
      </c>
      <c r="G132" s="5">
        <v>2019</v>
      </c>
      <c r="H132" s="5" t="str">
        <f>CONCATENATE("94240817596")</f>
        <v>94240817596</v>
      </c>
      <c r="I132" s="5" t="s">
        <v>29</v>
      </c>
      <c r="J132" s="5" t="s">
        <v>36</v>
      </c>
      <c r="K132" s="5" t="str">
        <f>CONCATENATE("")</f>
        <v/>
      </c>
      <c r="L132" s="5" t="str">
        <f>CONCATENATE("10 10.1 4a")</f>
        <v>10 10.1 4a</v>
      </c>
      <c r="M132" s="5" t="str">
        <f>CONCATENATE("CRDMRA51R04H876Y")</f>
        <v>CRDMRA51R04H876Y</v>
      </c>
      <c r="N132" s="5" t="s">
        <v>224</v>
      </c>
      <c r="O132" s="5" t="s">
        <v>209</v>
      </c>
      <c r="P132" s="6">
        <v>43950</v>
      </c>
      <c r="Q132" s="5" t="s">
        <v>31</v>
      </c>
      <c r="R132" s="5" t="s">
        <v>32</v>
      </c>
      <c r="S132" s="5" t="s">
        <v>33</v>
      </c>
      <c r="T132" s="5"/>
      <c r="U132" s="7">
        <v>1950</v>
      </c>
      <c r="V132" s="5">
        <v>840.84</v>
      </c>
      <c r="W132" s="5">
        <v>776.49</v>
      </c>
      <c r="X132" s="5">
        <v>0</v>
      </c>
      <c r="Y132" s="5">
        <v>332.67</v>
      </c>
    </row>
    <row r="133" spans="1:25" ht="24.75" x14ac:dyDescent="0.25">
      <c r="A133" s="5" t="s">
        <v>26</v>
      </c>
      <c r="B133" s="5" t="s">
        <v>27</v>
      </c>
      <c r="C133" s="5" t="s">
        <v>50</v>
      </c>
      <c r="D133" s="5" t="s">
        <v>51</v>
      </c>
      <c r="E133" s="5" t="s">
        <v>35</v>
      </c>
      <c r="F133" s="5" t="s">
        <v>122</v>
      </c>
      <c r="G133" s="5">
        <v>2018</v>
      </c>
      <c r="H133" s="5" t="str">
        <f>CONCATENATE("84240885495")</f>
        <v>84240885495</v>
      </c>
      <c r="I133" s="5" t="s">
        <v>29</v>
      </c>
      <c r="J133" s="5" t="s">
        <v>36</v>
      </c>
      <c r="K133" s="5" t="str">
        <f>CONCATENATE("")</f>
        <v/>
      </c>
      <c r="L133" s="5" t="str">
        <f>CONCATENATE("10 10.1 4a")</f>
        <v>10 10.1 4a</v>
      </c>
      <c r="M133" s="5" t="str">
        <f>CONCATENATE("02745870424")</f>
        <v>02745870424</v>
      </c>
      <c r="N133" s="5" t="s">
        <v>225</v>
      </c>
      <c r="O133" s="5" t="s">
        <v>209</v>
      </c>
      <c r="P133" s="6">
        <v>43950</v>
      </c>
      <c r="Q133" s="5" t="s">
        <v>31</v>
      </c>
      <c r="R133" s="5" t="s">
        <v>32</v>
      </c>
      <c r="S133" s="5" t="s">
        <v>33</v>
      </c>
      <c r="T133" s="5"/>
      <c r="U133" s="5">
        <v>592.44000000000005</v>
      </c>
      <c r="V133" s="5">
        <v>255.46</v>
      </c>
      <c r="W133" s="5">
        <v>235.91</v>
      </c>
      <c r="X133" s="5">
        <v>0</v>
      </c>
      <c r="Y133" s="5">
        <v>101.07</v>
      </c>
    </row>
    <row r="134" spans="1:25" ht="24.75" x14ac:dyDescent="0.25">
      <c r="A134" s="5" t="s">
        <v>26</v>
      </c>
      <c r="B134" s="5" t="s">
        <v>27</v>
      </c>
      <c r="C134" s="5" t="s">
        <v>50</v>
      </c>
      <c r="D134" s="5" t="s">
        <v>51</v>
      </c>
      <c r="E134" s="5" t="s">
        <v>35</v>
      </c>
      <c r="F134" s="5" t="s">
        <v>122</v>
      </c>
      <c r="G134" s="5">
        <v>2018</v>
      </c>
      <c r="H134" s="5" t="str">
        <f>CONCATENATE("84240545107")</f>
        <v>84240545107</v>
      </c>
      <c r="I134" s="5" t="s">
        <v>29</v>
      </c>
      <c r="J134" s="5" t="s">
        <v>36</v>
      </c>
      <c r="K134" s="5" t="str">
        <f>CONCATENATE("")</f>
        <v/>
      </c>
      <c r="L134" s="5" t="str">
        <f>CONCATENATE("10 10.1 4a")</f>
        <v>10 10.1 4a</v>
      </c>
      <c r="M134" s="5" t="str">
        <f>CONCATENATE("BRNLSS84L07A271E")</f>
        <v>BRNLSS84L07A271E</v>
      </c>
      <c r="N134" s="5" t="s">
        <v>226</v>
      </c>
      <c r="O134" s="5" t="s">
        <v>209</v>
      </c>
      <c r="P134" s="6">
        <v>43950</v>
      </c>
      <c r="Q134" s="5" t="s">
        <v>31</v>
      </c>
      <c r="R134" s="5" t="s">
        <v>32</v>
      </c>
      <c r="S134" s="5" t="s">
        <v>33</v>
      </c>
      <c r="T134" s="5"/>
      <c r="U134" s="5">
        <v>445.76</v>
      </c>
      <c r="V134" s="5">
        <v>192.21</v>
      </c>
      <c r="W134" s="5">
        <v>177.5</v>
      </c>
      <c r="X134" s="5">
        <v>0</v>
      </c>
      <c r="Y134" s="5">
        <v>76.05</v>
      </c>
    </row>
    <row r="135" spans="1:25" ht="24.75" x14ac:dyDescent="0.25">
      <c r="A135" s="5" t="s">
        <v>26</v>
      </c>
      <c r="B135" s="5" t="s">
        <v>27</v>
      </c>
      <c r="C135" s="5" t="s">
        <v>50</v>
      </c>
      <c r="D135" s="5" t="s">
        <v>62</v>
      </c>
      <c r="E135" s="5" t="s">
        <v>35</v>
      </c>
      <c r="F135" s="5" t="s">
        <v>227</v>
      </c>
      <c r="G135" s="5">
        <v>2019</v>
      </c>
      <c r="H135" s="5" t="str">
        <f>CONCATENATE("94240555105")</f>
        <v>94240555105</v>
      </c>
      <c r="I135" s="5" t="s">
        <v>29</v>
      </c>
      <c r="J135" s="5" t="s">
        <v>36</v>
      </c>
      <c r="K135" s="5" t="str">
        <f>CONCATENATE("")</f>
        <v/>
      </c>
      <c r="L135" s="5" t="str">
        <f>CONCATENATE("10 10.1 4a")</f>
        <v>10 10.1 4a</v>
      </c>
      <c r="M135" s="5" t="str">
        <f>CONCATENATE("LNZPLM83P51C424T")</f>
        <v>LNZPLM83P51C424T</v>
      </c>
      <c r="N135" s="5" t="s">
        <v>228</v>
      </c>
      <c r="O135" s="5" t="s">
        <v>209</v>
      </c>
      <c r="P135" s="6">
        <v>43950</v>
      </c>
      <c r="Q135" s="5" t="s">
        <v>31</v>
      </c>
      <c r="R135" s="5" t="s">
        <v>32</v>
      </c>
      <c r="S135" s="5" t="s">
        <v>33</v>
      </c>
      <c r="T135" s="5"/>
      <c r="U135" s="5">
        <v>200</v>
      </c>
      <c r="V135" s="5">
        <v>86.24</v>
      </c>
      <c r="W135" s="5">
        <v>79.64</v>
      </c>
      <c r="X135" s="5">
        <v>0</v>
      </c>
      <c r="Y135" s="5">
        <v>34.119999999999997</v>
      </c>
    </row>
    <row r="136" spans="1:25" ht="24.75" x14ac:dyDescent="0.25">
      <c r="A136" s="5" t="s">
        <v>26</v>
      </c>
      <c r="B136" s="5" t="s">
        <v>34</v>
      </c>
      <c r="C136" s="5" t="s">
        <v>50</v>
      </c>
      <c r="D136" s="5" t="s">
        <v>58</v>
      </c>
      <c r="E136" s="5" t="s">
        <v>40</v>
      </c>
      <c r="F136" s="5" t="s">
        <v>40</v>
      </c>
      <c r="G136" s="5">
        <v>2017</v>
      </c>
      <c r="H136" s="5" t="str">
        <f>CONCATENATE("04270040084")</f>
        <v>04270040084</v>
      </c>
      <c r="I136" s="5" t="s">
        <v>29</v>
      </c>
      <c r="J136" s="5" t="s">
        <v>36</v>
      </c>
      <c r="K136" s="5" t="str">
        <f>CONCATENATE("")</f>
        <v/>
      </c>
      <c r="L136" s="5" t="str">
        <f>CONCATENATE("6 6.1 2b")</f>
        <v>6 6.1 2b</v>
      </c>
      <c r="M136" s="5" t="str">
        <f>CONCATENATE("01987370432")</f>
        <v>01987370432</v>
      </c>
      <c r="N136" s="5" t="s">
        <v>229</v>
      </c>
      <c r="O136" s="5" t="s">
        <v>216</v>
      </c>
      <c r="P136" s="6">
        <v>43950</v>
      </c>
      <c r="Q136" s="5" t="s">
        <v>31</v>
      </c>
      <c r="R136" s="5" t="s">
        <v>42</v>
      </c>
      <c r="S136" s="5" t="s">
        <v>33</v>
      </c>
      <c r="T136" s="5"/>
      <c r="U136" s="7">
        <v>28000</v>
      </c>
      <c r="V136" s="7">
        <v>12073.6</v>
      </c>
      <c r="W136" s="7">
        <v>11149.6</v>
      </c>
      <c r="X136" s="5">
        <v>0</v>
      </c>
      <c r="Y136" s="7">
        <v>4776.8</v>
      </c>
    </row>
    <row r="137" spans="1:25" ht="24.75" x14ac:dyDescent="0.25">
      <c r="A137" s="5" t="s">
        <v>26</v>
      </c>
      <c r="B137" s="5" t="s">
        <v>34</v>
      </c>
      <c r="C137" s="5" t="s">
        <v>50</v>
      </c>
      <c r="D137" s="5" t="s">
        <v>58</v>
      </c>
      <c r="E137" s="5" t="s">
        <v>44</v>
      </c>
      <c r="F137" s="5" t="s">
        <v>152</v>
      </c>
      <c r="G137" s="5">
        <v>2017</v>
      </c>
      <c r="H137" s="5" t="str">
        <f>CONCATENATE("04270040068")</f>
        <v>04270040068</v>
      </c>
      <c r="I137" s="5" t="s">
        <v>29</v>
      </c>
      <c r="J137" s="5" t="s">
        <v>36</v>
      </c>
      <c r="K137" s="5" t="str">
        <f>CONCATENATE("")</f>
        <v/>
      </c>
      <c r="L137" s="5" t="str">
        <f>CONCATENATE("6 6.1 2b")</f>
        <v>6 6.1 2b</v>
      </c>
      <c r="M137" s="5" t="str">
        <f>CONCATENATE("VTTMTT00B18A462Z")</f>
        <v>VTTMTT00B18A462Z</v>
      </c>
      <c r="N137" s="5" t="s">
        <v>230</v>
      </c>
      <c r="O137" s="5" t="s">
        <v>216</v>
      </c>
      <c r="P137" s="6">
        <v>43950</v>
      </c>
      <c r="Q137" s="5" t="s">
        <v>31</v>
      </c>
      <c r="R137" s="5" t="s">
        <v>42</v>
      </c>
      <c r="S137" s="5" t="s">
        <v>33</v>
      </c>
      <c r="T137" s="5"/>
      <c r="U137" s="7">
        <v>28000</v>
      </c>
      <c r="V137" s="7">
        <v>12073.6</v>
      </c>
      <c r="W137" s="7">
        <v>11149.6</v>
      </c>
      <c r="X137" s="5">
        <v>0</v>
      </c>
      <c r="Y137" s="7">
        <v>4776.8</v>
      </c>
    </row>
    <row r="138" spans="1:25" x14ac:dyDescent="0.25">
      <c r="A138" s="5" t="s">
        <v>26</v>
      </c>
      <c r="B138" s="5" t="s">
        <v>27</v>
      </c>
      <c r="C138" s="5" t="s">
        <v>50</v>
      </c>
      <c r="D138" s="5" t="s">
        <v>57</v>
      </c>
      <c r="E138" s="5" t="s">
        <v>28</v>
      </c>
      <c r="F138" s="5" t="s">
        <v>222</v>
      </c>
      <c r="G138" s="5">
        <v>2017</v>
      </c>
      <c r="H138" s="5" t="str">
        <f>CONCATENATE("74240861901")</f>
        <v>74240861901</v>
      </c>
      <c r="I138" s="5" t="s">
        <v>29</v>
      </c>
      <c r="J138" s="5" t="s">
        <v>36</v>
      </c>
      <c r="K138" s="5" t="str">
        <f>CONCATENATE("")</f>
        <v/>
      </c>
      <c r="L138" s="5" t="str">
        <f>CONCATENATE("10 10.1 4a")</f>
        <v>10 10.1 4a</v>
      </c>
      <c r="M138" s="5" t="str">
        <f>CONCATENATE("MRZLGN75A18L191E")</f>
        <v>MRZLGN75A18L191E</v>
      </c>
      <c r="N138" s="5" t="s">
        <v>231</v>
      </c>
      <c r="O138" s="5" t="s">
        <v>232</v>
      </c>
      <c r="P138" s="6">
        <v>43950</v>
      </c>
      <c r="Q138" s="5" t="s">
        <v>31</v>
      </c>
      <c r="R138" s="5" t="s">
        <v>32</v>
      </c>
      <c r="S138" s="5" t="s">
        <v>33</v>
      </c>
      <c r="T138" s="5"/>
      <c r="U138" s="7">
        <v>4042.7</v>
      </c>
      <c r="V138" s="7">
        <v>1743.21</v>
      </c>
      <c r="W138" s="7">
        <v>1609.8</v>
      </c>
      <c r="X138" s="5">
        <v>0</v>
      </c>
      <c r="Y138" s="5">
        <v>689.69</v>
      </c>
    </row>
    <row r="139" spans="1:25" x14ac:dyDescent="0.25">
      <c r="A139" s="5" t="s">
        <v>26</v>
      </c>
      <c r="B139" s="5" t="s">
        <v>27</v>
      </c>
      <c r="C139" s="5" t="s">
        <v>50</v>
      </c>
      <c r="D139" s="5" t="s">
        <v>57</v>
      </c>
      <c r="E139" s="5" t="s">
        <v>28</v>
      </c>
      <c r="F139" s="5" t="s">
        <v>222</v>
      </c>
      <c r="G139" s="5">
        <v>2016</v>
      </c>
      <c r="H139" s="5" t="str">
        <f>CONCATENATE("64240617882")</f>
        <v>64240617882</v>
      </c>
      <c r="I139" s="5" t="s">
        <v>29</v>
      </c>
      <c r="J139" s="5" t="s">
        <v>36</v>
      </c>
      <c r="K139" s="5" t="str">
        <f>CONCATENATE("")</f>
        <v/>
      </c>
      <c r="L139" s="5" t="str">
        <f>CONCATENATE("10 10.1 4a")</f>
        <v>10 10.1 4a</v>
      </c>
      <c r="M139" s="5" t="str">
        <f>CONCATENATE("MRZLGN75A18L191E")</f>
        <v>MRZLGN75A18L191E</v>
      </c>
      <c r="N139" s="5" t="s">
        <v>231</v>
      </c>
      <c r="O139" s="5" t="s">
        <v>232</v>
      </c>
      <c r="P139" s="6">
        <v>43950</v>
      </c>
      <c r="Q139" s="5" t="s">
        <v>31</v>
      </c>
      <c r="R139" s="5" t="s">
        <v>32</v>
      </c>
      <c r="S139" s="5" t="s">
        <v>33</v>
      </c>
      <c r="T139" s="5"/>
      <c r="U139" s="7">
        <v>4214.83</v>
      </c>
      <c r="V139" s="7">
        <v>1817.43</v>
      </c>
      <c r="W139" s="7">
        <v>1678.35</v>
      </c>
      <c r="X139" s="5">
        <v>0</v>
      </c>
      <c r="Y139" s="5">
        <v>719.05</v>
      </c>
    </row>
    <row r="140" spans="1:25" x14ac:dyDescent="0.25">
      <c r="A140" s="5" t="s">
        <v>26</v>
      </c>
      <c r="B140" s="5" t="s">
        <v>27</v>
      </c>
      <c r="C140" s="5" t="s">
        <v>50</v>
      </c>
      <c r="D140" s="5" t="s">
        <v>57</v>
      </c>
      <c r="E140" s="5" t="s">
        <v>28</v>
      </c>
      <c r="F140" s="5" t="s">
        <v>233</v>
      </c>
      <c r="G140" s="5">
        <v>2016</v>
      </c>
      <c r="H140" s="5" t="str">
        <f>CONCATENATE("64240717799")</f>
        <v>64240717799</v>
      </c>
      <c r="I140" s="5" t="s">
        <v>29</v>
      </c>
      <c r="J140" s="5" t="s">
        <v>36</v>
      </c>
      <c r="K140" s="5" t="str">
        <f>CONCATENATE("")</f>
        <v/>
      </c>
      <c r="L140" s="5" t="str">
        <f>CONCATENATE("10 10.1 4a")</f>
        <v>10 10.1 4a</v>
      </c>
      <c r="M140" s="5" t="str">
        <f>CONCATENATE("TRVNRC42D11I156H")</f>
        <v>TRVNRC42D11I156H</v>
      </c>
      <c r="N140" s="5" t="s">
        <v>234</v>
      </c>
      <c r="O140" s="5" t="s">
        <v>232</v>
      </c>
      <c r="P140" s="6">
        <v>43950</v>
      </c>
      <c r="Q140" s="5" t="s">
        <v>31</v>
      </c>
      <c r="R140" s="5" t="s">
        <v>32</v>
      </c>
      <c r="S140" s="5" t="s">
        <v>33</v>
      </c>
      <c r="T140" s="5"/>
      <c r="U140" s="7">
        <v>9890.48</v>
      </c>
      <c r="V140" s="7">
        <v>4264.7700000000004</v>
      </c>
      <c r="W140" s="7">
        <v>3938.39</v>
      </c>
      <c r="X140" s="5">
        <v>0</v>
      </c>
      <c r="Y140" s="7">
        <v>1687.32</v>
      </c>
    </row>
    <row r="141" spans="1:25" x14ac:dyDescent="0.25">
      <c r="A141" s="5" t="s">
        <v>26</v>
      </c>
      <c r="B141" s="5" t="s">
        <v>27</v>
      </c>
      <c r="C141" s="5" t="s">
        <v>50</v>
      </c>
      <c r="D141" s="5" t="s">
        <v>57</v>
      </c>
      <c r="E141" s="5" t="s">
        <v>45</v>
      </c>
      <c r="F141" s="5" t="s">
        <v>235</v>
      </c>
      <c r="G141" s="5">
        <v>2017</v>
      </c>
      <c r="H141" s="5" t="str">
        <f>CONCATENATE("74240294731")</f>
        <v>74240294731</v>
      </c>
      <c r="I141" s="5" t="s">
        <v>29</v>
      </c>
      <c r="J141" s="5" t="s">
        <v>36</v>
      </c>
      <c r="K141" s="5" t="str">
        <f>CONCATENATE("")</f>
        <v/>
      </c>
      <c r="L141" s="5" t="str">
        <f>CONCATENATE("10 10.1 4a")</f>
        <v>10 10.1 4a</v>
      </c>
      <c r="M141" s="5" t="str">
        <f>CONCATENATE("01944930435")</f>
        <v>01944930435</v>
      </c>
      <c r="N141" s="5" t="s">
        <v>236</v>
      </c>
      <c r="O141" s="5" t="s">
        <v>232</v>
      </c>
      <c r="P141" s="6">
        <v>43950</v>
      </c>
      <c r="Q141" s="5" t="s">
        <v>31</v>
      </c>
      <c r="R141" s="5" t="s">
        <v>32</v>
      </c>
      <c r="S141" s="5" t="s">
        <v>33</v>
      </c>
      <c r="T141" s="5"/>
      <c r="U141" s="7">
        <v>9982.49</v>
      </c>
      <c r="V141" s="7">
        <v>4304.45</v>
      </c>
      <c r="W141" s="7">
        <v>3975.03</v>
      </c>
      <c r="X141" s="5">
        <v>0</v>
      </c>
      <c r="Y141" s="7">
        <v>1703.01</v>
      </c>
    </row>
    <row r="142" spans="1:25" x14ac:dyDescent="0.25">
      <c r="A142" s="5" t="s">
        <v>26</v>
      </c>
      <c r="B142" s="5" t="s">
        <v>27</v>
      </c>
      <c r="C142" s="5" t="s">
        <v>50</v>
      </c>
      <c r="D142" s="5" t="s">
        <v>57</v>
      </c>
      <c r="E142" s="5" t="s">
        <v>28</v>
      </c>
      <c r="F142" s="5" t="s">
        <v>48</v>
      </c>
      <c r="G142" s="5">
        <v>2019</v>
      </c>
      <c r="H142" s="5" t="str">
        <f>CONCATENATE("94240932445")</f>
        <v>94240932445</v>
      </c>
      <c r="I142" s="5" t="s">
        <v>29</v>
      </c>
      <c r="J142" s="5" t="s">
        <v>36</v>
      </c>
      <c r="K142" s="5" t="str">
        <f>CONCATENATE("")</f>
        <v/>
      </c>
      <c r="L142" s="5" t="str">
        <f>CONCATENATE("10 10.1 4a")</f>
        <v>10 10.1 4a</v>
      </c>
      <c r="M142" s="5" t="str">
        <f>CONCATENATE("SCLRRT58P14D024H")</f>
        <v>SCLRRT58P14D024H</v>
      </c>
      <c r="N142" s="5" t="s">
        <v>237</v>
      </c>
      <c r="O142" s="5" t="s">
        <v>232</v>
      </c>
      <c r="P142" s="6">
        <v>43950</v>
      </c>
      <c r="Q142" s="5" t="s">
        <v>31</v>
      </c>
      <c r="R142" s="5" t="s">
        <v>32</v>
      </c>
      <c r="S142" s="5" t="s">
        <v>33</v>
      </c>
      <c r="T142" s="5"/>
      <c r="U142" s="7">
        <v>1252.29</v>
      </c>
      <c r="V142" s="5">
        <v>539.99</v>
      </c>
      <c r="W142" s="5">
        <v>498.66</v>
      </c>
      <c r="X142" s="5">
        <v>0</v>
      </c>
      <c r="Y142" s="5">
        <v>213.64</v>
      </c>
    </row>
    <row r="143" spans="1:25" x14ac:dyDescent="0.25">
      <c r="A143" s="5" t="s">
        <v>26</v>
      </c>
      <c r="B143" s="5" t="s">
        <v>27</v>
      </c>
      <c r="C143" s="5" t="s">
        <v>50</v>
      </c>
      <c r="D143" s="5" t="s">
        <v>57</v>
      </c>
      <c r="E143" s="5" t="s">
        <v>28</v>
      </c>
      <c r="F143" s="5" t="s">
        <v>48</v>
      </c>
      <c r="G143" s="5">
        <v>2019</v>
      </c>
      <c r="H143" s="5" t="str">
        <f>CONCATENATE("94240910995")</f>
        <v>94240910995</v>
      </c>
      <c r="I143" s="5" t="s">
        <v>29</v>
      </c>
      <c r="J143" s="5" t="s">
        <v>36</v>
      </c>
      <c r="K143" s="5" t="str">
        <f>CONCATENATE("")</f>
        <v/>
      </c>
      <c r="L143" s="5" t="str">
        <f>CONCATENATE("10 10.1 4a")</f>
        <v>10 10.1 4a</v>
      </c>
      <c r="M143" s="5" t="str">
        <f>CONCATENATE("SCLRRT58P14D024H")</f>
        <v>SCLRRT58P14D024H</v>
      </c>
      <c r="N143" s="5" t="s">
        <v>237</v>
      </c>
      <c r="O143" s="5" t="s">
        <v>232</v>
      </c>
      <c r="P143" s="6">
        <v>43950</v>
      </c>
      <c r="Q143" s="5" t="s">
        <v>31</v>
      </c>
      <c r="R143" s="5" t="s">
        <v>32</v>
      </c>
      <c r="S143" s="5" t="s">
        <v>33</v>
      </c>
      <c r="T143" s="5"/>
      <c r="U143" s="7">
        <v>9391.02</v>
      </c>
      <c r="V143" s="7">
        <v>4049.41</v>
      </c>
      <c r="W143" s="7">
        <v>3739.5</v>
      </c>
      <c r="X143" s="5">
        <v>0</v>
      </c>
      <c r="Y143" s="7">
        <v>1602.11</v>
      </c>
    </row>
    <row r="144" spans="1:25" ht="24.75" x14ac:dyDescent="0.25">
      <c r="A144" s="5" t="s">
        <v>26</v>
      </c>
      <c r="B144" s="5" t="s">
        <v>27</v>
      </c>
      <c r="C144" s="5" t="s">
        <v>50</v>
      </c>
      <c r="D144" s="5" t="s">
        <v>62</v>
      </c>
      <c r="E144" s="5" t="s">
        <v>28</v>
      </c>
      <c r="F144" s="5" t="s">
        <v>238</v>
      </c>
      <c r="G144" s="5">
        <v>2018</v>
      </c>
      <c r="H144" s="5" t="str">
        <f>CONCATENATE("84240996581")</f>
        <v>84240996581</v>
      </c>
      <c r="I144" s="5" t="s">
        <v>29</v>
      </c>
      <c r="J144" s="5" t="s">
        <v>36</v>
      </c>
      <c r="K144" s="5" t="str">
        <f>CONCATENATE("")</f>
        <v/>
      </c>
      <c r="L144" s="5" t="str">
        <f>CONCATENATE("10 10.1 4b")</f>
        <v>10 10.1 4b</v>
      </c>
      <c r="M144" s="5" t="str">
        <f>CONCATENATE("BRTFBA62L13I285V")</f>
        <v>BRTFBA62L13I285V</v>
      </c>
      <c r="N144" s="5" t="s">
        <v>239</v>
      </c>
      <c r="O144" s="5" t="s">
        <v>240</v>
      </c>
      <c r="P144" s="6">
        <v>43950</v>
      </c>
      <c r="Q144" s="5" t="s">
        <v>31</v>
      </c>
      <c r="R144" s="5" t="s">
        <v>32</v>
      </c>
      <c r="S144" s="5" t="s">
        <v>33</v>
      </c>
      <c r="T144" s="5"/>
      <c r="U144" s="7">
        <v>7270.39</v>
      </c>
      <c r="V144" s="7">
        <v>3134.99</v>
      </c>
      <c r="W144" s="7">
        <v>2895.07</v>
      </c>
      <c r="X144" s="5">
        <v>0</v>
      </c>
      <c r="Y144" s="7">
        <v>1240.33</v>
      </c>
    </row>
    <row r="145" spans="1:25" ht="24.75" x14ac:dyDescent="0.25">
      <c r="A145" s="5" t="s">
        <v>26</v>
      </c>
      <c r="B145" s="5" t="s">
        <v>27</v>
      </c>
      <c r="C145" s="5" t="s">
        <v>50</v>
      </c>
      <c r="D145" s="5" t="s">
        <v>62</v>
      </c>
      <c r="E145" s="5" t="s">
        <v>28</v>
      </c>
      <c r="F145" s="5" t="s">
        <v>238</v>
      </c>
      <c r="G145" s="5">
        <v>2019</v>
      </c>
      <c r="H145" s="5" t="str">
        <f>CONCATENATE("94240874308")</f>
        <v>94240874308</v>
      </c>
      <c r="I145" s="5" t="s">
        <v>29</v>
      </c>
      <c r="J145" s="5" t="s">
        <v>36</v>
      </c>
      <c r="K145" s="5" t="str">
        <f>CONCATENATE("")</f>
        <v/>
      </c>
      <c r="L145" s="5" t="str">
        <f>CONCATENATE("10 10.1 4b")</f>
        <v>10 10.1 4b</v>
      </c>
      <c r="M145" s="5" t="str">
        <f>CONCATENATE("CVLNNL67E53G479E")</f>
        <v>CVLNNL67E53G479E</v>
      </c>
      <c r="N145" s="5" t="s">
        <v>241</v>
      </c>
      <c r="O145" s="5" t="s">
        <v>240</v>
      </c>
      <c r="P145" s="6">
        <v>43950</v>
      </c>
      <c r="Q145" s="5" t="s">
        <v>31</v>
      </c>
      <c r="R145" s="5" t="s">
        <v>32</v>
      </c>
      <c r="S145" s="5" t="s">
        <v>33</v>
      </c>
      <c r="T145" s="5"/>
      <c r="U145" s="7">
        <v>1928.54</v>
      </c>
      <c r="V145" s="5">
        <v>831.59</v>
      </c>
      <c r="W145" s="5">
        <v>767.94</v>
      </c>
      <c r="X145" s="5">
        <v>0</v>
      </c>
      <c r="Y145" s="5">
        <v>329.01</v>
      </c>
    </row>
    <row r="146" spans="1:25" ht="24.75" x14ac:dyDescent="0.25">
      <c r="A146" s="5" t="s">
        <v>26</v>
      </c>
      <c r="B146" s="5" t="s">
        <v>27</v>
      </c>
      <c r="C146" s="5" t="s">
        <v>50</v>
      </c>
      <c r="D146" s="5" t="s">
        <v>62</v>
      </c>
      <c r="E146" s="5" t="s">
        <v>35</v>
      </c>
      <c r="F146" s="5" t="s">
        <v>227</v>
      </c>
      <c r="G146" s="5">
        <v>2019</v>
      </c>
      <c r="H146" s="5" t="str">
        <f>CONCATENATE("94241057051")</f>
        <v>94241057051</v>
      </c>
      <c r="I146" s="5" t="s">
        <v>29</v>
      </c>
      <c r="J146" s="5" t="s">
        <v>36</v>
      </c>
      <c r="K146" s="5" t="str">
        <f>CONCATENATE("")</f>
        <v/>
      </c>
      <c r="L146" s="5" t="str">
        <f>CONCATENATE("10 10.1 4b")</f>
        <v>10 10.1 4b</v>
      </c>
      <c r="M146" s="5" t="str">
        <f>CONCATENATE("FRRSRA57P17G479S")</f>
        <v>FRRSRA57P17G479S</v>
      </c>
      <c r="N146" s="5" t="s">
        <v>242</v>
      </c>
      <c r="O146" s="5" t="s">
        <v>240</v>
      </c>
      <c r="P146" s="6">
        <v>43950</v>
      </c>
      <c r="Q146" s="5" t="s">
        <v>31</v>
      </c>
      <c r="R146" s="5" t="s">
        <v>32</v>
      </c>
      <c r="S146" s="5" t="s">
        <v>33</v>
      </c>
      <c r="T146" s="5"/>
      <c r="U146" s="7">
        <v>2081.46</v>
      </c>
      <c r="V146" s="5">
        <v>897.53</v>
      </c>
      <c r="W146" s="5">
        <v>828.84</v>
      </c>
      <c r="X146" s="5">
        <v>0</v>
      </c>
      <c r="Y146" s="5">
        <v>355.09</v>
      </c>
    </row>
    <row r="147" spans="1:25" ht="24.75" x14ac:dyDescent="0.25">
      <c r="A147" s="5" t="s">
        <v>26</v>
      </c>
      <c r="B147" s="5" t="s">
        <v>34</v>
      </c>
      <c r="C147" s="5" t="s">
        <v>50</v>
      </c>
      <c r="D147" s="5" t="s">
        <v>58</v>
      </c>
      <c r="E147" s="5" t="s">
        <v>44</v>
      </c>
      <c r="F147" s="5" t="s">
        <v>152</v>
      </c>
      <c r="G147" s="5">
        <v>2017</v>
      </c>
      <c r="H147" s="5" t="str">
        <f>CONCATENATE("04270040076")</f>
        <v>04270040076</v>
      </c>
      <c r="I147" s="5" t="s">
        <v>29</v>
      </c>
      <c r="J147" s="5" t="s">
        <v>36</v>
      </c>
      <c r="K147" s="5" t="str">
        <f>CONCATENATE("")</f>
        <v/>
      </c>
      <c r="L147" s="5" t="str">
        <f>CONCATENATE("4 4.1 2a")</f>
        <v>4 4.1 2a</v>
      </c>
      <c r="M147" s="5" t="str">
        <f>CONCATENATE("VTTMTT00B18A462Z")</f>
        <v>VTTMTT00B18A462Z</v>
      </c>
      <c r="N147" s="5" t="s">
        <v>230</v>
      </c>
      <c r="O147" s="5" t="s">
        <v>243</v>
      </c>
      <c r="P147" s="6">
        <v>43950</v>
      </c>
      <c r="Q147" s="5" t="s">
        <v>31</v>
      </c>
      <c r="R147" s="5" t="s">
        <v>41</v>
      </c>
      <c r="S147" s="5" t="s">
        <v>33</v>
      </c>
      <c r="T147" s="5"/>
      <c r="U147" s="7">
        <v>83021.75</v>
      </c>
      <c r="V147" s="7">
        <v>35798.980000000003</v>
      </c>
      <c r="W147" s="7">
        <v>33059.26</v>
      </c>
      <c r="X147" s="5">
        <v>0</v>
      </c>
      <c r="Y147" s="7">
        <v>14163.51</v>
      </c>
    </row>
    <row r="148" spans="1:25" ht="24.75" x14ac:dyDescent="0.25">
      <c r="A148" s="5" t="s">
        <v>26</v>
      </c>
      <c r="B148" s="5" t="s">
        <v>27</v>
      </c>
      <c r="C148" s="5" t="s">
        <v>50</v>
      </c>
      <c r="D148" s="5" t="s">
        <v>51</v>
      </c>
      <c r="E148" s="5" t="s">
        <v>35</v>
      </c>
      <c r="F148" s="5" t="s">
        <v>122</v>
      </c>
      <c r="G148" s="5">
        <v>2018</v>
      </c>
      <c r="H148" s="5" t="str">
        <f>CONCATENATE("84240783971")</f>
        <v>84240783971</v>
      </c>
      <c r="I148" s="5" t="s">
        <v>29</v>
      </c>
      <c r="J148" s="5" t="s">
        <v>36</v>
      </c>
      <c r="K148" s="5" t="str">
        <f>CONCATENATE("")</f>
        <v/>
      </c>
      <c r="L148" s="5" t="str">
        <f>CONCATENATE("10 10.1 4a")</f>
        <v>10 10.1 4a</v>
      </c>
      <c r="M148" s="5" t="str">
        <f>CONCATENATE("BNCMCL71S28H501N")</f>
        <v>BNCMCL71S28H501N</v>
      </c>
      <c r="N148" s="5" t="s">
        <v>244</v>
      </c>
      <c r="O148" s="5" t="s">
        <v>209</v>
      </c>
      <c r="P148" s="6">
        <v>43950</v>
      </c>
      <c r="Q148" s="5" t="s">
        <v>31</v>
      </c>
      <c r="R148" s="5" t="s">
        <v>32</v>
      </c>
      <c r="S148" s="5" t="s">
        <v>33</v>
      </c>
      <c r="T148" s="5"/>
      <c r="U148" s="7">
        <v>1602</v>
      </c>
      <c r="V148" s="5">
        <v>690.78</v>
      </c>
      <c r="W148" s="5">
        <v>637.91999999999996</v>
      </c>
      <c r="X148" s="5">
        <v>0</v>
      </c>
      <c r="Y148" s="5">
        <v>273.3</v>
      </c>
    </row>
    <row r="149" spans="1:25" x14ac:dyDescent="0.25">
      <c r="A149" s="5" t="s">
        <v>26</v>
      </c>
      <c r="B149" s="5" t="s">
        <v>34</v>
      </c>
      <c r="C149" s="5" t="s">
        <v>50</v>
      </c>
      <c r="D149" s="5" t="s">
        <v>50</v>
      </c>
      <c r="E149" s="5" t="s">
        <v>40</v>
      </c>
      <c r="F149" s="5" t="s">
        <v>40</v>
      </c>
      <c r="G149" s="5">
        <v>2017</v>
      </c>
      <c r="H149" s="5" t="str">
        <f>CONCATENATE("94270089710")</f>
        <v>94270089710</v>
      </c>
      <c r="I149" s="5" t="s">
        <v>29</v>
      </c>
      <c r="J149" s="5" t="s">
        <v>36</v>
      </c>
      <c r="K149" s="5" t="str">
        <f>CONCATENATE("")</f>
        <v/>
      </c>
      <c r="L149" s="5" t="str">
        <f>CONCATENATE("19 19.2 6b")</f>
        <v>19 19.2 6b</v>
      </c>
      <c r="M149" s="5" t="str">
        <f>CONCATENATE("81001490440")</f>
        <v>81001490440</v>
      </c>
      <c r="N149" s="5" t="s">
        <v>245</v>
      </c>
      <c r="O149" s="5" t="s">
        <v>246</v>
      </c>
      <c r="P149" s="6">
        <v>43950</v>
      </c>
      <c r="Q149" s="5" t="s">
        <v>31</v>
      </c>
      <c r="R149" s="5" t="s">
        <v>41</v>
      </c>
      <c r="S149" s="5" t="s">
        <v>33</v>
      </c>
      <c r="T149" s="5"/>
      <c r="U149" s="7">
        <v>21820.71</v>
      </c>
      <c r="V149" s="7">
        <v>9409.09</v>
      </c>
      <c r="W149" s="7">
        <v>8689.01</v>
      </c>
      <c r="X149" s="5">
        <v>0</v>
      </c>
      <c r="Y149" s="7">
        <v>3722.61</v>
      </c>
    </row>
    <row r="150" spans="1:25" x14ac:dyDescent="0.25">
      <c r="A150" s="5" t="s">
        <v>26</v>
      </c>
      <c r="B150" s="5" t="s">
        <v>34</v>
      </c>
      <c r="C150" s="5" t="s">
        <v>50</v>
      </c>
      <c r="D150" s="5" t="s">
        <v>50</v>
      </c>
      <c r="E150" s="5" t="s">
        <v>44</v>
      </c>
      <c r="F150" s="5" t="s">
        <v>152</v>
      </c>
      <c r="G150" s="5">
        <v>2017</v>
      </c>
      <c r="H150" s="5" t="str">
        <f>CONCATENATE("04270040043")</f>
        <v>04270040043</v>
      </c>
      <c r="I150" s="5" t="s">
        <v>29</v>
      </c>
      <c r="J150" s="5" t="s">
        <v>36</v>
      </c>
      <c r="K150" s="5" t="str">
        <f>CONCATENATE("")</f>
        <v/>
      </c>
      <c r="L150" s="5" t="str">
        <f>CONCATENATE("19 19.2 6b")</f>
        <v>19 19.2 6b</v>
      </c>
      <c r="M150" s="5" t="str">
        <f>CONCATENATE("00358230449")</f>
        <v>00358230449</v>
      </c>
      <c r="N150" s="5" t="s">
        <v>180</v>
      </c>
      <c r="O150" s="5" t="s">
        <v>247</v>
      </c>
      <c r="P150" s="6">
        <v>43950</v>
      </c>
      <c r="Q150" s="5" t="s">
        <v>31</v>
      </c>
      <c r="R150" s="5" t="s">
        <v>41</v>
      </c>
      <c r="S150" s="5" t="s">
        <v>33</v>
      </c>
      <c r="T150" s="5"/>
      <c r="U150" s="7">
        <v>40000</v>
      </c>
      <c r="V150" s="7">
        <v>17248</v>
      </c>
      <c r="W150" s="7">
        <v>15928</v>
      </c>
      <c r="X150" s="5">
        <v>0</v>
      </c>
      <c r="Y150" s="7">
        <v>6824</v>
      </c>
    </row>
    <row r="151" spans="1:25" ht="24.75" x14ac:dyDescent="0.25">
      <c r="A151" s="5" t="s">
        <v>26</v>
      </c>
      <c r="B151" s="5" t="s">
        <v>27</v>
      </c>
      <c r="C151" s="5" t="s">
        <v>50</v>
      </c>
      <c r="D151" s="5" t="s">
        <v>58</v>
      </c>
      <c r="E151" s="5" t="s">
        <v>35</v>
      </c>
      <c r="F151" s="5" t="s">
        <v>248</v>
      </c>
      <c r="G151" s="5">
        <v>2019</v>
      </c>
      <c r="H151" s="5" t="str">
        <f>CONCATENATE("94770034364")</f>
        <v>94770034364</v>
      </c>
      <c r="I151" s="5" t="s">
        <v>29</v>
      </c>
      <c r="J151" s="5" t="s">
        <v>30</v>
      </c>
      <c r="K151" s="5" t="str">
        <f>CONCATENATE("214")</f>
        <v>214</v>
      </c>
      <c r="L151" s="5" t="str">
        <f>CONCATENATE("11 11.2 4b")</f>
        <v>11 11.2 4b</v>
      </c>
      <c r="M151" s="5" t="str">
        <f>CONCATENATE("NTGGRL54L57C070D")</f>
        <v>NTGGRL54L57C070D</v>
      </c>
      <c r="N151" s="5" t="s">
        <v>249</v>
      </c>
      <c r="O151" s="5" t="s">
        <v>250</v>
      </c>
      <c r="P151" s="6">
        <v>43950</v>
      </c>
      <c r="Q151" s="5" t="s">
        <v>31</v>
      </c>
      <c r="R151" s="5" t="s">
        <v>32</v>
      </c>
      <c r="S151" s="5" t="s">
        <v>33</v>
      </c>
      <c r="T151" s="5"/>
      <c r="U151" s="5">
        <v>108.86</v>
      </c>
      <c r="V151" s="5">
        <v>46.94</v>
      </c>
      <c r="W151" s="5">
        <v>43.35</v>
      </c>
      <c r="X151" s="5">
        <v>0</v>
      </c>
      <c r="Y151" s="5">
        <v>18.57</v>
      </c>
    </row>
    <row r="152" spans="1:25" ht="24.75" x14ac:dyDescent="0.25">
      <c r="A152" s="5" t="s">
        <v>26</v>
      </c>
      <c r="B152" s="5" t="s">
        <v>27</v>
      </c>
      <c r="C152" s="5" t="s">
        <v>50</v>
      </c>
      <c r="D152" s="5" t="s">
        <v>58</v>
      </c>
      <c r="E152" s="5" t="s">
        <v>40</v>
      </c>
      <c r="F152" s="5" t="s">
        <v>40</v>
      </c>
      <c r="G152" s="5">
        <v>2019</v>
      </c>
      <c r="H152" s="5" t="str">
        <f>CONCATENATE("94770045246")</f>
        <v>94770045246</v>
      </c>
      <c r="I152" s="5" t="s">
        <v>37</v>
      </c>
      <c r="J152" s="5" t="s">
        <v>30</v>
      </c>
      <c r="K152" s="5" t="str">
        <f>CONCATENATE("214")</f>
        <v>214</v>
      </c>
      <c r="L152" s="5" t="str">
        <f>CONCATENATE("11 11.2 4b")</f>
        <v>11 11.2 4b</v>
      </c>
      <c r="M152" s="5" t="str">
        <f>CONCATENATE("FLZGNN67P01H769G")</f>
        <v>FLZGNN67P01H769G</v>
      </c>
      <c r="N152" s="5" t="s">
        <v>251</v>
      </c>
      <c r="O152" s="5" t="s">
        <v>250</v>
      </c>
      <c r="P152" s="6">
        <v>43950</v>
      </c>
      <c r="Q152" s="5" t="s">
        <v>31</v>
      </c>
      <c r="R152" s="5" t="s">
        <v>32</v>
      </c>
      <c r="S152" s="5" t="s">
        <v>33</v>
      </c>
      <c r="T152" s="5"/>
      <c r="U152" s="5">
        <v>124.71</v>
      </c>
      <c r="V152" s="5">
        <v>53.77</v>
      </c>
      <c r="W152" s="5">
        <v>49.66</v>
      </c>
      <c r="X152" s="5">
        <v>0</v>
      </c>
      <c r="Y152" s="5">
        <v>21.28</v>
      </c>
    </row>
    <row r="153" spans="1:25" ht="24.75" x14ac:dyDescent="0.25">
      <c r="A153" s="5" t="s">
        <v>26</v>
      </c>
      <c r="B153" s="5" t="s">
        <v>27</v>
      </c>
      <c r="C153" s="5" t="s">
        <v>50</v>
      </c>
      <c r="D153" s="5" t="s">
        <v>58</v>
      </c>
      <c r="E153" s="5" t="s">
        <v>39</v>
      </c>
      <c r="F153" s="5" t="s">
        <v>170</v>
      </c>
      <c r="G153" s="5">
        <v>2019</v>
      </c>
      <c r="H153" s="5" t="str">
        <f>CONCATENATE("94770005091")</f>
        <v>94770005091</v>
      </c>
      <c r="I153" s="5" t="s">
        <v>29</v>
      </c>
      <c r="J153" s="5" t="s">
        <v>30</v>
      </c>
      <c r="K153" s="5" t="str">
        <f>CONCATENATE("214")</f>
        <v>214</v>
      </c>
      <c r="L153" s="5" t="str">
        <f>CONCATENATE("11 11.1 4b")</f>
        <v>11 11.1 4b</v>
      </c>
      <c r="M153" s="5" t="str">
        <f>CONCATENATE("02058680444")</f>
        <v>02058680444</v>
      </c>
      <c r="N153" s="5" t="s">
        <v>252</v>
      </c>
      <c r="O153" s="5" t="s">
        <v>250</v>
      </c>
      <c r="P153" s="6">
        <v>43950</v>
      </c>
      <c r="Q153" s="5" t="s">
        <v>31</v>
      </c>
      <c r="R153" s="5" t="s">
        <v>32</v>
      </c>
      <c r="S153" s="5" t="s">
        <v>33</v>
      </c>
      <c r="T153" s="5"/>
      <c r="U153" s="7">
        <v>1320.09</v>
      </c>
      <c r="V153" s="5">
        <v>569.22</v>
      </c>
      <c r="W153" s="5">
        <v>525.66</v>
      </c>
      <c r="X153" s="5">
        <v>0</v>
      </c>
      <c r="Y153" s="5">
        <v>225.21</v>
      </c>
    </row>
    <row r="154" spans="1:25" x14ac:dyDescent="0.25">
      <c r="A154" s="5" t="s">
        <v>26</v>
      </c>
      <c r="B154" s="5" t="s">
        <v>34</v>
      </c>
      <c r="C154" s="5" t="s">
        <v>50</v>
      </c>
      <c r="D154" s="5" t="s">
        <v>50</v>
      </c>
      <c r="E154" s="5" t="s">
        <v>40</v>
      </c>
      <c r="F154" s="5" t="s">
        <v>40</v>
      </c>
      <c r="G154" s="5">
        <v>2017</v>
      </c>
      <c r="H154" s="5" t="str">
        <f>CONCATENATE("04270040035")</f>
        <v>04270040035</v>
      </c>
      <c r="I154" s="5" t="s">
        <v>29</v>
      </c>
      <c r="J154" s="5" t="s">
        <v>36</v>
      </c>
      <c r="K154" s="5" t="str">
        <f>CONCATENATE("")</f>
        <v/>
      </c>
      <c r="L154" s="5" t="str">
        <f>CONCATENATE("19 19.2 6b")</f>
        <v>19 19.2 6b</v>
      </c>
      <c r="M154" s="5" t="str">
        <f>CONCATENATE("00376660445")</f>
        <v>00376660445</v>
      </c>
      <c r="N154" s="5" t="s">
        <v>253</v>
      </c>
      <c r="O154" s="5" t="s">
        <v>247</v>
      </c>
      <c r="P154" s="6">
        <v>43950</v>
      </c>
      <c r="Q154" s="5" t="s">
        <v>31</v>
      </c>
      <c r="R154" s="5" t="s">
        <v>41</v>
      </c>
      <c r="S154" s="5" t="s">
        <v>33</v>
      </c>
      <c r="T154" s="5"/>
      <c r="U154" s="7">
        <v>18237.47</v>
      </c>
      <c r="V154" s="7">
        <v>7864</v>
      </c>
      <c r="W154" s="7">
        <v>7262.16</v>
      </c>
      <c r="X154" s="5">
        <v>0</v>
      </c>
      <c r="Y154" s="7">
        <v>3111.31</v>
      </c>
    </row>
    <row r="155" spans="1:25" ht="24.75" x14ac:dyDescent="0.25">
      <c r="A155" s="5" t="s">
        <v>26</v>
      </c>
      <c r="B155" s="5" t="s">
        <v>27</v>
      </c>
      <c r="C155" s="5" t="s">
        <v>50</v>
      </c>
      <c r="D155" s="5" t="s">
        <v>58</v>
      </c>
      <c r="E155" s="5" t="s">
        <v>35</v>
      </c>
      <c r="F155" s="5" t="s">
        <v>165</v>
      </c>
      <c r="G155" s="5">
        <v>2019</v>
      </c>
      <c r="H155" s="5" t="str">
        <f>CONCATENATE("94770037383")</f>
        <v>94770037383</v>
      </c>
      <c r="I155" s="5" t="s">
        <v>29</v>
      </c>
      <c r="J155" s="5" t="s">
        <v>30</v>
      </c>
      <c r="K155" s="5" t="str">
        <f>CONCATENATE("214")</f>
        <v>214</v>
      </c>
      <c r="L155" s="5" t="str">
        <f>CONCATENATE("11 11.1 4b")</f>
        <v>11 11.1 4b</v>
      </c>
      <c r="M155" s="5" t="str">
        <f>CONCATENATE("CCRMLR52H58A047W")</f>
        <v>CCRMLR52H58A047W</v>
      </c>
      <c r="N155" s="5" t="s">
        <v>254</v>
      </c>
      <c r="O155" s="5" t="s">
        <v>250</v>
      </c>
      <c r="P155" s="6">
        <v>43950</v>
      </c>
      <c r="Q155" s="5" t="s">
        <v>31</v>
      </c>
      <c r="R155" s="5" t="s">
        <v>32</v>
      </c>
      <c r="S155" s="5" t="s">
        <v>33</v>
      </c>
      <c r="T155" s="5"/>
      <c r="U155" s="5">
        <v>131.53</v>
      </c>
      <c r="V155" s="5">
        <v>56.72</v>
      </c>
      <c r="W155" s="5">
        <v>52.38</v>
      </c>
      <c r="X155" s="5">
        <v>0</v>
      </c>
      <c r="Y155" s="5">
        <v>22.43</v>
      </c>
    </row>
    <row r="156" spans="1:25" ht="24.75" x14ac:dyDescent="0.25">
      <c r="A156" s="5" t="s">
        <v>26</v>
      </c>
      <c r="B156" s="5" t="s">
        <v>27</v>
      </c>
      <c r="C156" s="5" t="s">
        <v>50</v>
      </c>
      <c r="D156" s="5" t="s">
        <v>58</v>
      </c>
      <c r="E156" s="5" t="s">
        <v>39</v>
      </c>
      <c r="F156" s="5" t="s">
        <v>170</v>
      </c>
      <c r="G156" s="5">
        <v>2019</v>
      </c>
      <c r="H156" s="5" t="str">
        <f>CONCATENATE("94770035767")</f>
        <v>94770035767</v>
      </c>
      <c r="I156" s="5" t="s">
        <v>29</v>
      </c>
      <c r="J156" s="5" t="s">
        <v>30</v>
      </c>
      <c r="K156" s="5" t="str">
        <f>CONCATENATE("214")</f>
        <v>214</v>
      </c>
      <c r="L156" s="5" t="str">
        <f>CONCATENATE("11 11.2 4b")</f>
        <v>11 11.2 4b</v>
      </c>
      <c r="M156" s="5" t="str">
        <f>CONCATENATE("NGLMGR60P41G516B")</f>
        <v>NGLMGR60P41G516B</v>
      </c>
      <c r="N156" s="5" t="s">
        <v>255</v>
      </c>
      <c r="O156" s="5" t="s">
        <v>250</v>
      </c>
      <c r="P156" s="6">
        <v>43950</v>
      </c>
      <c r="Q156" s="5" t="s">
        <v>31</v>
      </c>
      <c r="R156" s="5" t="s">
        <v>32</v>
      </c>
      <c r="S156" s="5" t="s">
        <v>33</v>
      </c>
      <c r="T156" s="5"/>
      <c r="U156" s="5">
        <v>674.72</v>
      </c>
      <c r="V156" s="5">
        <v>290.94</v>
      </c>
      <c r="W156" s="5">
        <v>268.67</v>
      </c>
      <c r="X156" s="5">
        <v>0</v>
      </c>
      <c r="Y156" s="5">
        <v>115.11</v>
      </c>
    </row>
    <row r="157" spans="1:25" ht="24.75" x14ac:dyDescent="0.25">
      <c r="A157" s="5" t="s">
        <v>26</v>
      </c>
      <c r="B157" s="5" t="s">
        <v>27</v>
      </c>
      <c r="C157" s="5" t="s">
        <v>50</v>
      </c>
      <c r="D157" s="5" t="s">
        <v>51</v>
      </c>
      <c r="E157" s="5" t="s">
        <v>38</v>
      </c>
      <c r="F157" s="5" t="s">
        <v>91</v>
      </c>
      <c r="G157" s="5">
        <v>2019</v>
      </c>
      <c r="H157" s="5" t="str">
        <f>CONCATENATE("94770045006")</f>
        <v>94770045006</v>
      </c>
      <c r="I157" s="5" t="s">
        <v>29</v>
      </c>
      <c r="J157" s="5" t="s">
        <v>30</v>
      </c>
      <c r="K157" s="5" t="str">
        <f>CONCATENATE("214")</f>
        <v>214</v>
      </c>
      <c r="L157" s="5" t="str">
        <f>CONCATENATE("11 11.2 4b")</f>
        <v>11 11.2 4b</v>
      </c>
      <c r="M157" s="5" t="str">
        <f>CONCATENATE("CRZMRC79E31F979D")</f>
        <v>CRZMRC79E31F979D</v>
      </c>
      <c r="N157" s="5" t="s">
        <v>256</v>
      </c>
      <c r="O157" s="5" t="s">
        <v>250</v>
      </c>
      <c r="P157" s="6">
        <v>43950</v>
      </c>
      <c r="Q157" s="5" t="s">
        <v>31</v>
      </c>
      <c r="R157" s="5" t="s">
        <v>32</v>
      </c>
      <c r="S157" s="5" t="s">
        <v>33</v>
      </c>
      <c r="T157" s="5"/>
      <c r="U157" s="7">
        <v>5812.56</v>
      </c>
      <c r="V157" s="7">
        <v>2506.38</v>
      </c>
      <c r="W157" s="7">
        <v>2314.56</v>
      </c>
      <c r="X157" s="5">
        <v>0</v>
      </c>
      <c r="Y157" s="5">
        <v>991.62</v>
      </c>
    </row>
    <row r="158" spans="1:25" ht="24.75" x14ac:dyDescent="0.25">
      <c r="A158" s="5" t="s">
        <v>26</v>
      </c>
      <c r="B158" s="5" t="s">
        <v>27</v>
      </c>
      <c r="C158" s="5" t="s">
        <v>50</v>
      </c>
      <c r="D158" s="5" t="s">
        <v>58</v>
      </c>
      <c r="E158" s="5" t="s">
        <v>39</v>
      </c>
      <c r="F158" s="5" t="s">
        <v>170</v>
      </c>
      <c r="G158" s="5">
        <v>2019</v>
      </c>
      <c r="H158" s="5" t="str">
        <f>CONCATENATE("94770029836")</f>
        <v>94770029836</v>
      </c>
      <c r="I158" s="5" t="s">
        <v>29</v>
      </c>
      <c r="J158" s="5" t="s">
        <v>30</v>
      </c>
      <c r="K158" s="5" t="str">
        <f>CONCATENATE("214")</f>
        <v>214</v>
      </c>
      <c r="L158" s="5" t="str">
        <f>CONCATENATE("11 11.2 4b")</f>
        <v>11 11.2 4b</v>
      </c>
      <c r="M158" s="5" t="str">
        <f>CONCATENATE("01302930449")</f>
        <v>01302930449</v>
      </c>
      <c r="N158" s="5" t="s">
        <v>257</v>
      </c>
      <c r="O158" s="5" t="s">
        <v>250</v>
      </c>
      <c r="P158" s="6">
        <v>43950</v>
      </c>
      <c r="Q158" s="5" t="s">
        <v>31</v>
      </c>
      <c r="R158" s="5" t="s">
        <v>32</v>
      </c>
      <c r="S158" s="5" t="s">
        <v>33</v>
      </c>
      <c r="T158" s="5"/>
      <c r="U158" s="7">
        <v>1377.89</v>
      </c>
      <c r="V158" s="5">
        <v>594.15</v>
      </c>
      <c r="W158" s="5">
        <v>548.67999999999995</v>
      </c>
      <c r="X158" s="5">
        <v>0</v>
      </c>
      <c r="Y158" s="5">
        <v>235.06</v>
      </c>
    </row>
    <row r="159" spans="1:25" ht="24.75" x14ac:dyDescent="0.25">
      <c r="A159" s="5" t="s">
        <v>26</v>
      </c>
      <c r="B159" s="5" t="s">
        <v>27</v>
      </c>
      <c r="C159" s="5" t="s">
        <v>50</v>
      </c>
      <c r="D159" s="5" t="s">
        <v>58</v>
      </c>
      <c r="E159" s="5" t="s">
        <v>43</v>
      </c>
      <c r="F159" s="5" t="s">
        <v>258</v>
      </c>
      <c r="G159" s="5">
        <v>2019</v>
      </c>
      <c r="H159" s="5" t="str">
        <f>CONCATENATE("94770002908")</f>
        <v>94770002908</v>
      </c>
      <c r="I159" s="5" t="s">
        <v>29</v>
      </c>
      <c r="J159" s="5" t="s">
        <v>30</v>
      </c>
      <c r="K159" s="5" t="str">
        <f>CONCATENATE("214")</f>
        <v>214</v>
      </c>
      <c r="L159" s="5" t="str">
        <f>CONCATENATE("11 11.1 4b")</f>
        <v>11 11.1 4b</v>
      </c>
      <c r="M159" s="5" t="str">
        <f>CONCATENATE("FLPLBN48E16A462J")</f>
        <v>FLPLBN48E16A462J</v>
      </c>
      <c r="N159" s="5" t="s">
        <v>259</v>
      </c>
      <c r="O159" s="5" t="s">
        <v>250</v>
      </c>
      <c r="P159" s="6">
        <v>43950</v>
      </c>
      <c r="Q159" s="5" t="s">
        <v>31</v>
      </c>
      <c r="R159" s="5" t="s">
        <v>32</v>
      </c>
      <c r="S159" s="5" t="s">
        <v>33</v>
      </c>
      <c r="T159" s="5"/>
      <c r="U159" s="5">
        <v>409.98</v>
      </c>
      <c r="V159" s="5">
        <v>176.78</v>
      </c>
      <c r="W159" s="5">
        <v>163.25</v>
      </c>
      <c r="X159" s="5">
        <v>0</v>
      </c>
      <c r="Y159" s="5">
        <v>69.95</v>
      </c>
    </row>
    <row r="160" spans="1:25" ht="24.75" x14ac:dyDescent="0.25">
      <c r="A160" s="5" t="s">
        <v>26</v>
      </c>
      <c r="B160" s="5" t="s">
        <v>27</v>
      </c>
      <c r="C160" s="5" t="s">
        <v>50</v>
      </c>
      <c r="D160" s="5" t="s">
        <v>58</v>
      </c>
      <c r="E160" s="5" t="s">
        <v>35</v>
      </c>
      <c r="F160" s="5" t="s">
        <v>260</v>
      </c>
      <c r="G160" s="5">
        <v>2019</v>
      </c>
      <c r="H160" s="5" t="str">
        <f>CONCATENATE("94770016239")</f>
        <v>94770016239</v>
      </c>
      <c r="I160" s="5" t="s">
        <v>29</v>
      </c>
      <c r="J160" s="5" t="s">
        <v>30</v>
      </c>
      <c r="K160" s="5" t="str">
        <f>CONCATENATE("214")</f>
        <v>214</v>
      </c>
      <c r="L160" s="5" t="str">
        <f>CONCATENATE("11 11.1 4b")</f>
        <v>11 11.1 4b</v>
      </c>
      <c r="M160" s="5" t="str">
        <f>CONCATENATE("GNGCST72P15H769H")</f>
        <v>GNGCST72P15H769H</v>
      </c>
      <c r="N160" s="5" t="s">
        <v>261</v>
      </c>
      <c r="O160" s="5" t="s">
        <v>250</v>
      </c>
      <c r="P160" s="6">
        <v>43950</v>
      </c>
      <c r="Q160" s="5" t="s">
        <v>31</v>
      </c>
      <c r="R160" s="5" t="s">
        <v>32</v>
      </c>
      <c r="S160" s="5" t="s">
        <v>33</v>
      </c>
      <c r="T160" s="5"/>
      <c r="U160" s="5">
        <v>166.49</v>
      </c>
      <c r="V160" s="5">
        <v>71.790000000000006</v>
      </c>
      <c r="W160" s="5">
        <v>66.3</v>
      </c>
      <c r="X160" s="5">
        <v>0</v>
      </c>
      <c r="Y160" s="5">
        <v>28.4</v>
      </c>
    </row>
    <row r="161" spans="1:25" ht="24.75" x14ac:dyDescent="0.25">
      <c r="A161" s="5" t="s">
        <v>26</v>
      </c>
      <c r="B161" s="5" t="s">
        <v>27</v>
      </c>
      <c r="C161" s="5" t="s">
        <v>50</v>
      </c>
      <c r="D161" s="5" t="s">
        <v>58</v>
      </c>
      <c r="E161" s="5" t="s">
        <v>35</v>
      </c>
      <c r="F161" s="5" t="s">
        <v>165</v>
      </c>
      <c r="G161" s="5">
        <v>2019</v>
      </c>
      <c r="H161" s="5" t="str">
        <f>CONCATENATE("94770043076")</f>
        <v>94770043076</v>
      </c>
      <c r="I161" s="5" t="s">
        <v>29</v>
      </c>
      <c r="J161" s="5" t="s">
        <v>30</v>
      </c>
      <c r="K161" s="5" t="str">
        <f>CONCATENATE("214")</f>
        <v>214</v>
      </c>
      <c r="L161" s="5" t="str">
        <f>CONCATENATE("11 11.2 4b")</f>
        <v>11 11.2 4b</v>
      </c>
      <c r="M161" s="5" t="str">
        <f>CONCATENATE("CRRMNL60B55D210M")</f>
        <v>CRRMNL60B55D210M</v>
      </c>
      <c r="N161" s="5" t="s">
        <v>262</v>
      </c>
      <c r="O161" s="5" t="s">
        <v>250</v>
      </c>
      <c r="P161" s="6">
        <v>43950</v>
      </c>
      <c r="Q161" s="5" t="s">
        <v>31</v>
      </c>
      <c r="R161" s="5" t="s">
        <v>32</v>
      </c>
      <c r="S161" s="5" t="s">
        <v>33</v>
      </c>
      <c r="T161" s="5"/>
      <c r="U161" s="5">
        <v>502.43</v>
      </c>
      <c r="V161" s="5">
        <v>216.65</v>
      </c>
      <c r="W161" s="5">
        <v>200.07</v>
      </c>
      <c r="X161" s="5">
        <v>0</v>
      </c>
      <c r="Y161" s="5">
        <v>85.71</v>
      </c>
    </row>
    <row r="162" spans="1:25" ht="24.75" x14ac:dyDescent="0.25">
      <c r="A162" s="5" t="s">
        <v>26</v>
      </c>
      <c r="B162" s="5" t="s">
        <v>27</v>
      </c>
      <c r="C162" s="5" t="s">
        <v>50</v>
      </c>
      <c r="D162" s="5" t="s">
        <v>62</v>
      </c>
      <c r="E162" s="5" t="s">
        <v>35</v>
      </c>
      <c r="F162" s="5" t="s">
        <v>75</v>
      </c>
      <c r="G162" s="5">
        <v>2019</v>
      </c>
      <c r="H162" s="5" t="str">
        <f>CONCATENATE("94770022815")</f>
        <v>94770022815</v>
      </c>
      <c r="I162" s="5" t="s">
        <v>29</v>
      </c>
      <c r="J162" s="5" t="s">
        <v>30</v>
      </c>
      <c r="K162" s="5" t="str">
        <f>CONCATENATE("214")</f>
        <v>214</v>
      </c>
      <c r="L162" s="5" t="str">
        <f>CONCATENATE("10 10.1 4a")</f>
        <v>10 10.1 4a</v>
      </c>
      <c r="M162" s="5" t="str">
        <f>CONCATENATE("GRRMRC84C03I459K")</f>
        <v>GRRMRC84C03I459K</v>
      </c>
      <c r="N162" s="5" t="s">
        <v>263</v>
      </c>
      <c r="O162" s="5" t="s">
        <v>250</v>
      </c>
      <c r="P162" s="6">
        <v>43950</v>
      </c>
      <c r="Q162" s="5" t="s">
        <v>31</v>
      </c>
      <c r="R162" s="5" t="s">
        <v>32</v>
      </c>
      <c r="S162" s="5" t="s">
        <v>33</v>
      </c>
      <c r="T162" s="5"/>
      <c r="U162" s="7">
        <v>1410</v>
      </c>
      <c r="V162" s="5">
        <v>607.99</v>
      </c>
      <c r="W162" s="5">
        <v>561.46</v>
      </c>
      <c r="X162" s="5">
        <v>0</v>
      </c>
      <c r="Y162" s="5">
        <v>240.55</v>
      </c>
    </row>
    <row r="163" spans="1:25" ht="24.75" x14ac:dyDescent="0.25">
      <c r="A163" s="5" t="s">
        <v>26</v>
      </c>
      <c r="B163" s="5" t="s">
        <v>27</v>
      </c>
      <c r="C163" s="5" t="s">
        <v>50</v>
      </c>
      <c r="D163" s="5" t="s">
        <v>58</v>
      </c>
      <c r="E163" s="5" t="s">
        <v>40</v>
      </c>
      <c r="F163" s="5" t="s">
        <v>40</v>
      </c>
      <c r="G163" s="5">
        <v>2019</v>
      </c>
      <c r="H163" s="5" t="str">
        <f>CONCATENATE("94770038381")</f>
        <v>94770038381</v>
      </c>
      <c r="I163" s="5" t="s">
        <v>29</v>
      </c>
      <c r="J163" s="5" t="s">
        <v>30</v>
      </c>
      <c r="K163" s="5" t="str">
        <f>CONCATENATE("214")</f>
        <v>214</v>
      </c>
      <c r="L163" s="5" t="str">
        <f>CONCATENATE("11 11.2 4b")</f>
        <v>11 11.2 4b</v>
      </c>
      <c r="M163" s="5" t="str">
        <f>CONCATENATE("DNCSVN56T23G005Y")</f>
        <v>DNCSVN56T23G005Y</v>
      </c>
      <c r="N163" s="5" t="s">
        <v>264</v>
      </c>
      <c r="O163" s="5" t="s">
        <v>250</v>
      </c>
      <c r="P163" s="6">
        <v>43950</v>
      </c>
      <c r="Q163" s="5" t="s">
        <v>31</v>
      </c>
      <c r="R163" s="5" t="s">
        <v>32</v>
      </c>
      <c r="S163" s="5" t="s">
        <v>33</v>
      </c>
      <c r="T163" s="5"/>
      <c r="U163" s="5">
        <v>475.5</v>
      </c>
      <c r="V163" s="5">
        <v>205.04</v>
      </c>
      <c r="W163" s="5">
        <v>189.34</v>
      </c>
      <c r="X163" s="5">
        <v>0</v>
      </c>
      <c r="Y163" s="5">
        <v>81.12</v>
      </c>
    </row>
    <row r="164" spans="1:25" ht="24.75" x14ac:dyDescent="0.25">
      <c r="A164" s="5" t="s">
        <v>26</v>
      </c>
      <c r="B164" s="5" t="s">
        <v>27</v>
      </c>
      <c r="C164" s="5" t="s">
        <v>50</v>
      </c>
      <c r="D164" s="5" t="s">
        <v>58</v>
      </c>
      <c r="E164" s="5" t="s">
        <v>39</v>
      </c>
      <c r="F164" s="5" t="s">
        <v>170</v>
      </c>
      <c r="G164" s="5">
        <v>2019</v>
      </c>
      <c r="H164" s="5" t="str">
        <f>CONCATENATE("94770005083")</f>
        <v>94770005083</v>
      </c>
      <c r="I164" s="5" t="s">
        <v>29</v>
      </c>
      <c r="J164" s="5" t="s">
        <v>30</v>
      </c>
      <c r="K164" s="5" t="str">
        <f>CONCATENATE("214")</f>
        <v>214</v>
      </c>
      <c r="L164" s="5" t="str">
        <f>CONCATENATE("11 11.2 4b")</f>
        <v>11 11.2 4b</v>
      </c>
      <c r="M164" s="5" t="str">
        <f>CONCATENATE("SPIPQL40L28H769H")</f>
        <v>SPIPQL40L28H769H</v>
      </c>
      <c r="N164" s="5" t="s">
        <v>265</v>
      </c>
      <c r="O164" s="5" t="s">
        <v>250</v>
      </c>
      <c r="P164" s="6">
        <v>43950</v>
      </c>
      <c r="Q164" s="5" t="s">
        <v>31</v>
      </c>
      <c r="R164" s="5" t="s">
        <v>32</v>
      </c>
      <c r="S164" s="5" t="s">
        <v>33</v>
      </c>
      <c r="T164" s="5"/>
      <c r="U164" s="5">
        <v>174.72</v>
      </c>
      <c r="V164" s="5">
        <v>75.34</v>
      </c>
      <c r="W164" s="5">
        <v>69.569999999999993</v>
      </c>
      <c r="X164" s="5">
        <v>0</v>
      </c>
      <c r="Y164" s="5">
        <v>29.81</v>
      </c>
    </row>
    <row r="165" spans="1:25" ht="24.75" x14ac:dyDescent="0.25">
      <c r="A165" s="5" t="s">
        <v>26</v>
      </c>
      <c r="B165" s="5" t="s">
        <v>27</v>
      </c>
      <c r="C165" s="5" t="s">
        <v>50</v>
      </c>
      <c r="D165" s="5" t="s">
        <v>58</v>
      </c>
      <c r="E165" s="5" t="s">
        <v>35</v>
      </c>
      <c r="F165" s="5" t="s">
        <v>165</v>
      </c>
      <c r="G165" s="5">
        <v>2019</v>
      </c>
      <c r="H165" s="5" t="str">
        <f>CONCATENATE("94770046012")</f>
        <v>94770046012</v>
      </c>
      <c r="I165" s="5" t="s">
        <v>29</v>
      </c>
      <c r="J165" s="5" t="s">
        <v>30</v>
      </c>
      <c r="K165" s="5" t="str">
        <f>CONCATENATE("214")</f>
        <v>214</v>
      </c>
      <c r="L165" s="5" t="str">
        <f>CONCATENATE("11 11.2 4b")</f>
        <v>11 11.2 4b</v>
      </c>
      <c r="M165" s="5" t="str">
        <f>CONCATENATE("PRTVNT68R53H769G")</f>
        <v>PRTVNT68R53H769G</v>
      </c>
      <c r="N165" s="5" t="s">
        <v>266</v>
      </c>
      <c r="O165" s="5" t="s">
        <v>250</v>
      </c>
      <c r="P165" s="6">
        <v>43950</v>
      </c>
      <c r="Q165" s="5" t="s">
        <v>31</v>
      </c>
      <c r="R165" s="5" t="s">
        <v>32</v>
      </c>
      <c r="S165" s="5" t="s">
        <v>33</v>
      </c>
      <c r="T165" s="5"/>
      <c r="U165" s="5">
        <v>107.97</v>
      </c>
      <c r="V165" s="5">
        <v>46.56</v>
      </c>
      <c r="W165" s="5">
        <v>42.99</v>
      </c>
      <c r="X165" s="5">
        <v>0</v>
      </c>
      <c r="Y165" s="5">
        <v>18.420000000000002</v>
      </c>
    </row>
    <row r="166" spans="1:25" ht="24.75" x14ac:dyDescent="0.25">
      <c r="A166" s="5" t="s">
        <v>26</v>
      </c>
      <c r="B166" s="5" t="s">
        <v>27</v>
      </c>
      <c r="C166" s="5" t="s">
        <v>50</v>
      </c>
      <c r="D166" s="5" t="s">
        <v>58</v>
      </c>
      <c r="E166" s="5" t="s">
        <v>39</v>
      </c>
      <c r="F166" s="5" t="s">
        <v>170</v>
      </c>
      <c r="G166" s="5">
        <v>2019</v>
      </c>
      <c r="H166" s="5" t="str">
        <f>CONCATENATE("94770005117")</f>
        <v>94770005117</v>
      </c>
      <c r="I166" s="5" t="s">
        <v>29</v>
      </c>
      <c r="J166" s="5" t="s">
        <v>30</v>
      </c>
      <c r="K166" s="5" t="str">
        <f>CONCATENATE("214")</f>
        <v>214</v>
      </c>
      <c r="L166" s="5" t="str">
        <f>CONCATENATE("11 11.2 4b")</f>
        <v>11 11.2 4b</v>
      </c>
      <c r="M166" s="5" t="str">
        <f>CONCATENATE("RCCBRN41E23H321D")</f>
        <v>RCCBRN41E23H321D</v>
      </c>
      <c r="N166" s="5" t="s">
        <v>267</v>
      </c>
      <c r="O166" s="5" t="s">
        <v>250</v>
      </c>
      <c r="P166" s="6">
        <v>43950</v>
      </c>
      <c r="Q166" s="5" t="s">
        <v>31</v>
      </c>
      <c r="R166" s="5" t="s">
        <v>32</v>
      </c>
      <c r="S166" s="5" t="s">
        <v>33</v>
      </c>
      <c r="T166" s="5"/>
      <c r="U166" s="5">
        <v>869</v>
      </c>
      <c r="V166" s="5">
        <v>374.71</v>
      </c>
      <c r="W166" s="5">
        <v>346.04</v>
      </c>
      <c r="X166" s="5">
        <v>0</v>
      </c>
      <c r="Y166" s="5">
        <v>148.25</v>
      </c>
    </row>
    <row r="167" spans="1:25" ht="24.75" x14ac:dyDescent="0.25">
      <c r="A167" s="5" t="s">
        <v>26</v>
      </c>
      <c r="B167" s="5" t="s">
        <v>27</v>
      </c>
      <c r="C167" s="5" t="s">
        <v>50</v>
      </c>
      <c r="D167" s="5" t="s">
        <v>58</v>
      </c>
      <c r="E167" s="5" t="s">
        <v>35</v>
      </c>
      <c r="F167" s="5" t="s">
        <v>165</v>
      </c>
      <c r="G167" s="5">
        <v>2019</v>
      </c>
      <c r="H167" s="5" t="str">
        <f>CONCATENATE("94770029893")</f>
        <v>94770029893</v>
      </c>
      <c r="I167" s="5" t="s">
        <v>29</v>
      </c>
      <c r="J167" s="5" t="s">
        <v>30</v>
      </c>
      <c r="K167" s="5" t="str">
        <f>CONCATENATE("214")</f>
        <v>214</v>
      </c>
      <c r="L167" s="5" t="str">
        <f>CONCATENATE("11 11.2 4b")</f>
        <v>11 11.2 4b</v>
      </c>
      <c r="M167" s="5" t="str">
        <f>CONCATENATE("DMTSTN48L20L597W")</f>
        <v>DMTSTN48L20L597W</v>
      </c>
      <c r="N167" s="5" t="s">
        <v>268</v>
      </c>
      <c r="O167" s="5" t="s">
        <v>250</v>
      </c>
      <c r="P167" s="6">
        <v>43950</v>
      </c>
      <c r="Q167" s="5" t="s">
        <v>31</v>
      </c>
      <c r="R167" s="5" t="s">
        <v>32</v>
      </c>
      <c r="S167" s="5" t="s">
        <v>33</v>
      </c>
      <c r="T167" s="5"/>
      <c r="U167" s="5">
        <v>522.47</v>
      </c>
      <c r="V167" s="5">
        <v>225.29</v>
      </c>
      <c r="W167" s="5">
        <v>208.05</v>
      </c>
      <c r="X167" s="5">
        <v>0</v>
      </c>
      <c r="Y167" s="5">
        <v>89.13</v>
      </c>
    </row>
    <row r="168" spans="1:25" ht="24.75" x14ac:dyDescent="0.25">
      <c r="A168" s="5" t="s">
        <v>26</v>
      </c>
      <c r="B168" s="5" t="s">
        <v>27</v>
      </c>
      <c r="C168" s="5" t="s">
        <v>50</v>
      </c>
      <c r="D168" s="5" t="s">
        <v>58</v>
      </c>
      <c r="E168" s="5" t="s">
        <v>39</v>
      </c>
      <c r="F168" s="5" t="s">
        <v>170</v>
      </c>
      <c r="G168" s="5">
        <v>2019</v>
      </c>
      <c r="H168" s="5" t="str">
        <f>CONCATENATE("94770041088")</f>
        <v>94770041088</v>
      </c>
      <c r="I168" s="5" t="s">
        <v>29</v>
      </c>
      <c r="J168" s="5" t="s">
        <v>30</v>
      </c>
      <c r="K168" s="5" t="str">
        <f>CONCATENATE("214")</f>
        <v>214</v>
      </c>
      <c r="L168" s="5" t="str">
        <f>CONCATENATE("11 11.2 4b")</f>
        <v>11 11.2 4b</v>
      </c>
      <c r="M168" s="5" t="str">
        <f>CONCATENATE("01068800448")</f>
        <v>01068800448</v>
      </c>
      <c r="N168" s="5" t="s">
        <v>269</v>
      </c>
      <c r="O168" s="5" t="s">
        <v>250</v>
      </c>
      <c r="P168" s="6">
        <v>43950</v>
      </c>
      <c r="Q168" s="5" t="s">
        <v>31</v>
      </c>
      <c r="R168" s="5" t="s">
        <v>32</v>
      </c>
      <c r="S168" s="5" t="s">
        <v>33</v>
      </c>
      <c r="T168" s="5"/>
      <c r="U168" s="7">
        <v>1213.8499999999999</v>
      </c>
      <c r="V168" s="5">
        <v>523.41</v>
      </c>
      <c r="W168" s="5">
        <v>483.36</v>
      </c>
      <c r="X168" s="5">
        <v>0</v>
      </c>
      <c r="Y168" s="5">
        <v>207.08</v>
      </c>
    </row>
    <row r="169" spans="1:25" ht="24.75" x14ac:dyDescent="0.25">
      <c r="A169" s="5" t="s">
        <v>26</v>
      </c>
      <c r="B169" s="5" t="s">
        <v>27</v>
      </c>
      <c r="C169" s="5" t="s">
        <v>50</v>
      </c>
      <c r="D169" s="5" t="s">
        <v>62</v>
      </c>
      <c r="E169" s="5" t="s">
        <v>28</v>
      </c>
      <c r="F169" s="5" t="s">
        <v>117</v>
      </c>
      <c r="G169" s="5">
        <v>2019</v>
      </c>
      <c r="H169" s="5" t="str">
        <f>CONCATENATE("94770009655")</f>
        <v>94770009655</v>
      </c>
      <c r="I169" s="5" t="s">
        <v>29</v>
      </c>
      <c r="J169" s="5" t="s">
        <v>30</v>
      </c>
      <c r="K169" s="5" t="str">
        <f>CONCATENATE("214")</f>
        <v>214</v>
      </c>
      <c r="L169" s="5" t="str">
        <f>CONCATENATE("10 10.1 4a")</f>
        <v>10 10.1 4a</v>
      </c>
      <c r="M169" s="5" t="str">
        <f>CONCATENATE("FSCGPP53E11F136F")</f>
        <v>FSCGPP53E11F136F</v>
      </c>
      <c r="N169" s="5" t="s">
        <v>270</v>
      </c>
      <c r="O169" s="5" t="s">
        <v>250</v>
      </c>
      <c r="P169" s="6">
        <v>43950</v>
      </c>
      <c r="Q169" s="5" t="s">
        <v>31</v>
      </c>
      <c r="R169" s="5" t="s">
        <v>32</v>
      </c>
      <c r="S169" s="5" t="s">
        <v>33</v>
      </c>
      <c r="T169" s="5"/>
      <c r="U169" s="5">
        <v>930</v>
      </c>
      <c r="V169" s="5">
        <v>401.02</v>
      </c>
      <c r="W169" s="5">
        <v>370.33</v>
      </c>
      <c r="X169" s="5">
        <v>0</v>
      </c>
      <c r="Y169" s="5">
        <v>158.65</v>
      </c>
    </row>
    <row r="170" spans="1:25" ht="24.75" x14ac:dyDescent="0.25">
      <c r="A170" s="5" t="s">
        <v>26</v>
      </c>
      <c r="B170" s="5" t="s">
        <v>27</v>
      </c>
      <c r="C170" s="5" t="s">
        <v>50</v>
      </c>
      <c r="D170" s="5" t="s">
        <v>58</v>
      </c>
      <c r="E170" s="5" t="s">
        <v>28</v>
      </c>
      <c r="F170" s="5" t="s">
        <v>59</v>
      </c>
      <c r="G170" s="5">
        <v>2019</v>
      </c>
      <c r="H170" s="5" t="str">
        <f>CONCATENATE("94770003039")</f>
        <v>94770003039</v>
      </c>
      <c r="I170" s="5" t="s">
        <v>29</v>
      </c>
      <c r="J170" s="5" t="s">
        <v>30</v>
      </c>
      <c r="K170" s="5" t="str">
        <f>CONCATENATE("214")</f>
        <v>214</v>
      </c>
      <c r="L170" s="5" t="str">
        <f>CONCATENATE("11 11.2 4b")</f>
        <v>11 11.2 4b</v>
      </c>
      <c r="M170" s="5" t="str">
        <f>CONCATENATE("00112000443")</f>
        <v>00112000443</v>
      </c>
      <c r="N170" s="5" t="s">
        <v>271</v>
      </c>
      <c r="O170" s="5" t="s">
        <v>250</v>
      </c>
      <c r="P170" s="6">
        <v>43950</v>
      </c>
      <c r="Q170" s="5" t="s">
        <v>31</v>
      </c>
      <c r="R170" s="5" t="s">
        <v>32</v>
      </c>
      <c r="S170" s="5" t="s">
        <v>33</v>
      </c>
      <c r="T170" s="5"/>
      <c r="U170" s="7">
        <v>2313.04</v>
      </c>
      <c r="V170" s="5">
        <v>997.38</v>
      </c>
      <c r="W170" s="5">
        <v>921.05</v>
      </c>
      <c r="X170" s="5">
        <v>0</v>
      </c>
      <c r="Y170" s="5">
        <v>394.61</v>
      </c>
    </row>
    <row r="171" spans="1:25" ht="24.75" x14ac:dyDescent="0.25">
      <c r="A171" s="5" t="s">
        <v>26</v>
      </c>
      <c r="B171" s="5" t="s">
        <v>27</v>
      </c>
      <c r="C171" s="5" t="s">
        <v>50</v>
      </c>
      <c r="D171" s="5" t="s">
        <v>58</v>
      </c>
      <c r="E171" s="5" t="s">
        <v>35</v>
      </c>
      <c r="F171" s="5" t="s">
        <v>165</v>
      </c>
      <c r="G171" s="5">
        <v>2019</v>
      </c>
      <c r="H171" s="5" t="str">
        <f>CONCATENATE("94770033788")</f>
        <v>94770033788</v>
      </c>
      <c r="I171" s="5" t="s">
        <v>29</v>
      </c>
      <c r="J171" s="5" t="s">
        <v>30</v>
      </c>
      <c r="K171" s="5" t="str">
        <f>CONCATENATE("214")</f>
        <v>214</v>
      </c>
      <c r="L171" s="5" t="str">
        <f>CONCATENATE("11 11.2 4b")</f>
        <v>11 11.2 4b</v>
      </c>
      <c r="M171" s="5" t="str">
        <f>CONCATENATE("LMNGPP69R02A271F")</f>
        <v>LMNGPP69R02A271F</v>
      </c>
      <c r="N171" s="5" t="s">
        <v>272</v>
      </c>
      <c r="O171" s="5" t="s">
        <v>250</v>
      </c>
      <c r="P171" s="6">
        <v>43950</v>
      </c>
      <c r="Q171" s="5" t="s">
        <v>31</v>
      </c>
      <c r="R171" s="5" t="s">
        <v>32</v>
      </c>
      <c r="S171" s="5" t="s">
        <v>33</v>
      </c>
      <c r="T171" s="5"/>
      <c r="U171" s="7">
        <v>1270.3900000000001</v>
      </c>
      <c r="V171" s="5">
        <v>547.79</v>
      </c>
      <c r="W171" s="5">
        <v>505.87</v>
      </c>
      <c r="X171" s="5">
        <v>0</v>
      </c>
      <c r="Y171" s="5">
        <v>216.73</v>
      </c>
    </row>
    <row r="172" spans="1:25" ht="24.75" x14ac:dyDescent="0.25">
      <c r="A172" s="5" t="s">
        <v>26</v>
      </c>
      <c r="B172" s="5" t="s">
        <v>27</v>
      </c>
      <c r="C172" s="5" t="s">
        <v>50</v>
      </c>
      <c r="D172" s="5" t="s">
        <v>58</v>
      </c>
      <c r="E172" s="5" t="s">
        <v>35</v>
      </c>
      <c r="F172" s="5" t="s">
        <v>260</v>
      </c>
      <c r="G172" s="5">
        <v>2019</v>
      </c>
      <c r="H172" s="5" t="str">
        <f>CONCATENATE("94770007618")</f>
        <v>94770007618</v>
      </c>
      <c r="I172" s="5" t="s">
        <v>29</v>
      </c>
      <c r="J172" s="5" t="s">
        <v>30</v>
      </c>
      <c r="K172" s="5" t="str">
        <f>CONCATENATE("214")</f>
        <v>214</v>
      </c>
      <c r="L172" s="5" t="str">
        <f>CONCATENATE("11 11.1 4b")</f>
        <v>11 11.1 4b</v>
      </c>
      <c r="M172" s="5" t="str">
        <f>CONCATENATE("BSSMDE58L27C321E")</f>
        <v>BSSMDE58L27C321E</v>
      </c>
      <c r="N172" s="5" t="s">
        <v>273</v>
      </c>
      <c r="O172" s="5" t="s">
        <v>250</v>
      </c>
      <c r="P172" s="6">
        <v>43950</v>
      </c>
      <c r="Q172" s="5" t="s">
        <v>31</v>
      </c>
      <c r="R172" s="5" t="s">
        <v>32</v>
      </c>
      <c r="S172" s="5" t="s">
        <v>33</v>
      </c>
      <c r="T172" s="5"/>
      <c r="U172" s="5">
        <v>210.96</v>
      </c>
      <c r="V172" s="5">
        <v>90.97</v>
      </c>
      <c r="W172" s="5">
        <v>84</v>
      </c>
      <c r="X172" s="5">
        <v>0</v>
      </c>
      <c r="Y172" s="5">
        <v>35.99</v>
      </c>
    </row>
    <row r="173" spans="1:25" ht="24.75" x14ac:dyDescent="0.25">
      <c r="A173" s="5" t="s">
        <v>26</v>
      </c>
      <c r="B173" s="5" t="s">
        <v>27</v>
      </c>
      <c r="C173" s="5" t="s">
        <v>50</v>
      </c>
      <c r="D173" s="5" t="s">
        <v>58</v>
      </c>
      <c r="E173" s="5" t="s">
        <v>35</v>
      </c>
      <c r="F173" s="5" t="s">
        <v>274</v>
      </c>
      <c r="G173" s="5">
        <v>2019</v>
      </c>
      <c r="H173" s="5" t="str">
        <f>CONCATENATE("94770052986")</f>
        <v>94770052986</v>
      </c>
      <c r="I173" s="5" t="s">
        <v>29</v>
      </c>
      <c r="J173" s="5" t="s">
        <v>30</v>
      </c>
      <c r="K173" s="5" t="str">
        <f>CONCATENATE("214")</f>
        <v>214</v>
      </c>
      <c r="L173" s="5" t="str">
        <f>CONCATENATE("11 11.1 4b")</f>
        <v>11 11.1 4b</v>
      </c>
      <c r="M173" s="5" t="str">
        <f>CONCATENATE("KLDJNN67T18Z112T")</f>
        <v>KLDJNN67T18Z112T</v>
      </c>
      <c r="N173" s="5" t="s">
        <v>275</v>
      </c>
      <c r="O173" s="5" t="s">
        <v>250</v>
      </c>
      <c r="P173" s="6">
        <v>43950</v>
      </c>
      <c r="Q173" s="5" t="s">
        <v>31</v>
      </c>
      <c r="R173" s="5" t="s">
        <v>32</v>
      </c>
      <c r="S173" s="5" t="s">
        <v>33</v>
      </c>
      <c r="T173" s="5"/>
      <c r="U173" s="5">
        <v>92.94</v>
      </c>
      <c r="V173" s="5">
        <v>40.08</v>
      </c>
      <c r="W173" s="5">
        <v>37.01</v>
      </c>
      <c r="X173" s="5">
        <v>0</v>
      </c>
      <c r="Y173" s="5">
        <v>15.85</v>
      </c>
    </row>
    <row r="174" spans="1:25" ht="24.75" x14ac:dyDescent="0.25">
      <c r="A174" s="5" t="s">
        <v>26</v>
      </c>
      <c r="B174" s="5" t="s">
        <v>27</v>
      </c>
      <c r="C174" s="5" t="s">
        <v>50</v>
      </c>
      <c r="D174" s="5" t="s">
        <v>58</v>
      </c>
      <c r="E174" s="5" t="s">
        <v>39</v>
      </c>
      <c r="F174" s="5" t="s">
        <v>170</v>
      </c>
      <c r="G174" s="5">
        <v>2019</v>
      </c>
      <c r="H174" s="5" t="str">
        <f>CONCATENATE("94770039751")</f>
        <v>94770039751</v>
      </c>
      <c r="I174" s="5" t="s">
        <v>29</v>
      </c>
      <c r="J174" s="5" t="s">
        <v>30</v>
      </c>
      <c r="K174" s="5" t="str">
        <f>CONCATENATE("214")</f>
        <v>214</v>
      </c>
      <c r="L174" s="5" t="str">
        <f>CONCATENATE("11 11.2 4b")</f>
        <v>11 11.2 4b</v>
      </c>
      <c r="M174" s="5" t="str">
        <f>CONCATENATE("02345800441")</f>
        <v>02345800441</v>
      </c>
      <c r="N174" s="5" t="s">
        <v>276</v>
      </c>
      <c r="O174" s="5" t="s">
        <v>250</v>
      </c>
      <c r="P174" s="6">
        <v>43950</v>
      </c>
      <c r="Q174" s="5" t="s">
        <v>31</v>
      </c>
      <c r="R174" s="5" t="s">
        <v>32</v>
      </c>
      <c r="S174" s="5" t="s">
        <v>33</v>
      </c>
      <c r="T174" s="5"/>
      <c r="U174" s="5">
        <v>4.3</v>
      </c>
      <c r="V174" s="5">
        <v>1.85</v>
      </c>
      <c r="W174" s="5">
        <v>1.71</v>
      </c>
      <c r="X174" s="5">
        <v>0</v>
      </c>
      <c r="Y174" s="5">
        <v>0.74</v>
      </c>
    </row>
    <row r="175" spans="1:25" ht="24.75" x14ac:dyDescent="0.25">
      <c r="A175" s="5" t="s">
        <v>26</v>
      </c>
      <c r="B175" s="5" t="s">
        <v>27</v>
      </c>
      <c r="C175" s="5" t="s">
        <v>50</v>
      </c>
      <c r="D175" s="5" t="s">
        <v>58</v>
      </c>
      <c r="E175" s="5" t="s">
        <v>39</v>
      </c>
      <c r="F175" s="5" t="s">
        <v>170</v>
      </c>
      <c r="G175" s="5">
        <v>2019</v>
      </c>
      <c r="H175" s="5" t="str">
        <f>CONCATENATE("94770008376")</f>
        <v>94770008376</v>
      </c>
      <c r="I175" s="5" t="s">
        <v>29</v>
      </c>
      <c r="J175" s="5" t="s">
        <v>30</v>
      </c>
      <c r="K175" s="5" t="str">
        <f>CONCATENATE("214")</f>
        <v>214</v>
      </c>
      <c r="L175" s="5" t="str">
        <f>CONCATENATE("11 11.2 4b")</f>
        <v>11 11.2 4b</v>
      </c>
      <c r="M175" s="5" t="str">
        <f>CONCATENATE("02344710443")</f>
        <v>02344710443</v>
      </c>
      <c r="N175" s="5" t="s">
        <v>277</v>
      </c>
      <c r="O175" s="5" t="s">
        <v>250</v>
      </c>
      <c r="P175" s="6">
        <v>43950</v>
      </c>
      <c r="Q175" s="5" t="s">
        <v>31</v>
      </c>
      <c r="R175" s="5" t="s">
        <v>32</v>
      </c>
      <c r="S175" s="5" t="s">
        <v>33</v>
      </c>
      <c r="T175" s="5"/>
      <c r="U175" s="5">
        <v>130.65</v>
      </c>
      <c r="V175" s="5">
        <v>56.34</v>
      </c>
      <c r="W175" s="5">
        <v>52.02</v>
      </c>
      <c r="X175" s="5">
        <v>0</v>
      </c>
      <c r="Y175" s="5">
        <v>22.29</v>
      </c>
    </row>
    <row r="176" spans="1:25" ht="24.75" x14ac:dyDescent="0.25">
      <c r="A176" s="5" t="s">
        <v>26</v>
      </c>
      <c r="B176" s="5" t="s">
        <v>27</v>
      </c>
      <c r="C176" s="5" t="s">
        <v>50</v>
      </c>
      <c r="D176" s="5" t="s">
        <v>58</v>
      </c>
      <c r="E176" s="5" t="s">
        <v>28</v>
      </c>
      <c r="F176" s="5" t="s">
        <v>65</v>
      </c>
      <c r="G176" s="5">
        <v>2019</v>
      </c>
      <c r="H176" s="5" t="str">
        <f>CONCATENATE("94770028283")</f>
        <v>94770028283</v>
      </c>
      <c r="I176" s="5" t="s">
        <v>29</v>
      </c>
      <c r="J176" s="5" t="s">
        <v>30</v>
      </c>
      <c r="K176" s="5" t="str">
        <f>CONCATENATE("214")</f>
        <v>214</v>
      </c>
      <c r="L176" s="5" t="str">
        <f>CONCATENATE("11 11.2 4b")</f>
        <v>11 11.2 4b</v>
      </c>
      <c r="M176" s="5" t="str">
        <f>CONCATENATE("01287570442")</f>
        <v>01287570442</v>
      </c>
      <c r="N176" s="5" t="s">
        <v>278</v>
      </c>
      <c r="O176" s="5" t="s">
        <v>250</v>
      </c>
      <c r="P176" s="6">
        <v>43950</v>
      </c>
      <c r="Q176" s="5" t="s">
        <v>31</v>
      </c>
      <c r="R176" s="5" t="s">
        <v>32</v>
      </c>
      <c r="S176" s="5" t="s">
        <v>33</v>
      </c>
      <c r="T176" s="5"/>
      <c r="U176" s="7">
        <v>1031.99</v>
      </c>
      <c r="V176" s="5">
        <v>444.99</v>
      </c>
      <c r="W176" s="5">
        <v>410.94</v>
      </c>
      <c r="X176" s="5">
        <v>0</v>
      </c>
      <c r="Y176" s="5">
        <v>176.06</v>
      </c>
    </row>
    <row r="177" spans="1:25" ht="24.75" x14ac:dyDescent="0.25">
      <c r="A177" s="5" t="s">
        <v>26</v>
      </c>
      <c r="B177" s="5" t="s">
        <v>27</v>
      </c>
      <c r="C177" s="5" t="s">
        <v>50</v>
      </c>
      <c r="D177" s="5" t="s">
        <v>58</v>
      </c>
      <c r="E177" s="5" t="s">
        <v>28</v>
      </c>
      <c r="F177" s="5" t="s">
        <v>59</v>
      </c>
      <c r="G177" s="5">
        <v>2019</v>
      </c>
      <c r="H177" s="5" t="str">
        <f>CONCATENATE("94770052747")</f>
        <v>94770052747</v>
      </c>
      <c r="I177" s="5" t="s">
        <v>29</v>
      </c>
      <c r="J177" s="5" t="s">
        <v>30</v>
      </c>
      <c r="K177" s="5" t="str">
        <f>CONCATENATE("214")</f>
        <v>214</v>
      </c>
      <c r="L177" s="5" t="str">
        <f>CONCATENATE("11 11.2 4b")</f>
        <v>11 11.2 4b</v>
      </c>
      <c r="M177" s="5" t="str">
        <f>CONCATENATE("RSSMNL90D15A271F")</f>
        <v>RSSMNL90D15A271F</v>
      </c>
      <c r="N177" s="5" t="s">
        <v>279</v>
      </c>
      <c r="O177" s="5" t="s">
        <v>250</v>
      </c>
      <c r="P177" s="6">
        <v>43950</v>
      </c>
      <c r="Q177" s="5" t="s">
        <v>31</v>
      </c>
      <c r="R177" s="5" t="s">
        <v>32</v>
      </c>
      <c r="S177" s="5" t="s">
        <v>33</v>
      </c>
      <c r="T177" s="5"/>
      <c r="U177" s="5">
        <v>335.69</v>
      </c>
      <c r="V177" s="5">
        <v>144.75</v>
      </c>
      <c r="W177" s="5">
        <v>133.66999999999999</v>
      </c>
      <c r="X177" s="5">
        <v>0</v>
      </c>
      <c r="Y177" s="5">
        <v>57.27</v>
      </c>
    </row>
    <row r="178" spans="1:25" ht="24.75" x14ac:dyDescent="0.25">
      <c r="A178" s="5" t="s">
        <v>26</v>
      </c>
      <c r="B178" s="5" t="s">
        <v>27</v>
      </c>
      <c r="C178" s="5" t="s">
        <v>50</v>
      </c>
      <c r="D178" s="5" t="s">
        <v>58</v>
      </c>
      <c r="E178" s="5" t="s">
        <v>35</v>
      </c>
      <c r="F178" s="5" t="s">
        <v>165</v>
      </c>
      <c r="G178" s="5">
        <v>2019</v>
      </c>
      <c r="H178" s="5" t="str">
        <f>CONCATENATE("94770040494")</f>
        <v>94770040494</v>
      </c>
      <c r="I178" s="5" t="s">
        <v>29</v>
      </c>
      <c r="J178" s="5" t="s">
        <v>30</v>
      </c>
      <c r="K178" s="5" t="str">
        <f>CONCATENATE("214")</f>
        <v>214</v>
      </c>
      <c r="L178" s="5" t="str">
        <f>CONCATENATE("11 11.2 4b")</f>
        <v>11 11.2 4b</v>
      </c>
      <c r="M178" s="5" t="str">
        <f>CONCATENATE("VLPPLA72T54H769L")</f>
        <v>VLPPLA72T54H769L</v>
      </c>
      <c r="N178" s="5" t="s">
        <v>280</v>
      </c>
      <c r="O178" s="5" t="s">
        <v>250</v>
      </c>
      <c r="P178" s="6">
        <v>43950</v>
      </c>
      <c r="Q178" s="5" t="s">
        <v>31</v>
      </c>
      <c r="R178" s="5" t="s">
        <v>32</v>
      </c>
      <c r="S178" s="5" t="s">
        <v>33</v>
      </c>
      <c r="T178" s="5"/>
      <c r="U178" s="5">
        <v>284.73</v>
      </c>
      <c r="V178" s="5">
        <v>122.78</v>
      </c>
      <c r="W178" s="5">
        <v>113.38</v>
      </c>
      <c r="X178" s="5">
        <v>0</v>
      </c>
      <c r="Y178" s="5">
        <v>48.57</v>
      </c>
    </row>
    <row r="179" spans="1:25" ht="24.75" x14ac:dyDescent="0.25">
      <c r="A179" s="5" t="s">
        <v>26</v>
      </c>
      <c r="B179" s="5" t="s">
        <v>27</v>
      </c>
      <c r="C179" s="5" t="s">
        <v>50</v>
      </c>
      <c r="D179" s="5" t="s">
        <v>58</v>
      </c>
      <c r="E179" s="5" t="s">
        <v>28</v>
      </c>
      <c r="F179" s="5" t="s">
        <v>168</v>
      </c>
      <c r="G179" s="5">
        <v>2019</v>
      </c>
      <c r="H179" s="5" t="str">
        <f>CONCATENATE("94770034737")</f>
        <v>94770034737</v>
      </c>
      <c r="I179" s="5" t="s">
        <v>29</v>
      </c>
      <c r="J179" s="5" t="s">
        <v>30</v>
      </c>
      <c r="K179" s="5" t="str">
        <f>CONCATENATE("214")</f>
        <v>214</v>
      </c>
      <c r="L179" s="5" t="str">
        <f>CONCATENATE("11 11.2 4b")</f>
        <v>11 11.2 4b</v>
      </c>
      <c r="M179" s="5" t="str">
        <f>CONCATENATE("MCCMHL88P58D542O")</f>
        <v>MCCMHL88P58D542O</v>
      </c>
      <c r="N179" s="5" t="s">
        <v>281</v>
      </c>
      <c r="O179" s="5" t="s">
        <v>250</v>
      </c>
      <c r="P179" s="6">
        <v>43950</v>
      </c>
      <c r="Q179" s="5" t="s">
        <v>31</v>
      </c>
      <c r="R179" s="5" t="s">
        <v>32</v>
      </c>
      <c r="S179" s="5" t="s">
        <v>33</v>
      </c>
      <c r="T179" s="5"/>
      <c r="U179" s="5">
        <v>203.29</v>
      </c>
      <c r="V179" s="5">
        <v>87.66</v>
      </c>
      <c r="W179" s="5">
        <v>80.95</v>
      </c>
      <c r="X179" s="5">
        <v>0</v>
      </c>
      <c r="Y179" s="5">
        <v>34.68</v>
      </c>
    </row>
    <row r="180" spans="1:25" ht="24.75" x14ac:dyDescent="0.25">
      <c r="A180" s="5" t="s">
        <v>26</v>
      </c>
      <c r="B180" s="5" t="s">
        <v>27</v>
      </c>
      <c r="C180" s="5" t="s">
        <v>50</v>
      </c>
      <c r="D180" s="5" t="s">
        <v>62</v>
      </c>
      <c r="E180" s="5" t="s">
        <v>28</v>
      </c>
      <c r="F180" s="5" t="s">
        <v>117</v>
      </c>
      <c r="G180" s="5">
        <v>2019</v>
      </c>
      <c r="H180" s="5" t="str">
        <f>CONCATENATE("94770009663")</f>
        <v>94770009663</v>
      </c>
      <c r="I180" s="5" t="s">
        <v>29</v>
      </c>
      <c r="J180" s="5" t="s">
        <v>30</v>
      </c>
      <c r="K180" s="5" t="str">
        <f>CONCATENATE("214")</f>
        <v>214</v>
      </c>
      <c r="L180" s="5" t="str">
        <f>CONCATENATE("10 10.1 4a")</f>
        <v>10 10.1 4a</v>
      </c>
      <c r="M180" s="5" t="str">
        <f>CONCATENATE("BLDGZN55M21G551S")</f>
        <v>BLDGZN55M21G551S</v>
      </c>
      <c r="N180" s="5" t="s">
        <v>282</v>
      </c>
      <c r="O180" s="5" t="s">
        <v>250</v>
      </c>
      <c r="P180" s="6">
        <v>43950</v>
      </c>
      <c r="Q180" s="5" t="s">
        <v>31</v>
      </c>
      <c r="R180" s="5" t="s">
        <v>32</v>
      </c>
      <c r="S180" s="5" t="s">
        <v>33</v>
      </c>
      <c r="T180" s="5"/>
      <c r="U180" s="5">
        <v>900</v>
      </c>
      <c r="V180" s="5">
        <v>388.08</v>
      </c>
      <c r="W180" s="5">
        <v>358.38</v>
      </c>
      <c r="X180" s="5">
        <v>0</v>
      </c>
      <c r="Y180" s="5">
        <v>153.54</v>
      </c>
    </row>
    <row r="181" spans="1:25" ht="24.75" x14ac:dyDescent="0.25">
      <c r="A181" s="5" t="s">
        <v>26</v>
      </c>
      <c r="B181" s="5" t="s">
        <v>27</v>
      </c>
      <c r="C181" s="5" t="s">
        <v>50</v>
      </c>
      <c r="D181" s="5" t="s">
        <v>58</v>
      </c>
      <c r="E181" s="5" t="s">
        <v>39</v>
      </c>
      <c r="F181" s="5" t="s">
        <v>170</v>
      </c>
      <c r="G181" s="5">
        <v>2019</v>
      </c>
      <c r="H181" s="5" t="str">
        <f>CONCATENATE("94770005141")</f>
        <v>94770005141</v>
      </c>
      <c r="I181" s="5" t="s">
        <v>29</v>
      </c>
      <c r="J181" s="5" t="s">
        <v>30</v>
      </c>
      <c r="K181" s="5" t="str">
        <f>CONCATENATE("214")</f>
        <v>214</v>
      </c>
      <c r="L181" s="5" t="str">
        <f>CONCATENATE("11 11.2 4b")</f>
        <v>11 11.2 4b</v>
      </c>
      <c r="M181" s="5" t="str">
        <f>CONCATENATE("CNGLGU59T30L728M")</f>
        <v>CNGLGU59T30L728M</v>
      </c>
      <c r="N181" s="5" t="s">
        <v>283</v>
      </c>
      <c r="O181" s="5" t="s">
        <v>250</v>
      </c>
      <c r="P181" s="6">
        <v>43950</v>
      </c>
      <c r="Q181" s="5" t="s">
        <v>31</v>
      </c>
      <c r="R181" s="5" t="s">
        <v>32</v>
      </c>
      <c r="S181" s="5" t="s">
        <v>33</v>
      </c>
      <c r="T181" s="5"/>
      <c r="U181" s="5">
        <v>144.52000000000001</v>
      </c>
      <c r="V181" s="5">
        <v>62.32</v>
      </c>
      <c r="W181" s="5">
        <v>57.55</v>
      </c>
      <c r="X181" s="5">
        <v>0</v>
      </c>
      <c r="Y181" s="5">
        <v>24.65</v>
      </c>
    </row>
    <row r="182" spans="1:25" ht="24.75" x14ac:dyDescent="0.25">
      <c r="A182" s="5" t="s">
        <v>26</v>
      </c>
      <c r="B182" s="5" t="s">
        <v>27</v>
      </c>
      <c r="C182" s="5" t="s">
        <v>50</v>
      </c>
      <c r="D182" s="5" t="s">
        <v>58</v>
      </c>
      <c r="E182" s="5" t="s">
        <v>38</v>
      </c>
      <c r="F182" s="5" t="s">
        <v>284</v>
      </c>
      <c r="G182" s="5">
        <v>2019</v>
      </c>
      <c r="H182" s="5" t="str">
        <f>CONCATENATE("94770008061")</f>
        <v>94770008061</v>
      </c>
      <c r="I182" s="5" t="s">
        <v>29</v>
      </c>
      <c r="J182" s="5" t="s">
        <v>30</v>
      </c>
      <c r="K182" s="5" t="str">
        <f>CONCATENATE("214")</f>
        <v>214</v>
      </c>
      <c r="L182" s="5" t="str">
        <f>CONCATENATE("11 11.2 4b")</f>
        <v>11 11.2 4b</v>
      </c>
      <c r="M182" s="5" t="str">
        <f>CONCATENATE("CTRGCH73H06D542X")</f>
        <v>CTRGCH73H06D542X</v>
      </c>
      <c r="N182" s="5" t="s">
        <v>285</v>
      </c>
      <c r="O182" s="5" t="s">
        <v>250</v>
      </c>
      <c r="P182" s="6">
        <v>43950</v>
      </c>
      <c r="Q182" s="5" t="s">
        <v>31</v>
      </c>
      <c r="R182" s="5" t="s">
        <v>32</v>
      </c>
      <c r="S182" s="5" t="s">
        <v>33</v>
      </c>
      <c r="T182" s="5"/>
      <c r="U182" s="5">
        <v>143.96</v>
      </c>
      <c r="V182" s="5">
        <v>62.08</v>
      </c>
      <c r="W182" s="5">
        <v>57.32</v>
      </c>
      <c r="X182" s="5">
        <v>0</v>
      </c>
      <c r="Y182" s="5">
        <v>24.56</v>
      </c>
    </row>
    <row r="183" spans="1:25" x14ac:dyDescent="0.25">
      <c r="A183" s="5" t="s">
        <v>26</v>
      </c>
      <c r="B183" s="5" t="s">
        <v>27</v>
      </c>
      <c r="C183" s="5" t="s">
        <v>50</v>
      </c>
      <c r="D183" s="5" t="s">
        <v>57</v>
      </c>
      <c r="E183" s="5" t="s">
        <v>45</v>
      </c>
      <c r="F183" s="5" t="s">
        <v>235</v>
      </c>
      <c r="G183" s="5">
        <v>2019</v>
      </c>
      <c r="H183" s="5" t="str">
        <f>CONCATENATE("94240566771")</f>
        <v>94240566771</v>
      </c>
      <c r="I183" s="5" t="s">
        <v>29</v>
      </c>
      <c r="J183" s="5" t="s">
        <v>36</v>
      </c>
      <c r="K183" s="5" t="str">
        <f>CONCATENATE("")</f>
        <v/>
      </c>
      <c r="L183" s="5" t="str">
        <f>CONCATENATE("10 10.1 4a")</f>
        <v>10 10.1 4a</v>
      </c>
      <c r="M183" s="5" t="str">
        <f>CONCATENATE("01944930435")</f>
        <v>01944930435</v>
      </c>
      <c r="N183" s="5" t="s">
        <v>236</v>
      </c>
      <c r="O183" s="5" t="s">
        <v>286</v>
      </c>
      <c r="P183" s="6">
        <v>43950</v>
      </c>
      <c r="Q183" s="5" t="s">
        <v>31</v>
      </c>
      <c r="R183" s="5" t="s">
        <v>32</v>
      </c>
      <c r="S183" s="5" t="s">
        <v>33</v>
      </c>
      <c r="T183" s="5"/>
      <c r="U183" s="7">
        <v>9858.7999999999993</v>
      </c>
      <c r="V183" s="7">
        <v>4251.1099999999997</v>
      </c>
      <c r="W183" s="7">
        <v>3925.77</v>
      </c>
      <c r="X183" s="5">
        <v>0</v>
      </c>
      <c r="Y183" s="7">
        <v>1681.92</v>
      </c>
    </row>
    <row r="184" spans="1:25" x14ac:dyDescent="0.25">
      <c r="A184" s="5" t="s">
        <v>26</v>
      </c>
      <c r="B184" s="5" t="s">
        <v>27</v>
      </c>
      <c r="C184" s="5" t="s">
        <v>50</v>
      </c>
      <c r="D184" s="5" t="s">
        <v>57</v>
      </c>
      <c r="E184" s="5" t="s">
        <v>45</v>
      </c>
      <c r="F184" s="5" t="s">
        <v>235</v>
      </c>
      <c r="G184" s="5">
        <v>2018</v>
      </c>
      <c r="H184" s="5" t="str">
        <f>CONCATENATE("84240427439")</f>
        <v>84240427439</v>
      </c>
      <c r="I184" s="5" t="s">
        <v>29</v>
      </c>
      <c r="J184" s="5" t="s">
        <v>36</v>
      </c>
      <c r="K184" s="5" t="str">
        <f>CONCATENATE("")</f>
        <v/>
      </c>
      <c r="L184" s="5" t="str">
        <f>CONCATENATE("10 10.1 4a")</f>
        <v>10 10.1 4a</v>
      </c>
      <c r="M184" s="5" t="str">
        <f>CONCATENATE("01944930435")</f>
        <v>01944930435</v>
      </c>
      <c r="N184" s="5" t="s">
        <v>236</v>
      </c>
      <c r="O184" s="5" t="s">
        <v>286</v>
      </c>
      <c r="P184" s="6">
        <v>43950</v>
      </c>
      <c r="Q184" s="5" t="s">
        <v>31</v>
      </c>
      <c r="R184" s="5" t="s">
        <v>32</v>
      </c>
      <c r="S184" s="5" t="s">
        <v>33</v>
      </c>
      <c r="T184" s="5"/>
      <c r="U184" s="7">
        <v>9858.7999999999993</v>
      </c>
      <c r="V184" s="7">
        <v>4251.1099999999997</v>
      </c>
      <c r="W184" s="7">
        <v>3925.77</v>
      </c>
      <c r="X184" s="5">
        <v>0</v>
      </c>
      <c r="Y184" s="7">
        <v>1681.92</v>
      </c>
    </row>
    <row r="185" spans="1:25" ht="24.75" x14ac:dyDescent="0.25">
      <c r="A185" s="5" t="s">
        <v>26</v>
      </c>
      <c r="B185" s="5" t="s">
        <v>27</v>
      </c>
      <c r="C185" s="5" t="s">
        <v>50</v>
      </c>
      <c r="D185" s="5" t="s">
        <v>57</v>
      </c>
      <c r="E185" s="5" t="s">
        <v>28</v>
      </c>
      <c r="F185" s="5" t="s">
        <v>287</v>
      </c>
      <c r="G185" s="5">
        <v>2019</v>
      </c>
      <c r="H185" s="5" t="str">
        <f>CONCATENATE("94240673999")</f>
        <v>94240673999</v>
      </c>
      <c r="I185" s="5" t="s">
        <v>29</v>
      </c>
      <c r="J185" s="5" t="s">
        <v>36</v>
      </c>
      <c r="K185" s="5" t="str">
        <f>CONCATENATE("")</f>
        <v/>
      </c>
      <c r="L185" s="5" t="str">
        <f>CONCATENATE("11 11.2 4b")</f>
        <v>11 11.2 4b</v>
      </c>
      <c r="M185" s="5" t="str">
        <f>CONCATENATE("02202680407")</f>
        <v>02202680407</v>
      </c>
      <c r="N185" s="5" t="s">
        <v>288</v>
      </c>
      <c r="O185" s="5" t="s">
        <v>289</v>
      </c>
      <c r="P185" s="6">
        <v>43950</v>
      </c>
      <c r="Q185" s="5" t="s">
        <v>31</v>
      </c>
      <c r="R185" s="5" t="s">
        <v>32</v>
      </c>
      <c r="S185" s="5" t="s">
        <v>33</v>
      </c>
      <c r="T185" s="5"/>
      <c r="U185" s="5">
        <v>699.46</v>
      </c>
      <c r="V185" s="5">
        <v>301.61</v>
      </c>
      <c r="W185" s="5">
        <v>278.52</v>
      </c>
      <c r="X185" s="5">
        <v>0</v>
      </c>
      <c r="Y185" s="5">
        <v>119.33</v>
      </c>
    </row>
    <row r="186" spans="1:25" x14ac:dyDescent="0.25">
      <c r="A186" s="5" t="s">
        <v>26</v>
      </c>
      <c r="B186" s="5" t="s">
        <v>27</v>
      </c>
      <c r="C186" s="5" t="s">
        <v>50</v>
      </c>
      <c r="D186" s="5" t="s">
        <v>57</v>
      </c>
      <c r="E186" s="5" t="s">
        <v>28</v>
      </c>
      <c r="F186" s="5" t="s">
        <v>48</v>
      </c>
      <c r="G186" s="5">
        <v>2017</v>
      </c>
      <c r="H186" s="5" t="str">
        <f>CONCATENATE("74240576418")</f>
        <v>74240576418</v>
      </c>
      <c r="I186" s="5" t="s">
        <v>37</v>
      </c>
      <c r="J186" s="5" t="s">
        <v>36</v>
      </c>
      <c r="K186" s="5" t="str">
        <f>CONCATENATE("")</f>
        <v/>
      </c>
      <c r="L186" s="5" t="str">
        <f>CONCATENATE("11 11.2 4b")</f>
        <v>11 11.2 4b</v>
      </c>
      <c r="M186" s="5" t="str">
        <f>CONCATENATE("SCLRRT58P14D024H")</f>
        <v>SCLRRT58P14D024H</v>
      </c>
      <c r="N186" s="5" t="s">
        <v>237</v>
      </c>
      <c r="O186" s="5" t="s">
        <v>289</v>
      </c>
      <c r="P186" s="6">
        <v>43950</v>
      </c>
      <c r="Q186" s="5" t="s">
        <v>31</v>
      </c>
      <c r="R186" s="5" t="s">
        <v>32</v>
      </c>
      <c r="S186" s="5" t="s">
        <v>33</v>
      </c>
      <c r="T186" s="5"/>
      <c r="U186" s="7">
        <v>16127.91</v>
      </c>
      <c r="V186" s="7">
        <v>6954.35</v>
      </c>
      <c r="W186" s="7">
        <v>6422.13</v>
      </c>
      <c r="X186" s="5">
        <v>0</v>
      </c>
      <c r="Y186" s="7">
        <v>2751.43</v>
      </c>
    </row>
    <row r="187" spans="1:25" ht="24.75" x14ac:dyDescent="0.25">
      <c r="A187" s="5" t="s">
        <v>26</v>
      </c>
      <c r="B187" s="5" t="s">
        <v>27</v>
      </c>
      <c r="C187" s="5" t="s">
        <v>50</v>
      </c>
      <c r="D187" s="5" t="s">
        <v>62</v>
      </c>
      <c r="E187" s="5" t="s">
        <v>35</v>
      </c>
      <c r="F187" s="5" t="s">
        <v>99</v>
      </c>
      <c r="G187" s="5">
        <v>2018</v>
      </c>
      <c r="H187" s="5" t="str">
        <f>CONCATENATE("84240434278")</f>
        <v>84240434278</v>
      </c>
      <c r="I187" s="5" t="s">
        <v>29</v>
      </c>
      <c r="J187" s="5" t="s">
        <v>36</v>
      </c>
      <c r="K187" s="5" t="str">
        <f>CONCATENATE("")</f>
        <v/>
      </c>
      <c r="L187" s="5" t="str">
        <f>CONCATENATE("11 11.2 4b")</f>
        <v>11 11.2 4b</v>
      </c>
      <c r="M187" s="5" t="str">
        <f>CONCATENATE("GRSSNT55R69H501S")</f>
        <v>GRSSNT55R69H501S</v>
      </c>
      <c r="N187" s="5" t="s">
        <v>290</v>
      </c>
      <c r="O187" s="5" t="s">
        <v>289</v>
      </c>
      <c r="P187" s="6">
        <v>43950</v>
      </c>
      <c r="Q187" s="5" t="s">
        <v>31</v>
      </c>
      <c r="R187" s="5" t="s">
        <v>32</v>
      </c>
      <c r="S187" s="5" t="s">
        <v>33</v>
      </c>
      <c r="T187" s="5"/>
      <c r="U187" s="7">
        <v>1201.28</v>
      </c>
      <c r="V187" s="5">
        <v>517.99</v>
      </c>
      <c r="W187" s="5">
        <v>478.35</v>
      </c>
      <c r="X187" s="5">
        <v>0</v>
      </c>
      <c r="Y187" s="5">
        <v>204.94</v>
      </c>
    </row>
    <row r="188" spans="1:25" x14ac:dyDescent="0.25">
      <c r="A188" s="5" t="s">
        <v>26</v>
      </c>
      <c r="B188" s="5" t="s">
        <v>27</v>
      </c>
      <c r="C188" s="5" t="s">
        <v>50</v>
      </c>
      <c r="D188" s="5" t="s">
        <v>57</v>
      </c>
      <c r="E188" s="5" t="s">
        <v>28</v>
      </c>
      <c r="F188" s="5" t="s">
        <v>287</v>
      </c>
      <c r="G188" s="5">
        <v>2018</v>
      </c>
      <c r="H188" s="5" t="str">
        <f>CONCATENATE("84240385934")</f>
        <v>84240385934</v>
      </c>
      <c r="I188" s="5" t="s">
        <v>29</v>
      </c>
      <c r="J188" s="5" t="s">
        <v>36</v>
      </c>
      <c r="K188" s="5" t="str">
        <f>CONCATENATE("")</f>
        <v/>
      </c>
      <c r="L188" s="5" t="str">
        <f>CONCATENATE("11 11.2 4b")</f>
        <v>11 11.2 4b</v>
      </c>
      <c r="M188" s="5" t="str">
        <f>CONCATENATE("01625300437")</f>
        <v>01625300437</v>
      </c>
      <c r="N188" s="5" t="s">
        <v>291</v>
      </c>
      <c r="O188" s="5" t="s">
        <v>289</v>
      </c>
      <c r="P188" s="6">
        <v>43950</v>
      </c>
      <c r="Q188" s="5" t="s">
        <v>31</v>
      </c>
      <c r="R188" s="5" t="s">
        <v>32</v>
      </c>
      <c r="S188" s="5" t="s">
        <v>33</v>
      </c>
      <c r="T188" s="5"/>
      <c r="U188" s="5">
        <v>588.72</v>
      </c>
      <c r="V188" s="5">
        <v>253.86</v>
      </c>
      <c r="W188" s="5">
        <v>234.43</v>
      </c>
      <c r="X188" s="5">
        <v>0</v>
      </c>
      <c r="Y188" s="5">
        <v>100.43</v>
      </c>
    </row>
    <row r="189" spans="1:25" ht="24.75" x14ac:dyDescent="0.25">
      <c r="A189" s="5" t="s">
        <v>26</v>
      </c>
      <c r="B189" s="5" t="s">
        <v>27</v>
      </c>
      <c r="C189" s="5" t="s">
        <v>50</v>
      </c>
      <c r="D189" s="5" t="s">
        <v>57</v>
      </c>
      <c r="E189" s="5" t="s">
        <v>28</v>
      </c>
      <c r="F189" s="5" t="s">
        <v>287</v>
      </c>
      <c r="G189" s="5">
        <v>2018</v>
      </c>
      <c r="H189" s="5" t="str">
        <f>CONCATENATE("84240711550")</f>
        <v>84240711550</v>
      </c>
      <c r="I189" s="5" t="s">
        <v>29</v>
      </c>
      <c r="J189" s="5" t="s">
        <v>36</v>
      </c>
      <c r="K189" s="5" t="str">
        <f>CONCATENATE("")</f>
        <v/>
      </c>
      <c r="L189" s="5" t="str">
        <f>CONCATENATE("11 11.2 4b")</f>
        <v>11 11.2 4b</v>
      </c>
      <c r="M189" s="5" t="str">
        <f>CONCATENATE("02202680407")</f>
        <v>02202680407</v>
      </c>
      <c r="N189" s="5" t="s">
        <v>288</v>
      </c>
      <c r="O189" s="5" t="s">
        <v>289</v>
      </c>
      <c r="P189" s="6">
        <v>43950</v>
      </c>
      <c r="Q189" s="5" t="s">
        <v>31</v>
      </c>
      <c r="R189" s="5" t="s">
        <v>32</v>
      </c>
      <c r="S189" s="5" t="s">
        <v>33</v>
      </c>
      <c r="T189" s="5"/>
      <c r="U189" s="5">
        <v>47.73</v>
      </c>
      <c r="V189" s="5">
        <v>20.58</v>
      </c>
      <c r="W189" s="5">
        <v>19.010000000000002</v>
      </c>
      <c r="X189" s="5">
        <v>0</v>
      </c>
      <c r="Y189" s="5">
        <v>8.14</v>
      </c>
    </row>
    <row r="190" spans="1:25" ht="24.75" x14ac:dyDescent="0.25">
      <c r="A190" s="5" t="s">
        <v>26</v>
      </c>
      <c r="B190" s="5" t="s">
        <v>27</v>
      </c>
      <c r="C190" s="5" t="s">
        <v>50</v>
      </c>
      <c r="D190" s="5" t="s">
        <v>57</v>
      </c>
      <c r="E190" s="5" t="s">
        <v>28</v>
      </c>
      <c r="F190" s="5" t="s">
        <v>233</v>
      </c>
      <c r="G190" s="5">
        <v>2019</v>
      </c>
      <c r="H190" s="5" t="str">
        <f>CONCATENATE("94240792203")</f>
        <v>94240792203</v>
      </c>
      <c r="I190" s="5" t="s">
        <v>29</v>
      </c>
      <c r="J190" s="5" t="s">
        <v>36</v>
      </c>
      <c r="K190" s="5" t="str">
        <f>CONCATENATE("")</f>
        <v/>
      </c>
      <c r="L190" s="5" t="str">
        <f>CONCATENATE("11 11.2 4b")</f>
        <v>11 11.2 4b</v>
      </c>
      <c r="M190" s="5" t="str">
        <f>CONCATENATE("MRNFNC81T03B041Z")</f>
        <v>MRNFNC81T03B041Z</v>
      </c>
      <c r="N190" s="5" t="s">
        <v>292</v>
      </c>
      <c r="O190" s="5" t="s">
        <v>289</v>
      </c>
      <c r="P190" s="6">
        <v>43950</v>
      </c>
      <c r="Q190" s="5" t="s">
        <v>31</v>
      </c>
      <c r="R190" s="5" t="s">
        <v>32</v>
      </c>
      <c r="S190" s="5" t="s">
        <v>33</v>
      </c>
      <c r="T190" s="5"/>
      <c r="U190" s="7">
        <v>2681.56</v>
      </c>
      <c r="V190" s="7">
        <v>1156.29</v>
      </c>
      <c r="W190" s="7">
        <v>1067.8</v>
      </c>
      <c r="X190" s="5">
        <v>0</v>
      </c>
      <c r="Y190" s="5">
        <v>457.47</v>
      </c>
    </row>
    <row r="191" spans="1:25" ht="24.75" x14ac:dyDescent="0.25">
      <c r="A191" s="5" t="s">
        <v>26</v>
      </c>
      <c r="B191" s="5" t="s">
        <v>27</v>
      </c>
      <c r="C191" s="5" t="s">
        <v>50</v>
      </c>
      <c r="D191" s="5" t="s">
        <v>57</v>
      </c>
      <c r="E191" s="5" t="s">
        <v>28</v>
      </c>
      <c r="F191" s="5" t="s">
        <v>222</v>
      </c>
      <c r="G191" s="5">
        <v>2018</v>
      </c>
      <c r="H191" s="5" t="str">
        <f>CONCATENATE("84240387427")</f>
        <v>84240387427</v>
      </c>
      <c r="I191" s="5" t="s">
        <v>29</v>
      </c>
      <c r="J191" s="5" t="s">
        <v>36</v>
      </c>
      <c r="K191" s="5" t="str">
        <f>CONCATENATE("")</f>
        <v/>
      </c>
      <c r="L191" s="5" t="str">
        <f>CONCATENATE("11 11.2 4b")</f>
        <v>11 11.2 4b</v>
      </c>
      <c r="M191" s="5" t="str">
        <f>CONCATENATE("TMBMRA59B13H501S")</f>
        <v>TMBMRA59B13H501S</v>
      </c>
      <c r="N191" s="5" t="s">
        <v>293</v>
      </c>
      <c r="O191" s="5" t="s">
        <v>289</v>
      </c>
      <c r="P191" s="6">
        <v>43950</v>
      </c>
      <c r="Q191" s="5" t="s">
        <v>31</v>
      </c>
      <c r="R191" s="5" t="s">
        <v>32</v>
      </c>
      <c r="S191" s="5" t="s">
        <v>33</v>
      </c>
      <c r="T191" s="5"/>
      <c r="U191" s="7">
        <v>2073.44</v>
      </c>
      <c r="V191" s="5">
        <v>894.07</v>
      </c>
      <c r="W191" s="5">
        <v>825.64</v>
      </c>
      <c r="X191" s="5">
        <v>0</v>
      </c>
      <c r="Y191" s="5">
        <v>353.73</v>
      </c>
    </row>
    <row r="192" spans="1:25" x14ac:dyDescent="0.25">
      <c r="A192" s="5" t="s">
        <v>26</v>
      </c>
      <c r="B192" s="5" t="s">
        <v>27</v>
      </c>
      <c r="C192" s="5" t="s">
        <v>50</v>
      </c>
      <c r="D192" s="5" t="s">
        <v>57</v>
      </c>
      <c r="E192" s="5" t="s">
        <v>28</v>
      </c>
      <c r="F192" s="5" t="s">
        <v>294</v>
      </c>
      <c r="G192" s="5">
        <v>2018</v>
      </c>
      <c r="H192" s="5" t="str">
        <f>CONCATENATE("84240914493")</f>
        <v>84240914493</v>
      </c>
      <c r="I192" s="5" t="s">
        <v>29</v>
      </c>
      <c r="J192" s="5" t="s">
        <v>36</v>
      </c>
      <c r="K192" s="5" t="str">
        <f>CONCATENATE("")</f>
        <v/>
      </c>
      <c r="L192" s="5" t="str">
        <f>CONCATENATE("11 11.2 4b")</f>
        <v>11 11.2 4b</v>
      </c>
      <c r="M192" s="5" t="str">
        <f>CONCATENATE("GRCCRS87B11I158U")</f>
        <v>GRCCRS87B11I158U</v>
      </c>
      <c r="N192" s="5" t="s">
        <v>295</v>
      </c>
      <c r="O192" s="5" t="s">
        <v>289</v>
      </c>
      <c r="P192" s="6">
        <v>43950</v>
      </c>
      <c r="Q192" s="5" t="s">
        <v>31</v>
      </c>
      <c r="R192" s="5" t="s">
        <v>32</v>
      </c>
      <c r="S192" s="5" t="s">
        <v>33</v>
      </c>
      <c r="T192" s="5"/>
      <c r="U192" s="5">
        <v>1.53</v>
      </c>
      <c r="V192" s="5">
        <v>0.66</v>
      </c>
      <c r="W192" s="5">
        <v>0.61</v>
      </c>
      <c r="X192" s="5">
        <v>0</v>
      </c>
      <c r="Y192" s="5">
        <v>0.26</v>
      </c>
    </row>
    <row r="193" spans="1:25" x14ac:dyDescent="0.25">
      <c r="A193" s="5" t="s">
        <v>26</v>
      </c>
      <c r="B193" s="5" t="s">
        <v>27</v>
      </c>
      <c r="C193" s="5" t="s">
        <v>50</v>
      </c>
      <c r="D193" s="5" t="s">
        <v>57</v>
      </c>
      <c r="E193" s="5" t="s">
        <v>28</v>
      </c>
      <c r="F193" s="5" t="s">
        <v>294</v>
      </c>
      <c r="G193" s="5">
        <v>2019</v>
      </c>
      <c r="H193" s="5" t="str">
        <f>CONCATENATE("94240967847")</f>
        <v>94240967847</v>
      </c>
      <c r="I193" s="5" t="s">
        <v>29</v>
      </c>
      <c r="J193" s="5" t="s">
        <v>36</v>
      </c>
      <c r="K193" s="5" t="str">
        <f>CONCATENATE("")</f>
        <v/>
      </c>
      <c r="L193" s="5" t="str">
        <f>CONCATENATE("11 11.2 4b")</f>
        <v>11 11.2 4b</v>
      </c>
      <c r="M193" s="5" t="str">
        <f>CONCATENATE("GRCCRS87B11I158U")</f>
        <v>GRCCRS87B11I158U</v>
      </c>
      <c r="N193" s="5" t="s">
        <v>295</v>
      </c>
      <c r="O193" s="5" t="s">
        <v>289</v>
      </c>
      <c r="P193" s="6">
        <v>43950</v>
      </c>
      <c r="Q193" s="5" t="s">
        <v>31</v>
      </c>
      <c r="R193" s="5" t="s">
        <v>32</v>
      </c>
      <c r="S193" s="5" t="s">
        <v>33</v>
      </c>
      <c r="T193" s="5"/>
      <c r="U193" s="5">
        <v>89.63</v>
      </c>
      <c r="V193" s="5">
        <v>38.65</v>
      </c>
      <c r="W193" s="5">
        <v>35.69</v>
      </c>
      <c r="X193" s="5">
        <v>0</v>
      </c>
      <c r="Y193" s="5">
        <v>15.29</v>
      </c>
    </row>
    <row r="194" spans="1:25" ht="24.75" x14ac:dyDescent="0.25">
      <c r="A194" s="5" t="s">
        <v>26</v>
      </c>
      <c r="B194" s="5" t="s">
        <v>27</v>
      </c>
      <c r="C194" s="5" t="s">
        <v>50</v>
      </c>
      <c r="D194" s="5" t="s">
        <v>57</v>
      </c>
      <c r="E194" s="5" t="s">
        <v>45</v>
      </c>
      <c r="F194" s="5" t="s">
        <v>235</v>
      </c>
      <c r="G194" s="5">
        <v>2018</v>
      </c>
      <c r="H194" s="5" t="str">
        <f>CONCATENATE("84240409684")</f>
        <v>84240409684</v>
      </c>
      <c r="I194" s="5" t="s">
        <v>29</v>
      </c>
      <c r="J194" s="5" t="s">
        <v>36</v>
      </c>
      <c r="K194" s="5" t="str">
        <f>CONCATENATE("")</f>
        <v/>
      </c>
      <c r="L194" s="5" t="str">
        <f>CONCATENATE("11 11.1 4b")</f>
        <v>11 11.1 4b</v>
      </c>
      <c r="M194" s="5" t="str">
        <f>CONCATENATE("01915020430")</f>
        <v>01915020430</v>
      </c>
      <c r="N194" s="5" t="s">
        <v>296</v>
      </c>
      <c r="O194" s="5" t="s">
        <v>289</v>
      </c>
      <c r="P194" s="6">
        <v>43950</v>
      </c>
      <c r="Q194" s="5" t="s">
        <v>31</v>
      </c>
      <c r="R194" s="5" t="s">
        <v>32</v>
      </c>
      <c r="S194" s="5" t="s">
        <v>33</v>
      </c>
      <c r="T194" s="5"/>
      <c r="U194" s="7">
        <v>6998.5</v>
      </c>
      <c r="V194" s="7">
        <v>3017.75</v>
      </c>
      <c r="W194" s="7">
        <v>2786.8</v>
      </c>
      <c r="X194" s="5">
        <v>0</v>
      </c>
      <c r="Y194" s="7">
        <v>1193.95</v>
      </c>
    </row>
    <row r="195" spans="1:25" ht="24.75" x14ac:dyDescent="0.25">
      <c r="A195" s="5" t="s">
        <v>26</v>
      </c>
      <c r="B195" s="5" t="s">
        <v>27</v>
      </c>
      <c r="C195" s="5" t="s">
        <v>50</v>
      </c>
      <c r="D195" s="5" t="s">
        <v>57</v>
      </c>
      <c r="E195" s="5" t="s">
        <v>28</v>
      </c>
      <c r="F195" s="5" t="s">
        <v>297</v>
      </c>
      <c r="G195" s="5">
        <v>2019</v>
      </c>
      <c r="H195" s="5" t="str">
        <f>CONCATENATE("94240857899")</f>
        <v>94240857899</v>
      </c>
      <c r="I195" s="5" t="s">
        <v>29</v>
      </c>
      <c r="J195" s="5" t="s">
        <v>36</v>
      </c>
      <c r="K195" s="5" t="str">
        <f>CONCATENATE("")</f>
        <v/>
      </c>
      <c r="L195" s="5" t="str">
        <f>CONCATENATE("11 11.2 4b")</f>
        <v>11 11.2 4b</v>
      </c>
      <c r="M195" s="5" t="str">
        <f>CONCATENATE("DRSGBR60D25C321D")</f>
        <v>DRSGBR60D25C321D</v>
      </c>
      <c r="N195" s="5" t="s">
        <v>298</v>
      </c>
      <c r="O195" s="5" t="s">
        <v>289</v>
      </c>
      <c r="P195" s="6">
        <v>43950</v>
      </c>
      <c r="Q195" s="5" t="s">
        <v>31</v>
      </c>
      <c r="R195" s="5" t="s">
        <v>32</v>
      </c>
      <c r="S195" s="5" t="s">
        <v>33</v>
      </c>
      <c r="T195" s="5"/>
      <c r="U195" s="7">
        <v>1006</v>
      </c>
      <c r="V195" s="5">
        <v>433.79</v>
      </c>
      <c r="W195" s="5">
        <v>400.59</v>
      </c>
      <c r="X195" s="5">
        <v>0</v>
      </c>
      <c r="Y195" s="5">
        <v>171.62</v>
      </c>
    </row>
    <row r="196" spans="1:25" x14ac:dyDescent="0.25">
      <c r="A196" s="5" t="s">
        <v>26</v>
      </c>
      <c r="B196" s="5" t="s">
        <v>27</v>
      </c>
      <c r="C196" s="5" t="s">
        <v>50</v>
      </c>
      <c r="D196" s="5" t="s">
        <v>57</v>
      </c>
      <c r="E196" s="5" t="s">
        <v>28</v>
      </c>
      <c r="F196" s="5" t="s">
        <v>299</v>
      </c>
      <c r="G196" s="5">
        <v>2019</v>
      </c>
      <c r="H196" s="5" t="str">
        <f>CONCATENATE("94240840911")</f>
        <v>94240840911</v>
      </c>
      <c r="I196" s="5" t="s">
        <v>29</v>
      </c>
      <c r="J196" s="5" t="s">
        <v>36</v>
      </c>
      <c r="K196" s="5" t="str">
        <f>CONCATENATE("")</f>
        <v/>
      </c>
      <c r="L196" s="5" t="str">
        <f>CONCATENATE("11 11.2 4b")</f>
        <v>11 11.2 4b</v>
      </c>
      <c r="M196" s="5" t="str">
        <f>CONCATENATE("01714200431")</f>
        <v>01714200431</v>
      </c>
      <c r="N196" s="5" t="s">
        <v>300</v>
      </c>
      <c r="O196" s="5" t="s">
        <v>289</v>
      </c>
      <c r="P196" s="6">
        <v>43950</v>
      </c>
      <c r="Q196" s="5" t="s">
        <v>31</v>
      </c>
      <c r="R196" s="5" t="s">
        <v>32</v>
      </c>
      <c r="S196" s="5" t="s">
        <v>33</v>
      </c>
      <c r="T196" s="5"/>
      <c r="U196" s="5">
        <v>943.67</v>
      </c>
      <c r="V196" s="5">
        <v>406.91</v>
      </c>
      <c r="W196" s="5">
        <v>375.77</v>
      </c>
      <c r="X196" s="5">
        <v>0</v>
      </c>
      <c r="Y196" s="5">
        <v>160.99</v>
      </c>
    </row>
    <row r="197" spans="1:25" x14ac:dyDescent="0.25">
      <c r="A197" s="5" t="s">
        <v>26</v>
      </c>
      <c r="B197" s="5" t="s">
        <v>27</v>
      </c>
      <c r="C197" s="5" t="s">
        <v>50</v>
      </c>
      <c r="D197" s="5" t="s">
        <v>57</v>
      </c>
      <c r="E197" s="5" t="s">
        <v>45</v>
      </c>
      <c r="F197" s="5" t="s">
        <v>301</v>
      </c>
      <c r="G197" s="5">
        <v>2017</v>
      </c>
      <c r="H197" s="5" t="str">
        <f>CONCATENATE("74240107396")</f>
        <v>74240107396</v>
      </c>
      <c r="I197" s="5" t="s">
        <v>29</v>
      </c>
      <c r="J197" s="5" t="s">
        <v>36</v>
      </c>
      <c r="K197" s="5" t="str">
        <f>CONCATENATE("")</f>
        <v/>
      </c>
      <c r="L197" s="5" t="str">
        <f>CONCATENATE("11 11.2 4b")</f>
        <v>11 11.2 4b</v>
      </c>
      <c r="M197" s="5" t="str">
        <f>CONCATENATE("FLRNAA59T53Z505P")</f>
        <v>FLRNAA59T53Z505P</v>
      </c>
      <c r="N197" s="5" t="s">
        <v>302</v>
      </c>
      <c r="O197" s="5" t="s">
        <v>289</v>
      </c>
      <c r="P197" s="6">
        <v>43950</v>
      </c>
      <c r="Q197" s="5" t="s">
        <v>31</v>
      </c>
      <c r="R197" s="5" t="s">
        <v>32</v>
      </c>
      <c r="S197" s="5" t="s">
        <v>33</v>
      </c>
      <c r="T197" s="5"/>
      <c r="U197" s="5">
        <v>868.8</v>
      </c>
      <c r="V197" s="5">
        <v>374.63</v>
      </c>
      <c r="W197" s="5">
        <v>345.96</v>
      </c>
      <c r="X197" s="5">
        <v>0</v>
      </c>
      <c r="Y197" s="5">
        <v>148.21</v>
      </c>
    </row>
    <row r="198" spans="1:25" x14ac:dyDescent="0.25">
      <c r="A198" s="5" t="s">
        <v>26</v>
      </c>
      <c r="B198" s="5" t="s">
        <v>27</v>
      </c>
      <c r="C198" s="5" t="s">
        <v>50</v>
      </c>
      <c r="D198" s="5" t="s">
        <v>57</v>
      </c>
      <c r="E198" s="5" t="s">
        <v>28</v>
      </c>
      <c r="F198" s="5" t="s">
        <v>48</v>
      </c>
      <c r="G198" s="5">
        <v>2018</v>
      </c>
      <c r="H198" s="5" t="str">
        <f>CONCATENATE("84240409023")</f>
        <v>84240409023</v>
      </c>
      <c r="I198" s="5" t="s">
        <v>29</v>
      </c>
      <c r="J198" s="5" t="s">
        <v>36</v>
      </c>
      <c r="K198" s="5" t="str">
        <f>CONCATENATE("")</f>
        <v/>
      </c>
      <c r="L198" s="5" t="str">
        <f>CONCATENATE("11 11.2 4b")</f>
        <v>11 11.2 4b</v>
      </c>
      <c r="M198" s="5" t="str">
        <f>CONCATENATE("SCLRRT58P14D024H")</f>
        <v>SCLRRT58P14D024H</v>
      </c>
      <c r="N198" s="5" t="s">
        <v>237</v>
      </c>
      <c r="O198" s="5" t="s">
        <v>289</v>
      </c>
      <c r="P198" s="6">
        <v>43950</v>
      </c>
      <c r="Q198" s="5" t="s">
        <v>31</v>
      </c>
      <c r="R198" s="5" t="s">
        <v>32</v>
      </c>
      <c r="S198" s="5" t="s">
        <v>33</v>
      </c>
      <c r="T198" s="5"/>
      <c r="U198" s="7">
        <v>7738.92</v>
      </c>
      <c r="V198" s="7">
        <v>3337.02</v>
      </c>
      <c r="W198" s="7">
        <v>3081.64</v>
      </c>
      <c r="X198" s="5">
        <v>0</v>
      </c>
      <c r="Y198" s="7">
        <v>1320.26</v>
      </c>
    </row>
    <row r="199" spans="1:25" x14ac:dyDescent="0.25">
      <c r="A199" s="5" t="s">
        <v>26</v>
      </c>
      <c r="B199" s="5" t="s">
        <v>27</v>
      </c>
      <c r="C199" s="5" t="s">
        <v>50</v>
      </c>
      <c r="D199" s="5" t="s">
        <v>57</v>
      </c>
      <c r="E199" s="5" t="s">
        <v>28</v>
      </c>
      <c r="F199" s="5" t="s">
        <v>222</v>
      </c>
      <c r="G199" s="5">
        <v>2017</v>
      </c>
      <c r="H199" s="5" t="str">
        <f>CONCATENATE("74240756937")</f>
        <v>74240756937</v>
      </c>
      <c r="I199" s="5" t="s">
        <v>29</v>
      </c>
      <c r="J199" s="5" t="s">
        <v>36</v>
      </c>
      <c r="K199" s="5" t="str">
        <f>CONCATENATE("")</f>
        <v/>
      </c>
      <c r="L199" s="5" t="str">
        <f>CONCATENATE("11 11.2 4b")</f>
        <v>11 11.2 4b</v>
      </c>
      <c r="M199" s="5" t="str">
        <f>CONCATENATE("MRZLGN75A18L191E")</f>
        <v>MRZLGN75A18L191E</v>
      </c>
      <c r="N199" s="5" t="s">
        <v>231</v>
      </c>
      <c r="O199" s="5" t="s">
        <v>289</v>
      </c>
      <c r="P199" s="6">
        <v>43950</v>
      </c>
      <c r="Q199" s="5" t="s">
        <v>31</v>
      </c>
      <c r="R199" s="5" t="s">
        <v>32</v>
      </c>
      <c r="S199" s="5" t="s">
        <v>33</v>
      </c>
      <c r="T199" s="5"/>
      <c r="U199" s="7">
        <v>6508.2</v>
      </c>
      <c r="V199" s="7">
        <v>2806.34</v>
      </c>
      <c r="W199" s="7">
        <v>2591.5700000000002</v>
      </c>
      <c r="X199" s="5">
        <v>0</v>
      </c>
      <c r="Y199" s="7">
        <v>1110.29</v>
      </c>
    </row>
    <row r="200" spans="1:25" x14ac:dyDescent="0.25">
      <c r="A200" s="5" t="s">
        <v>26</v>
      </c>
      <c r="B200" s="5" t="s">
        <v>27</v>
      </c>
      <c r="C200" s="5" t="s">
        <v>50</v>
      </c>
      <c r="D200" s="5" t="s">
        <v>57</v>
      </c>
      <c r="E200" s="5" t="s">
        <v>28</v>
      </c>
      <c r="F200" s="5" t="s">
        <v>222</v>
      </c>
      <c r="G200" s="5">
        <v>2019</v>
      </c>
      <c r="H200" s="5" t="str">
        <f>CONCATENATE("94241167082")</f>
        <v>94241167082</v>
      </c>
      <c r="I200" s="5" t="s">
        <v>29</v>
      </c>
      <c r="J200" s="5" t="s">
        <v>36</v>
      </c>
      <c r="K200" s="5" t="str">
        <f>CONCATENATE("")</f>
        <v/>
      </c>
      <c r="L200" s="5" t="str">
        <f>CONCATENATE("11 11.2 4b")</f>
        <v>11 11.2 4b</v>
      </c>
      <c r="M200" s="5" t="str">
        <f>CONCATENATE("MRZLGN75A18L191E")</f>
        <v>MRZLGN75A18L191E</v>
      </c>
      <c r="N200" s="5" t="s">
        <v>231</v>
      </c>
      <c r="O200" s="5" t="s">
        <v>289</v>
      </c>
      <c r="P200" s="6">
        <v>43950</v>
      </c>
      <c r="Q200" s="5" t="s">
        <v>31</v>
      </c>
      <c r="R200" s="5" t="s">
        <v>32</v>
      </c>
      <c r="S200" s="5" t="s">
        <v>33</v>
      </c>
      <c r="T200" s="5"/>
      <c r="U200" s="5">
        <v>587.08000000000004</v>
      </c>
      <c r="V200" s="5">
        <v>253.15</v>
      </c>
      <c r="W200" s="5">
        <v>233.78</v>
      </c>
      <c r="X200" s="5">
        <v>0</v>
      </c>
      <c r="Y200" s="5">
        <v>100.15</v>
      </c>
    </row>
    <row r="201" spans="1:25" x14ac:dyDescent="0.25">
      <c r="A201" s="5" t="s">
        <v>26</v>
      </c>
      <c r="B201" s="5" t="s">
        <v>27</v>
      </c>
      <c r="C201" s="5" t="s">
        <v>50</v>
      </c>
      <c r="D201" s="5" t="s">
        <v>57</v>
      </c>
      <c r="E201" s="5" t="s">
        <v>28</v>
      </c>
      <c r="F201" s="5" t="s">
        <v>222</v>
      </c>
      <c r="G201" s="5">
        <v>2018</v>
      </c>
      <c r="H201" s="5" t="str">
        <f>CONCATENATE("84241068257")</f>
        <v>84241068257</v>
      </c>
      <c r="I201" s="5" t="s">
        <v>29</v>
      </c>
      <c r="J201" s="5" t="s">
        <v>36</v>
      </c>
      <c r="K201" s="5" t="str">
        <f>CONCATENATE("")</f>
        <v/>
      </c>
      <c r="L201" s="5" t="str">
        <f>CONCATENATE("11 11.2 4b")</f>
        <v>11 11.2 4b</v>
      </c>
      <c r="M201" s="5" t="str">
        <f>CONCATENATE("GSINDR65H16H876I")</f>
        <v>GSINDR65H16H876I</v>
      </c>
      <c r="N201" s="5" t="s">
        <v>303</v>
      </c>
      <c r="O201" s="5" t="s">
        <v>289</v>
      </c>
      <c r="P201" s="6">
        <v>43950</v>
      </c>
      <c r="Q201" s="5" t="s">
        <v>31</v>
      </c>
      <c r="R201" s="5" t="s">
        <v>32</v>
      </c>
      <c r="S201" s="5" t="s">
        <v>33</v>
      </c>
      <c r="T201" s="5"/>
      <c r="U201" s="7">
        <v>6883.72</v>
      </c>
      <c r="V201" s="7">
        <v>2968.26</v>
      </c>
      <c r="W201" s="7">
        <v>2741.1</v>
      </c>
      <c r="X201" s="5">
        <v>0</v>
      </c>
      <c r="Y201" s="7">
        <v>1174.3599999999999</v>
      </c>
    </row>
    <row r="202" spans="1:25" ht="24.75" x14ac:dyDescent="0.25">
      <c r="A202" s="5" t="s">
        <v>26</v>
      </c>
      <c r="B202" s="5" t="s">
        <v>27</v>
      </c>
      <c r="C202" s="5" t="s">
        <v>50</v>
      </c>
      <c r="D202" s="5" t="s">
        <v>62</v>
      </c>
      <c r="E202" s="5" t="s">
        <v>28</v>
      </c>
      <c r="F202" s="5" t="s">
        <v>304</v>
      </c>
      <c r="G202" s="5">
        <v>2018</v>
      </c>
      <c r="H202" s="5" t="str">
        <f>CONCATENATE("84240804033")</f>
        <v>84240804033</v>
      </c>
      <c r="I202" s="5" t="s">
        <v>29</v>
      </c>
      <c r="J202" s="5" t="s">
        <v>36</v>
      </c>
      <c r="K202" s="5" t="str">
        <f>CONCATENATE("")</f>
        <v/>
      </c>
      <c r="L202" s="5" t="str">
        <f>CONCATENATE("11 11.2 4b")</f>
        <v>11 11.2 4b</v>
      </c>
      <c r="M202" s="5" t="str">
        <f>CONCATENATE("FRRGNI62P29I681Q")</f>
        <v>FRRGNI62P29I681Q</v>
      </c>
      <c r="N202" s="5" t="s">
        <v>305</v>
      </c>
      <c r="O202" s="5" t="s">
        <v>289</v>
      </c>
      <c r="P202" s="6">
        <v>43950</v>
      </c>
      <c r="Q202" s="5" t="s">
        <v>31</v>
      </c>
      <c r="R202" s="5" t="s">
        <v>32</v>
      </c>
      <c r="S202" s="5" t="s">
        <v>33</v>
      </c>
      <c r="T202" s="5"/>
      <c r="U202" s="5">
        <v>531.36</v>
      </c>
      <c r="V202" s="5">
        <v>229.12</v>
      </c>
      <c r="W202" s="5">
        <v>211.59</v>
      </c>
      <c r="X202" s="5">
        <v>0</v>
      </c>
      <c r="Y202" s="5">
        <v>90.65</v>
      </c>
    </row>
    <row r="203" spans="1:25" ht="24.75" x14ac:dyDescent="0.25">
      <c r="A203" s="5" t="s">
        <v>26</v>
      </c>
      <c r="B203" s="5" t="s">
        <v>27</v>
      </c>
      <c r="C203" s="5" t="s">
        <v>50</v>
      </c>
      <c r="D203" s="5" t="s">
        <v>62</v>
      </c>
      <c r="E203" s="5" t="s">
        <v>28</v>
      </c>
      <c r="F203" s="5" t="s">
        <v>141</v>
      </c>
      <c r="G203" s="5">
        <v>2017</v>
      </c>
      <c r="H203" s="5" t="str">
        <f>CONCATENATE("74241459317")</f>
        <v>74241459317</v>
      </c>
      <c r="I203" s="5" t="s">
        <v>29</v>
      </c>
      <c r="J203" s="5" t="s">
        <v>36</v>
      </c>
      <c r="K203" s="5" t="str">
        <f>CONCATENATE("")</f>
        <v/>
      </c>
      <c r="L203" s="5" t="str">
        <f>CONCATENATE("11 11.2 4b")</f>
        <v>11 11.2 4b</v>
      </c>
      <c r="M203" s="5" t="str">
        <f>CONCATENATE("VNTNTN74H08F135Z")</f>
        <v>VNTNTN74H08F135Z</v>
      </c>
      <c r="N203" s="5" t="s">
        <v>306</v>
      </c>
      <c r="O203" s="5" t="s">
        <v>289</v>
      </c>
      <c r="P203" s="6">
        <v>43950</v>
      </c>
      <c r="Q203" s="5" t="s">
        <v>31</v>
      </c>
      <c r="R203" s="5" t="s">
        <v>32</v>
      </c>
      <c r="S203" s="5" t="s">
        <v>33</v>
      </c>
      <c r="T203" s="5"/>
      <c r="U203" s="7">
        <v>6002.04</v>
      </c>
      <c r="V203" s="7">
        <v>2588.08</v>
      </c>
      <c r="W203" s="7">
        <v>2390.0100000000002</v>
      </c>
      <c r="X203" s="5">
        <v>0</v>
      </c>
      <c r="Y203" s="7">
        <v>1023.95</v>
      </c>
    </row>
    <row r="204" spans="1:25" x14ac:dyDescent="0.25">
      <c r="A204" s="5" t="s">
        <v>26</v>
      </c>
      <c r="B204" s="5" t="s">
        <v>27</v>
      </c>
      <c r="C204" s="5" t="s">
        <v>50</v>
      </c>
      <c r="D204" s="5" t="s">
        <v>57</v>
      </c>
      <c r="E204" s="5" t="s">
        <v>28</v>
      </c>
      <c r="F204" s="5" t="s">
        <v>97</v>
      </c>
      <c r="G204" s="5">
        <v>2016</v>
      </c>
      <c r="H204" s="5" t="str">
        <f>CONCATENATE("64240312609")</f>
        <v>64240312609</v>
      </c>
      <c r="I204" s="5" t="s">
        <v>29</v>
      </c>
      <c r="J204" s="5" t="s">
        <v>36</v>
      </c>
      <c r="K204" s="5" t="str">
        <f>CONCATENATE("")</f>
        <v/>
      </c>
      <c r="L204" s="5" t="str">
        <f>CONCATENATE("11 11.2 4b")</f>
        <v>11 11.2 4b</v>
      </c>
      <c r="M204" s="5" t="str">
        <f>CONCATENATE("RLAMCR50S10G637S")</f>
        <v>RLAMCR50S10G637S</v>
      </c>
      <c r="N204" s="5" t="s">
        <v>307</v>
      </c>
      <c r="O204" s="5" t="s">
        <v>289</v>
      </c>
      <c r="P204" s="6">
        <v>43950</v>
      </c>
      <c r="Q204" s="5" t="s">
        <v>31</v>
      </c>
      <c r="R204" s="5" t="s">
        <v>32</v>
      </c>
      <c r="S204" s="5" t="s">
        <v>33</v>
      </c>
      <c r="T204" s="5"/>
      <c r="U204" s="7">
        <v>1433.19</v>
      </c>
      <c r="V204" s="5">
        <v>617.99</v>
      </c>
      <c r="W204" s="5">
        <v>570.70000000000005</v>
      </c>
      <c r="X204" s="5">
        <v>0</v>
      </c>
      <c r="Y204" s="5">
        <v>244.5</v>
      </c>
    </row>
    <row r="205" spans="1:25" x14ac:dyDescent="0.25">
      <c r="A205" s="5" t="s">
        <v>26</v>
      </c>
      <c r="B205" s="5" t="s">
        <v>27</v>
      </c>
      <c r="C205" s="5" t="s">
        <v>50</v>
      </c>
      <c r="D205" s="5" t="s">
        <v>57</v>
      </c>
      <c r="E205" s="5" t="s">
        <v>45</v>
      </c>
      <c r="F205" s="5" t="s">
        <v>308</v>
      </c>
      <c r="G205" s="5">
        <v>2019</v>
      </c>
      <c r="H205" s="5" t="str">
        <f>CONCATENATE("94240950215")</f>
        <v>94240950215</v>
      </c>
      <c r="I205" s="5" t="s">
        <v>29</v>
      </c>
      <c r="J205" s="5" t="s">
        <v>36</v>
      </c>
      <c r="K205" s="5" t="str">
        <f>CONCATENATE("")</f>
        <v/>
      </c>
      <c r="L205" s="5" t="str">
        <f>CONCATENATE("11 11.1 4b")</f>
        <v>11 11.1 4b</v>
      </c>
      <c r="M205" s="5" t="str">
        <f>CONCATENATE("01777470434")</f>
        <v>01777470434</v>
      </c>
      <c r="N205" s="5" t="s">
        <v>309</v>
      </c>
      <c r="O205" s="5" t="s">
        <v>289</v>
      </c>
      <c r="P205" s="6">
        <v>43950</v>
      </c>
      <c r="Q205" s="5" t="s">
        <v>31</v>
      </c>
      <c r="R205" s="5" t="s">
        <v>32</v>
      </c>
      <c r="S205" s="5" t="s">
        <v>33</v>
      </c>
      <c r="T205" s="5"/>
      <c r="U205" s="7">
        <v>2447.48</v>
      </c>
      <c r="V205" s="7">
        <v>1055.3499999999999</v>
      </c>
      <c r="W205" s="5">
        <v>974.59</v>
      </c>
      <c r="X205" s="5">
        <v>0</v>
      </c>
      <c r="Y205" s="5">
        <v>417.54</v>
      </c>
    </row>
    <row r="206" spans="1:25" ht="24.75" x14ac:dyDescent="0.25">
      <c r="A206" s="5" t="s">
        <v>26</v>
      </c>
      <c r="B206" s="5" t="s">
        <v>27</v>
      </c>
      <c r="C206" s="5" t="s">
        <v>50</v>
      </c>
      <c r="D206" s="5" t="s">
        <v>58</v>
      </c>
      <c r="E206" s="5" t="s">
        <v>44</v>
      </c>
      <c r="F206" s="5" t="s">
        <v>152</v>
      </c>
      <c r="G206" s="5">
        <v>2018</v>
      </c>
      <c r="H206" s="5" t="str">
        <f>CONCATENATE("84240638084")</f>
        <v>84240638084</v>
      </c>
      <c r="I206" s="5" t="s">
        <v>29</v>
      </c>
      <c r="J206" s="5" t="s">
        <v>36</v>
      </c>
      <c r="K206" s="5" t="str">
        <f>CONCATENATE("")</f>
        <v/>
      </c>
      <c r="L206" s="5" t="str">
        <f>CONCATENATE("11 11.2 4b")</f>
        <v>11 11.2 4b</v>
      </c>
      <c r="M206" s="5" t="str">
        <f>CONCATENATE("NNIFNC74A22H501Y")</f>
        <v>NNIFNC74A22H501Y</v>
      </c>
      <c r="N206" s="5" t="s">
        <v>310</v>
      </c>
      <c r="O206" s="5" t="s">
        <v>289</v>
      </c>
      <c r="P206" s="6">
        <v>43950</v>
      </c>
      <c r="Q206" s="5" t="s">
        <v>31</v>
      </c>
      <c r="R206" s="5" t="s">
        <v>32</v>
      </c>
      <c r="S206" s="5" t="s">
        <v>33</v>
      </c>
      <c r="T206" s="5"/>
      <c r="U206" s="7">
        <v>4166.3900000000003</v>
      </c>
      <c r="V206" s="7">
        <v>1796.55</v>
      </c>
      <c r="W206" s="7">
        <v>1659.06</v>
      </c>
      <c r="X206" s="5">
        <v>0</v>
      </c>
      <c r="Y206" s="5">
        <v>710.78</v>
      </c>
    </row>
    <row r="207" spans="1:25" x14ac:dyDescent="0.25">
      <c r="A207" s="5" t="s">
        <v>26</v>
      </c>
      <c r="B207" s="5" t="s">
        <v>27</v>
      </c>
      <c r="C207" s="5" t="s">
        <v>50</v>
      </c>
      <c r="D207" s="5" t="s">
        <v>57</v>
      </c>
      <c r="E207" s="5" t="s">
        <v>28</v>
      </c>
      <c r="F207" s="5" t="s">
        <v>287</v>
      </c>
      <c r="G207" s="5">
        <v>2019</v>
      </c>
      <c r="H207" s="5" t="str">
        <f>CONCATENATE("94240676604")</f>
        <v>94240676604</v>
      </c>
      <c r="I207" s="5" t="s">
        <v>29</v>
      </c>
      <c r="J207" s="5" t="s">
        <v>36</v>
      </c>
      <c r="K207" s="5" t="str">
        <f>CONCATENATE("")</f>
        <v/>
      </c>
      <c r="L207" s="5" t="str">
        <f>CONCATENATE("11 11.2 4b")</f>
        <v>11 11.2 4b</v>
      </c>
      <c r="M207" s="5" t="str">
        <f>CONCATENATE("01625300437")</f>
        <v>01625300437</v>
      </c>
      <c r="N207" s="5" t="s">
        <v>291</v>
      </c>
      <c r="O207" s="5" t="s">
        <v>289</v>
      </c>
      <c r="P207" s="6">
        <v>43950</v>
      </c>
      <c r="Q207" s="5" t="s">
        <v>31</v>
      </c>
      <c r="R207" s="5" t="s">
        <v>32</v>
      </c>
      <c r="S207" s="5" t="s">
        <v>33</v>
      </c>
      <c r="T207" s="5"/>
      <c r="U207" s="5">
        <v>612.76</v>
      </c>
      <c r="V207" s="5">
        <v>264.22000000000003</v>
      </c>
      <c r="W207" s="5">
        <v>244</v>
      </c>
      <c r="X207" s="5">
        <v>0</v>
      </c>
      <c r="Y207" s="5">
        <v>104.54</v>
      </c>
    </row>
    <row r="208" spans="1:25" ht="24.75" x14ac:dyDescent="0.25">
      <c r="A208" s="5" t="s">
        <v>26</v>
      </c>
      <c r="B208" s="5" t="s">
        <v>27</v>
      </c>
      <c r="C208" s="5" t="s">
        <v>50</v>
      </c>
      <c r="D208" s="5" t="s">
        <v>57</v>
      </c>
      <c r="E208" s="5" t="s">
        <v>28</v>
      </c>
      <c r="F208" s="5" t="s">
        <v>233</v>
      </c>
      <c r="G208" s="5">
        <v>2018</v>
      </c>
      <c r="H208" s="5" t="str">
        <f>CONCATENATE("84240740765")</f>
        <v>84240740765</v>
      </c>
      <c r="I208" s="5" t="s">
        <v>29</v>
      </c>
      <c r="J208" s="5" t="s">
        <v>36</v>
      </c>
      <c r="K208" s="5" t="str">
        <f>CONCATENATE("")</f>
        <v/>
      </c>
      <c r="L208" s="5" t="str">
        <f>CONCATENATE("11 11.2 4b")</f>
        <v>11 11.2 4b</v>
      </c>
      <c r="M208" s="5" t="str">
        <f>CONCATENATE("MRNFNC81T03B041Z")</f>
        <v>MRNFNC81T03B041Z</v>
      </c>
      <c r="N208" s="5" t="s">
        <v>292</v>
      </c>
      <c r="O208" s="5" t="s">
        <v>289</v>
      </c>
      <c r="P208" s="6">
        <v>43950</v>
      </c>
      <c r="Q208" s="5" t="s">
        <v>31</v>
      </c>
      <c r="R208" s="5" t="s">
        <v>32</v>
      </c>
      <c r="S208" s="5" t="s">
        <v>33</v>
      </c>
      <c r="T208" s="5"/>
      <c r="U208" s="7">
        <v>3025.02</v>
      </c>
      <c r="V208" s="7">
        <v>1304.3900000000001</v>
      </c>
      <c r="W208" s="7">
        <v>1204.56</v>
      </c>
      <c r="X208" s="5">
        <v>0</v>
      </c>
      <c r="Y208" s="5">
        <v>516.07000000000005</v>
      </c>
    </row>
    <row r="209" spans="1:25" x14ac:dyDescent="0.25">
      <c r="A209" s="5" t="s">
        <v>26</v>
      </c>
      <c r="B209" s="5" t="s">
        <v>27</v>
      </c>
      <c r="C209" s="5" t="s">
        <v>50</v>
      </c>
      <c r="D209" s="5" t="s">
        <v>57</v>
      </c>
      <c r="E209" s="5" t="s">
        <v>45</v>
      </c>
      <c r="F209" s="5" t="s">
        <v>301</v>
      </c>
      <c r="G209" s="5">
        <v>2019</v>
      </c>
      <c r="H209" s="5" t="str">
        <f>CONCATENATE("94240610470")</f>
        <v>94240610470</v>
      </c>
      <c r="I209" s="5" t="s">
        <v>29</v>
      </c>
      <c r="J209" s="5" t="s">
        <v>36</v>
      </c>
      <c r="K209" s="5" t="str">
        <f>CONCATENATE("")</f>
        <v/>
      </c>
      <c r="L209" s="5" t="str">
        <f>CONCATENATE("11 11.2 4b")</f>
        <v>11 11.2 4b</v>
      </c>
      <c r="M209" s="5" t="str">
        <f>CONCATENATE("PLZGNN59L55A334J")</f>
        <v>PLZGNN59L55A334J</v>
      </c>
      <c r="N209" s="5" t="s">
        <v>311</v>
      </c>
      <c r="O209" s="5" t="s">
        <v>289</v>
      </c>
      <c r="P209" s="6">
        <v>43950</v>
      </c>
      <c r="Q209" s="5" t="s">
        <v>31</v>
      </c>
      <c r="R209" s="5" t="s">
        <v>32</v>
      </c>
      <c r="S209" s="5" t="s">
        <v>33</v>
      </c>
      <c r="T209" s="5"/>
      <c r="U209" s="7">
        <v>4251</v>
      </c>
      <c r="V209" s="7">
        <v>1833.03</v>
      </c>
      <c r="W209" s="7">
        <v>1692.75</v>
      </c>
      <c r="X209" s="5">
        <v>0</v>
      </c>
      <c r="Y209" s="5">
        <v>725.22</v>
      </c>
    </row>
    <row r="210" spans="1:25" ht="24.75" x14ac:dyDescent="0.25">
      <c r="A210" s="5" t="s">
        <v>26</v>
      </c>
      <c r="B210" s="5" t="s">
        <v>27</v>
      </c>
      <c r="C210" s="5" t="s">
        <v>50</v>
      </c>
      <c r="D210" s="5" t="s">
        <v>57</v>
      </c>
      <c r="E210" s="5" t="s">
        <v>45</v>
      </c>
      <c r="F210" s="5" t="s">
        <v>235</v>
      </c>
      <c r="G210" s="5">
        <v>2019</v>
      </c>
      <c r="H210" s="5" t="str">
        <f>CONCATENATE("94240284144")</f>
        <v>94240284144</v>
      </c>
      <c r="I210" s="5" t="s">
        <v>29</v>
      </c>
      <c r="J210" s="5" t="s">
        <v>36</v>
      </c>
      <c r="K210" s="5" t="str">
        <f>CONCATENATE("")</f>
        <v/>
      </c>
      <c r="L210" s="5" t="str">
        <f>CONCATENATE("11 11.1 4b")</f>
        <v>11 11.1 4b</v>
      </c>
      <c r="M210" s="5" t="str">
        <f>CONCATENATE("01915020430")</f>
        <v>01915020430</v>
      </c>
      <c r="N210" s="5" t="s">
        <v>296</v>
      </c>
      <c r="O210" s="5" t="s">
        <v>289</v>
      </c>
      <c r="P210" s="6">
        <v>43950</v>
      </c>
      <c r="Q210" s="5" t="s">
        <v>31</v>
      </c>
      <c r="R210" s="5" t="s">
        <v>32</v>
      </c>
      <c r="S210" s="5" t="s">
        <v>33</v>
      </c>
      <c r="T210" s="5"/>
      <c r="U210" s="7">
        <v>12799.78</v>
      </c>
      <c r="V210" s="7">
        <v>5519.27</v>
      </c>
      <c r="W210" s="7">
        <v>5096.87</v>
      </c>
      <c r="X210" s="5">
        <v>0</v>
      </c>
      <c r="Y210" s="7">
        <v>2183.64</v>
      </c>
    </row>
    <row r="211" spans="1:25" ht="24.75" x14ac:dyDescent="0.25">
      <c r="A211" s="5" t="s">
        <v>26</v>
      </c>
      <c r="B211" s="5" t="s">
        <v>27</v>
      </c>
      <c r="C211" s="5" t="s">
        <v>50</v>
      </c>
      <c r="D211" s="5" t="s">
        <v>57</v>
      </c>
      <c r="E211" s="5" t="s">
        <v>28</v>
      </c>
      <c r="F211" s="5" t="s">
        <v>297</v>
      </c>
      <c r="G211" s="5">
        <v>2018</v>
      </c>
      <c r="H211" s="5" t="str">
        <f>CONCATENATE("84240973168")</f>
        <v>84240973168</v>
      </c>
      <c r="I211" s="5" t="s">
        <v>29</v>
      </c>
      <c r="J211" s="5" t="s">
        <v>36</v>
      </c>
      <c r="K211" s="5" t="str">
        <f>CONCATENATE("")</f>
        <v/>
      </c>
      <c r="L211" s="5" t="str">
        <f>CONCATENATE("11 11.2 4b")</f>
        <v>11 11.2 4b</v>
      </c>
      <c r="M211" s="5" t="str">
        <f>CONCATENATE("DRSGBR60D25C321D")</f>
        <v>DRSGBR60D25C321D</v>
      </c>
      <c r="N211" s="5" t="s">
        <v>298</v>
      </c>
      <c r="O211" s="5" t="s">
        <v>289</v>
      </c>
      <c r="P211" s="6">
        <v>43950</v>
      </c>
      <c r="Q211" s="5" t="s">
        <v>31</v>
      </c>
      <c r="R211" s="5" t="s">
        <v>32</v>
      </c>
      <c r="S211" s="5" t="s">
        <v>33</v>
      </c>
      <c r="T211" s="5"/>
      <c r="U211" s="7">
        <v>1170.6300000000001</v>
      </c>
      <c r="V211" s="5">
        <v>504.78</v>
      </c>
      <c r="W211" s="5">
        <v>466.14</v>
      </c>
      <c r="X211" s="5">
        <v>0</v>
      </c>
      <c r="Y211" s="5">
        <v>199.71</v>
      </c>
    </row>
    <row r="212" spans="1:25" x14ac:dyDescent="0.25">
      <c r="A212" s="5" t="s">
        <v>26</v>
      </c>
      <c r="B212" s="5" t="s">
        <v>27</v>
      </c>
      <c r="C212" s="5" t="s">
        <v>50</v>
      </c>
      <c r="D212" s="5" t="s">
        <v>57</v>
      </c>
      <c r="E212" s="5" t="s">
        <v>45</v>
      </c>
      <c r="F212" s="5" t="s">
        <v>308</v>
      </c>
      <c r="G212" s="5">
        <v>2019</v>
      </c>
      <c r="H212" s="5" t="str">
        <f>CONCATENATE("94240899172")</f>
        <v>94240899172</v>
      </c>
      <c r="I212" s="5" t="s">
        <v>29</v>
      </c>
      <c r="J212" s="5" t="s">
        <v>36</v>
      </c>
      <c r="K212" s="5" t="str">
        <f>CONCATENATE("")</f>
        <v/>
      </c>
      <c r="L212" s="5" t="str">
        <f>CONCATENATE("11 11.2 4b")</f>
        <v>11 11.2 4b</v>
      </c>
      <c r="M212" s="5" t="str">
        <f>CONCATENATE("GTTTTR51P08C704G")</f>
        <v>GTTTTR51P08C704G</v>
      </c>
      <c r="N212" s="5" t="s">
        <v>312</v>
      </c>
      <c r="O212" s="5" t="s">
        <v>289</v>
      </c>
      <c r="P212" s="6">
        <v>43950</v>
      </c>
      <c r="Q212" s="5" t="s">
        <v>31</v>
      </c>
      <c r="R212" s="5" t="s">
        <v>32</v>
      </c>
      <c r="S212" s="5" t="s">
        <v>33</v>
      </c>
      <c r="T212" s="5"/>
      <c r="U212" s="7">
        <v>1045.98</v>
      </c>
      <c r="V212" s="5">
        <v>451.03</v>
      </c>
      <c r="W212" s="5">
        <v>416.51</v>
      </c>
      <c r="X212" s="5">
        <v>0</v>
      </c>
      <c r="Y212" s="5">
        <v>178.44</v>
      </c>
    </row>
    <row r="213" spans="1:25" x14ac:dyDescent="0.25">
      <c r="A213" s="5" t="s">
        <v>26</v>
      </c>
      <c r="B213" s="5" t="s">
        <v>27</v>
      </c>
      <c r="C213" s="5" t="s">
        <v>50</v>
      </c>
      <c r="D213" s="5" t="s">
        <v>57</v>
      </c>
      <c r="E213" s="5" t="s">
        <v>45</v>
      </c>
      <c r="F213" s="5" t="s">
        <v>301</v>
      </c>
      <c r="G213" s="5">
        <v>2018</v>
      </c>
      <c r="H213" s="5" t="str">
        <f>CONCATENATE("84240192892")</f>
        <v>84240192892</v>
      </c>
      <c r="I213" s="5" t="s">
        <v>29</v>
      </c>
      <c r="J213" s="5" t="s">
        <v>36</v>
      </c>
      <c r="K213" s="5" t="str">
        <f>CONCATENATE("")</f>
        <v/>
      </c>
      <c r="L213" s="5" t="str">
        <f>CONCATENATE("11 11.2 4b")</f>
        <v>11 11.2 4b</v>
      </c>
      <c r="M213" s="5" t="str">
        <f>CONCATENATE("FLRNAA59T53Z505P")</f>
        <v>FLRNAA59T53Z505P</v>
      </c>
      <c r="N213" s="5" t="s">
        <v>302</v>
      </c>
      <c r="O213" s="5" t="s">
        <v>289</v>
      </c>
      <c r="P213" s="6">
        <v>43950</v>
      </c>
      <c r="Q213" s="5" t="s">
        <v>31</v>
      </c>
      <c r="R213" s="5" t="s">
        <v>32</v>
      </c>
      <c r="S213" s="5" t="s">
        <v>33</v>
      </c>
      <c r="T213" s="5"/>
      <c r="U213" s="5">
        <v>868.8</v>
      </c>
      <c r="V213" s="5">
        <v>374.63</v>
      </c>
      <c r="W213" s="5">
        <v>345.96</v>
      </c>
      <c r="X213" s="5">
        <v>0</v>
      </c>
      <c r="Y213" s="5">
        <v>148.21</v>
      </c>
    </row>
    <row r="214" spans="1:25" x14ac:dyDescent="0.25">
      <c r="A214" s="5" t="s">
        <v>26</v>
      </c>
      <c r="B214" s="5" t="s">
        <v>27</v>
      </c>
      <c r="C214" s="5" t="s">
        <v>50</v>
      </c>
      <c r="D214" s="5" t="s">
        <v>57</v>
      </c>
      <c r="E214" s="5" t="s">
        <v>28</v>
      </c>
      <c r="F214" s="5" t="s">
        <v>222</v>
      </c>
      <c r="G214" s="5">
        <v>2018</v>
      </c>
      <c r="H214" s="5" t="str">
        <f>CONCATENATE("84240489348")</f>
        <v>84240489348</v>
      </c>
      <c r="I214" s="5" t="s">
        <v>29</v>
      </c>
      <c r="J214" s="5" t="s">
        <v>36</v>
      </c>
      <c r="K214" s="5" t="str">
        <f>CONCATENATE("")</f>
        <v/>
      </c>
      <c r="L214" s="5" t="str">
        <f>CONCATENATE("11 11.2 4b")</f>
        <v>11 11.2 4b</v>
      </c>
      <c r="M214" s="5" t="str">
        <f>CONCATENATE("FCNLSN56L12B160E")</f>
        <v>FCNLSN56L12B160E</v>
      </c>
      <c r="N214" s="5" t="s">
        <v>223</v>
      </c>
      <c r="O214" s="5" t="s">
        <v>289</v>
      </c>
      <c r="P214" s="6">
        <v>43950</v>
      </c>
      <c r="Q214" s="5" t="s">
        <v>31</v>
      </c>
      <c r="R214" s="5" t="s">
        <v>32</v>
      </c>
      <c r="S214" s="5" t="s">
        <v>33</v>
      </c>
      <c r="T214" s="5"/>
      <c r="U214" s="5">
        <v>120.93</v>
      </c>
      <c r="V214" s="5">
        <v>52.15</v>
      </c>
      <c r="W214" s="5">
        <v>48.15</v>
      </c>
      <c r="X214" s="5">
        <v>0</v>
      </c>
      <c r="Y214" s="5">
        <v>20.63</v>
      </c>
    </row>
    <row r="215" spans="1:25" x14ac:dyDescent="0.25">
      <c r="A215" s="5" t="s">
        <v>26</v>
      </c>
      <c r="B215" s="5" t="s">
        <v>27</v>
      </c>
      <c r="C215" s="5" t="s">
        <v>50</v>
      </c>
      <c r="D215" s="5" t="s">
        <v>57</v>
      </c>
      <c r="E215" s="5" t="s">
        <v>28</v>
      </c>
      <c r="F215" s="5" t="s">
        <v>222</v>
      </c>
      <c r="G215" s="5">
        <v>2019</v>
      </c>
      <c r="H215" s="5" t="str">
        <f>CONCATENATE("94240727233")</f>
        <v>94240727233</v>
      </c>
      <c r="I215" s="5" t="s">
        <v>29</v>
      </c>
      <c r="J215" s="5" t="s">
        <v>36</v>
      </c>
      <c r="K215" s="5" t="str">
        <f>CONCATENATE("")</f>
        <v/>
      </c>
      <c r="L215" s="5" t="str">
        <f>CONCATENATE("11 11.2 4b")</f>
        <v>11 11.2 4b</v>
      </c>
      <c r="M215" s="5" t="str">
        <f>CONCATENATE("FCNLSN56L12B160E")</f>
        <v>FCNLSN56L12B160E</v>
      </c>
      <c r="N215" s="5" t="s">
        <v>223</v>
      </c>
      <c r="O215" s="5" t="s">
        <v>289</v>
      </c>
      <c r="P215" s="6">
        <v>43950</v>
      </c>
      <c r="Q215" s="5" t="s">
        <v>31</v>
      </c>
      <c r="R215" s="5" t="s">
        <v>32</v>
      </c>
      <c r="S215" s="5" t="s">
        <v>33</v>
      </c>
      <c r="T215" s="5"/>
      <c r="U215" s="5">
        <v>852.24</v>
      </c>
      <c r="V215" s="5">
        <v>367.49</v>
      </c>
      <c r="W215" s="5">
        <v>339.36</v>
      </c>
      <c r="X215" s="5">
        <v>0</v>
      </c>
      <c r="Y215" s="5">
        <v>145.38999999999999</v>
      </c>
    </row>
    <row r="216" spans="1:25" ht="24.75" x14ac:dyDescent="0.25">
      <c r="A216" s="5" t="s">
        <v>26</v>
      </c>
      <c r="B216" s="5" t="s">
        <v>27</v>
      </c>
      <c r="C216" s="5" t="s">
        <v>50</v>
      </c>
      <c r="D216" s="5" t="s">
        <v>58</v>
      </c>
      <c r="E216" s="5" t="s">
        <v>40</v>
      </c>
      <c r="F216" s="5" t="s">
        <v>40</v>
      </c>
      <c r="G216" s="5">
        <v>2019</v>
      </c>
      <c r="H216" s="5" t="str">
        <f>CONCATENATE("94241694036")</f>
        <v>94241694036</v>
      </c>
      <c r="I216" s="5" t="s">
        <v>29</v>
      </c>
      <c r="J216" s="5" t="s">
        <v>36</v>
      </c>
      <c r="K216" s="5" t="str">
        <f>CONCATENATE("")</f>
        <v/>
      </c>
      <c r="L216" s="5" t="str">
        <f>CONCATENATE("11 11.2 4b")</f>
        <v>11 11.2 4b</v>
      </c>
      <c r="M216" s="5" t="str">
        <f>CONCATENATE("VLPRLL69S42H321N")</f>
        <v>VLPRLL69S42H321N</v>
      </c>
      <c r="N216" s="5" t="s">
        <v>313</v>
      </c>
      <c r="O216" s="5" t="s">
        <v>289</v>
      </c>
      <c r="P216" s="6">
        <v>43950</v>
      </c>
      <c r="Q216" s="5" t="s">
        <v>31</v>
      </c>
      <c r="R216" s="5" t="s">
        <v>32</v>
      </c>
      <c r="S216" s="5" t="s">
        <v>33</v>
      </c>
      <c r="T216" s="5"/>
      <c r="U216" s="5">
        <v>424.5</v>
      </c>
      <c r="V216" s="5">
        <v>183.04</v>
      </c>
      <c r="W216" s="5">
        <v>169.04</v>
      </c>
      <c r="X216" s="5">
        <v>0</v>
      </c>
      <c r="Y216" s="5">
        <v>72.42</v>
      </c>
    </row>
    <row r="217" spans="1:25" x14ac:dyDescent="0.25">
      <c r="A217" s="5" t="s">
        <v>26</v>
      </c>
      <c r="B217" s="5" t="s">
        <v>27</v>
      </c>
      <c r="C217" s="5" t="s">
        <v>50</v>
      </c>
      <c r="D217" s="5" t="s">
        <v>57</v>
      </c>
      <c r="E217" s="5" t="s">
        <v>28</v>
      </c>
      <c r="F217" s="5" t="s">
        <v>48</v>
      </c>
      <c r="G217" s="5">
        <v>2019</v>
      </c>
      <c r="H217" s="5" t="str">
        <f>CONCATENATE("94240909021")</f>
        <v>94240909021</v>
      </c>
      <c r="I217" s="5" t="s">
        <v>29</v>
      </c>
      <c r="J217" s="5" t="s">
        <v>36</v>
      </c>
      <c r="K217" s="5" t="str">
        <f>CONCATENATE("")</f>
        <v/>
      </c>
      <c r="L217" s="5" t="str">
        <f>CONCATENATE("11 11.2 4b")</f>
        <v>11 11.2 4b</v>
      </c>
      <c r="M217" s="5" t="str">
        <f>CONCATENATE("SCLRRT58P14D024H")</f>
        <v>SCLRRT58P14D024H</v>
      </c>
      <c r="N217" s="5" t="s">
        <v>237</v>
      </c>
      <c r="O217" s="5" t="s">
        <v>289</v>
      </c>
      <c r="P217" s="6">
        <v>43950</v>
      </c>
      <c r="Q217" s="5" t="s">
        <v>31</v>
      </c>
      <c r="R217" s="5" t="s">
        <v>32</v>
      </c>
      <c r="S217" s="5" t="s">
        <v>33</v>
      </c>
      <c r="T217" s="5"/>
      <c r="U217" s="7">
        <v>7503</v>
      </c>
      <c r="V217" s="7">
        <v>3235.29</v>
      </c>
      <c r="W217" s="7">
        <v>2987.69</v>
      </c>
      <c r="X217" s="5">
        <v>0</v>
      </c>
      <c r="Y217" s="7">
        <v>1280.02</v>
      </c>
    </row>
    <row r="218" spans="1:25" ht="24.75" x14ac:dyDescent="0.25">
      <c r="A218" s="5" t="s">
        <v>26</v>
      </c>
      <c r="B218" s="5" t="s">
        <v>27</v>
      </c>
      <c r="C218" s="5" t="s">
        <v>50</v>
      </c>
      <c r="D218" s="5" t="s">
        <v>62</v>
      </c>
      <c r="E218" s="5" t="s">
        <v>44</v>
      </c>
      <c r="F218" s="5" t="s">
        <v>314</v>
      </c>
      <c r="G218" s="5">
        <v>2019</v>
      </c>
      <c r="H218" s="5" t="str">
        <f>CONCATENATE("94240739543")</f>
        <v>94240739543</v>
      </c>
      <c r="I218" s="5" t="s">
        <v>29</v>
      </c>
      <c r="J218" s="5" t="s">
        <v>36</v>
      </c>
      <c r="K218" s="5" t="str">
        <f>CONCATENATE("")</f>
        <v/>
      </c>
      <c r="L218" s="5" t="str">
        <f>CONCATENATE("11 11.1 4b")</f>
        <v>11 11.1 4b</v>
      </c>
      <c r="M218" s="5" t="str">
        <f>CONCATENATE("PRNGNN82D23D488Z")</f>
        <v>PRNGNN82D23D488Z</v>
      </c>
      <c r="N218" s="5" t="s">
        <v>315</v>
      </c>
      <c r="O218" s="5" t="s">
        <v>289</v>
      </c>
      <c r="P218" s="6">
        <v>43950</v>
      </c>
      <c r="Q218" s="5" t="s">
        <v>31</v>
      </c>
      <c r="R218" s="5" t="s">
        <v>32</v>
      </c>
      <c r="S218" s="5" t="s">
        <v>33</v>
      </c>
      <c r="T218" s="5"/>
      <c r="U218" s="7">
        <v>4325.33</v>
      </c>
      <c r="V218" s="7">
        <v>1865.08</v>
      </c>
      <c r="W218" s="7">
        <v>1722.35</v>
      </c>
      <c r="X218" s="5">
        <v>0</v>
      </c>
      <c r="Y218" s="5">
        <v>737.9</v>
      </c>
    </row>
    <row r="219" spans="1:25" ht="24.75" x14ac:dyDescent="0.25">
      <c r="A219" s="5" t="s">
        <v>26</v>
      </c>
      <c r="B219" s="5" t="s">
        <v>27</v>
      </c>
      <c r="C219" s="5" t="s">
        <v>50</v>
      </c>
      <c r="D219" s="5" t="s">
        <v>58</v>
      </c>
      <c r="E219" s="5" t="s">
        <v>28</v>
      </c>
      <c r="F219" s="5" t="s">
        <v>59</v>
      </c>
      <c r="G219" s="5">
        <v>2019</v>
      </c>
      <c r="H219" s="5" t="str">
        <f>CONCATENATE("94241692923")</f>
        <v>94241692923</v>
      </c>
      <c r="I219" s="5" t="s">
        <v>29</v>
      </c>
      <c r="J219" s="5" t="s">
        <v>36</v>
      </c>
      <c r="K219" s="5" t="str">
        <f>CONCATENATE("")</f>
        <v/>
      </c>
      <c r="L219" s="5" t="str">
        <f>CONCATENATE("11 11.2 4b")</f>
        <v>11 11.2 4b</v>
      </c>
      <c r="M219" s="5" t="str">
        <f>CONCATENATE("MNTGPP52E04L597W")</f>
        <v>MNTGPP52E04L597W</v>
      </c>
      <c r="N219" s="5" t="s">
        <v>188</v>
      </c>
      <c r="O219" s="5" t="s">
        <v>289</v>
      </c>
      <c r="P219" s="6">
        <v>43950</v>
      </c>
      <c r="Q219" s="5" t="s">
        <v>31</v>
      </c>
      <c r="R219" s="5" t="s">
        <v>32</v>
      </c>
      <c r="S219" s="5" t="s">
        <v>33</v>
      </c>
      <c r="T219" s="5"/>
      <c r="U219" s="7">
        <v>20809.080000000002</v>
      </c>
      <c r="V219" s="7">
        <v>8972.8799999999992</v>
      </c>
      <c r="W219" s="7">
        <v>8286.18</v>
      </c>
      <c r="X219" s="5">
        <v>0</v>
      </c>
      <c r="Y219" s="7">
        <v>3550.02</v>
      </c>
    </row>
    <row r="220" spans="1:25" x14ac:dyDescent="0.25">
      <c r="A220" s="5" t="s">
        <v>26</v>
      </c>
      <c r="B220" s="5" t="s">
        <v>27</v>
      </c>
      <c r="C220" s="5" t="s">
        <v>50</v>
      </c>
      <c r="D220" s="5" t="s">
        <v>57</v>
      </c>
      <c r="E220" s="5" t="s">
        <v>45</v>
      </c>
      <c r="F220" s="5" t="s">
        <v>308</v>
      </c>
      <c r="G220" s="5">
        <v>2018</v>
      </c>
      <c r="H220" s="5" t="str">
        <f>CONCATENATE("84240589071")</f>
        <v>84240589071</v>
      </c>
      <c r="I220" s="5" t="s">
        <v>37</v>
      </c>
      <c r="J220" s="5" t="s">
        <v>36</v>
      </c>
      <c r="K220" s="5" t="str">
        <f>CONCATENATE("")</f>
        <v/>
      </c>
      <c r="L220" s="5" t="str">
        <f>CONCATENATE("11 11.1 4b")</f>
        <v>11 11.1 4b</v>
      </c>
      <c r="M220" s="5" t="str">
        <f>CONCATENATE("01777470434")</f>
        <v>01777470434</v>
      </c>
      <c r="N220" s="5" t="s">
        <v>309</v>
      </c>
      <c r="O220" s="5" t="s">
        <v>289</v>
      </c>
      <c r="P220" s="6">
        <v>43950</v>
      </c>
      <c r="Q220" s="5" t="s">
        <v>31</v>
      </c>
      <c r="R220" s="5" t="s">
        <v>32</v>
      </c>
      <c r="S220" s="5" t="s">
        <v>33</v>
      </c>
      <c r="T220" s="5"/>
      <c r="U220" s="5">
        <v>862.16</v>
      </c>
      <c r="V220" s="5">
        <v>371.76</v>
      </c>
      <c r="W220" s="5">
        <v>343.31</v>
      </c>
      <c r="X220" s="5">
        <v>0</v>
      </c>
      <c r="Y220" s="5">
        <v>147.09</v>
      </c>
    </row>
    <row r="221" spans="1:25" x14ac:dyDescent="0.25">
      <c r="A221" s="5" t="s">
        <v>26</v>
      </c>
      <c r="B221" s="5" t="s">
        <v>27</v>
      </c>
      <c r="C221" s="5" t="s">
        <v>50</v>
      </c>
      <c r="D221" s="5" t="s">
        <v>57</v>
      </c>
      <c r="E221" s="5" t="s">
        <v>39</v>
      </c>
      <c r="F221" s="5" t="s">
        <v>316</v>
      </c>
      <c r="G221" s="5">
        <v>2018</v>
      </c>
      <c r="H221" s="5" t="str">
        <f>CONCATENATE("84240436703")</f>
        <v>84240436703</v>
      </c>
      <c r="I221" s="5" t="s">
        <v>29</v>
      </c>
      <c r="J221" s="5" t="s">
        <v>36</v>
      </c>
      <c r="K221" s="5" t="str">
        <f>CONCATENATE("")</f>
        <v/>
      </c>
      <c r="L221" s="5" t="str">
        <f>CONCATENATE("11 11.1 4b")</f>
        <v>11 11.1 4b</v>
      </c>
      <c r="M221" s="5" t="str">
        <f>CONCATENATE("PRNNCL69L10E783F")</f>
        <v>PRNNCL69L10E783F</v>
      </c>
      <c r="N221" s="5" t="s">
        <v>317</v>
      </c>
      <c r="O221" s="5" t="s">
        <v>289</v>
      </c>
      <c r="P221" s="6">
        <v>43950</v>
      </c>
      <c r="Q221" s="5" t="s">
        <v>31</v>
      </c>
      <c r="R221" s="5" t="s">
        <v>32</v>
      </c>
      <c r="S221" s="5" t="s">
        <v>33</v>
      </c>
      <c r="T221" s="5"/>
      <c r="U221" s="5">
        <v>65.61</v>
      </c>
      <c r="V221" s="5">
        <v>28.29</v>
      </c>
      <c r="W221" s="5">
        <v>26.13</v>
      </c>
      <c r="X221" s="5">
        <v>0</v>
      </c>
      <c r="Y221" s="5">
        <v>11.19</v>
      </c>
    </row>
    <row r="222" spans="1:25" ht="24.75" x14ac:dyDescent="0.25">
      <c r="A222" s="5" t="s">
        <v>26</v>
      </c>
      <c r="B222" s="5" t="s">
        <v>27</v>
      </c>
      <c r="C222" s="5" t="s">
        <v>50</v>
      </c>
      <c r="D222" s="5" t="s">
        <v>62</v>
      </c>
      <c r="E222" s="5" t="s">
        <v>39</v>
      </c>
      <c r="F222" s="5" t="s">
        <v>73</v>
      </c>
      <c r="G222" s="5">
        <v>2019</v>
      </c>
      <c r="H222" s="5" t="str">
        <f>CONCATENATE("94241696643")</f>
        <v>94241696643</v>
      </c>
      <c r="I222" s="5" t="s">
        <v>29</v>
      </c>
      <c r="J222" s="5" t="s">
        <v>36</v>
      </c>
      <c r="K222" s="5" t="str">
        <f>CONCATENATE("")</f>
        <v/>
      </c>
      <c r="L222" s="5" t="str">
        <f>CONCATENATE("11 11.1 4b")</f>
        <v>11 11.1 4b</v>
      </c>
      <c r="M222" s="5" t="str">
        <f>CONCATENATE("MGNTZN60B12I459H")</f>
        <v>MGNTZN60B12I459H</v>
      </c>
      <c r="N222" s="5" t="s">
        <v>74</v>
      </c>
      <c r="O222" s="5" t="s">
        <v>289</v>
      </c>
      <c r="P222" s="6">
        <v>43950</v>
      </c>
      <c r="Q222" s="5" t="s">
        <v>31</v>
      </c>
      <c r="R222" s="5" t="s">
        <v>32</v>
      </c>
      <c r="S222" s="5" t="s">
        <v>33</v>
      </c>
      <c r="T222" s="5"/>
      <c r="U222" s="5">
        <v>697.74</v>
      </c>
      <c r="V222" s="5">
        <v>300.87</v>
      </c>
      <c r="W222" s="5">
        <v>277.83999999999997</v>
      </c>
      <c r="X222" s="5">
        <v>0</v>
      </c>
      <c r="Y222" s="5">
        <v>119.03</v>
      </c>
    </row>
    <row r="223" spans="1:25" ht="24.75" x14ac:dyDescent="0.25">
      <c r="A223" s="5" t="s">
        <v>26</v>
      </c>
      <c r="B223" s="5" t="s">
        <v>27</v>
      </c>
      <c r="C223" s="5" t="s">
        <v>50</v>
      </c>
      <c r="D223" s="5" t="s">
        <v>62</v>
      </c>
      <c r="E223" s="5" t="s">
        <v>39</v>
      </c>
      <c r="F223" s="5" t="s">
        <v>73</v>
      </c>
      <c r="G223" s="5">
        <v>2019</v>
      </c>
      <c r="H223" s="5" t="str">
        <f>CONCATENATE("94241696635")</f>
        <v>94241696635</v>
      </c>
      <c r="I223" s="5" t="s">
        <v>29</v>
      </c>
      <c r="J223" s="5" t="s">
        <v>36</v>
      </c>
      <c r="K223" s="5" t="str">
        <f>CONCATENATE("")</f>
        <v/>
      </c>
      <c r="L223" s="5" t="str">
        <f>CONCATENATE("11 11.2 4b")</f>
        <v>11 11.2 4b</v>
      </c>
      <c r="M223" s="5" t="str">
        <f>CONCATENATE("MGNTZN60B12I459H")</f>
        <v>MGNTZN60B12I459H</v>
      </c>
      <c r="N223" s="5" t="s">
        <v>74</v>
      </c>
      <c r="O223" s="5" t="s">
        <v>289</v>
      </c>
      <c r="P223" s="6">
        <v>43950</v>
      </c>
      <c r="Q223" s="5" t="s">
        <v>31</v>
      </c>
      <c r="R223" s="5" t="s">
        <v>32</v>
      </c>
      <c r="S223" s="5" t="s">
        <v>33</v>
      </c>
      <c r="T223" s="5"/>
      <c r="U223" s="7">
        <v>30485.200000000001</v>
      </c>
      <c r="V223" s="7">
        <v>13145.22</v>
      </c>
      <c r="W223" s="7">
        <v>12139.21</v>
      </c>
      <c r="X223" s="5">
        <v>0</v>
      </c>
      <c r="Y223" s="7">
        <v>5200.7700000000004</v>
      </c>
    </row>
    <row r="224" spans="1:25" ht="24.75" x14ac:dyDescent="0.25">
      <c r="A224" s="5" t="s">
        <v>26</v>
      </c>
      <c r="B224" s="5" t="s">
        <v>27</v>
      </c>
      <c r="C224" s="5" t="s">
        <v>50</v>
      </c>
      <c r="D224" s="5" t="s">
        <v>51</v>
      </c>
      <c r="E224" s="5" t="s">
        <v>35</v>
      </c>
      <c r="F224" s="5" t="s">
        <v>122</v>
      </c>
      <c r="G224" s="5">
        <v>2018</v>
      </c>
      <c r="H224" s="5" t="str">
        <f>CONCATENATE("84240637722")</f>
        <v>84240637722</v>
      </c>
      <c r="I224" s="5" t="s">
        <v>29</v>
      </c>
      <c r="J224" s="5" t="s">
        <v>36</v>
      </c>
      <c r="K224" s="5" t="str">
        <f>CONCATENATE("")</f>
        <v/>
      </c>
      <c r="L224" s="5" t="str">
        <f>CONCATENATE("11 11.2 4b")</f>
        <v>11 11.2 4b</v>
      </c>
      <c r="M224" s="5" t="str">
        <f>CONCATENATE("SLTRRT58B19Z120W")</f>
        <v>SLTRRT58B19Z120W</v>
      </c>
      <c r="N224" s="5" t="s">
        <v>318</v>
      </c>
      <c r="O224" s="5" t="s">
        <v>289</v>
      </c>
      <c r="P224" s="6">
        <v>43950</v>
      </c>
      <c r="Q224" s="5" t="s">
        <v>31</v>
      </c>
      <c r="R224" s="5" t="s">
        <v>32</v>
      </c>
      <c r="S224" s="5" t="s">
        <v>33</v>
      </c>
      <c r="T224" s="5"/>
      <c r="U224" s="5">
        <v>302.85000000000002</v>
      </c>
      <c r="V224" s="5">
        <v>130.59</v>
      </c>
      <c r="W224" s="5">
        <v>120.59</v>
      </c>
      <c r="X224" s="5">
        <v>0</v>
      </c>
      <c r="Y224" s="5">
        <v>51.67</v>
      </c>
    </row>
    <row r="225" spans="1:25" ht="24.75" x14ac:dyDescent="0.25">
      <c r="A225" s="5" t="s">
        <v>26</v>
      </c>
      <c r="B225" s="5" t="s">
        <v>27</v>
      </c>
      <c r="C225" s="5" t="s">
        <v>50</v>
      </c>
      <c r="D225" s="5" t="s">
        <v>51</v>
      </c>
      <c r="E225" s="5" t="s">
        <v>38</v>
      </c>
      <c r="F225" s="5" t="s">
        <v>77</v>
      </c>
      <c r="G225" s="5">
        <v>2018</v>
      </c>
      <c r="H225" s="5" t="str">
        <f>CONCATENATE("84240738967")</f>
        <v>84240738967</v>
      </c>
      <c r="I225" s="5" t="s">
        <v>29</v>
      </c>
      <c r="J225" s="5" t="s">
        <v>36</v>
      </c>
      <c r="K225" s="5" t="str">
        <f>CONCATENATE("")</f>
        <v/>
      </c>
      <c r="L225" s="5" t="str">
        <f>CONCATENATE("11 11.2 4b")</f>
        <v>11 11.2 4b</v>
      </c>
      <c r="M225" s="5" t="str">
        <f>CONCATENATE("TTVTRS52R45I461V")</f>
        <v>TTVTRS52R45I461V</v>
      </c>
      <c r="N225" s="5" t="s">
        <v>78</v>
      </c>
      <c r="O225" s="5" t="s">
        <v>289</v>
      </c>
      <c r="P225" s="6">
        <v>43950</v>
      </c>
      <c r="Q225" s="5" t="s">
        <v>31</v>
      </c>
      <c r="R225" s="5" t="s">
        <v>32</v>
      </c>
      <c r="S225" s="5" t="s">
        <v>33</v>
      </c>
      <c r="T225" s="5"/>
      <c r="U225" s="7">
        <v>4372.75</v>
      </c>
      <c r="V225" s="7">
        <v>1885.53</v>
      </c>
      <c r="W225" s="7">
        <v>1741.23</v>
      </c>
      <c r="X225" s="5">
        <v>0</v>
      </c>
      <c r="Y225" s="5">
        <v>745.99</v>
      </c>
    </row>
    <row r="226" spans="1:25" ht="24.75" x14ac:dyDescent="0.25">
      <c r="A226" s="5" t="s">
        <v>26</v>
      </c>
      <c r="B226" s="5" t="s">
        <v>27</v>
      </c>
      <c r="C226" s="5" t="s">
        <v>50</v>
      </c>
      <c r="D226" s="5" t="s">
        <v>51</v>
      </c>
      <c r="E226" s="5" t="s">
        <v>38</v>
      </c>
      <c r="F226" s="5" t="s">
        <v>77</v>
      </c>
      <c r="G226" s="5">
        <v>2019</v>
      </c>
      <c r="H226" s="5" t="str">
        <f>CONCATENATE("94240020597")</f>
        <v>94240020597</v>
      </c>
      <c r="I226" s="5" t="s">
        <v>29</v>
      </c>
      <c r="J226" s="5" t="s">
        <v>36</v>
      </c>
      <c r="K226" s="5" t="str">
        <f>CONCATENATE("")</f>
        <v/>
      </c>
      <c r="L226" s="5" t="str">
        <f>CONCATENATE("11 11.2 4b")</f>
        <v>11 11.2 4b</v>
      </c>
      <c r="M226" s="5" t="str">
        <f>CONCATENATE("TTVTRS52R45I461V")</f>
        <v>TTVTRS52R45I461V</v>
      </c>
      <c r="N226" s="5" t="s">
        <v>78</v>
      </c>
      <c r="O226" s="5" t="s">
        <v>289</v>
      </c>
      <c r="P226" s="6">
        <v>43950</v>
      </c>
      <c r="Q226" s="5" t="s">
        <v>31</v>
      </c>
      <c r="R226" s="5" t="s">
        <v>32</v>
      </c>
      <c r="S226" s="5" t="s">
        <v>33</v>
      </c>
      <c r="T226" s="5"/>
      <c r="U226" s="7">
        <v>5255.79</v>
      </c>
      <c r="V226" s="7">
        <v>2266.3000000000002</v>
      </c>
      <c r="W226" s="7">
        <v>2092.86</v>
      </c>
      <c r="X226" s="5">
        <v>0</v>
      </c>
      <c r="Y226" s="5">
        <v>896.63</v>
      </c>
    </row>
    <row r="227" spans="1:25" ht="24.75" x14ac:dyDescent="0.25">
      <c r="A227" s="5" t="s">
        <v>26</v>
      </c>
      <c r="B227" s="5" t="s">
        <v>27</v>
      </c>
      <c r="C227" s="5" t="s">
        <v>50</v>
      </c>
      <c r="D227" s="5" t="s">
        <v>62</v>
      </c>
      <c r="E227" s="5" t="s">
        <v>35</v>
      </c>
      <c r="F227" s="5" t="s">
        <v>99</v>
      </c>
      <c r="G227" s="5">
        <v>2019</v>
      </c>
      <c r="H227" s="5" t="str">
        <f>CONCATENATE("94240462534")</f>
        <v>94240462534</v>
      </c>
      <c r="I227" s="5" t="s">
        <v>29</v>
      </c>
      <c r="J227" s="5" t="s">
        <v>36</v>
      </c>
      <c r="K227" s="5" t="str">
        <f>CONCATENATE("")</f>
        <v/>
      </c>
      <c r="L227" s="5" t="str">
        <f>CONCATENATE("11 11.2 4b")</f>
        <v>11 11.2 4b</v>
      </c>
      <c r="M227" s="5" t="str">
        <f>CONCATENATE("GRSSNT55R69H501S")</f>
        <v>GRSSNT55R69H501S</v>
      </c>
      <c r="N227" s="5" t="s">
        <v>290</v>
      </c>
      <c r="O227" s="5" t="s">
        <v>289</v>
      </c>
      <c r="P227" s="6">
        <v>43950</v>
      </c>
      <c r="Q227" s="5" t="s">
        <v>31</v>
      </c>
      <c r="R227" s="5" t="s">
        <v>32</v>
      </c>
      <c r="S227" s="5" t="s">
        <v>33</v>
      </c>
      <c r="T227" s="5"/>
      <c r="U227" s="5">
        <v>590.35</v>
      </c>
      <c r="V227" s="5">
        <v>254.56</v>
      </c>
      <c r="W227" s="5">
        <v>235.08</v>
      </c>
      <c r="X227" s="5">
        <v>0</v>
      </c>
      <c r="Y227" s="5">
        <v>100.71</v>
      </c>
    </row>
    <row r="228" spans="1:25" ht="24.75" x14ac:dyDescent="0.25">
      <c r="A228" s="5" t="s">
        <v>26</v>
      </c>
      <c r="B228" s="5" t="s">
        <v>27</v>
      </c>
      <c r="C228" s="5" t="s">
        <v>50</v>
      </c>
      <c r="D228" s="5" t="s">
        <v>51</v>
      </c>
      <c r="E228" s="5" t="s">
        <v>39</v>
      </c>
      <c r="F228" s="5" t="s">
        <v>319</v>
      </c>
      <c r="G228" s="5">
        <v>2019</v>
      </c>
      <c r="H228" s="5" t="str">
        <f>CONCATENATE("94780048057")</f>
        <v>94780048057</v>
      </c>
      <c r="I228" s="5" t="s">
        <v>29</v>
      </c>
      <c r="J228" s="5" t="s">
        <v>30</v>
      </c>
      <c r="K228" s="5" t="str">
        <f>CONCATENATE("221")</f>
        <v>221</v>
      </c>
      <c r="L228" s="5" t="str">
        <f>CONCATENATE("8 8.1 5e")</f>
        <v>8 8.1 5e</v>
      </c>
      <c r="M228" s="5" t="str">
        <f>CONCATENATE("01068740420")</f>
        <v>01068740420</v>
      </c>
      <c r="N228" s="5" t="s">
        <v>320</v>
      </c>
      <c r="O228" s="5" t="s">
        <v>321</v>
      </c>
      <c r="P228" s="6">
        <v>43950</v>
      </c>
      <c r="Q228" s="5" t="s">
        <v>31</v>
      </c>
      <c r="R228" s="5" t="s">
        <v>32</v>
      </c>
      <c r="S228" s="5" t="s">
        <v>33</v>
      </c>
      <c r="T228" s="5"/>
      <c r="U228" s="7">
        <v>1081.5999999999999</v>
      </c>
      <c r="V228" s="5">
        <v>466.39</v>
      </c>
      <c r="W228" s="5">
        <v>430.69</v>
      </c>
      <c r="X228" s="5">
        <v>0</v>
      </c>
      <c r="Y228" s="5">
        <v>184.52</v>
      </c>
    </row>
    <row r="229" spans="1:25" ht="24.75" x14ac:dyDescent="0.25">
      <c r="A229" s="5" t="s">
        <v>26</v>
      </c>
      <c r="B229" s="5" t="s">
        <v>27</v>
      </c>
      <c r="C229" s="5" t="s">
        <v>50</v>
      </c>
      <c r="D229" s="5" t="s">
        <v>57</v>
      </c>
      <c r="E229" s="5" t="s">
        <v>28</v>
      </c>
      <c r="F229" s="5" t="s">
        <v>97</v>
      </c>
      <c r="G229" s="5">
        <v>2019</v>
      </c>
      <c r="H229" s="5" t="str">
        <f>CONCATENATE("94240674849")</f>
        <v>94240674849</v>
      </c>
      <c r="I229" s="5" t="s">
        <v>29</v>
      </c>
      <c r="J229" s="5" t="s">
        <v>36</v>
      </c>
      <c r="K229" s="5" t="str">
        <f>CONCATENATE("")</f>
        <v/>
      </c>
      <c r="L229" s="5" t="str">
        <f>CONCATENATE("11 11.2 4b")</f>
        <v>11 11.2 4b</v>
      </c>
      <c r="M229" s="5" t="str">
        <f>CONCATENATE("01990480434")</f>
        <v>01990480434</v>
      </c>
      <c r="N229" s="5" t="s">
        <v>322</v>
      </c>
      <c r="O229" s="5" t="s">
        <v>289</v>
      </c>
      <c r="P229" s="6">
        <v>43950</v>
      </c>
      <c r="Q229" s="5" t="s">
        <v>31</v>
      </c>
      <c r="R229" s="5" t="s">
        <v>32</v>
      </c>
      <c r="S229" s="5" t="s">
        <v>33</v>
      </c>
      <c r="T229" s="5"/>
      <c r="U229" s="7">
        <v>2071.13</v>
      </c>
      <c r="V229" s="5">
        <v>893.07</v>
      </c>
      <c r="W229" s="5">
        <v>824.72</v>
      </c>
      <c r="X229" s="5">
        <v>0</v>
      </c>
      <c r="Y229" s="5">
        <v>353.34</v>
      </c>
    </row>
    <row r="230" spans="1:25" ht="24.75" x14ac:dyDescent="0.25">
      <c r="A230" s="5" t="s">
        <v>26</v>
      </c>
      <c r="B230" s="5" t="s">
        <v>27</v>
      </c>
      <c r="C230" s="5" t="s">
        <v>50</v>
      </c>
      <c r="D230" s="5" t="s">
        <v>62</v>
      </c>
      <c r="E230" s="5" t="s">
        <v>44</v>
      </c>
      <c r="F230" s="5" t="s">
        <v>314</v>
      </c>
      <c r="G230" s="5">
        <v>2018</v>
      </c>
      <c r="H230" s="5" t="str">
        <f>CONCATENATE("84240782254")</f>
        <v>84240782254</v>
      </c>
      <c r="I230" s="5" t="s">
        <v>29</v>
      </c>
      <c r="J230" s="5" t="s">
        <v>36</v>
      </c>
      <c r="K230" s="5" t="str">
        <f>CONCATENATE("")</f>
        <v/>
      </c>
      <c r="L230" s="5" t="str">
        <f>CONCATENATE("11 11.2 4b")</f>
        <v>11 11.2 4b</v>
      </c>
      <c r="M230" s="5" t="str">
        <f>CONCATENATE("02571050422")</f>
        <v>02571050422</v>
      </c>
      <c r="N230" s="5" t="s">
        <v>323</v>
      </c>
      <c r="O230" s="5" t="s">
        <v>289</v>
      </c>
      <c r="P230" s="6">
        <v>43950</v>
      </c>
      <c r="Q230" s="5" t="s">
        <v>31</v>
      </c>
      <c r="R230" s="5" t="s">
        <v>32</v>
      </c>
      <c r="S230" s="5" t="s">
        <v>33</v>
      </c>
      <c r="T230" s="5"/>
      <c r="U230" s="7">
        <v>2677.61</v>
      </c>
      <c r="V230" s="7">
        <v>1154.5899999999999</v>
      </c>
      <c r="W230" s="7">
        <v>1066.22</v>
      </c>
      <c r="X230" s="5">
        <v>0</v>
      </c>
      <c r="Y230" s="5">
        <v>456.8</v>
      </c>
    </row>
    <row r="231" spans="1:25" ht="24.75" x14ac:dyDescent="0.25">
      <c r="A231" s="5" t="s">
        <v>26</v>
      </c>
      <c r="B231" s="5" t="s">
        <v>27</v>
      </c>
      <c r="C231" s="5" t="s">
        <v>50</v>
      </c>
      <c r="D231" s="5" t="s">
        <v>62</v>
      </c>
      <c r="E231" s="5" t="s">
        <v>44</v>
      </c>
      <c r="F231" s="5" t="s">
        <v>314</v>
      </c>
      <c r="G231" s="5">
        <v>2019</v>
      </c>
      <c r="H231" s="5" t="str">
        <f>CONCATENATE("94240736846")</f>
        <v>94240736846</v>
      </c>
      <c r="I231" s="5" t="s">
        <v>29</v>
      </c>
      <c r="J231" s="5" t="s">
        <v>36</v>
      </c>
      <c r="K231" s="5" t="str">
        <f>CONCATENATE("")</f>
        <v/>
      </c>
      <c r="L231" s="5" t="str">
        <f>CONCATENATE("11 11.2 4b")</f>
        <v>11 11.2 4b</v>
      </c>
      <c r="M231" s="5" t="str">
        <f>CONCATENATE("02571050422")</f>
        <v>02571050422</v>
      </c>
      <c r="N231" s="5" t="s">
        <v>323</v>
      </c>
      <c r="O231" s="5" t="s">
        <v>289</v>
      </c>
      <c r="P231" s="6">
        <v>43950</v>
      </c>
      <c r="Q231" s="5" t="s">
        <v>31</v>
      </c>
      <c r="R231" s="5" t="s">
        <v>32</v>
      </c>
      <c r="S231" s="5" t="s">
        <v>33</v>
      </c>
      <c r="T231" s="5"/>
      <c r="U231" s="5">
        <v>126.24</v>
      </c>
      <c r="V231" s="5">
        <v>54.43</v>
      </c>
      <c r="W231" s="5">
        <v>50.27</v>
      </c>
      <c r="X231" s="5">
        <v>0</v>
      </c>
      <c r="Y231" s="5">
        <v>21.54</v>
      </c>
    </row>
    <row r="232" spans="1:25" ht="24.75" x14ac:dyDescent="0.25">
      <c r="A232" s="5" t="s">
        <v>26</v>
      </c>
      <c r="B232" s="5" t="s">
        <v>27</v>
      </c>
      <c r="C232" s="5" t="s">
        <v>50</v>
      </c>
      <c r="D232" s="5" t="s">
        <v>57</v>
      </c>
      <c r="E232" s="5" t="s">
        <v>28</v>
      </c>
      <c r="F232" s="5" t="s">
        <v>97</v>
      </c>
      <c r="G232" s="5">
        <v>2019</v>
      </c>
      <c r="H232" s="5" t="str">
        <f>CONCATENATE("94240711526")</f>
        <v>94240711526</v>
      </c>
      <c r="I232" s="5" t="s">
        <v>29</v>
      </c>
      <c r="J232" s="5" t="s">
        <v>36</v>
      </c>
      <c r="K232" s="5" t="str">
        <f>CONCATENATE("")</f>
        <v/>
      </c>
      <c r="L232" s="5" t="str">
        <f>CONCATENATE("11 11.2 4b")</f>
        <v>11 11.2 4b</v>
      </c>
      <c r="M232" s="5" t="str">
        <f>CONCATENATE("MCALSN96H01B474X")</f>
        <v>MCALSN96H01B474X</v>
      </c>
      <c r="N232" s="5" t="s">
        <v>324</v>
      </c>
      <c r="O232" s="5" t="s">
        <v>289</v>
      </c>
      <c r="P232" s="6">
        <v>43950</v>
      </c>
      <c r="Q232" s="5" t="s">
        <v>31</v>
      </c>
      <c r="R232" s="5" t="s">
        <v>32</v>
      </c>
      <c r="S232" s="5" t="s">
        <v>33</v>
      </c>
      <c r="T232" s="5"/>
      <c r="U232" s="7">
        <v>13490.15</v>
      </c>
      <c r="V232" s="7">
        <v>5816.95</v>
      </c>
      <c r="W232" s="7">
        <v>5371.78</v>
      </c>
      <c r="X232" s="5">
        <v>0</v>
      </c>
      <c r="Y232" s="7">
        <v>2301.42</v>
      </c>
    </row>
    <row r="233" spans="1:25" ht="24.75" x14ac:dyDescent="0.25">
      <c r="A233" s="5" t="s">
        <v>26</v>
      </c>
      <c r="B233" s="5" t="s">
        <v>27</v>
      </c>
      <c r="C233" s="5" t="s">
        <v>50</v>
      </c>
      <c r="D233" s="5" t="s">
        <v>62</v>
      </c>
      <c r="E233" s="5" t="s">
        <v>28</v>
      </c>
      <c r="F233" s="5" t="s">
        <v>141</v>
      </c>
      <c r="G233" s="5">
        <v>2019</v>
      </c>
      <c r="H233" s="5" t="str">
        <f>CONCATENATE("94241016230")</f>
        <v>94241016230</v>
      </c>
      <c r="I233" s="5" t="s">
        <v>29</v>
      </c>
      <c r="J233" s="5" t="s">
        <v>36</v>
      </c>
      <c r="K233" s="5" t="str">
        <f>CONCATENATE("")</f>
        <v/>
      </c>
      <c r="L233" s="5" t="str">
        <f>CONCATENATE("11 11.2 4b")</f>
        <v>11 11.2 4b</v>
      </c>
      <c r="M233" s="5" t="str">
        <f>CONCATENATE("02605800412")</f>
        <v>02605800412</v>
      </c>
      <c r="N233" s="5" t="s">
        <v>325</v>
      </c>
      <c r="O233" s="5" t="s">
        <v>289</v>
      </c>
      <c r="P233" s="6">
        <v>43950</v>
      </c>
      <c r="Q233" s="5" t="s">
        <v>31</v>
      </c>
      <c r="R233" s="5" t="s">
        <v>32</v>
      </c>
      <c r="S233" s="5" t="s">
        <v>33</v>
      </c>
      <c r="T233" s="5"/>
      <c r="U233" s="7">
        <v>8645.65</v>
      </c>
      <c r="V233" s="7">
        <v>3728</v>
      </c>
      <c r="W233" s="7">
        <v>3442.7</v>
      </c>
      <c r="X233" s="5">
        <v>0</v>
      </c>
      <c r="Y233" s="7">
        <v>1474.95</v>
      </c>
    </row>
    <row r="234" spans="1:25" ht="24.75" x14ac:dyDescent="0.25">
      <c r="A234" s="5" t="s">
        <v>26</v>
      </c>
      <c r="B234" s="5" t="s">
        <v>27</v>
      </c>
      <c r="C234" s="5" t="s">
        <v>50</v>
      </c>
      <c r="D234" s="5" t="s">
        <v>57</v>
      </c>
      <c r="E234" s="5" t="s">
        <v>28</v>
      </c>
      <c r="F234" s="5" t="s">
        <v>287</v>
      </c>
      <c r="G234" s="5">
        <v>2018</v>
      </c>
      <c r="H234" s="5" t="str">
        <f>CONCATENATE("84240357784")</f>
        <v>84240357784</v>
      </c>
      <c r="I234" s="5" t="s">
        <v>29</v>
      </c>
      <c r="J234" s="5" t="s">
        <v>36</v>
      </c>
      <c r="K234" s="5" t="str">
        <f>CONCATENATE("")</f>
        <v/>
      </c>
      <c r="L234" s="5" t="str">
        <f>CONCATENATE("11 11.2 4b")</f>
        <v>11 11.2 4b</v>
      </c>
      <c r="M234" s="5" t="str">
        <f>CONCATENATE("MRZRRT77T04E783D")</f>
        <v>MRZRRT77T04E783D</v>
      </c>
      <c r="N234" s="5" t="s">
        <v>326</v>
      </c>
      <c r="O234" s="5" t="s">
        <v>289</v>
      </c>
      <c r="P234" s="6">
        <v>43950</v>
      </c>
      <c r="Q234" s="5" t="s">
        <v>31</v>
      </c>
      <c r="R234" s="5" t="s">
        <v>32</v>
      </c>
      <c r="S234" s="5" t="s">
        <v>33</v>
      </c>
      <c r="T234" s="5"/>
      <c r="U234" s="5">
        <v>625.66</v>
      </c>
      <c r="V234" s="5">
        <v>269.77999999999997</v>
      </c>
      <c r="W234" s="5">
        <v>249.14</v>
      </c>
      <c r="X234" s="5">
        <v>0</v>
      </c>
      <c r="Y234" s="5">
        <v>106.74</v>
      </c>
    </row>
    <row r="235" spans="1:25" ht="24.75" x14ac:dyDescent="0.25">
      <c r="A235" s="5" t="s">
        <v>26</v>
      </c>
      <c r="B235" s="5" t="s">
        <v>27</v>
      </c>
      <c r="C235" s="5" t="s">
        <v>50</v>
      </c>
      <c r="D235" s="5" t="s">
        <v>57</v>
      </c>
      <c r="E235" s="5" t="s">
        <v>28</v>
      </c>
      <c r="F235" s="5" t="s">
        <v>287</v>
      </c>
      <c r="G235" s="5">
        <v>2019</v>
      </c>
      <c r="H235" s="5" t="str">
        <f>CONCATENATE("94240675457")</f>
        <v>94240675457</v>
      </c>
      <c r="I235" s="5" t="s">
        <v>29</v>
      </c>
      <c r="J235" s="5" t="s">
        <v>36</v>
      </c>
      <c r="K235" s="5" t="str">
        <f>CONCATENATE("")</f>
        <v/>
      </c>
      <c r="L235" s="5" t="str">
        <f>CONCATENATE("11 11.2 4b")</f>
        <v>11 11.2 4b</v>
      </c>
      <c r="M235" s="5" t="str">
        <f>CONCATENATE("MRZRRT77T04E783D")</f>
        <v>MRZRRT77T04E783D</v>
      </c>
      <c r="N235" s="5" t="s">
        <v>326</v>
      </c>
      <c r="O235" s="5" t="s">
        <v>289</v>
      </c>
      <c r="P235" s="6">
        <v>43950</v>
      </c>
      <c r="Q235" s="5" t="s">
        <v>31</v>
      </c>
      <c r="R235" s="5" t="s">
        <v>32</v>
      </c>
      <c r="S235" s="5" t="s">
        <v>33</v>
      </c>
      <c r="T235" s="5"/>
      <c r="U235" s="5">
        <v>625.46</v>
      </c>
      <c r="V235" s="5">
        <v>269.7</v>
      </c>
      <c r="W235" s="5">
        <v>249.06</v>
      </c>
      <c r="X235" s="5">
        <v>0</v>
      </c>
      <c r="Y235" s="5">
        <v>106.7</v>
      </c>
    </row>
    <row r="236" spans="1:25" ht="24.75" x14ac:dyDescent="0.25">
      <c r="A236" s="5" t="s">
        <v>26</v>
      </c>
      <c r="B236" s="5" t="s">
        <v>27</v>
      </c>
      <c r="C236" s="5" t="s">
        <v>50</v>
      </c>
      <c r="D236" s="5" t="s">
        <v>57</v>
      </c>
      <c r="E236" s="5" t="s">
        <v>38</v>
      </c>
      <c r="F236" s="5" t="s">
        <v>327</v>
      </c>
      <c r="G236" s="5">
        <v>2018</v>
      </c>
      <c r="H236" s="5" t="str">
        <f>CONCATENATE("84240762405")</f>
        <v>84240762405</v>
      </c>
      <c r="I236" s="5" t="s">
        <v>29</v>
      </c>
      <c r="J236" s="5" t="s">
        <v>36</v>
      </c>
      <c r="K236" s="5" t="str">
        <f>CONCATENATE("")</f>
        <v/>
      </c>
      <c r="L236" s="5" t="str">
        <f>CONCATENATE("11 11.2 4b")</f>
        <v>11 11.2 4b</v>
      </c>
      <c r="M236" s="5" t="str">
        <f>CONCATENATE("01428360430")</f>
        <v>01428360430</v>
      </c>
      <c r="N236" s="5" t="s">
        <v>328</v>
      </c>
      <c r="O236" s="5" t="s">
        <v>289</v>
      </c>
      <c r="P236" s="6">
        <v>43950</v>
      </c>
      <c r="Q236" s="5" t="s">
        <v>31</v>
      </c>
      <c r="R236" s="5" t="s">
        <v>32</v>
      </c>
      <c r="S236" s="5" t="s">
        <v>33</v>
      </c>
      <c r="T236" s="5"/>
      <c r="U236" s="5">
        <v>187.15</v>
      </c>
      <c r="V236" s="5">
        <v>80.7</v>
      </c>
      <c r="W236" s="5">
        <v>74.52</v>
      </c>
      <c r="X236" s="5">
        <v>0</v>
      </c>
      <c r="Y236" s="5">
        <v>31.93</v>
      </c>
    </row>
    <row r="237" spans="1:25" ht="24.75" x14ac:dyDescent="0.25">
      <c r="A237" s="5" t="s">
        <v>26</v>
      </c>
      <c r="B237" s="5" t="s">
        <v>27</v>
      </c>
      <c r="C237" s="5" t="s">
        <v>50</v>
      </c>
      <c r="D237" s="5" t="s">
        <v>57</v>
      </c>
      <c r="E237" s="5" t="s">
        <v>38</v>
      </c>
      <c r="F237" s="5" t="s">
        <v>327</v>
      </c>
      <c r="G237" s="5">
        <v>2019</v>
      </c>
      <c r="H237" s="5" t="str">
        <f>CONCATENATE("94240929391")</f>
        <v>94240929391</v>
      </c>
      <c r="I237" s="5" t="s">
        <v>29</v>
      </c>
      <c r="J237" s="5" t="s">
        <v>36</v>
      </c>
      <c r="K237" s="5" t="str">
        <f>CONCATENATE("")</f>
        <v/>
      </c>
      <c r="L237" s="5" t="str">
        <f>CONCATENATE("11 11.2 4b")</f>
        <v>11 11.2 4b</v>
      </c>
      <c r="M237" s="5" t="str">
        <f>CONCATENATE("01428360430")</f>
        <v>01428360430</v>
      </c>
      <c r="N237" s="5" t="s">
        <v>328</v>
      </c>
      <c r="O237" s="5" t="s">
        <v>289</v>
      </c>
      <c r="P237" s="6">
        <v>43950</v>
      </c>
      <c r="Q237" s="5" t="s">
        <v>31</v>
      </c>
      <c r="R237" s="5" t="s">
        <v>32</v>
      </c>
      <c r="S237" s="5" t="s">
        <v>33</v>
      </c>
      <c r="T237" s="5"/>
      <c r="U237" s="7">
        <v>1131.19</v>
      </c>
      <c r="V237" s="5">
        <v>487.77</v>
      </c>
      <c r="W237" s="5">
        <v>450.44</v>
      </c>
      <c r="X237" s="5">
        <v>0</v>
      </c>
      <c r="Y237" s="5">
        <v>192.98</v>
      </c>
    </row>
    <row r="238" spans="1:25" x14ac:dyDescent="0.25">
      <c r="A238" s="5" t="s">
        <v>26</v>
      </c>
      <c r="B238" s="5" t="s">
        <v>27</v>
      </c>
      <c r="C238" s="5" t="s">
        <v>50</v>
      </c>
      <c r="D238" s="5" t="s">
        <v>57</v>
      </c>
      <c r="E238" s="5" t="s">
        <v>28</v>
      </c>
      <c r="F238" s="5" t="s">
        <v>97</v>
      </c>
      <c r="G238" s="5">
        <v>2018</v>
      </c>
      <c r="H238" s="5" t="str">
        <f>CONCATENATE("84240300651")</f>
        <v>84240300651</v>
      </c>
      <c r="I238" s="5" t="s">
        <v>29</v>
      </c>
      <c r="J238" s="5" t="s">
        <v>36</v>
      </c>
      <c r="K238" s="5" t="str">
        <f>CONCATENATE("")</f>
        <v/>
      </c>
      <c r="L238" s="5" t="str">
        <f>CONCATENATE("11 11.2 4b")</f>
        <v>11 11.2 4b</v>
      </c>
      <c r="M238" s="5" t="str">
        <f>CONCATENATE("CRSPQL70B12F051W")</f>
        <v>CRSPQL70B12F051W</v>
      </c>
      <c r="N238" s="5" t="s">
        <v>329</v>
      </c>
      <c r="O238" s="5" t="s">
        <v>289</v>
      </c>
      <c r="P238" s="6">
        <v>43950</v>
      </c>
      <c r="Q238" s="5" t="s">
        <v>31</v>
      </c>
      <c r="R238" s="5" t="s">
        <v>32</v>
      </c>
      <c r="S238" s="5" t="s">
        <v>33</v>
      </c>
      <c r="T238" s="5"/>
      <c r="U238" s="7">
        <v>2353.71</v>
      </c>
      <c r="V238" s="7">
        <v>1014.92</v>
      </c>
      <c r="W238" s="5">
        <v>937.25</v>
      </c>
      <c r="X238" s="5">
        <v>0</v>
      </c>
      <c r="Y238" s="5">
        <v>401.54</v>
      </c>
    </row>
    <row r="239" spans="1:25" ht="24.75" x14ac:dyDescent="0.25">
      <c r="A239" s="5" t="s">
        <v>26</v>
      </c>
      <c r="B239" s="5" t="s">
        <v>27</v>
      </c>
      <c r="C239" s="5" t="s">
        <v>50</v>
      </c>
      <c r="D239" s="5" t="s">
        <v>57</v>
      </c>
      <c r="E239" s="5" t="s">
        <v>28</v>
      </c>
      <c r="F239" s="5" t="s">
        <v>287</v>
      </c>
      <c r="G239" s="5">
        <v>2019</v>
      </c>
      <c r="H239" s="5" t="str">
        <f>CONCATENATE("94240857154")</f>
        <v>94240857154</v>
      </c>
      <c r="I239" s="5" t="s">
        <v>29</v>
      </c>
      <c r="J239" s="5" t="s">
        <v>36</v>
      </c>
      <c r="K239" s="5" t="str">
        <f>CONCATENATE("")</f>
        <v/>
      </c>
      <c r="L239" s="5" t="str">
        <f>CONCATENATE("11 11.2 4b")</f>
        <v>11 11.2 4b</v>
      </c>
      <c r="M239" s="5" t="str">
        <f>CONCATENATE("01916370438")</f>
        <v>01916370438</v>
      </c>
      <c r="N239" s="5" t="s">
        <v>330</v>
      </c>
      <c r="O239" s="5" t="s">
        <v>289</v>
      </c>
      <c r="P239" s="6">
        <v>43950</v>
      </c>
      <c r="Q239" s="5" t="s">
        <v>31</v>
      </c>
      <c r="R239" s="5" t="s">
        <v>32</v>
      </c>
      <c r="S239" s="5" t="s">
        <v>33</v>
      </c>
      <c r="T239" s="5"/>
      <c r="U239" s="7">
        <v>1104.56</v>
      </c>
      <c r="V239" s="5">
        <v>476.29</v>
      </c>
      <c r="W239" s="5">
        <v>439.84</v>
      </c>
      <c r="X239" s="5">
        <v>0</v>
      </c>
      <c r="Y239" s="5">
        <v>188.43</v>
      </c>
    </row>
    <row r="240" spans="1:25" ht="24.75" x14ac:dyDescent="0.25">
      <c r="A240" s="5" t="s">
        <v>26</v>
      </c>
      <c r="B240" s="5" t="s">
        <v>27</v>
      </c>
      <c r="C240" s="5" t="s">
        <v>50</v>
      </c>
      <c r="D240" s="5" t="s">
        <v>57</v>
      </c>
      <c r="E240" s="5" t="s">
        <v>45</v>
      </c>
      <c r="F240" s="5" t="s">
        <v>308</v>
      </c>
      <c r="G240" s="5">
        <v>2019</v>
      </c>
      <c r="H240" s="5" t="str">
        <f>CONCATENATE("94240940059")</f>
        <v>94240940059</v>
      </c>
      <c r="I240" s="5" t="s">
        <v>29</v>
      </c>
      <c r="J240" s="5" t="s">
        <v>36</v>
      </c>
      <c r="K240" s="5" t="str">
        <f>CONCATENATE("")</f>
        <v/>
      </c>
      <c r="L240" s="5" t="str">
        <f>CONCATENATE("11 11.2 4b")</f>
        <v>11 11.2 4b</v>
      </c>
      <c r="M240" s="5" t="str">
        <f>CONCATENATE("RMLMRA85M06L191R")</f>
        <v>RMLMRA85M06L191R</v>
      </c>
      <c r="N240" s="5" t="s">
        <v>331</v>
      </c>
      <c r="O240" s="5" t="s">
        <v>289</v>
      </c>
      <c r="P240" s="6">
        <v>43950</v>
      </c>
      <c r="Q240" s="5" t="s">
        <v>31</v>
      </c>
      <c r="R240" s="5" t="s">
        <v>32</v>
      </c>
      <c r="S240" s="5" t="s">
        <v>33</v>
      </c>
      <c r="T240" s="5"/>
      <c r="U240" s="5">
        <v>622.54999999999995</v>
      </c>
      <c r="V240" s="5">
        <v>268.44</v>
      </c>
      <c r="W240" s="5">
        <v>247.9</v>
      </c>
      <c r="X240" s="5">
        <v>0</v>
      </c>
      <c r="Y240" s="5">
        <v>106.21</v>
      </c>
    </row>
    <row r="241" spans="1:25" ht="24.75" x14ac:dyDescent="0.25">
      <c r="A241" s="5" t="s">
        <v>26</v>
      </c>
      <c r="B241" s="5" t="s">
        <v>27</v>
      </c>
      <c r="C241" s="5" t="s">
        <v>50</v>
      </c>
      <c r="D241" s="5" t="s">
        <v>62</v>
      </c>
      <c r="E241" s="5" t="s">
        <v>35</v>
      </c>
      <c r="F241" s="5" t="s">
        <v>99</v>
      </c>
      <c r="G241" s="5">
        <v>2019</v>
      </c>
      <c r="H241" s="5" t="str">
        <f>CONCATENATE("94240897952")</f>
        <v>94240897952</v>
      </c>
      <c r="I241" s="5" t="s">
        <v>29</v>
      </c>
      <c r="J241" s="5" t="s">
        <v>36</v>
      </c>
      <c r="K241" s="5" t="str">
        <f>CONCATENATE("")</f>
        <v/>
      </c>
      <c r="L241" s="5" t="str">
        <f>CONCATENATE("11 11.2 4b")</f>
        <v>11 11.2 4b</v>
      </c>
      <c r="M241" s="5" t="str">
        <f>CONCATENATE("RSSLSN99A06F205N")</f>
        <v>RSSLSN99A06F205N</v>
      </c>
      <c r="N241" s="5" t="s">
        <v>332</v>
      </c>
      <c r="O241" s="5" t="s">
        <v>289</v>
      </c>
      <c r="P241" s="6">
        <v>43950</v>
      </c>
      <c r="Q241" s="5" t="s">
        <v>31</v>
      </c>
      <c r="R241" s="5" t="s">
        <v>32</v>
      </c>
      <c r="S241" s="5" t="s">
        <v>33</v>
      </c>
      <c r="T241" s="5"/>
      <c r="U241" s="5">
        <v>430.19</v>
      </c>
      <c r="V241" s="5">
        <v>185.5</v>
      </c>
      <c r="W241" s="5">
        <v>171.3</v>
      </c>
      <c r="X241" s="5">
        <v>0</v>
      </c>
      <c r="Y241" s="5">
        <v>73.39</v>
      </c>
    </row>
    <row r="242" spans="1:25" x14ac:dyDescent="0.25">
      <c r="A242" s="5" t="s">
        <v>26</v>
      </c>
      <c r="B242" s="5" t="s">
        <v>27</v>
      </c>
      <c r="C242" s="5" t="s">
        <v>50</v>
      </c>
      <c r="D242" s="5" t="s">
        <v>57</v>
      </c>
      <c r="E242" s="5" t="s">
        <v>35</v>
      </c>
      <c r="F242" s="5" t="s">
        <v>333</v>
      </c>
      <c r="G242" s="5">
        <v>2019</v>
      </c>
      <c r="H242" s="5" t="str">
        <f>CONCATENATE("94240699820")</f>
        <v>94240699820</v>
      </c>
      <c r="I242" s="5" t="s">
        <v>29</v>
      </c>
      <c r="J242" s="5" t="s">
        <v>36</v>
      </c>
      <c r="K242" s="5" t="str">
        <f>CONCATENATE("")</f>
        <v/>
      </c>
      <c r="L242" s="5" t="str">
        <f>CONCATENATE("11 11.2 4b")</f>
        <v>11 11.2 4b</v>
      </c>
      <c r="M242" s="5" t="str">
        <f>CONCATENATE("RCLSVN50A08L191E")</f>
        <v>RCLSVN50A08L191E</v>
      </c>
      <c r="N242" s="5" t="s">
        <v>334</v>
      </c>
      <c r="O242" s="5" t="s">
        <v>289</v>
      </c>
      <c r="P242" s="6">
        <v>43950</v>
      </c>
      <c r="Q242" s="5" t="s">
        <v>31</v>
      </c>
      <c r="R242" s="5" t="s">
        <v>32</v>
      </c>
      <c r="S242" s="5" t="s">
        <v>33</v>
      </c>
      <c r="T242" s="5"/>
      <c r="U242" s="7">
        <v>7880.63</v>
      </c>
      <c r="V242" s="7">
        <v>3398.13</v>
      </c>
      <c r="W242" s="7">
        <v>3138.07</v>
      </c>
      <c r="X242" s="5">
        <v>0</v>
      </c>
      <c r="Y242" s="7">
        <v>1344.43</v>
      </c>
    </row>
    <row r="243" spans="1:25" x14ac:dyDescent="0.25">
      <c r="A243" s="5" t="s">
        <v>26</v>
      </c>
      <c r="B243" s="5" t="s">
        <v>27</v>
      </c>
      <c r="C243" s="5" t="s">
        <v>50</v>
      </c>
      <c r="D243" s="5" t="s">
        <v>57</v>
      </c>
      <c r="E243" s="5" t="s">
        <v>35</v>
      </c>
      <c r="F243" s="5" t="s">
        <v>333</v>
      </c>
      <c r="G243" s="5">
        <v>2018</v>
      </c>
      <c r="H243" s="5" t="str">
        <f>CONCATENATE("84240130751")</f>
        <v>84240130751</v>
      </c>
      <c r="I243" s="5" t="s">
        <v>29</v>
      </c>
      <c r="J243" s="5" t="s">
        <v>36</v>
      </c>
      <c r="K243" s="5" t="str">
        <f>CONCATENATE("")</f>
        <v/>
      </c>
      <c r="L243" s="5" t="str">
        <f>CONCATENATE("11 11.2 4b")</f>
        <v>11 11.2 4b</v>
      </c>
      <c r="M243" s="5" t="str">
        <f>CONCATENATE("RCLSVN50A08L191E")</f>
        <v>RCLSVN50A08L191E</v>
      </c>
      <c r="N243" s="5" t="s">
        <v>334</v>
      </c>
      <c r="O243" s="5" t="s">
        <v>289</v>
      </c>
      <c r="P243" s="6">
        <v>43950</v>
      </c>
      <c r="Q243" s="5" t="s">
        <v>31</v>
      </c>
      <c r="R243" s="5" t="s">
        <v>32</v>
      </c>
      <c r="S243" s="5" t="s">
        <v>33</v>
      </c>
      <c r="T243" s="5"/>
      <c r="U243" s="7">
        <v>5758.74</v>
      </c>
      <c r="V243" s="7">
        <v>2483.17</v>
      </c>
      <c r="W243" s="7">
        <v>2293.13</v>
      </c>
      <c r="X243" s="5">
        <v>0</v>
      </c>
      <c r="Y243" s="5">
        <v>982.44</v>
      </c>
    </row>
    <row r="244" spans="1:25" x14ac:dyDescent="0.25">
      <c r="A244" s="5" t="s">
        <v>26</v>
      </c>
      <c r="B244" s="5" t="s">
        <v>27</v>
      </c>
      <c r="C244" s="5" t="s">
        <v>50</v>
      </c>
      <c r="D244" s="5" t="s">
        <v>57</v>
      </c>
      <c r="E244" s="5" t="s">
        <v>28</v>
      </c>
      <c r="F244" s="5" t="s">
        <v>97</v>
      </c>
      <c r="G244" s="5">
        <v>2019</v>
      </c>
      <c r="H244" s="5" t="str">
        <f>CONCATENATE("94240736093")</f>
        <v>94240736093</v>
      </c>
      <c r="I244" s="5" t="s">
        <v>29</v>
      </c>
      <c r="J244" s="5" t="s">
        <v>36</v>
      </c>
      <c r="K244" s="5" t="str">
        <f>CONCATENATE("")</f>
        <v/>
      </c>
      <c r="L244" s="5" t="str">
        <f>CONCATENATE("11 11.2 4b")</f>
        <v>11 11.2 4b</v>
      </c>
      <c r="M244" s="5" t="str">
        <f>CONCATENATE("CRSPQL70B12F051W")</f>
        <v>CRSPQL70B12F051W</v>
      </c>
      <c r="N244" s="5" t="s">
        <v>329</v>
      </c>
      <c r="O244" s="5" t="s">
        <v>289</v>
      </c>
      <c r="P244" s="6">
        <v>43950</v>
      </c>
      <c r="Q244" s="5" t="s">
        <v>31</v>
      </c>
      <c r="R244" s="5" t="s">
        <v>32</v>
      </c>
      <c r="S244" s="5" t="s">
        <v>33</v>
      </c>
      <c r="T244" s="5"/>
      <c r="U244" s="7">
        <v>2648.76</v>
      </c>
      <c r="V244" s="7">
        <v>1142.1500000000001</v>
      </c>
      <c r="W244" s="7">
        <v>1054.74</v>
      </c>
      <c r="X244" s="5">
        <v>0</v>
      </c>
      <c r="Y244" s="5">
        <v>451.87</v>
      </c>
    </row>
    <row r="245" spans="1:25" x14ac:dyDescent="0.25">
      <c r="A245" s="5" t="s">
        <v>26</v>
      </c>
      <c r="B245" s="5" t="s">
        <v>27</v>
      </c>
      <c r="C245" s="5" t="s">
        <v>50</v>
      </c>
      <c r="D245" s="5" t="s">
        <v>57</v>
      </c>
      <c r="E245" s="5" t="s">
        <v>38</v>
      </c>
      <c r="F245" s="5" t="s">
        <v>335</v>
      </c>
      <c r="G245" s="5">
        <v>2018</v>
      </c>
      <c r="H245" s="5" t="str">
        <f>CONCATENATE("84240828032")</f>
        <v>84240828032</v>
      </c>
      <c r="I245" s="5" t="s">
        <v>29</v>
      </c>
      <c r="J245" s="5" t="s">
        <v>36</v>
      </c>
      <c r="K245" s="5" t="str">
        <f>CONCATENATE("")</f>
        <v/>
      </c>
      <c r="L245" s="5" t="str">
        <f>CONCATENATE("11 11.2 4b")</f>
        <v>11 11.2 4b</v>
      </c>
      <c r="M245" s="5" t="str">
        <f>CONCATENATE("PSSNDR68T07L191O")</f>
        <v>PSSNDR68T07L191O</v>
      </c>
      <c r="N245" s="5" t="s">
        <v>336</v>
      </c>
      <c r="O245" s="5" t="s">
        <v>289</v>
      </c>
      <c r="P245" s="6">
        <v>43950</v>
      </c>
      <c r="Q245" s="5" t="s">
        <v>31</v>
      </c>
      <c r="R245" s="5" t="s">
        <v>32</v>
      </c>
      <c r="S245" s="5" t="s">
        <v>33</v>
      </c>
      <c r="T245" s="5"/>
      <c r="U245" s="7">
        <v>26245.55</v>
      </c>
      <c r="V245" s="7">
        <v>11317.08</v>
      </c>
      <c r="W245" s="7">
        <v>10450.98</v>
      </c>
      <c r="X245" s="5">
        <v>0</v>
      </c>
      <c r="Y245" s="7">
        <v>4477.49</v>
      </c>
    </row>
    <row r="246" spans="1:25" x14ac:dyDescent="0.25">
      <c r="A246" s="5" t="s">
        <v>26</v>
      </c>
      <c r="B246" s="5" t="s">
        <v>27</v>
      </c>
      <c r="C246" s="5" t="s">
        <v>50</v>
      </c>
      <c r="D246" s="5" t="s">
        <v>57</v>
      </c>
      <c r="E246" s="5" t="s">
        <v>38</v>
      </c>
      <c r="F246" s="5" t="s">
        <v>335</v>
      </c>
      <c r="G246" s="5">
        <v>2019</v>
      </c>
      <c r="H246" s="5" t="str">
        <f>CONCATENATE("94240552466")</f>
        <v>94240552466</v>
      </c>
      <c r="I246" s="5" t="s">
        <v>29</v>
      </c>
      <c r="J246" s="5" t="s">
        <v>36</v>
      </c>
      <c r="K246" s="5" t="str">
        <f>CONCATENATE("")</f>
        <v/>
      </c>
      <c r="L246" s="5" t="str">
        <f>CONCATENATE("11 11.2 4b")</f>
        <v>11 11.2 4b</v>
      </c>
      <c r="M246" s="5" t="str">
        <f>CONCATENATE("PSSNDR68T07L191O")</f>
        <v>PSSNDR68T07L191O</v>
      </c>
      <c r="N246" s="5" t="s">
        <v>336</v>
      </c>
      <c r="O246" s="5" t="s">
        <v>289</v>
      </c>
      <c r="P246" s="6">
        <v>43950</v>
      </c>
      <c r="Q246" s="5" t="s">
        <v>31</v>
      </c>
      <c r="R246" s="5" t="s">
        <v>32</v>
      </c>
      <c r="S246" s="5" t="s">
        <v>33</v>
      </c>
      <c r="T246" s="5"/>
      <c r="U246" s="7">
        <v>27329.53</v>
      </c>
      <c r="V246" s="7">
        <v>11784.49</v>
      </c>
      <c r="W246" s="7">
        <v>10882.62</v>
      </c>
      <c r="X246" s="5">
        <v>0</v>
      </c>
      <c r="Y246" s="7">
        <v>4662.42</v>
      </c>
    </row>
    <row r="247" spans="1:25" x14ac:dyDescent="0.25">
      <c r="A247" s="5" t="s">
        <v>26</v>
      </c>
      <c r="B247" s="5" t="s">
        <v>27</v>
      </c>
      <c r="C247" s="5" t="s">
        <v>50</v>
      </c>
      <c r="D247" s="5" t="s">
        <v>57</v>
      </c>
      <c r="E247" s="5" t="s">
        <v>28</v>
      </c>
      <c r="F247" s="5" t="s">
        <v>222</v>
      </c>
      <c r="G247" s="5">
        <v>2019</v>
      </c>
      <c r="H247" s="5" t="str">
        <f>CONCATENATE("94240932585")</f>
        <v>94240932585</v>
      </c>
      <c r="I247" s="5" t="s">
        <v>29</v>
      </c>
      <c r="J247" s="5" t="s">
        <v>36</v>
      </c>
      <c r="K247" s="5" t="str">
        <f>CONCATENATE("")</f>
        <v/>
      </c>
      <c r="L247" s="5" t="str">
        <f>CONCATENATE("11 11.2 4b")</f>
        <v>11 11.2 4b</v>
      </c>
      <c r="M247" s="5" t="str">
        <f>CONCATENATE("PTTDNL76L27E783W")</f>
        <v>PTTDNL76L27E783W</v>
      </c>
      <c r="N247" s="5" t="s">
        <v>337</v>
      </c>
      <c r="O247" s="5" t="s">
        <v>289</v>
      </c>
      <c r="P247" s="6">
        <v>43950</v>
      </c>
      <c r="Q247" s="5" t="s">
        <v>31</v>
      </c>
      <c r="R247" s="5" t="s">
        <v>32</v>
      </c>
      <c r="S247" s="5" t="s">
        <v>33</v>
      </c>
      <c r="T247" s="5"/>
      <c r="U247" s="7">
        <v>7301.43</v>
      </c>
      <c r="V247" s="7">
        <v>3148.38</v>
      </c>
      <c r="W247" s="7">
        <v>2907.43</v>
      </c>
      <c r="X247" s="5">
        <v>0</v>
      </c>
      <c r="Y247" s="7">
        <v>1245.6199999999999</v>
      </c>
    </row>
    <row r="248" spans="1:25" x14ac:dyDescent="0.25">
      <c r="A248" s="5" t="s">
        <v>26</v>
      </c>
      <c r="B248" s="5" t="s">
        <v>27</v>
      </c>
      <c r="C248" s="5" t="s">
        <v>50</v>
      </c>
      <c r="D248" s="5" t="s">
        <v>57</v>
      </c>
      <c r="E248" s="5" t="s">
        <v>28</v>
      </c>
      <c r="F248" s="5" t="s">
        <v>222</v>
      </c>
      <c r="G248" s="5">
        <v>2018</v>
      </c>
      <c r="H248" s="5" t="str">
        <f>CONCATENATE("84240996359")</f>
        <v>84240996359</v>
      </c>
      <c r="I248" s="5" t="s">
        <v>29</v>
      </c>
      <c r="J248" s="5" t="s">
        <v>36</v>
      </c>
      <c r="K248" s="5" t="str">
        <f>CONCATENATE("")</f>
        <v/>
      </c>
      <c r="L248" s="5" t="str">
        <f>CONCATENATE("11 11.2 4b")</f>
        <v>11 11.2 4b</v>
      </c>
      <c r="M248" s="5" t="str">
        <f>CONCATENATE("PTTDNL76L27E783W")</f>
        <v>PTTDNL76L27E783W</v>
      </c>
      <c r="N248" s="5" t="s">
        <v>337</v>
      </c>
      <c r="O248" s="5" t="s">
        <v>289</v>
      </c>
      <c r="P248" s="6">
        <v>43950</v>
      </c>
      <c r="Q248" s="5" t="s">
        <v>31</v>
      </c>
      <c r="R248" s="5" t="s">
        <v>32</v>
      </c>
      <c r="S248" s="5" t="s">
        <v>33</v>
      </c>
      <c r="T248" s="5"/>
      <c r="U248" s="7">
        <v>4378.78</v>
      </c>
      <c r="V248" s="7">
        <v>1888.13</v>
      </c>
      <c r="W248" s="7">
        <v>1743.63</v>
      </c>
      <c r="X248" s="5">
        <v>0</v>
      </c>
      <c r="Y248" s="5">
        <v>747.02</v>
      </c>
    </row>
    <row r="249" spans="1:25" ht="24.75" x14ac:dyDescent="0.25">
      <c r="A249" s="5" t="s">
        <v>26</v>
      </c>
      <c r="B249" s="5" t="s">
        <v>27</v>
      </c>
      <c r="C249" s="5" t="s">
        <v>50</v>
      </c>
      <c r="D249" s="5" t="s">
        <v>57</v>
      </c>
      <c r="E249" s="5" t="s">
        <v>45</v>
      </c>
      <c r="F249" s="5" t="s">
        <v>308</v>
      </c>
      <c r="G249" s="5">
        <v>2019</v>
      </c>
      <c r="H249" s="5" t="str">
        <f>CONCATENATE("94240945637")</f>
        <v>94240945637</v>
      </c>
      <c r="I249" s="5" t="s">
        <v>29</v>
      </c>
      <c r="J249" s="5" t="s">
        <v>36</v>
      </c>
      <c r="K249" s="5" t="str">
        <f>CONCATENATE("")</f>
        <v/>
      </c>
      <c r="L249" s="5" t="str">
        <f>CONCATENATE("11 11.1 4b")</f>
        <v>11 11.1 4b</v>
      </c>
      <c r="M249" s="5" t="str">
        <f>CONCATENATE("MSCFNC63H10B474B")</f>
        <v>MSCFNC63H10B474B</v>
      </c>
      <c r="N249" s="5" t="s">
        <v>338</v>
      </c>
      <c r="O249" s="5" t="s">
        <v>289</v>
      </c>
      <c r="P249" s="6">
        <v>43950</v>
      </c>
      <c r="Q249" s="5" t="s">
        <v>31</v>
      </c>
      <c r="R249" s="5" t="s">
        <v>32</v>
      </c>
      <c r="S249" s="5" t="s">
        <v>33</v>
      </c>
      <c r="T249" s="5"/>
      <c r="U249" s="7">
        <v>1517.85</v>
      </c>
      <c r="V249" s="5">
        <v>654.5</v>
      </c>
      <c r="W249" s="5">
        <v>604.41</v>
      </c>
      <c r="X249" s="5">
        <v>0</v>
      </c>
      <c r="Y249" s="5">
        <v>258.94</v>
      </c>
    </row>
    <row r="250" spans="1:25" ht="24.75" x14ac:dyDescent="0.25">
      <c r="A250" s="5" t="s">
        <v>26</v>
      </c>
      <c r="B250" s="5" t="s">
        <v>27</v>
      </c>
      <c r="C250" s="5" t="s">
        <v>50</v>
      </c>
      <c r="D250" s="5" t="s">
        <v>58</v>
      </c>
      <c r="E250" s="5" t="s">
        <v>35</v>
      </c>
      <c r="F250" s="5" t="s">
        <v>260</v>
      </c>
      <c r="G250" s="5">
        <v>2019</v>
      </c>
      <c r="H250" s="5" t="str">
        <f>CONCATENATE("94241008435")</f>
        <v>94241008435</v>
      </c>
      <c r="I250" s="5" t="s">
        <v>29</v>
      </c>
      <c r="J250" s="5" t="s">
        <v>36</v>
      </c>
      <c r="K250" s="5" t="str">
        <f>CONCATENATE("")</f>
        <v/>
      </c>
      <c r="L250" s="5" t="str">
        <f>CONCATENATE("11 11.1 4b")</f>
        <v>11 11.1 4b</v>
      </c>
      <c r="M250" s="5" t="str">
        <f>CONCATENATE("VRGGLN70C01G005D")</f>
        <v>VRGGLN70C01G005D</v>
      </c>
      <c r="N250" s="5" t="s">
        <v>339</v>
      </c>
      <c r="O250" s="5" t="s">
        <v>289</v>
      </c>
      <c r="P250" s="6">
        <v>43950</v>
      </c>
      <c r="Q250" s="5" t="s">
        <v>31</v>
      </c>
      <c r="R250" s="5" t="s">
        <v>32</v>
      </c>
      <c r="S250" s="5" t="s">
        <v>33</v>
      </c>
      <c r="T250" s="5"/>
      <c r="U250" s="5">
        <v>108.99</v>
      </c>
      <c r="V250" s="5">
        <v>47</v>
      </c>
      <c r="W250" s="5">
        <v>43.4</v>
      </c>
      <c r="X250" s="5">
        <v>0</v>
      </c>
      <c r="Y250" s="5">
        <v>18.59</v>
      </c>
    </row>
    <row r="251" spans="1:25" ht="24.75" x14ac:dyDescent="0.25">
      <c r="A251" s="5" t="s">
        <v>26</v>
      </c>
      <c r="B251" s="5" t="s">
        <v>27</v>
      </c>
      <c r="C251" s="5" t="s">
        <v>50</v>
      </c>
      <c r="D251" s="5" t="s">
        <v>57</v>
      </c>
      <c r="E251" s="5" t="s">
        <v>39</v>
      </c>
      <c r="F251" s="5" t="s">
        <v>319</v>
      </c>
      <c r="G251" s="5">
        <v>2019</v>
      </c>
      <c r="H251" s="5" t="str">
        <f>CONCATENATE("94241171407")</f>
        <v>94241171407</v>
      </c>
      <c r="I251" s="5" t="s">
        <v>29</v>
      </c>
      <c r="J251" s="5" t="s">
        <v>36</v>
      </c>
      <c r="K251" s="5" t="str">
        <f>CONCATENATE("")</f>
        <v/>
      </c>
      <c r="L251" s="5" t="str">
        <f>CONCATENATE("11 11.1 4b")</f>
        <v>11 11.1 4b</v>
      </c>
      <c r="M251" s="5" t="str">
        <f>CONCATENATE("01072260431")</f>
        <v>01072260431</v>
      </c>
      <c r="N251" s="5" t="s">
        <v>340</v>
      </c>
      <c r="O251" s="5" t="s">
        <v>289</v>
      </c>
      <c r="P251" s="6">
        <v>43950</v>
      </c>
      <c r="Q251" s="5" t="s">
        <v>31</v>
      </c>
      <c r="R251" s="5" t="s">
        <v>32</v>
      </c>
      <c r="S251" s="5" t="s">
        <v>33</v>
      </c>
      <c r="T251" s="5"/>
      <c r="U251" s="7">
        <v>18785.14</v>
      </c>
      <c r="V251" s="7">
        <v>8100.15</v>
      </c>
      <c r="W251" s="7">
        <v>7480.24</v>
      </c>
      <c r="X251" s="5">
        <v>0</v>
      </c>
      <c r="Y251" s="7">
        <v>3204.75</v>
      </c>
    </row>
    <row r="252" spans="1:25" ht="24.75" x14ac:dyDescent="0.25">
      <c r="A252" s="5" t="s">
        <v>26</v>
      </c>
      <c r="B252" s="5" t="s">
        <v>27</v>
      </c>
      <c r="C252" s="5" t="s">
        <v>50</v>
      </c>
      <c r="D252" s="5" t="s">
        <v>62</v>
      </c>
      <c r="E252" s="5" t="s">
        <v>44</v>
      </c>
      <c r="F252" s="5" t="s">
        <v>314</v>
      </c>
      <c r="G252" s="5">
        <v>2019</v>
      </c>
      <c r="H252" s="5" t="str">
        <f>CONCATENATE("94241156382")</f>
        <v>94241156382</v>
      </c>
      <c r="I252" s="5" t="s">
        <v>29</v>
      </c>
      <c r="J252" s="5" t="s">
        <v>36</v>
      </c>
      <c r="K252" s="5" t="str">
        <f>CONCATENATE("")</f>
        <v/>
      </c>
      <c r="L252" s="5" t="str">
        <f>CONCATENATE("11 11.2 4b")</f>
        <v>11 11.2 4b</v>
      </c>
      <c r="M252" s="5" t="str">
        <f>CONCATENATE("FRLDGI96B06D749R")</f>
        <v>FRLDGI96B06D749R</v>
      </c>
      <c r="N252" s="5" t="s">
        <v>341</v>
      </c>
      <c r="O252" s="5" t="s">
        <v>289</v>
      </c>
      <c r="P252" s="6">
        <v>43950</v>
      </c>
      <c r="Q252" s="5" t="s">
        <v>31</v>
      </c>
      <c r="R252" s="5" t="s">
        <v>32</v>
      </c>
      <c r="S252" s="5" t="s">
        <v>33</v>
      </c>
      <c r="T252" s="5"/>
      <c r="U252" s="7">
        <v>1671.39</v>
      </c>
      <c r="V252" s="5">
        <v>720.7</v>
      </c>
      <c r="W252" s="5">
        <v>665.55</v>
      </c>
      <c r="X252" s="5">
        <v>0</v>
      </c>
      <c r="Y252" s="5">
        <v>285.14</v>
      </c>
    </row>
    <row r="253" spans="1:25" x14ac:dyDescent="0.25">
      <c r="A253" s="5" t="s">
        <v>26</v>
      </c>
      <c r="B253" s="5" t="s">
        <v>27</v>
      </c>
      <c r="C253" s="5" t="s">
        <v>50</v>
      </c>
      <c r="D253" s="5" t="s">
        <v>57</v>
      </c>
      <c r="E253" s="5" t="s">
        <v>45</v>
      </c>
      <c r="F253" s="5" t="s">
        <v>308</v>
      </c>
      <c r="G253" s="5">
        <v>2019</v>
      </c>
      <c r="H253" s="5" t="str">
        <f>CONCATENATE("94241050841")</f>
        <v>94241050841</v>
      </c>
      <c r="I253" s="5" t="s">
        <v>29</v>
      </c>
      <c r="J253" s="5" t="s">
        <v>36</v>
      </c>
      <c r="K253" s="5" t="str">
        <f>CONCATENATE("")</f>
        <v/>
      </c>
      <c r="L253" s="5" t="str">
        <f>CONCATENATE("11 11.2 4b")</f>
        <v>11 11.2 4b</v>
      </c>
      <c r="M253" s="5" t="str">
        <f>CONCATENATE("PNSFNC81T51L366D")</f>
        <v>PNSFNC81T51L366D</v>
      </c>
      <c r="N253" s="5" t="s">
        <v>342</v>
      </c>
      <c r="O253" s="5" t="s">
        <v>289</v>
      </c>
      <c r="P253" s="6">
        <v>43950</v>
      </c>
      <c r="Q253" s="5" t="s">
        <v>31</v>
      </c>
      <c r="R253" s="5" t="s">
        <v>32</v>
      </c>
      <c r="S253" s="5" t="s">
        <v>33</v>
      </c>
      <c r="T253" s="5"/>
      <c r="U253" s="7">
        <v>29991.16</v>
      </c>
      <c r="V253" s="7">
        <v>12932.19</v>
      </c>
      <c r="W253" s="7">
        <v>11942.48</v>
      </c>
      <c r="X253" s="5">
        <v>0</v>
      </c>
      <c r="Y253" s="7">
        <v>5116.49</v>
      </c>
    </row>
    <row r="254" spans="1:25" ht="24.75" x14ac:dyDescent="0.25">
      <c r="A254" s="5" t="s">
        <v>26</v>
      </c>
      <c r="B254" s="5" t="s">
        <v>27</v>
      </c>
      <c r="C254" s="5" t="s">
        <v>50</v>
      </c>
      <c r="D254" s="5" t="s">
        <v>58</v>
      </c>
      <c r="E254" s="5" t="s">
        <v>28</v>
      </c>
      <c r="F254" s="5" t="s">
        <v>65</v>
      </c>
      <c r="G254" s="5">
        <v>2018</v>
      </c>
      <c r="H254" s="5" t="str">
        <f>CONCATENATE("84241025265")</f>
        <v>84241025265</v>
      </c>
      <c r="I254" s="5" t="s">
        <v>29</v>
      </c>
      <c r="J254" s="5" t="s">
        <v>36</v>
      </c>
      <c r="K254" s="5" t="str">
        <f>CONCATENATE("")</f>
        <v/>
      </c>
      <c r="L254" s="5" t="str">
        <f>CONCATENATE("11 11.2 4b")</f>
        <v>11 11.2 4b</v>
      </c>
      <c r="M254" s="5" t="str">
        <f>CONCATENATE("VRGMRS36P52B727N")</f>
        <v>VRGMRS36P52B727N</v>
      </c>
      <c r="N254" s="5" t="s">
        <v>343</v>
      </c>
      <c r="O254" s="5" t="s">
        <v>289</v>
      </c>
      <c r="P254" s="6">
        <v>43950</v>
      </c>
      <c r="Q254" s="5" t="s">
        <v>31</v>
      </c>
      <c r="R254" s="5" t="s">
        <v>32</v>
      </c>
      <c r="S254" s="5" t="s">
        <v>33</v>
      </c>
      <c r="T254" s="5"/>
      <c r="U254" s="7">
        <v>10449.93</v>
      </c>
      <c r="V254" s="7">
        <v>4506.01</v>
      </c>
      <c r="W254" s="7">
        <v>4161.16</v>
      </c>
      <c r="X254" s="5">
        <v>0</v>
      </c>
      <c r="Y254" s="7">
        <v>1782.76</v>
      </c>
    </row>
    <row r="255" spans="1:25" ht="24.75" x14ac:dyDescent="0.25">
      <c r="A255" s="5" t="s">
        <v>26</v>
      </c>
      <c r="B255" s="5" t="s">
        <v>27</v>
      </c>
      <c r="C255" s="5" t="s">
        <v>50</v>
      </c>
      <c r="D255" s="5" t="s">
        <v>58</v>
      </c>
      <c r="E255" s="5" t="s">
        <v>28</v>
      </c>
      <c r="F255" s="5" t="s">
        <v>65</v>
      </c>
      <c r="G255" s="5">
        <v>2019</v>
      </c>
      <c r="H255" s="5" t="str">
        <f>CONCATENATE("94240960511")</f>
        <v>94240960511</v>
      </c>
      <c r="I255" s="5" t="s">
        <v>29</v>
      </c>
      <c r="J255" s="5" t="s">
        <v>36</v>
      </c>
      <c r="K255" s="5" t="str">
        <f>CONCATENATE("")</f>
        <v/>
      </c>
      <c r="L255" s="5" t="str">
        <f>CONCATENATE("11 11.2 4b")</f>
        <v>11 11.2 4b</v>
      </c>
      <c r="M255" s="5" t="str">
        <f>CONCATENATE("VRGMRS36P52B727N")</f>
        <v>VRGMRS36P52B727N</v>
      </c>
      <c r="N255" s="5" t="s">
        <v>343</v>
      </c>
      <c r="O255" s="5" t="s">
        <v>289</v>
      </c>
      <c r="P255" s="6">
        <v>43950</v>
      </c>
      <c r="Q255" s="5" t="s">
        <v>31</v>
      </c>
      <c r="R255" s="5" t="s">
        <v>32</v>
      </c>
      <c r="S255" s="5" t="s">
        <v>33</v>
      </c>
      <c r="T255" s="5"/>
      <c r="U255" s="7">
        <v>9331.19</v>
      </c>
      <c r="V255" s="7">
        <v>4023.61</v>
      </c>
      <c r="W255" s="7">
        <v>3715.68</v>
      </c>
      <c r="X255" s="5">
        <v>0</v>
      </c>
      <c r="Y255" s="7">
        <v>1591.9</v>
      </c>
    </row>
    <row r="256" spans="1:25" x14ac:dyDescent="0.25">
      <c r="A256" s="5" t="s">
        <v>26</v>
      </c>
      <c r="B256" s="5" t="s">
        <v>27</v>
      </c>
      <c r="C256" s="5" t="s">
        <v>50</v>
      </c>
      <c r="D256" s="5" t="s">
        <v>57</v>
      </c>
      <c r="E256" s="5" t="s">
        <v>28</v>
      </c>
      <c r="F256" s="5" t="s">
        <v>97</v>
      </c>
      <c r="G256" s="5">
        <v>2019</v>
      </c>
      <c r="H256" s="5" t="str">
        <f>CONCATENATE("94240930175")</f>
        <v>94240930175</v>
      </c>
      <c r="I256" s="5" t="s">
        <v>29</v>
      </c>
      <c r="J256" s="5" t="s">
        <v>36</v>
      </c>
      <c r="K256" s="5" t="str">
        <f>CONCATENATE("")</f>
        <v/>
      </c>
      <c r="L256" s="5" t="str">
        <f>CONCATENATE("11 11.2 4b")</f>
        <v>11 11.2 4b</v>
      </c>
      <c r="M256" s="5" t="str">
        <f>CONCATENATE("DMNRTI46P66I569J")</f>
        <v>DMNRTI46P66I569J</v>
      </c>
      <c r="N256" s="5" t="s">
        <v>344</v>
      </c>
      <c r="O256" s="5" t="s">
        <v>289</v>
      </c>
      <c r="P256" s="6">
        <v>43950</v>
      </c>
      <c r="Q256" s="5" t="s">
        <v>31</v>
      </c>
      <c r="R256" s="5" t="s">
        <v>32</v>
      </c>
      <c r="S256" s="5" t="s">
        <v>33</v>
      </c>
      <c r="T256" s="5"/>
      <c r="U256" s="7">
        <v>19232.939999999999</v>
      </c>
      <c r="V256" s="7">
        <v>8293.24</v>
      </c>
      <c r="W256" s="7">
        <v>7658.56</v>
      </c>
      <c r="X256" s="5">
        <v>0</v>
      </c>
      <c r="Y256" s="7">
        <v>3281.14</v>
      </c>
    </row>
    <row r="257" spans="1:25" ht="24.75" x14ac:dyDescent="0.25">
      <c r="A257" s="5" t="s">
        <v>26</v>
      </c>
      <c r="B257" s="5" t="s">
        <v>27</v>
      </c>
      <c r="C257" s="5" t="s">
        <v>50</v>
      </c>
      <c r="D257" s="5" t="s">
        <v>62</v>
      </c>
      <c r="E257" s="5" t="s">
        <v>28</v>
      </c>
      <c r="F257" s="5" t="s">
        <v>63</v>
      </c>
      <c r="G257" s="5">
        <v>2017</v>
      </c>
      <c r="H257" s="5" t="str">
        <f>CONCATENATE("74241459341")</f>
        <v>74241459341</v>
      </c>
      <c r="I257" s="5" t="s">
        <v>29</v>
      </c>
      <c r="J257" s="5" t="s">
        <v>36</v>
      </c>
      <c r="K257" s="5" t="str">
        <f>CONCATENATE("")</f>
        <v/>
      </c>
      <c r="L257" s="5" t="str">
        <f>CONCATENATE("11 11.2 4b")</f>
        <v>11 11.2 4b</v>
      </c>
      <c r="M257" s="5" t="str">
        <f>CONCATENATE("DCRCLD83C12D488U")</f>
        <v>DCRCLD83C12D488U</v>
      </c>
      <c r="N257" s="5" t="s">
        <v>345</v>
      </c>
      <c r="O257" s="5" t="s">
        <v>289</v>
      </c>
      <c r="P257" s="6">
        <v>43950</v>
      </c>
      <c r="Q257" s="5" t="s">
        <v>31</v>
      </c>
      <c r="R257" s="5" t="s">
        <v>32</v>
      </c>
      <c r="S257" s="5" t="s">
        <v>33</v>
      </c>
      <c r="T257" s="5"/>
      <c r="U257" s="7">
        <v>5635.97</v>
      </c>
      <c r="V257" s="7">
        <v>2430.23</v>
      </c>
      <c r="W257" s="7">
        <v>2244.2399999999998</v>
      </c>
      <c r="X257" s="5">
        <v>0</v>
      </c>
      <c r="Y257" s="5">
        <v>961.5</v>
      </c>
    </row>
    <row r="258" spans="1:25" ht="24.75" x14ac:dyDescent="0.25">
      <c r="A258" s="5" t="s">
        <v>26</v>
      </c>
      <c r="B258" s="5" t="s">
        <v>27</v>
      </c>
      <c r="C258" s="5" t="s">
        <v>50</v>
      </c>
      <c r="D258" s="5" t="s">
        <v>51</v>
      </c>
      <c r="E258" s="5" t="s">
        <v>35</v>
      </c>
      <c r="F258" s="5" t="s">
        <v>119</v>
      </c>
      <c r="G258" s="5">
        <v>2019</v>
      </c>
      <c r="H258" s="5" t="str">
        <f>CONCATENATE("94240276538")</f>
        <v>94240276538</v>
      </c>
      <c r="I258" s="5" t="s">
        <v>29</v>
      </c>
      <c r="J258" s="5" t="s">
        <v>36</v>
      </c>
      <c r="K258" s="5" t="str">
        <f>CONCATENATE("")</f>
        <v/>
      </c>
      <c r="L258" s="5" t="str">
        <f>CONCATENATE("11 11.2 4b")</f>
        <v>11 11.2 4b</v>
      </c>
      <c r="M258" s="5" t="str">
        <f>CONCATENATE("STRSVN52B65D451B")</f>
        <v>STRSVN52B65D451B</v>
      </c>
      <c r="N258" s="5" t="s">
        <v>346</v>
      </c>
      <c r="O258" s="5" t="s">
        <v>289</v>
      </c>
      <c r="P258" s="6">
        <v>43950</v>
      </c>
      <c r="Q258" s="5" t="s">
        <v>31</v>
      </c>
      <c r="R258" s="5" t="s">
        <v>32</v>
      </c>
      <c r="S258" s="5" t="s">
        <v>33</v>
      </c>
      <c r="T258" s="5"/>
      <c r="U258" s="5">
        <v>219.5</v>
      </c>
      <c r="V258" s="5">
        <v>94.65</v>
      </c>
      <c r="W258" s="5">
        <v>87.4</v>
      </c>
      <c r="X258" s="5">
        <v>0</v>
      </c>
      <c r="Y258" s="5">
        <v>37.450000000000003</v>
      </c>
    </row>
    <row r="259" spans="1:25" ht="24.75" x14ac:dyDescent="0.25">
      <c r="A259" s="5" t="s">
        <v>26</v>
      </c>
      <c r="B259" s="5" t="s">
        <v>27</v>
      </c>
      <c r="C259" s="5" t="s">
        <v>50</v>
      </c>
      <c r="D259" s="5" t="s">
        <v>51</v>
      </c>
      <c r="E259" s="5" t="s">
        <v>28</v>
      </c>
      <c r="F259" s="5" t="s">
        <v>52</v>
      </c>
      <c r="G259" s="5">
        <v>2018</v>
      </c>
      <c r="H259" s="5" t="str">
        <f>CONCATENATE("84240695977")</f>
        <v>84240695977</v>
      </c>
      <c r="I259" s="5" t="s">
        <v>29</v>
      </c>
      <c r="J259" s="5" t="s">
        <v>36</v>
      </c>
      <c r="K259" s="5" t="str">
        <f>CONCATENATE("")</f>
        <v/>
      </c>
      <c r="L259" s="5" t="str">
        <f>CONCATENATE("11 11.2 4b")</f>
        <v>11 11.2 4b</v>
      </c>
      <c r="M259" s="5" t="str">
        <f>CONCATENATE("VNOMTM60H65D528E")</f>
        <v>VNOMTM60H65D528E</v>
      </c>
      <c r="N259" s="5" t="s">
        <v>347</v>
      </c>
      <c r="O259" s="5" t="s">
        <v>289</v>
      </c>
      <c r="P259" s="6">
        <v>43950</v>
      </c>
      <c r="Q259" s="5" t="s">
        <v>31</v>
      </c>
      <c r="R259" s="5" t="s">
        <v>32</v>
      </c>
      <c r="S259" s="5" t="s">
        <v>33</v>
      </c>
      <c r="T259" s="5"/>
      <c r="U259" s="7">
        <v>1924.37</v>
      </c>
      <c r="V259" s="5">
        <v>829.79</v>
      </c>
      <c r="W259" s="5">
        <v>766.28</v>
      </c>
      <c r="X259" s="5">
        <v>0</v>
      </c>
      <c r="Y259" s="5">
        <v>328.3</v>
      </c>
    </row>
    <row r="260" spans="1:25" ht="24.75" x14ac:dyDescent="0.25">
      <c r="A260" s="5" t="s">
        <v>26</v>
      </c>
      <c r="B260" s="5" t="s">
        <v>27</v>
      </c>
      <c r="C260" s="5" t="s">
        <v>50</v>
      </c>
      <c r="D260" s="5" t="s">
        <v>62</v>
      </c>
      <c r="E260" s="5" t="s">
        <v>28</v>
      </c>
      <c r="F260" s="5" t="s">
        <v>238</v>
      </c>
      <c r="G260" s="5">
        <v>2019</v>
      </c>
      <c r="H260" s="5" t="str">
        <f>CONCATENATE("94240698889")</f>
        <v>94240698889</v>
      </c>
      <c r="I260" s="5" t="s">
        <v>29</v>
      </c>
      <c r="J260" s="5" t="s">
        <v>36</v>
      </c>
      <c r="K260" s="5" t="str">
        <f>CONCATENATE("")</f>
        <v/>
      </c>
      <c r="L260" s="5" t="str">
        <f>CONCATENATE("11 11.2 4b")</f>
        <v>11 11.2 4b</v>
      </c>
      <c r="M260" s="5" t="str">
        <f>CONCATENATE("02623320419")</f>
        <v>02623320419</v>
      </c>
      <c r="N260" s="5" t="s">
        <v>348</v>
      </c>
      <c r="O260" s="5" t="s">
        <v>289</v>
      </c>
      <c r="P260" s="6">
        <v>43950</v>
      </c>
      <c r="Q260" s="5" t="s">
        <v>31</v>
      </c>
      <c r="R260" s="5" t="s">
        <v>32</v>
      </c>
      <c r="S260" s="5" t="s">
        <v>33</v>
      </c>
      <c r="T260" s="5"/>
      <c r="U260" s="5">
        <v>274.08</v>
      </c>
      <c r="V260" s="5">
        <v>118.18</v>
      </c>
      <c r="W260" s="5">
        <v>109.14</v>
      </c>
      <c r="X260" s="5">
        <v>0</v>
      </c>
      <c r="Y260" s="5">
        <v>46.76</v>
      </c>
    </row>
    <row r="261" spans="1:25" ht="24.75" x14ac:dyDescent="0.25">
      <c r="A261" s="5" t="s">
        <v>26</v>
      </c>
      <c r="B261" s="5" t="s">
        <v>27</v>
      </c>
      <c r="C261" s="5" t="s">
        <v>50</v>
      </c>
      <c r="D261" s="5" t="s">
        <v>57</v>
      </c>
      <c r="E261" s="5" t="s">
        <v>28</v>
      </c>
      <c r="F261" s="5" t="s">
        <v>349</v>
      </c>
      <c r="G261" s="5">
        <v>2019</v>
      </c>
      <c r="H261" s="5" t="str">
        <f>CONCATENATE("94240659964")</f>
        <v>94240659964</v>
      </c>
      <c r="I261" s="5" t="s">
        <v>29</v>
      </c>
      <c r="J261" s="5" t="s">
        <v>36</v>
      </c>
      <c r="K261" s="5" t="str">
        <f>CONCATENATE("")</f>
        <v/>
      </c>
      <c r="L261" s="5" t="str">
        <f>CONCATENATE("11 11.2 4b")</f>
        <v>11 11.2 4b</v>
      </c>
      <c r="M261" s="5" t="str">
        <f>CONCATENATE("01878840436")</f>
        <v>01878840436</v>
      </c>
      <c r="N261" s="5" t="s">
        <v>350</v>
      </c>
      <c r="O261" s="5" t="s">
        <v>289</v>
      </c>
      <c r="P261" s="6">
        <v>43950</v>
      </c>
      <c r="Q261" s="5" t="s">
        <v>31</v>
      </c>
      <c r="R261" s="5" t="s">
        <v>32</v>
      </c>
      <c r="S261" s="5" t="s">
        <v>33</v>
      </c>
      <c r="T261" s="5"/>
      <c r="U261" s="7">
        <v>4387.05</v>
      </c>
      <c r="V261" s="7">
        <v>1891.7</v>
      </c>
      <c r="W261" s="7">
        <v>1746.92</v>
      </c>
      <c r="X261" s="5">
        <v>0</v>
      </c>
      <c r="Y261" s="5">
        <v>748.43</v>
      </c>
    </row>
    <row r="262" spans="1:25" ht="24.75" x14ac:dyDescent="0.25">
      <c r="A262" s="5" t="s">
        <v>26</v>
      </c>
      <c r="B262" s="5" t="s">
        <v>27</v>
      </c>
      <c r="C262" s="5" t="s">
        <v>50</v>
      </c>
      <c r="D262" s="5" t="s">
        <v>57</v>
      </c>
      <c r="E262" s="5" t="s">
        <v>39</v>
      </c>
      <c r="F262" s="5" t="s">
        <v>316</v>
      </c>
      <c r="G262" s="5">
        <v>2019</v>
      </c>
      <c r="H262" s="5" t="str">
        <f>CONCATENATE("94240687296")</f>
        <v>94240687296</v>
      </c>
      <c r="I262" s="5" t="s">
        <v>29</v>
      </c>
      <c r="J262" s="5" t="s">
        <v>36</v>
      </c>
      <c r="K262" s="5" t="str">
        <f>CONCATENATE("")</f>
        <v/>
      </c>
      <c r="L262" s="5" t="str">
        <f>CONCATENATE("11 11.2 4b")</f>
        <v>11 11.2 4b</v>
      </c>
      <c r="M262" s="5" t="str">
        <f>CONCATENATE("01751470434")</f>
        <v>01751470434</v>
      </c>
      <c r="N262" s="5" t="s">
        <v>351</v>
      </c>
      <c r="O262" s="5" t="s">
        <v>289</v>
      </c>
      <c r="P262" s="6">
        <v>43950</v>
      </c>
      <c r="Q262" s="5" t="s">
        <v>31</v>
      </c>
      <c r="R262" s="5" t="s">
        <v>32</v>
      </c>
      <c r="S262" s="5" t="s">
        <v>33</v>
      </c>
      <c r="T262" s="5"/>
      <c r="U262" s="7">
        <v>20291.59</v>
      </c>
      <c r="V262" s="7">
        <v>8749.73</v>
      </c>
      <c r="W262" s="7">
        <v>8080.11</v>
      </c>
      <c r="X262" s="5">
        <v>0</v>
      </c>
      <c r="Y262" s="7">
        <v>3461.75</v>
      </c>
    </row>
    <row r="263" spans="1:25" x14ac:dyDescent="0.25">
      <c r="A263" s="5" t="s">
        <v>26</v>
      </c>
      <c r="B263" s="5" t="s">
        <v>27</v>
      </c>
      <c r="C263" s="5" t="s">
        <v>50</v>
      </c>
      <c r="D263" s="5" t="s">
        <v>57</v>
      </c>
      <c r="E263" s="5" t="s">
        <v>45</v>
      </c>
      <c r="F263" s="5" t="s">
        <v>301</v>
      </c>
      <c r="G263" s="5">
        <v>2019</v>
      </c>
      <c r="H263" s="5" t="str">
        <f>CONCATENATE("94240738172")</f>
        <v>94240738172</v>
      </c>
      <c r="I263" s="5" t="s">
        <v>29</v>
      </c>
      <c r="J263" s="5" t="s">
        <v>36</v>
      </c>
      <c r="K263" s="5" t="str">
        <f>CONCATENATE("")</f>
        <v/>
      </c>
      <c r="L263" s="5" t="str">
        <f>CONCATENATE("11 11.2 4b")</f>
        <v>11 11.2 4b</v>
      </c>
      <c r="M263" s="5" t="str">
        <f>CONCATENATE("CMPLRZ84H41L366R")</f>
        <v>CMPLRZ84H41L366R</v>
      </c>
      <c r="N263" s="5" t="s">
        <v>352</v>
      </c>
      <c r="O263" s="5" t="s">
        <v>289</v>
      </c>
      <c r="P263" s="6">
        <v>43950</v>
      </c>
      <c r="Q263" s="5" t="s">
        <v>31</v>
      </c>
      <c r="R263" s="5" t="s">
        <v>32</v>
      </c>
      <c r="S263" s="5" t="s">
        <v>33</v>
      </c>
      <c r="T263" s="5"/>
      <c r="U263" s="5">
        <v>596.62</v>
      </c>
      <c r="V263" s="5">
        <v>257.26</v>
      </c>
      <c r="W263" s="5">
        <v>237.57</v>
      </c>
      <c r="X263" s="5">
        <v>0</v>
      </c>
      <c r="Y263" s="5">
        <v>101.79</v>
      </c>
    </row>
    <row r="264" spans="1:25" x14ac:dyDescent="0.25">
      <c r="A264" s="5" t="s">
        <v>26</v>
      </c>
      <c r="B264" s="5" t="s">
        <v>27</v>
      </c>
      <c r="C264" s="5" t="s">
        <v>50</v>
      </c>
      <c r="D264" s="5" t="s">
        <v>57</v>
      </c>
      <c r="E264" s="5" t="s">
        <v>28</v>
      </c>
      <c r="F264" s="5" t="s">
        <v>48</v>
      </c>
      <c r="G264" s="5">
        <v>2019</v>
      </c>
      <c r="H264" s="5" t="str">
        <f>CONCATENATE("94240758063")</f>
        <v>94240758063</v>
      </c>
      <c r="I264" s="5" t="s">
        <v>29</v>
      </c>
      <c r="J264" s="5" t="s">
        <v>36</v>
      </c>
      <c r="K264" s="5" t="str">
        <f>CONCATENATE("")</f>
        <v/>
      </c>
      <c r="L264" s="5" t="str">
        <f>CONCATENATE("11 11.2 4b")</f>
        <v>11 11.2 4b</v>
      </c>
      <c r="M264" s="5" t="str">
        <f>CONCATENATE("SCLMRC88D03D024S")</f>
        <v>SCLMRC88D03D024S</v>
      </c>
      <c r="N264" s="5" t="s">
        <v>353</v>
      </c>
      <c r="O264" s="5" t="s">
        <v>289</v>
      </c>
      <c r="P264" s="6">
        <v>43950</v>
      </c>
      <c r="Q264" s="5" t="s">
        <v>31</v>
      </c>
      <c r="R264" s="5" t="s">
        <v>32</v>
      </c>
      <c r="S264" s="5" t="s">
        <v>33</v>
      </c>
      <c r="T264" s="5"/>
      <c r="U264" s="7">
        <v>23367.62</v>
      </c>
      <c r="V264" s="7">
        <v>10076.120000000001</v>
      </c>
      <c r="W264" s="7">
        <v>9304.99</v>
      </c>
      <c r="X264" s="5">
        <v>0</v>
      </c>
      <c r="Y264" s="7">
        <v>3986.51</v>
      </c>
    </row>
    <row r="265" spans="1:25" x14ac:dyDescent="0.25">
      <c r="A265" s="5" t="s">
        <v>26</v>
      </c>
      <c r="B265" s="5" t="s">
        <v>27</v>
      </c>
      <c r="C265" s="5" t="s">
        <v>50</v>
      </c>
      <c r="D265" s="5" t="s">
        <v>57</v>
      </c>
      <c r="E265" s="5" t="s">
        <v>45</v>
      </c>
      <c r="F265" s="5" t="s">
        <v>308</v>
      </c>
      <c r="G265" s="5">
        <v>2019</v>
      </c>
      <c r="H265" s="5" t="str">
        <f>CONCATENATE("94240983133")</f>
        <v>94240983133</v>
      </c>
      <c r="I265" s="5" t="s">
        <v>29</v>
      </c>
      <c r="J265" s="5" t="s">
        <v>36</v>
      </c>
      <c r="K265" s="5" t="str">
        <f>CONCATENATE("")</f>
        <v/>
      </c>
      <c r="L265" s="5" t="str">
        <f>CONCATENATE("11 11.2 4b")</f>
        <v>11 11.2 4b</v>
      </c>
      <c r="M265" s="5" t="str">
        <f>CONCATENATE("02001430434")</f>
        <v>02001430434</v>
      </c>
      <c r="N265" s="5" t="s">
        <v>354</v>
      </c>
      <c r="O265" s="5" t="s">
        <v>289</v>
      </c>
      <c r="P265" s="6">
        <v>43950</v>
      </c>
      <c r="Q265" s="5" t="s">
        <v>31</v>
      </c>
      <c r="R265" s="5" t="s">
        <v>32</v>
      </c>
      <c r="S265" s="5" t="s">
        <v>33</v>
      </c>
      <c r="T265" s="5"/>
      <c r="U265" s="7">
        <v>2403.7800000000002</v>
      </c>
      <c r="V265" s="7">
        <v>1036.51</v>
      </c>
      <c r="W265" s="5">
        <v>957.19</v>
      </c>
      <c r="X265" s="5">
        <v>0</v>
      </c>
      <c r="Y265" s="5">
        <v>410.08</v>
      </c>
    </row>
    <row r="266" spans="1:25" ht="24.75" x14ac:dyDescent="0.25">
      <c r="A266" s="5" t="s">
        <v>26</v>
      </c>
      <c r="B266" s="5" t="s">
        <v>27</v>
      </c>
      <c r="C266" s="5" t="s">
        <v>50</v>
      </c>
      <c r="D266" s="5" t="s">
        <v>57</v>
      </c>
      <c r="E266" s="5" t="s">
        <v>47</v>
      </c>
      <c r="F266" s="5" t="s">
        <v>158</v>
      </c>
      <c r="G266" s="5">
        <v>2019</v>
      </c>
      <c r="H266" s="5" t="str">
        <f>CONCATENATE("94241144446")</f>
        <v>94241144446</v>
      </c>
      <c r="I266" s="5" t="s">
        <v>29</v>
      </c>
      <c r="J266" s="5" t="s">
        <v>36</v>
      </c>
      <c r="K266" s="5" t="str">
        <f>CONCATENATE("")</f>
        <v/>
      </c>
      <c r="L266" s="5" t="str">
        <f>CONCATENATE("11 11.2 4b")</f>
        <v>11 11.2 4b</v>
      </c>
      <c r="M266" s="5" t="str">
        <f>CONCATENATE("01985330438")</f>
        <v>01985330438</v>
      </c>
      <c r="N266" s="5" t="s">
        <v>355</v>
      </c>
      <c r="O266" s="5" t="s">
        <v>289</v>
      </c>
      <c r="P266" s="6">
        <v>43950</v>
      </c>
      <c r="Q266" s="5" t="s">
        <v>31</v>
      </c>
      <c r="R266" s="5" t="s">
        <v>32</v>
      </c>
      <c r="S266" s="5" t="s">
        <v>33</v>
      </c>
      <c r="T266" s="5"/>
      <c r="U266" s="7">
        <v>1162.77</v>
      </c>
      <c r="V266" s="5">
        <v>501.39</v>
      </c>
      <c r="W266" s="5">
        <v>463.02</v>
      </c>
      <c r="X266" s="5">
        <v>0</v>
      </c>
      <c r="Y266" s="5">
        <v>198.36</v>
      </c>
    </row>
    <row r="267" spans="1:25" x14ac:dyDescent="0.25">
      <c r="A267" s="5" t="s">
        <v>26</v>
      </c>
      <c r="B267" s="5" t="s">
        <v>27</v>
      </c>
      <c r="C267" s="5" t="s">
        <v>50</v>
      </c>
      <c r="D267" s="5" t="s">
        <v>57</v>
      </c>
      <c r="E267" s="5" t="s">
        <v>39</v>
      </c>
      <c r="F267" s="5" t="s">
        <v>316</v>
      </c>
      <c r="G267" s="5">
        <v>2018</v>
      </c>
      <c r="H267" s="5" t="str">
        <f>CONCATENATE("84240500425")</f>
        <v>84240500425</v>
      </c>
      <c r="I267" s="5" t="s">
        <v>29</v>
      </c>
      <c r="J267" s="5" t="s">
        <v>36</v>
      </c>
      <c r="K267" s="5" t="str">
        <f>CONCATENATE("")</f>
        <v/>
      </c>
      <c r="L267" s="5" t="str">
        <f>CONCATENATE("11 11.2 4b")</f>
        <v>11 11.2 4b</v>
      </c>
      <c r="M267" s="5" t="str">
        <f>CONCATENATE("01271260307")</f>
        <v>01271260307</v>
      </c>
      <c r="N267" s="5" t="s">
        <v>356</v>
      </c>
      <c r="O267" s="5" t="s">
        <v>289</v>
      </c>
      <c r="P267" s="6">
        <v>43950</v>
      </c>
      <c r="Q267" s="5" t="s">
        <v>31</v>
      </c>
      <c r="R267" s="5" t="s">
        <v>32</v>
      </c>
      <c r="S267" s="5" t="s">
        <v>33</v>
      </c>
      <c r="T267" s="5"/>
      <c r="U267" s="7">
        <v>3000.54</v>
      </c>
      <c r="V267" s="7">
        <v>1293.83</v>
      </c>
      <c r="W267" s="7">
        <v>1194.82</v>
      </c>
      <c r="X267" s="5">
        <v>0</v>
      </c>
      <c r="Y267" s="5">
        <v>511.89</v>
      </c>
    </row>
    <row r="268" spans="1:25" x14ac:dyDescent="0.25">
      <c r="A268" s="5" t="s">
        <v>26</v>
      </c>
      <c r="B268" s="5" t="s">
        <v>27</v>
      </c>
      <c r="C268" s="5" t="s">
        <v>50</v>
      </c>
      <c r="D268" s="5" t="s">
        <v>57</v>
      </c>
      <c r="E268" s="5" t="s">
        <v>39</v>
      </c>
      <c r="F268" s="5" t="s">
        <v>316</v>
      </c>
      <c r="G268" s="5">
        <v>2019</v>
      </c>
      <c r="H268" s="5" t="str">
        <f>CONCATENATE("94240407869")</f>
        <v>94240407869</v>
      </c>
      <c r="I268" s="5" t="s">
        <v>29</v>
      </c>
      <c r="J268" s="5" t="s">
        <v>36</v>
      </c>
      <c r="K268" s="5" t="str">
        <f>CONCATENATE("")</f>
        <v/>
      </c>
      <c r="L268" s="5" t="str">
        <f>CONCATENATE("11 11.2 4b")</f>
        <v>11 11.2 4b</v>
      </c>
      <c r="M268" s="5" t="str">
        <f>CONCATENATE("01271260307")</f>
        <v>01271260307</v>
      </c>
      <c r="N268" s="5" t="s">
        <v>356</v>
      </c>
      <c r="O268" s="5" t="s">
        <v>289</v>
      </c>
      <c r="P268" s="6">
        <v>43950</v>
      </c>
      <c r="Q268" s="5" t="s">
        <v>31</v>
      </c>
      <c r="R268" s="5" t="s">
        <v>32</v>
      </c>
      <c r="S268" s="5" t="s">
        <v>33</v>
      </c>
      <c r="T268" s="5"/>
      <c r="U268" s="7">
        <v>3000.54</v>
      </c>
      <c r="V268" s="7">
        <v>1293.83</v>
      </c>
      <c r="W268" s="7">
        <v>1194.82</v>
      </c>
      <c r="X268" s="5">
        <v>0</v>
      </c>
      <c r="Y268" s="5">
        <v>511.89</v>
      </c>
    </row>
    <row r="269" spans="1:25" ht="24.75" x14ac:dyDescent="0.25">
      <c r="A269" s="5" t="s">
        <v>26</v>
      </c>
      <c r="B269" s="5" t="s">
        <v>27</v>
      </c>
      <c r="C269" s="5" t="s">
        <v>50</v>
      </c>
      <c r="D269" s="5" t="s">
        <v>51</v>
      </c>
      <c r="E269" s="5" t="s">
        <v>46</v>
      </c>
      <c r="F269" s="5" t="s">
        <v>357</v>
      </c>
      <c r="G269" s="5">
        <v>2019</v>
      </c>
      <c r="H269" s="5" t="str">
        <f>CONCATENATE("94241038101")</f>
        <v>94241038101</v>
      </c>
      <c r="I269" s="5" t="s">
        <v>29</v>
      </c>
      <c r="J269" s="5" t="s">
        <v>36</v>
      </c>
      <c r="K269" s="5" t="str">
        <f>CONCATENATE("")</f>
        <v/>
      </c>
      <c r="L269" s="5" t="str">
        <f>CONCATENATE("11 11.2 4b")</f>
        <v>11 11.2 4b</v>
      </c>
      <c r="M269" s="5" t="str">
        <f>CONCATENATE("PLNSMN76B29G157B")</f>
        <v>PLNSMN76B29G157B</v>
      </c>
      <c r="N269" s="5" t="s">
        <v>358</v>
      </c>
      <c r="O269" s="5" t="s">
        <v>289</v>
      </c>
      <c r="P269" s="6">
        <v>43950</v>
      </c>
      <c r="Q269" s="5" t="s">
        <v>31</v>
      </c>
      <c r="R269" s="5" t="s">
        <v>32</v>
      </c>
      <c r="S269" s="5" t="s">
        <v>33</v>
      </c>
      <c r="T269" s="5"/>
      <c r="U269" s="5">
        <v>646.79999999999995</v>
      </c>
      <c r="V269" s="5">
        <v>278.89999999999998</v>
      </c>
      <c r="W269" s="5">
        <v>257.56</v>
      </c>
      <c r="X269" s="5">
        <v>0</v>
      </c>
      <c r="Y269" s="5">
        <v>110.34</v>
      </c>
    </row>
    <row r="270" spans="1:25" ht="24.75" x14ac:dyDescent="0.25">
      <c r="A270" s="5" t="s">
        <v>26</v>
      </c>
      <c r="B270" s="5" t="s">
        <v>27</v>
      </c>
      <c r="C270" s="5" t="s">
        <v>50</v>
      </c>
      <c r="D270" s="5" t="s">
        <v>51</v>
      </c>
      <c r="E270" s="5" t="s">
        <v>28</v>
      </c>
      <c r="F270" s="5" t="s">
        <v>52</v>
      </c>
      <c r="G270" s="5">
        <v>2019</v>
      </c>
      <c r="H270" s="5" t="str">
        <f>CONCATENATE("94241697369")</f>
        <v>94241697369</v>
      </c>
      <c r="I270" s="5" t="s">
        <v>29</v>
      </c>
      <c r="J270" s="5" t="s">
        <v>36</v>
      </c>
      <c r="K270" s="5" t="str">
        <f>CONCATENATE("")</f>
        <v/>
      </c>
      <c r="L270" s="5" t="str">
        <f>CONCATENATE("11 11.2 4b")</f>
        <v>11 11.2 4b</v>
      </c>
      <c r="M270" s="5" t="str">
        <f>CONCATENATE("VNOMTM60H65D528E")</f>
        <v>VNOMTM60H65D528E</v>
      </c>
      <c r="N270" s="5" t="s">
        <v>347</v>
      </c>
      <c r="O270" s="5" t="s">
        <v>289</v>
      </c>
      <c r="P270" s="6">
        <v>43950</v>
      </c>
      <c r="Q270" s="5" t="s">
        <v>31</v>
      </c>
      <c r="R270" s="5" t="s">
        <v>32</v>
      </c>
      <c r="S270" s="5" t="s">
        <v>33</v>
      </c>
      <c r="T270" s="5"/>
      <c r="U270" s="7">
        <v>1922.72</v>
      </c>
      <c r="V270" s="5">
        <v>829.08</v>
      </c>
      <c r="W270" s="5">
        <v>765.63</v>
      </c>
      <c r="X270" s="5">
        <v>0</v>
      </c>
      <c r="Y270" s="5">
        <v>328.01</v>
      </c>
    </row>
    <row r="271" spans="1:25" ht="24.75" x14ac:dyDescent="0.25">
      <c r="A271" s="5" t="s">
        <v>26</v>
      </c>
      <c r="B271" s="5" t="s">
        <v>27</v>
      </c>
      <c r="C271" s="5" t="s">
        <v>50</v>
      </c>
      <c r="D271" s="5" t="s">
        <v>58</v>
      </c>
      <c r="E271" s="5" t="s">
        <v>28</v>
      </c>
      <c r="F271" s="5" t="s">
        <v>168</v>
      </c>
      <c r="G271" s="5">
        <v>2019</v>
      </c>
      <c r="H271" s="5" t="str">
        <f>CONCATENATE("94240304009")</f>
        <v>94240304009</v>
      </c>
      <c r="I271" s="5" t="s">
        <v>29</v>
      </c>
      <c r="J271" s="5" t="s">
        <v>36</v>
      </c>
      <c r="K271" s="5" t="str">
        <f>CONCATENATE("")</f>
        <v/>
      </c>
      <c r="L271" s="5" t="str">
        <f>CONCATENATE("11 11.2 4b")</f>
        <v>11 11.2 4b</v>
      </c>
      <c r="M271" s="5" t="str">
        <f>CONCATENATE("CRVLCN62A58I324Z")</f>
        <v>CRVLCN62A58I324Z</v>
      </c>
      <c r="N271" s="5" t="s">
        <v>359</v>
      </c>
      <c r="O271" s="5" t="s">
        <v>289</v>
      </c>
      <c r="P271" s="6">
        <v>43950</v>
      </c>
      <c r="Q271" s="5" t="s">
        <v>31</v>
      </c>
      <c r="R271" s="5" t="s">
        <v>32</v>
      </c>
      <c r="S271" s="5" t="s">
        <v>33</v>
      </c>
      <c r="T271" s="5"/>
      <c r="U271" s="5">
        <v>214.78</v>
      </c>
      <c r="V271" s="5">
        <v>92.61</v>
      </c>
      <c r="W271" s="5">
        <v>85.53</v>
      </c>
      <c r="X271" s="5">
        <v>0</v>
      </c>
      <c r="Y271" s="5">
        <v>36.64</v>
      </c>
    </row>
    <row r="272" spans="1:25" ht="24.75" x14ac:dyDescent="0.25">
      <c r="A272" s="5" t="s">
        <v>26</v>
      </c>
      <c r="B272" s="5" t="s">
        <v>27</v>
      </c>
      <c r="C272" s="5" t="s">
        <v>50</v>
      </c>
      <c r="D272" s="5" t="s">
        <v>62</v>
      </c>
      <c r="E272" s="5" t="s">
        <v>35</v>
      </c>
      <c r="F272" s="5" t="s">
        <v>99</v>
      </c>
      <c r="G272" s="5">
        <v>2017</v>
      </c>
      <c r="H272" s="5" t="str">
        <f>CONCATENATE("74240860267")</f>
        <v>74240860267</v>
      </c>
      <c r="I272" s="5" t="s">
        <v>29</v>
      </c>
      <c r="J272" s="5" t="s">
        <v>36</v>
      </c>
      <c r="K272" s="5" t="str">
        <f>CONCATENATE("")</f>
        <v/>
      </c>
      <c r="L272" s="5" t="str">
        <f>CONCATENATE("11 11.2 4b")</f>
        <v>11 11.2 4b</v>
      </c>
      <c r="M272" s="5" t="str">
        <f>CONCATENATE("GRSSNT55R69H501S")</f>
        <v>GRSSNT55R69H501S</v>
      </c>
      <c r="N272" s="5" t="s">
        <v>290</v>
      </c>
      <c r="O272" s="5" t="s">
        <v>289</v>
      </c>
      <c r="P272" s="6">
        <v>43950</v>
      </c>
      <c r="Q272" s="5" t="s">
        <v>31</v>
      </c>
      <c r="R272" s="5" t="s">
        <v>32</v>
      </c>
      <c r="S272" s="5" t="s">
        <v>33</v>
      </c>
      <c r="T272" s="5"/>
      <c r="U272" s="7">
        <v>1201.57</v>
      </c>
      <c r="V272" s="5">
        <v>518.12</v>
      </c>
      <c r="W272" s="5">
        <v>478.47</v>
      </c>
      <c r="X272" s="5">
        <v>0</v>
      </c>
      <c r="Y272" s="5">
        <v>204.98</v>
      </c>
    </row>
    <row r="273" spans="1:25" ht="24.75" x14ac:dyDescent="0.25">
      <c r="A273" s="5" t="s">
        <v>26</v>
      </c>
      <c r="B273" s="5" t="s">
        <v>27</v>
      </c>
      <c r="C273" s="5" t="s">
        <v>50</v>
      </c>
      <c r="D273" s="5" t="s">
        <v>58</v>
      </c>
      <c r="E273" s="5" t="s">
        <v>28</v>
      </c>
      <c r="F273" s="5" t="s">
        <v>168</v>
      </c>
      <c r="G273" s="5">
        <v>2019</v>
      </c>
      <c r="H273" s="5" t="str">
        <f>CONCATENATE("94240663008")</f>
        <v>94240663008</v>
      </c>
      <c r="I273" s="5" t="s">
        <v>29</v>
      </c>
      <c r="J273" s="5" t="s">
        <v>36</v>
      </c>
      <c r="K273" s="5" t="str">
        <f>CONCATENATE("")</f>
        <v/>
      </c>
      <c r="L273" s="5" t="str">
        <f>CONCATENATE("11 11.2 4b")</f>
        <v>11 11.2 4b</v>
      </c>
      <c r="M273" s="5" t="str">
        <f>CONCATENATE("MCHNZS64L13D691T")</f>
        <v>MCHNZS64L13D691T</v>
      </c>
      <c r="N273" s="5" t="s">
        <v>360</v>
      </c>
      <c r="O273" s="5" t="s">
        <v>289</v>
      </c>
      <c r="P273" s="6">
        <v>43950</v>
      </c>
      <c r="Q273" s="5" t="s">
        <v>31</v>
      </c>
      <c r="R273" s="5" t="s">
        <v>32</v>
      </c>
      <c r="S273" s="5" t="s">
        <v>33</v>
      </c>
      <c r="T273" s="5"/>
      <c r="U273" s="7">
        <v>1056.82</v>
      </c>
      <c r="V273" s="5">
        <v>455.7</v>
      </c>
      <c r="W273" s="5">
        <v>420.83</v>
      </c>
      <c r="X273" s="5">
        <v>0</v>
      </c>
      <c r="Y273" s="5">
        <v>180.29</v>
      </c>
    </row>
    <row r="274" spans="1:25" x14ac:dyDescent="0.25">
      <c r="A274" s="5" t="s">
        <v>26</v>
      </c>
      <c r="B274" s="5" t="s">
        <v>27</v>
      </c>
      <c r="C274" s="5" t="s">
        <v>50</v>
      </c>
      <c r="D274" s="5" t="s">
        <v>57</v>
      </c>
      <c r="E274" s="5" t="s">
        <v>28</v>
      </c>
      <c r="F274" s="5" t="s">
        <v>222</v>
      </c>
      <c r="G274" s="5">
        <v>2018</v>
      </c>
      <c r="H274" s="5" t="str">
        <f>CONCATENATE("84240832562")</f>
        <v>84240832562</v>
      </c>
      <c r="I274" s="5" t="s">
        <v>29</v>
      </c>
      <c r="J274" s="5" t="s">
        <v>36</v>
      </c>
      <c r="K274" s="5" t="str">
        <f>CONCATENATE("")</f>
        <v/>
      </c>
      <c r="L274" s="5" t="str">
        <f>CONCATENATE("11 11.2 4b")</f>
        <v>11 11.2 4b</v>
      </c>
      <c r="M274" s="5" t="str">
        <f>CONCATENATE("DLCLSN82E09L366T")</f>
        <v>DLCLSN82E09L366T</v>
      </c>
      <c r="N274" s="5" t="s">
        <v>361</v>
      </c>
      <c r="O274" s="5" t="s">
        <v>289</v>
      </c>
      <c r="P274" s="6">
        <v>43950</v>
      </c>
      <c r="Q274" s="5" t="s">
        <v>31</v>
      </c>
      <c r="R274" s="5" t="s">
        <v>32</v>
      </c>
      <c r="S274" s="5" t="s">
        <v>33</v>
      </c>
      <c r="T274" s="5"/>
      <c r="U274" s="7">
        <v>9619.58</v>
      </c>
      <c r="V274" s="7">
        <v>4147.96</v>
      </c>
      <c r="W274" s="7">
        <v>3830.52</v>
      </c>
      <c r="X274" s="5">
        <v>0</v>
      </c>
      <c r="Y274" s="7">
        <v>1641.1</v>
      </c>
    </row>
    <row r="275" spans="1:25" ht="24.75" x14ac:dyDescent="0.25">
      <c r="A275" s="5" t="s">
        <v>26</v>
      </c>
      <c r="B275" s="5" t="s">
        <v>27</v>
      </c>
      <c r="C275" s="5" t="s">
        <v>50</v>
      </c>
      <c r="D275" s="5" t="s">
        <v>57</v>
      </c>
      <c r="E275" s="5" t="s">
        <v>28</v>
      </c>
      <c r="F275" s="5" t="s">
        <v>97</v>
      </c>
      <c r="G275" s="5">
        <v>2018</v>
      </c>
      <c r="H275" s="5" t="str">
        <f>CONCATENATE("84240495162")</f>
        <v>84240495162</v>
      </c>
      <c r="I275" s="5" t="s">
        <v>29</v>
      </c>
      <c r="J275" s="5" t="s">
        <v>36</v>
      </c>
      <c r="K275" s="5" t="str">
        <f>CONCATENATE("")</f>
        <v/>
      </c>
      <c r="L275" s="5" t="str">
        <f>CONCATENATE("11 11.2 4b")</f>
        <v>11 11.2 4b</v>
      </c>
      <c r="M275" s="5" t="str">
        <f>CONCATENATE("01141480432")</f>
        <v>01141480432</v>
      </c>
      <c r="N275" s="5" t="s">
        <v>362</v>
      </c>
      <c r="O275" s="5" t="s">
        <v>289</v>
      </c>
      <c r="P275" s="6">
        <v>43950</v>
      </c>
      <c r="Q275" s="5" t="s">
        <v>31</v>
      </c>
      <c r="R275" s="5" t="s">
        <v>32</v>
      </c>
      <c r="S275" s="5" t="s">
        <v>33</v>
      </c>
      <c r="T275" s="5"/>
      <c r="U275" s="7">
        <v>38754.629999999997</v>
      </c>
      <c r="V275" s="7">
        <v>16711</v>
      </c>
      <c r="W275" s="7">
        <v>15432.09</v>
      </c>
      <c r="X275" s="5">
        <v>0</v>
      </c>
      <c r="Y275" s="7">
        <v>6611.54</v>
      </c>
    </row>
    <row r="276" spans="1:25" ht="24.75" x14ac:dyDescent="0.25">
      <c r="A276" s="5" t="s">
        <v>26</v>
      </c>
      <c r="B276" s="5" t="s">
        <v>27</v>
      </c>
      <c r="C276" s="5" t="s">
        <v>50</v>
      </c>
      <c r="D276" s="5" t="s">
        <v>57</v>
      </c>
      <c r="E276" s="5" t="s">
        <v>28</v>
      </c>
      <c r="F276" s="5" t="s">
        <v>97</v>
      </c>
      <c r="G276" s="5">
        <v>2019</v>
      </c>
      <c r="H276" s="5" t="str">
        <f>CONCATENATE("94240904451")</f>
        <v>94240904451</v>
      </c>
      <c r="I276" s="5" t="s">
        <v>29</v>
      </c>
      <c r="J276" s="5" t="s">
        <v>36</v>
      </c>
      <c r="K276" s="5" t="str">
        <f>CONCATENATE("")</f>
        <v/>
      </c>
      <c r="L276" s="5" t="str">
        <f>CONCATENATE("11 11.2 4b")</f>
        <v>11 11.2 4b</v>
      </c>
      <c r="M276" s="5" t="str">
        <f>CONCATENATE("01141480432")</f>
        <v>01141480432</v>
      </c>
      <c r="N276" s="5" t="s">
        <v>362</v>
      </c>
      <c r="O276" s="5" t="s">
        <v>289</v>
      </c>
      <c r="P276" s="6">
        <v>43950</v>
      </c>
      <c r="Q276" s="5" t="s">
        <v>31</v>
      </c>
      <c r="R276" s="5" t="s">
        <v>32</v>
      </c>
      <c r="S276" s="5" t="s">
        <v>33</v>
      </c>
      <c r="T276" s="5"/>
      <c r="U276" s="7">
        <v>27644.080000000002</v>
      </c>
      <c r="V276" s="7">
        <v>11920.13</v>
      </c>
      <c r="W276" s="7">
        <v>11007.87</v>
      </c>
      <c r="X276" s="5">
        <v>0</v>
      </c>
      <c r="Y276" s="7">
        <v>4716.08</v>
      </c>
    </row>
    <row r="277" spans="1:25" ht="24.75" x14ac:dyDescent="0.25">
      <c r="A277" s="5" t="s">
        <v>26</v>
      </c>
      <c r="B277" s="5" t="s">
        <v>27</v>
      </c>
      <c r="C277" s="5" t="s">
        <v>50</v>
      </c>
      <c r="D277" s="5" t="s">
        <v>57</v>
      </c>
      <c r="E277" s="5" t="s">
        <v>45</v>
      </c>
      <c r="F277" s="5" t="s">
        <v>235</v>
      </c>
      <c r="G277" s="5">
        <v>2019</v>
      </c>
      <c r="H277" s="5" t="str">
        <f>CONCATENATE("94240315880")</f>
        <v>94240315880</v>
      </c>
      <c r="I277" s="5" t="s">
        <v>29</v>
      </c>
      <c r="J277" s="5" t="s">
        <v>36</v>
      </c>
      <c r="K277" s="5" t="str">
        <f>CONCATENATE("")</f>
        <v/>
      </c>
      <c r="L277" s="5" t="str">
        <f>CONCATENATE("11 11.2 4b")</f>
        <v>11 11.2 4b</v>
      </c>
      <c r="M277" s="5" t="str">
        <f>CONCATENATE("01977030434")</f>
        <v>01977030434</v>
      </c>
      <c r="N277" s="5" t="s">
        <v>363</v>
      </c>
      <c r="O277" s="5" t="s">
        <v>289</v>
      </c>
      <c r="P277" s="6">
        <v>43950</v>
      </c>
      <c r="Q277" s="5" t="s">
        <v>31</v>
      </c>
      <c r="R277" s="5" t="s">
        <v>32</v>
      </c>
      <c r="S277" s="5" t="s">
        <v>33</v>
      </c>
      <c r="T277" s="5"/>
      <c r="U277" s="7">
        <v>1994.15</v>
      </c>
      <c r="V277" s="5">
        <v>859.88</v>
      </c>
      <c r="W277" s="5">
        <v>794.07</v>
      </c>
      <c r="X277" s="5">
        <v>0</v>
      </c>
      <c r="Y277" s="5">
        <v>340.2</v>
      </c>
    </row>
    <row r="278" spans="1:25" x14ac:dyDescent="0.25">
      <c r="A278" s="5" t="s">
        <v>26</v>
      </c>
      <c r="B278" s="5" t="s">
        <v>27</v>
      </c>
      <c r="C278" s="5" t="s">
        <v>50</v>
      </c>
      <c r="D278" s="5" t="s">
        <v>57</v>
      </c>
      <c r="E278" s="5" t="s">
        <v>45</v>
      </c>
      <c r="F278" s="5" t="s">
        <v>301</v>
      </c>
      <c r="G278" s="5">
        <v>2018</v>
      </c>
      <c r="H278" s="5" t="str">
        <f>CONCATENATE("84240883995")</f>
        <v>84240883995</v>
      </c>
      <c r="I278" s="5" t="s">
        <v>29</v>
      </c>
      <c r="J278" s="5" t="s">
        <v>36</v>
      </c>
      <c r="K278" s="5" t="str">
        <f>CONCATENATE("")</f>
        <v/>
      </c>
      <c r="L278" s="5" t="str">
        <f>CONCATENATE("11 11.2 4b")</f>
        <v>11 11.2 4b</v>
      </c>
      <c r="M278" s="5" t="str">
        <f>CONCATENATE("RPCPQL57P29L366P")</f>
        <v>RPCPQL57P29L366P</v>
      </c>
      <c r="N278" s="5" t="s">
        <v>364</v>
      </c>
      <c r="O278" s="5" t="s">
        <v>289</v>
      </c>
      <c r="P278" s="6">
        <v>43950</v>
      </c>
      <c r="Q278" s="5" t="s">
        <v>31</v>
      </c>
      <c r="R278" s="5" t="s">
        <v>32</v>
      </c>
      <c r="S278" s="5" t="s">
        <v>33</v>
      </c>
      <c r="T278" s="5"/>
      <c r="U278" s="5">
        <v>282.26</v>
      </c>
      <c r="V278" s="5">
        <v>121.71</v>
      </c>
      <c r="W278" s="5">
        <v>112.4</v>
      </c>
      <c r="X278" s="5">
        <v>0</v>
      </c>
      <c r="Y278" s="5">
        <v>48.15</v>
      </c>
    </row>
    <row r="279" spans="1:25" x14ac:dyDescent="0.25">
      <c r="A279" s="5" t="s">
        <v>26</v>
      </c>
      <c r="B279" s="5" t="s">
        <v>27</v>
      </c>
      <c r="C279" s="5" t="s">
        <v>50</v>
      </c>
      <c r="D279" s="5" t="s">
        <v>57</v>
      </c>
      <c r="E279" s="5" t="s">
        <v>44</v>
      </c>
      <c r="F279" s="5" t="s">
        <v>365</v>
      </c>
      <c r="G279" s="5">
        <v>2019</v>
      </c>
      <c r="H279" s="5" t="str">
        <f>CONCATENATE("94240822083")</f>
        <v>94240822083</v>
      </c>
      <c r="I279" s="5" t="s">
        <v>29</v>
      </c>
      <c r="J279" s="5" t="s">
        <v>36</v>
      </c>
      <c r="K279" s="5" t="str">
        <f>CONCATENATE("")</f>
        <v/>
      </c>
      <c r="L279" s="5" t="str">
        <f>CONCATENATE("11 11.2 4b")</f>
        <v>11 11.2 4b</v>
      </c>
      <c r="M279" s="5" t="str">
        <f>CONCATENATE("CLMPLG62P24F567B")</f>
        <v>CLMPLG62P24F567B</v>
      </c>
      <c r="N279" s="5" t="s">
        <v>366</v>
      </c>
      <c r="O279" s="5" t="s">
        <v>289</v>
      </c>
      <c r="P279" s="6">
        <v>43950</v>
      </c>
      <c r="Q279" s="5" t="s">
        <v>31</v>
      </c>
      <c r="R279" s="5" t="s">
        <v>32</v>
      </c>
      <c r="S279" s="5" t="s">
        <v>33</v>
      </c>
      <c r="T279" s="5"/>
      <c r="U279" s="7">
        <v>1648.36</v>
      </c>
      <c r="V279" s="5">
        <v>710.77</v>
      </c>
      <c r="W279" s="5">
        <v>656.38</v>
      </c>
      <c r="X279" s="5">
        <v>0</v>
      </c>
      <c r="Y279" s="5">
        <v>281.20999999999998</v>
      </c>
    </row>
    <row r="280" spans="1:25" x14ac:dyDescent="0.25">
      <c r="A280" s="5" t="s">
        <v>26</v>
      </c>
      <c r="B280" s="5" t="s">
        <v>27</v>
      </c>
      <c r="C280" s="5" t="s">
        <v>50</v>
      </c>
      <c r="D280" s="5" t="s">
        <v>57</v>
      </c>
      <c r="E280" s="5" t="s">
        <v>28</v>
      </c>
      <c r="F280" s="5" t="s">
        <v>97</v>
      </c>
      <c r="G280" s="5">
        <v>2019</v>
      </c>
      <c r="H280" s="5" t="str">
        <f>CONCATENATE("94240675655")</f>
        <v>94240675655</v>
      </c>
      <c r="I280" s="5" t="s">
        <v>29</v>
      </c>
      <c r="J280" s="5" t="s">
        <v>36</v>
      </c>
      <c r="K280" s="5" t="str">
        <f>CONCATENATE("")</f>
        <v/>
      </c>
      <c r="L280" s="5" t="str">
        <f>CONCATENATE("11 11.2 4b")</f>
        <v>11 11.2 4b</v>
      </c>
      <c r="M280" s="5" t="str">
        <f>CONCATENATE("01988740435")</f>
        <v>01988740435</v>
      </c>
      <c r="N280" s="5" t="s">
        <v>367</v>
      </c>
      <c r="O280" s="5" t="s">
        <v>289</v>
      </c>
      <c r="P280" s="6">
        <v>43950</v>
      </c>
      <c r="Q280" s="5" t="s">
        <v>31</v>
      </c>
      <c r="R280" s="5" t="s">
        <v>32</v>
      </c>
      <c r="S280" s="5" t="s">
        <v>33</v>
      </c>
      <c r="T280" s="5"/>
      <c r="U280" s="7">
        <v>39682.19</v>
      </c>
      <c r="V280" s="7">
        <v>17110.96</v>
      </c>
      <c r="W280" s="7">
        <v>15801.45</v>
      </c>
      <c r="X280" s="5">
        <v>0</v>
      </c>
      <c r="Y280" s="7">
        <v>6769.78</v>
      </c>
    </row>
    <row r="281" spans="1:25" x14ac:dyDescent="0.25">
      <c r="A281" s="5" t="s">
        <v>26</v>
      </c>
      <c r="B281" s="5" t="s">
        <v>27</v>
      </c>
      <c r="C281" s="5" t="s">
        <v>50</v>
      </c>
      <c r="D281" s="5" t="s">
        <v>57</v>
      </c>
      <c r="E281" s="5" t="s">
        <v>28</v>
      </c>
      <c r="F281" s="5" t="s">
        <v>222</v>
      </c>
      <c r="G281" s="5">
        <v>2019</v>
      </c>
      <c r="H281" s="5" t="str">
        <f>CONCATENATE("94240745011")</f>
        <v>94240745011</v>
      </c>
      <c r="I281" s="5" t="s">
        <v>29</v>
      </c>
      <c r="J281" s="5" t="s">
        <v>36</v>
      </c>
      <c r="K281" s="5" t="str">
        <f>CONCATENATE("")</f>
        <v/>
      </c>
      <c r="L281" s="5" t="str">
        <f>CONCATENATE("11 11.2 4b")</f>
        <v>11 11.2 4b</v>
      </c>
      <c r="M281" s="5" t="str">
        <f>CONCATENATE("GSINDR65H16H876I")</f>
        <v>GSINDR65H16H876I</v>
      </c>
      <c r="N281" s="5" t="s">
        <v>303</v>
      </c>
      <c r="O281" s="5" t="s">
        <v>289</v>
      </c>
      <c r="P281" s="6">
        <v>43950</v>
      </c>
      <c r="Q281" s="5" t="s">
        <v>31</v>
      </c>
      <c r="R281" s="5" t="s">
        <v>32</v>
      </c>
      <c r="S281" s="5" t="s">
        <v>33</v>
      </c>
      <c r="T281" s="5"/>
      <c r="U281" s="7">
        <v>8189.3</v>
      </c>
      <c r="V281" s="7">
        <v>3531.23</v>
      </c>
      <c r="W281" s="7">
        <v>3260.98</v>
      </c>
      <c r="X281" s="5">
        <v>0</v>
      </c>
      <c r="Y281" s="7">
        <v>1397.09</v>
      </c>
    </row>
    <row r="282" spans="1:25" ht="24.75" x14ac:dyDescent="0.25">
      <c r="A282" s="5" t="s">
        <v>26</v>
      </c>
      <c r="B282" s="5" t="s">
        <v>27</v>
      </c>
      <c r="C282" s="5" t="s">
        <v>50</v>
      </c>
      <c r="D282" s="5" t="s">
        <v>51</v>
      </c>
      <c r="E282" s="5" t="s">
        <v>28</v>
      </c>
      <c r="F282" s="5" t="s">
        <v>52</v>
      </c>
      <c r="G282" s="5">
        <v>2018</v>
      </c>
      <c r="H282" s="5" t="str">
        <f>CONCATENATE("84240675987")</f>
        <v>84240675987</v>
      </c>
      <c r="I282" s="5" t="s">
        <v>29</v>
      </c>
      <c r="J282" s="5" t="s">
        <v>36</v>
      </c>
      <c r="K282" s="5" t="str">
        <f>CONCATENATE("")</f>
        <v/>
      </c>
      <c r="L282" s="5" t="str">
        <f>CONCATENATE("11 11.2 4b")</f>
        <v>11 11.2 4b</v>
      </c>
      <c r="M282" s="5" t="str">
        <f>CONCATENATE("TNTGRG75S17E388V")</f>
        <v>TNTGRG75S17E388V</v>
      </c>
      <c r="N282" s="5" t="s">
        <v>368</v>
      </c>
      <c r="O282" s="5" t="s">
        <v>289</v>
      </c>
      <c r="P282" s="6">
        <v>43950</v>
      </c>
      <c r="Q282" s="5" t="s">
        <v>31</v>
      </c>
      <c r="R282" s="5" t="s">
        <v>32</v>
      </c>
      <c r="S282" s="5" t="s">
        <v>33</v>
      </c>
      <c r="T282" s="5"/>
      <c r="U282" s="7">
        <v>2691.54</v>
      </c>
      <c r="V282" s="7">
        <v>1160.5899999999999</v>
      </c>
      <c r="W282" s="7">
        <v>1071.77</v>
      </c>
      <c r="X282" s="5">
        <v>0</v>
      </c>
      <c r="Y282" s="5">
        <v>459.18</v>
      </c>
    </row>
    <row r="283" spans="1:25" ht="24.75" x14ac:dyDescent="0.25">
      <c r="A283" s="5" t="s">
        <v>26</v>
      </c>
      <c r="B283" s="5" t="s">
        <v>27</v>
      </c>
      <c r="C283" s="5" t="s">
        <v>50</v>
      </c>
      <c r="D283" s="5" t="s">
        <v>51</v>
      </c>
      <c r="E283" s="5" t="s">
        <v>28</v>
      </c>
      <c r="F283" s="5" t="s">
        <v>52</v>
      </c>
      <c r="G283" s="5">
        <v>2019</v>
      </c>
      <c r="H283" s="5" t="str">
        <f>CONCATENATE("94241697302")</f>
        <v>94241697302</v>
      </c>
      <c r="I283" s="5" t="s">
        <v>29</v>
      </c>
      <c r="J283" s="5" t="s">
        <v>36</v>
      </c>
      <c r="K283" s="5" t="str">
        <f>CONCATENATE("")</f>
        <v/>
      </c>
      <c r="L283" s="5" t="str">
        <f>CONCATENATE("11 11.2 4b")</f>
        <v>11 11.2 4b</v>
      </c>
      <c r="M283" s="5" t="str">
        <f>CONCATENATE("TNTGRG75S17E388V")</f>
        <v>TNTGRG75S17E388V</v>
      </c>
      <c r="N283" s="5" t="s">
        <v>368</v>
      </c>
      <c r="O283" s="5" t="s">
        <v>289</v>
      </c>
      <c r="P283" s="6">
        <v>43950</v>
      </c>
      <c r="Q283" s="5" t="s">
        <v>31</v>
      </c>
      <c r="R283" s="5" t="s">
        <v>32</v>
      </c>
      <c r="S283" s="5" t="s">
        <v>33</v>
      </c>
      <c r="T283" s="5"/>
      <c r="U283" s="7">
        <v>2691.77</v>
      </c>
      <c r="V283" s="7">
        <v>1160.69</v>
      </c>
      <c r="W283" s="7">
        <v>1071.8599999999999</v>
      </c>
      <c r="X283" s="5">
        <v>0</v>
      </c>
      <c r="Y283" s="5">
        <v>459.22</v>
      </c>
    </row>
    <row r="284" spans="1:25" ht="24.75" x14ac:dyDescent="0.25">
      <c r="A284" s="5" t="s">
        <v>26</v>
      </c>
      <c r="B284" s="5" t="s">
        <v>27</v>
      </c>
      <c r="C284" s="5" t="s">
        <v>50</v>
      </c>
      <c r="D284" s="5" t="s">
        <v>62</v>
      </c>
      <c r="E284" s="5" t="s">
        <v>45</v>
      </c>
      <c r="F284" s="5" t="s">
        <v>83</v>
      </c>
      <c r="G284" s="5">
        <v>2019</v>
      </c>
      <c r="H284" s="5" t="str">
        <f>CONCATENATE("94240509516")</f>
        <v>94240509516</v>
      </c>
      <c r="I284" s="5" t="s">
        <v>29</v>
      </c>
      <c r="J284" s="5" t="s">
        <v>36</v>
      </c>
      <c r="K284" s="5" t="str">
        <f>CONCATENATE("")</f>
        <v/>
      </c>
      <c r="L284" s="5" t="str">
        <f>CONCATENATE("11 11.1 4b")</f>
        <v>11 11.1 4b</v>
      </c>
      <c r="M284" s="5" t="str">
        <f>CONCATENATE("CRBSNT97R52L500U")</f>
        <v>CRBSNT97R52L500U</v>
      </c>
      <c r="N284" s="5" t="s">
        <v>369</v>
      </c>
      <c r="O284" s="5" t="s">
        <v>289</v>
      </c>
      <c r="P284" s="6">
        <v>43950</v>
      </c>
      <c r="Q284" s="5" t="s">
        <v>31</v>
      </c>
      <c r="R284" s="5" t="s">
        <v>32</v>
      </c>
      <c r="S284" s="5" t="s">
        <v>33</v>
      </c>
      <c r="T284" s="5"/>
      <c r="U284" s="7">
        <v>1078.49</v>
      </c>
      <c r="V284" s="5">
        <v>465.04</v>
      </c>
      <c r="W284" s="5">
        <v>429.45</v>
      </c>
      <c r="X284" s="5">
        <v>0</v>
      </c>
      <c r="Y284" s="5">
        <v>184</v>
      </c>
    </row>
    <row r="285" spans="1:25" ht="24.75" x14ac:dyDescent="0.25">
      <c r="A285" s="5" t="s">
        <v>26</v>
      </c>
      <c r="B285" s="5" t="s">
        <v>27</v>
      </c>
      <c r="C285" s="5" t="s">
        <v>50</v>
      </c>
      <c r="D285" s="5" t="s">
        <v>51</v>
      </c>
      <c r="E285" s="5" t="s">
        <v>39</v>
      </c>
      <c r="F285" s="5" t="s">
        <v>319</v>
      </c>
      <c r="G285" s="5">
        <v>2019</v>
      </c>
      <c r="H285" s="5" t="str">
        <f>CONCATENATE("94240554322")</f>
        <v>94240554322</v>
      </c>
      <c r="I285" s="5" t="s">
        <v>29</v>
      </c>
      <c r="J285" s="5" t="s">
        <v>36</v>
      </c>
      <c r="K285" s="5" t="str">
        <f>CONCATENATE("")</f>
        <v/>
      </c>
      <c r="L285" s="5" t="str">
        <f>CONCATENATE("11 11.2 4b")</f>
        <v>11 11.2 4b</v>
      </c>
      <c r="M285" s="5" t="str">
        <f>CONCATENATE("MRDLSN51E15H501F")</f>
        <v>MRDLSN51E15H501F</v>
      </c>
      <c r="N285" s="5" t="s">
        <v>370</v>
      </c>
      <c r="O285" s="5" t="s">
        <v>289</v>
      </c>
      <c r="P285" s="6">
        <v>43950</v>
      </c>
      <c r="Q285" s="5" t="s">
        <v>31</v>
      </c>
      <c r="R285" s="5" t="s">
        <v>32</v>
      </c>
      <c r="S285" s="5" t="s">
        <v>33</v>
      </c>
      <c r="T285" s="5"/>
      <c r="U285" s="7">
        <v>3336.12</v>
      </c>
      <c r="V285" s="7">
        <v>1438.53</v>
      </c>
      <c r="W285" s="7">
        <v>1328.44</v>
      </c>
      <c r="X285" s="5">
        <v>0</v>
      </c>
      <c r="Y285" s="5">
        <v>569.15</v>
      </c>
    </row>
    <row r="286" spans="1:25" ht="24.75" x14ac:dyDescent="0.25">
      <c r="A286" s="5" t="s">
        <v>26</v>
      </c>
      <c r="B286" s="5" t="s">
        <v>27</v>
      </c>
      <c r="C286" s="5" t="s">
        <v>50</v>
      </c>
      <c r="D286" s="5" t="s">
        <v>51</v>
      </c>
      <c r="E286" s="5" t="s">
        <v>35</v>
      </c>
      <c r="F286" s="5" t="s">
        <v>193</v>
      </c>
      <c r="G286" s="5">
        <v>2019</v>
      </c>
      <c r="H286" s="5" t="str">
        <f>CONCATENATE("94780018894")</f>
        <v>94780018894</v>
      </c>
      <c r="I286" s="5" t="s">
        <v>29</v>
      </c>
      <c r="J286" s="5" t="s">
        <v>30</v>
      </c>
      <c r="K286" s="5" t="str">
        <f>CONCATENATE("221")</f>
        <v>221</v>
      </c>
      <c r="L286" s="5" t="str">
        <f>CONCATENATE("8 8.1 5e")</f>
        <v>8 8.1 5e</v>
      </c>
      <c r="M286" s="5" t="str">
        <f>CONCATENATE("BDTLSN70M28I608V")</f>
        <v>BDTLSN70M28I608V</v>
      </c>
      <c r="N286" s="5" t="s">
        <v>371</v>
      </c>
      <c r="O286" s="5" t="s">
        <v>321</v>
      </c>
      <c r="P286" s="6">
        <v>43950</v>
      </c>
      <c r="Q286" s="5" t="s">
        <v>31</v>
      </c>
      <c r="R286" s="5" t="s">
        <v>32</v>
      </c>
      <c r="S286" s="5" t="s">
        <v>33</v>
      </c>
      <c r="T286" s="5"/>
      <c r="U286" s="7">
        <v>3142</v>
      </c>
      <c r="V286" s="7">
        <v>1354.83</v>
      </c>
      <c r="W286" s="7">
        <v>1251.1400000000001</v>
      </c>
      <c r="X286" s="5">
        <v>0</v>
      </c>
      <c r="Y286" s="5">
        <v>536.03</v>
      </c>
    </row>
    <row r="287" spans="1:25" ht="24.75" x14ac:dyDescent="0.25">
      <c r="A287" s="5" t="s">
        <v>26</v>
      </c>
      <c r="B287" s="5" t="s">
        <v>27</v>
      </c>
      <c r="C287" s="5" t="s">
        <v>50</v>
      </c>
      <c r="D287" s="5" t="s">
        <v>58</v>
      </c>
      <c r="E287" s="5" t="s">
        <v>28</v>
      </c>
      <c r="F287" s="5" t="s">
        <v>168</v>
      </c>
      <c r="G287" s="5">
        <v>2019</v>
      </c>
      <c r="H287" s="5" t="str">
        <f>CONCATENATE("94240656762")</f>
        <v>94240656762</v>
      </c>
      <c r="I287" s="5" t="s">
        <v>29</v>
      </c>
      <c r="J287" s="5" t="s">
        <v>36</v>
      </c>
      <c r="K287" s="5" t="str">
        <f>CONCATENATE("")</f>
        <v/>
      </c>
      <c r="L287" s="5" t="str">
        <f>CONCATENATE("11 11.2 4b")</f>
        <v>11 11.2 4b</v>
      </c>
      <c r="M287" s="5" t="str">
        <f>CONCATENATE("PLZNDR65C02F520V")</f>
        <v>PLZNDR65C02F520V</v>
      </c>
      <c r="N287" s="5" t="s">
        <v>372</v>
      </c>
      <c r="O287" s="5" t="s">
        <v>289</v>
      </c>
      <c r="P287" s="6">
        <v>43950</v>
      </c>
      <c r="Q287" s="5" t="s">
        <v>31</v>
      </c>
      <c r="R287" s="5" t="s">
        <v>32</v>
      </c>
      <c r="S287" s="5" t="s">
        <v>33</v>
      </c>
      <c r="T287" s="5"/>
      <c r="U287" s="5">
        <v>78.67</v>
      </c>
      <c r="V287" s="5">
        <v>33.92</v>
      </c>
      <c r="W287" s="5">
        <v>31.33</v>
      </c>
      <c r="X287" s="5">
        <v>0</v>
      </c>
      <c r="Y287" s="5">
        <v>13.42</v>
      </c>
    </row>
    <row r="288" spans="1:25" x14ac:dyDescent="0.25">
      <c r="A288" s="5" t="s">
        <v>26</v>
      </c>
      <c r="B288" s="5" t="s">
        <v>27</v>
      </c>
      <c r="C288" s="5" t="s">
        <v>50</v>
      </c>
      <c r="D288" s="5" t="s">
        <v>57</v>
      </c>
      <c r="E288" s="5" t="s">
        <v>44</v>
      </c>
      <c r="F288" s="5" t="s">
        <v>365</v>
      </c>
      <c r="G288" s="5">
        <v>2019</v>
      </c>
      <c r="H288" s="5" t="str">
        <f>CONCATENATE("94241012189")</f>
        <v>94241012189</v>
      </c>
      <c r="I288" s="5" t="s">
        <v>29</v>
      </c>
      <c r="J288" s="5" t="s">
        <v>36</v>
      </c>
      <c r="K288" s="5" t="str">
        <f>CONCATENATE("")</f>
        <v/>
      </c>
      <c r="L288" s="5" t="str">
        <f>CONCATENATE("11 11.1 4b")</f>
        <v>11 11.1 4b</v>
      </c>
      <c r="M288" s="5" t="str">
        <f>CONCATENATE("PPGLND80E23I156C")</f>
        <v>PPGLND80E23I156C</v>
      </c>
      <c r="N288" s="5" t="s">
        <v>373</v>
      </c>
      <c r="O288" s="5" t="s">
        <v>289</v>
      </c>
      <c r="P288" s="6">
        <v>43950</v>
      </c>
      <c r="Q288" s="5" t="s">
        <v>31</v>
      </c>
      <c r="R288" s="5" t="s">
        <v>32</v>
      </c>
      <c r="S288" s="5" t="s">
        <v>33</v>
      </c>
      <c r="T288" s="5"/>
      <c r="U288" s="5">
        <v>349.69</v>
      </c>
      <c r="V288" s="5">
        <v>150.79</v>
      </c>
      <c r="W288" s="5">
        <v>139.25</v>
      </c>
      <c r="X288" s="5">
        <v>0</v>
      </c>
      <c r="Y288" s="5">
        <v>59.65</v>
      </c>
    </row>
    <row r="289" spans="1:25" ht="24.75" x14ac:dyDescent="0.25">
      <c r="A289" s="5" t="s">
        <v>26</v>
      </c>
      <c r="B289" s="5" t="s">
        <v>27</v>
      </c>
      <c r="C289" s="5" t="s">
        <v>50</v>
      </c>
      <c r="D289" s="5" t="s">
        <v>62</v>
      </c>
      <c r="E289" s="5" t="s">
        <v>38</v>
      </c>
      <c r="F289" s="5" t="s">
        <v>113</v>
      </c>
      <c r="G289" s="5">
        <v>2019</v>
      </c>
      <c r="H289" s="5" t="str">
        <f>CONCATENATE("94241045239")</f>
        <v>94241045239</v>
      </c>
      <c r="I289" s="5" t="s">
        <v>29</v>
      </c>
      <c r="J289" s="5" t="s">
        <v>36</v>
      </c>
      <c r="K289" s="5" t="str">
        <f>CONCATENATE("")</f>
        <v/>
      </c>
      <c r="L289" s="5" t="str">
        <f>CONCATENATE("11 11.2 4b")</f>
        <v>11 11.2 4b</v>
      </c>
      <c r="M289" s="5" t="str">
        <f>CONCATENATE("PRCLNS83L06A783R")</f>
        <v>PRCLNS83L06A783R</v>
      </c>
      <c r="N289" s="5" t="s">
        <v>374</v>
      </c>
      <c r="O289" s="5" t="s">
        <v>289</v>
      </c>
      <c r="P289" s="6">
        <v>43950</v>
      </c>
      <c r="Q289" s="5" t="s">
        <v>31</v>
      </c>
      <c r="R289" s="5" t="s">
        <v>32</v>
      </c>
      <c r="S289" s="5" t="s">
        <v>33</v>
      </c>
      <c r="T289" s="5"/>
      <c r="U289" s="7">
        <v>8119.14</v>
      </c>
      <c r="V289" s="7">
        <v>3500.97</v>
      </c>
      <c r="W289" s="7">
        <v>3233.04</v>
      </c>
      <c r="X289" s="5">
        <v>0</v>
      </c>
      <c r="Y289" s="7">
        <v>1385.13</v>
      </c>
    </row>
    <row r="290" spans="1:25" ht="24.75" x14ac:dyDescent="0.25">
      <c r="A290" s="5" t="s">
        <v>26</v>
      </c>
      <c r="B290" s="5" t="s">
        <v>27</v>
      </c>
      <c r="C290" s="5" t="s">
        <v>50</v>
      </c>
      <c r="D290" s="5" t="s">
        <v>58</v>
      </c>
      <c r="E290" s="5" t="s">
        <v>40</v>
      </c>
      <c r="F290" s="5" t="s">
        <v>40</v>
      </c>
      <c r="G290" s="5">
        <v>2019</v>
      </c>
      <c r="H290" s="5" t="str">
        <f>CONCATENATE("94240101504")</f>
        <v>94240101504</v>
      </c>
      <c r="I290" s="5" t="s">
        <v>29</v>
      </c>
      <c r="J290" s="5" t="s">
        <v>36</v>
      </c>
      <c r="K290" s="5" t="str">
        <f>CONCATENATE("")</f>
        <v/>
      </c>
      <c r="L290" s="5" t="str">
        <f>CONCATENATE("11 11.2 4b")</f>
        <v>11 11.2 4b</v>
      </c>
      <c r="M290" s="5" t="str">
        <f>CONCATENATE("CPNMRZ75H09H769O")</f>
        <v>CPNMRZ75H09H769O</v>
      </c>
      <c r="N290" s="5" t="s">
        <v>375</v>
      </c>
      <c r="O290" s="5" t="s">
        <v>289</v>
      </c>
      <c r="P290" s="6">
        <v>43950</v>
      </c>
      <c r="Q290" s="5" t="s">
        <v>31</v>
      </c>
      <c r="R290" s="5" t="s">
        <v>32</v>
      </c>
      <c r="S290" s="5" t="s">
        <v>33</v>
      </c>
      <c r="T290" s="5"/>
      <c r="U290" s="7">
        <v>2467.8000000000002</v>
      </c>
      <c r="V290" s="7">
        <v>1064.1199999999999</v>
      </c>
      <c r="W290" s="5">
        <v>982.68</v>
      </c>
      <c r="X290" s="5">
        <v>0</v>
      </c>
      <c r="Y290" s="5">
        <v>421</v>
      </c>
    </row>
    <row r="291" spans="1:25" ht="24.75" x14ac:dyDescent="0.25">
      <c r="A291" s="5" t="s">
        <v>26</v>
      </c>
      <c r="B291" s="5" t="s">
        <v>27</v>
      </c>
      <c r="C291" s="5" t="s">
        <v>50</v>
      </c>
      <c r="D291" s="5" t="s">
        <v>57</v>
      </c>
      <c r="E291" s="5" t="s">
        <v>28</v>
      </c>
      <c r="F291" s="5" t="s">
        <v>222</v>
      </c>
      <c r="G291" s="5">
        <v>2018</v>
      </c>
      <c r="H291" s="5" t="str">
        <f>CONCATENATE("84240977839")</f>
        <v>84240977839</v>
      </c>
      <c r="I291" s="5" t="s">
        <v>29</v>
      </c>
      <c r="J291" s="5" t="s">
        <v>36</v>
      </c>
      <c r="K291" s="5" t="str">
        <f>CONCATENATE("")</f>
        <v/>
      </c>
      <c r="L291" s="5" t="str">
        <f>CONCATENATE("11 11.2 4b")</f>
        <v>11 11.2 4b</v>
      </c>
      <c r="M291" s="5" t="str">
        <f>CONCATENATE("MRCNNA44H51I436N")</f>
        <v>MRCNNA44H51I436N</v>
      </c>
      <c r="N291" s="5" t="s">
        <v>376</v>
      </c>
      <c r="O291" s="5" t="s">
        <v>289</v>
      </c>
      <c r="P291" s="6">
        <v>43950</v>
      </c>
      <c r="Q291" s="5" t="s">
        <v>31</v>
      </c>
      <c r="R291" s="5" t="s">
        <v>32</v>
      </c>
      <c r="S291" s="5" t="s">
        <v>33</v>
      </c>
      <c r="T291" s="5"/>
      <c r="U291" s="7">
        <v>2201.1999999999998</v>
      </c>
      <c r="V291" s="5">
        <v>949.16</v>
      </c>
      <c r="W291" s="5">
        <v>876.52</v>
      </c>
      <c r="X291" s="5">
        <v>0</v>
      </c>
      <c r="Y291" s="5">
        <v>375.52</v>
      </c>
    </row>
    <row r="292" spans="1:25" ht="24.75" x14ac:dyDescent="0.25">
      <c r="A292" s="5" t="s">
        <v>26</v>
      </c>
      <c r="B292" s="5" t="s">
        <v>27</v>
      </c>
      <c r="C292" s="5" t="s">
        <v>50</v>
      </c>
      <c r="D292" s="5" t="s">
        <v>51</v>
      </c>
      <c r="E292" s="5" t="s">
        <v>39</v>
      </c>
      <c r="F292" s="5" t="s">
        <v>319</v>
      </c>
      <c r="G292" s="5">
        <v>2019</v>
      </c>
      <c r="H292" s="5" t="str">
        <f>CONCATENATE("94780045640")</f>
        <v>94780045640</v>
      </c>
      <c r="I292" s="5" t="s">
        <v>29</v>
      </c>
      <c r="J292" s="5" t="s">
        <v>30</v>
      </c>
      <c r="K292" s="5" t="str">
        <f>CONCATENATE("221")</f>
        <v>221</v>
      </c>
      <c r="L292" s="5" t="str">
        <f>CONCATENATE("8 8.1 5e")</f>
        <v>8 8.1 5e</v>
      </c>
      <c r="M292" s="5" t="str">
        <f>CONCATENATE("01332400421")</f>
        <v>01332400421</v>
      </c>
      <c r="N292" s="5" t="s">
        <v>377</v>
      </c>
      <c r="O292" s="5" t="s">
        <v>321</v>
      </c>
      <c r="P292" s="6">
        <v>43950</v>
      </c>
      <c r="Q292" s="5" t="s">
        <v>31</v>
      </c>
      <c r="R292" s="5" t="s">
        <v>32</v>
      </c>
      <c r="S292" s="5" t="s">
        <v>33</v>
      </c>
      <c r="T292" s="5"/>
      <c r="U292" s="7">
        <v>2486.5</v>
      </c>
      <c r="V292" s="7">
        <v>1072.18</v>
      </c>
      <c r="W292" s="5">
        <v>990.12</v>
      </c>
      <c r="X292" s="5">
        <v>0</v>
      </c>
      <c r="Y292" s="5">
        <v>424.2</v>
      </c>
    </row>
    <row r="293" spans="1:25" ht="24.75" x14ac:dyDescent="0.25">
      <c r="A293" s="5" t="s">
        <v>26</v>
      </c>
      <c r="B293" s="5" t="s">
        <v>34</v>
      </c>
      <c r="C293" s="5" t="s">
        <v>50</v>
      </c>
      <c r="D293" s="5" t="s">
        <v>58</v>
      </c>
      <c r="E293" s="5" t="s">
        <v>40</v>
      </c>
      <c r="F293" s="5" t="s">
        <v>40</v>
      </c>
      <c r="G293" s="5">
        <v>2017</v>
      </c>
      <c r="H293" s="5" t="str">
        <f>CONCATENATE("94270173910")</f>
        <v>94270173910</v>
      </c>
      <c r="I293" s="5" t="s">
        <v>29</v>
      </c>
      <c r="J293" s="5" t="s">
        <v>36</v>
      </c>
      <c r="K293" s="5" t="str">
        <f>CONCATENATE("")</f>
        <v/>
      </c>
      <c r="L293" s="5" t="str">
        <f>CONCATENATE("4 4.1 2a")</f>
        <v>4 4.1 2a</v>
      </c>
      <c r="M293" s="5" t="str">
        <f>CONCATENATE("SPSNDR85S11H769I")</f>
        <v>SPSNDR85S11H769I</v>
      </c>
      <c r="N293" s="5" t="s">
        <v>378</v>
      </c>
      <c r="O293" s="5" t="s">
        <v>379</v>
      </c>
      <c r="P293" s="6">
        <v>43950</v>
      </c>
      <c r="Q293" s="5" t="s">
        <v>31</v>
      </c>
      <c r="R293" s="5" t="s">
        <v>32</v>
      </c>
      <c r="S293" s="5" t="s">
        <v>33</v>
      </c>
      <c r="T293" s="5"/>
      <c r="U293" s="7">
        <v>9808.6</v>
      </c>
      <c r="V293" s="7">
        <v>4229.47</v>
      </c>
      <c r="W293" s="7">
        <v>3905.78</v>
      </c>
      <c r="X293" s="5">
        <v>0</v>
      </c>
      <c r="Y293" s="7">
        <v>1673.35</v>
      </c>
    </row>
    <row r="294" spans="1:25" x14ac:dyDescent="0.25">
      <c r="A294" s="5" t="s">
        <v>26</v>
      </c>
      <c r="B294" s="5" t="s">
        <v>34</v>
      </c>
      <c r="C294" s="5" t="s">
        <v>50</v>
      </c>
      <c r="D294" s="5" t="s">
        <v>57</v>
      </c>
      <c r="E294" s="5" t="s">
        <v>40</v>
      </c>
      <c r="F294" s="5" t="s">
        <v>40</v>
      </c>
      <c r="G294" s="5">
        <v>2017</v>
      </c>
      <c r="H294" s="5" t="str">
        <f>CONCATENATE("84270138369")</f>
        <v>84270138369</v>
      </c>
      <c r="I294" s="5" t="s">
        <v>29</v>
      </c>
      <c r="J294" s="5" t="s">
        <v>36</v>
      </c>
      <c r="K294" s="5" t="str">
        <f>CONCATENATE("")</f>
        <v/>
      </c>
      <c r="L294" s="5" t="str">
        <f>CONCATENATE("4 4.1 2a")</f>
        <v>4 4.1 2a</v>
      </c>
      <c r="M294" s="5" t="str">
        <f>CONCATENATE("GRNCRD73E01I156S")</f>
        <v>GRNCRD73E01I156S</v>
      </c>
      <c r="N294" s="5" t="s">
        <v>380</v>
      </c>
      <c r="O294" s="5" t="s">
        <v>379</v>
      </c>
      <c r="P294" s="6">
        <v>43950</v>
      </c>
      <c r="Q294" s="5" t="s">
        <v>31</v>
      </c>
      <c r="R294" s="5" t="s">
        <v>32</v>
      </c>
      <c r="S294" s="5" t="s">
        <v>33</v>
      </c>
      <c r="T294" s="5"/>
      <c r="U294" s="7">
        <v>46086.96</v>
      </c>
      <c r="V294" s="7">
        <v>19872.7</v>
      </c>
      <c r="W294" s="7">
        <v>18351.830000000002</v>
      </c>
      <c r="X294" s="5">
        <v>0</v>
      </c>
      <c r="Y294" s="7">
        <v>7862.43</v>
      </c>
    </row>
    <row r="295" spans="1:25" ht="24.75" x14ac:dyDescent="0.25">
      <c r="A295" s="5" t="s">
        <v>26</v>
      </c>
      <c r="B295" s="5" t="s">
        <v>34</v>
      </c>
      <c r="C295" s="5" t="s">
        <v>50</v>
      </c>
      <c r="D295" s="5" t="s">
        <v>62</v>
      </c>
      <c r="E295" s="5" t="s">
        <v>35</v>
      </c>
      <c r="F295" s="5" t="s">
        <v>85</v>
      </c>
      <c r="G295" s="5">
        <v>2017</v>
      </c>
      <c r="H295" s="5" t="str">
        <f>CONCATENATE("94270173902")</f>
        <v>94270173902</v>
      </c>
      <c r="I295" s="5" t="s">
        <v>29</v>
      </c>
      <c r="J295" s="5" t="s">
        <v>36</v>
      </c>
      <c r="K295" s="5" t="str">
        <f>CONCATENATE("")</f>
        <v/>
      </c>
      <c r="L295" s="5" t="str">
        <f>CONCATENATE("4 4.1 2a")</f>
        <v>4 4.1 2a</v>
      </c>
      <c r="M295" s="5" t="str">
        <f>CONCATENATE("02393300419")</f>
        <v>02393300419</v>
      </c>
      <c r="N295" s="5" t="s">
        <v>381</v>
      </c>
      <c r="O295" s="5" t="s">
        <v>379</v>
      </c>
      <c r="P295" s="6">
        <v>43950</v>
      </c>
      <c r="Q295" s="5" t="s">
        <v>31</v>
      </c>
      <c r="R295" s="5" t="s">
        <v>32</v>
      </c>
      <c r="S295" s="5" t="s">
        <v>33</v>
      </c>
      <c r="T295" s="5"/>
      <c r="U295" s="7">
        <v>13082.51</v>
      </c>
      <c r="V295" s="7">
        <v>5641.18</v>
      </c>
      <c r="W295" s="7">
        <v>5209.46</v>
      </c>
      <c r="X295" s="5">
        <v>0</v>
      </c>
      <c r="Y295" s="7">
        <v>2231.87</v>
      </c>
    </row>
    <row r="296" spans="1:25" ht="24.75" x14ac:dyDescent="0.25">
      <c r="A296" s="5" t="s">
        <v>26</v>
      </c>
      <c r="B296" s="5" t="s">
        <v>27</v>
      </c>
      <c r="C296" s="5" t="s">
        <v>50</v>
      </c>
      <c r="D296" s="5" t="s">
        <v>62</v>
      </c>
      <c r="E296" s="5" t="s">
        <v>28</v>
      </c>
      <c r="F296" s="5" t="s">
        <v>238</v>
      </c>
      <c r="G296" s="5">
        <v>2019</v>
      </c>
      <c r="H296" s="5" t="str">
        <f>CONCATENATE("94240871999")</f>
        <v>94240871999</v>
      </c>
      <c r="I296" s="5" t="s">
        <v>29</v>
      </c>
      <c r="J296" s="5" t="s">
        <v>36</v>
      </c>
      <c r="K296" s="5" t="str">
        <f>CONCATENATE("")</f>
        <v/>
      </c>
      <c r="L296" s="5" t="str">
        <f>CONCATENATE("10 10.1 4b")</f>
        <v>10 10.1 4b</v>
      </c>
      <c r="M296" s="5" t="str">
        <f>CONCATENATE("BRNMRN38E11G479I")</f>
        <v>BRNMRN38E11G479I</v>
      </c>
      <c r="N296" s="5" t="s">
        <v>382</v>
      </c>
      <c r="O296" s="5" t="s">
        <v>383</v>
      </c>
      <c r="P296" s="6">
        <v>43950</v>
      </c>
      <c r="Q296" s="5" t="s">
        <v>31</v>
      </c>
      <c r="R296" s="5" t="s">
        <v>32</v>
      </c>
      <c r="S296" s="5" t="s">
        <v>33</v>
      </c>
      <c r="T296" s="5"/>
      <c r="U296" s="7">
        <v>2518.66</v>
      </c>
      <c r="V296" s="7">
        <v>1086.05</v>
      </c>
      <c r="W296" s="7">
        <v>1002.93</v>
      </c>
      <c r="X296" s="5">
        <v>0</v>
      </c>
      <c r="Y296" s="5">
        <v>429.68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2020-05-05T14:21:21Z</dcterms:created>
  <dcterms:modified xsi:type="dcterms:W3CDTF">2020-05-05T14:22:14Z</dcterms:modified>
</cp:coreProperties>
</file>