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499"/>
  </bookViews>
  <sheets>
    <sheet name="Foglio 1 - TARIFFA ISTRUTTORIA" sheetId="1" r:id="rId1"/>
    <sheet name="Calcoli Foglio1" sheetId="2" state="hidden" r:id="rId2"/>
    <sheet name="REPORT FINALE" sheetId="5" r:id="rId3"/>
  </sheets>
  <externalReferences>
    <externalReference r:id="rId4"/>
  </externalReferences>
  <definedNames>
    <definedName name="ACCONTO2">'Calcoli Foglio1'!$F$135:$F$139</definedName>
    <definedName name="_xlnm.Print_Area" localSheetId="0">'Foglio 1 - TARIFFA ISTRUTTORIA'!$A$1:$S$112</definedName>
    <definedName name="_xlnm.Print_Area" localSheetId="2">'REPORT FINALE'!$A$1:$H$80</definedName>
    <definedName name="codIPPC">'Calcoli Foglio1'!$A$135:$A$168</definedName>
    <definedName name="codIPPC_MOD">'[1]calcoli MOD. NON SOT'!$B$12:$B$44</definedName>
    <definedName name="Domanda">'Calcoli Foglio1'!$G$135:$G$136</definedName>
    <definedName name="Rifiuti">'Calcoli Foglio1'!$E$135:$E$137</definedName>
    <definedName name="RUM">'Calcoli Foglio1'!$E$135:$E$139</definedName>
    <definedName name="SI_NO">'Calcoli Foglio1'!$D$135:$D$136</definedName>
    <definedName name="Tipo_IMP">'Calcoli Foglio1'!$C$135:$C$138</definedName>
    <definedName name="tipoIMP_MOD">'[1]calcoli MOD. NON SOT'!$A$12:$A$13</definedName>
    <definedName name="TipoISTR">'Calcoli Foglio1'!$B$135:$B$138</definedName>
  </definedNames>
  <calcPr calcId="145621"/>
</workbook>
</file>

<file path=xl/calcChain.xml><?xml version="1.0" encoding="utf-8"?>
<calcChain xmlns="http://schemas.openxmlformats.org/spreadsheetml/2006/main">
  <c r="C126" i="2" l="1"/>
  <c r="E127" i="2" s="1"/>
  <c r="G77" i="5" s="1"/>
  <c r="B100" i="2"/>
  <c r="E41" i="5"/>
  <c r="E40" i="5"/>
  <c r="E38" i="5"/>
  <c r="C13" i="5"/>
  <c r="C12" i="5"/>
  <c r="H95" i="2"/>
  <c r="E97" i="2" s="1"/>
  <c r="F76" i="5"/>
  <c r="F48" i="5"/>
  <c r="E42" i="5"/>
  <c r="C8" i="5"/>
  <c r="B3" i="5" s="1"/>
  <c r="H8" i="5"/>
  <c r="C9" i="5"/>
  <c r="E4" i="5" s="1"/>
  <c r="C10" i="5"/>
  <c r="B4" i="5" s="1"/>
  <c r="C11" i="5"/>
  <c r="C4" i="5" s="1"/>
  <c r="H15" i="5"/>
  <c r="H16" i="5"/>
  <c r="G20" i="5"/>
  <c r="D27" i="5"/>
  <c r="D28" i="5"/>
  <c r="D32" i="5"/>
  <c r="D33" i="5"/>
  <c r="E39" i="5"/>
  <c r="E43" i="5"/>
  <c r="E55" i="5"/>
  <c r="E56" i="5"/>
  <c r="E61" i="5"/>
  <c r="H9" i="2"/>
  <c r="H8" i="2"/>
  <c r="H7" i="2"/>
  <c r="H6" i="2"/>
  <c r="G9" i="2"/>
  <c r="G8" i="2"/>
  <c r="G7" i="2"/>
  <c r="G6" i="2"/>
  <c r="G10" i="2" s="1"/>
  <c r="F69" i="2"/>
  <c r="F68" i="2"/>
  <c r="F67" i="2"/>
  <c r="H85" i="2"/>
  <c r="H84" i="2"/>
  <c r="G85" i="2"/>
  <c r="F85" i="2"/>
  <c r="G84" i="2"/>
  <c r="F84" i="2"/>
  <c r="E84" i="2"/>
  <c r="E60" i="2"/>
  <c r="F60" i="2" s="1"/>
  <c r="G60" i="2" s="1"/>
  <c r="E58" i="2"/>
  <c r="F58" i="2" s="1"/>
  <c r="G58" i="2" s="1"/>
  <c r="D32" i="2"/>
  <c r="E50" i="2" s="1"/>
  <c r="D15" i="2"/>
  <c r="D16" i="2"/>
  <c r="D33" i="2"/>
  <c r="E59" i="2"/>
  <c r="F59" i="2" s="1"/>
  <c r="G59" i="2" s="1"/>
  <c r="E61" i="2"/>
  <c r="F61" i="2" s="1"/>
  <c r="G61" i="2" s="1"/>
  <c r="E62" i="2"/>
  <c r="F62" i="2" s="1"/>
  <c r="G62" i="2" s="1"/>
  <c r="E63" i="2"/>
  <c r="F63" i="2" s="1"/>
  <c r="G63" i="2" s="1"/>
  <c r="G77" i="2"/>
  <c r="E77" i="2" s="1"/>
  <c r="F77" i="2" s="1"/>
  <c r="G78" i="2"/>
  <c r="E78" i="2" s="1"/>
  <c r="F78" i="2" s="1"/>
  <c r="E85" i="2"/>
  <c r="H94" i="2"/>
  <c r="D105" i="2"/>
  <c r="D109" i="2"/>
  <c r="E109" i="2" s="1"/>
  <c r="F109" i="2" s="1"/>
  <c r="B66" i="5" s="1"/>
  <c r="D110" i="2"/>
  <c r="E110" i="2" s="1"/>
  <c r="F110" i="2" s="1"/>
  <c r="H135" i="2"/>
  <c r="B48" i="2"/>
  <c r="B47" i="2"/>
  <c r="C50" i="2"/>
  <c r="D46" i="2"/>
  <c r="B46" i="2"/>
  <c r="E48" i="2"/>
  <c r="E49" i="2"/>
  <c r="C49" i="2"/>
  <c r="E45" i="2"/>
  <c r="D48" i="2"/>
  <c r="C47" i="2"/>
  <c r="E47" i="2"/>
  <c r="E46" i="2" l="1"/>
  <c r="J109" i="2"/>
  <c r="F79" i="2"/>
  <c r="G56" i="5" s="1"/>
  <c r="F87" i="2"/>
  <c r="G62" i="5" s="1"/>
  <c r="F71" i="2"/>
  <c r="G68" i="1" s="1"/>
  <c r="B95" i="1"/>
  <c r="G99" i="2"/>
  <c r="B67" i="5"/>
  <c r="G51" i="5"/>
  <c r="D49" i="2"/>
  <c r="B94" i="1"/>
  <c r="D47" i="2"/>
  <c r="B50" i="2"/>
  <c r="D50" i="2"/>
  <c r="B49" i="2"/>
  <c r="G98" i="2"/>
  <c r="C46" i="2"/>
  <c r="C45" i="2"/>
  <c r="C48" i="2"/>
  <c r="B45" i="2"/>
  <c r="F26" i="2"/>
  <c r="D27" i="2"/>
  <c r="C25" i="2"/>
  <c r="F27" i="2"/>
  <c r="B25" i="2"/>
  <c r="G27" i="2"/>
  <c r="B28" i="2"/>
  <c r="C28" i="2"/>
  <c r="E28" i="2"/>
  <c r="B27" i="2"/>
  <c r="G28" i="2"/>
  <c r="C27" i="2"/>
  <c r="D28" i="2"/>
  <c r="E26" i="2"/>
  <c r="D26" i="2"/>
  <c r="F29" i="2"/>
  <c r="E29" i="2"/>
  <c r="F28" i="2"/>
  <c r="D29" i="2"/>
  <c r="G26" i="2"/>
  <c r="E27" i="2"/>
  <c r="G29" i="2"/>
  <c r="C29" i="2"/>
  <c r="B29" i="2"/>
  <c r="C26" i="2"/>
  <c r="B26" i="2"/>
  <c r="G59" i="1"/>
  <c r="G43" i="5"/>
  <c r="G58" i="1"/>
  <c r="G42" i="5"/>
  <c r="G57" i="1"/>
  <c r="G41" i="5"/>
  <c r="G40" i="5"/>
  <c r="G56" i="1"/>
  <c r="G55" i="1"/>
  <c r="G39" i="5"/>
  <c r="H10" i="2"/>
  <c r="I10" i="2" s="1"/>
  <c r="G38" i="5"/>
  <c r="G64" i="2"/>
  <c r="G54" i="1"/>
  <c r="C100" i="2"/>
  <c r="D100" i="2"/>
  <c r="E100" i="2"/>
  <c r="B97" i="2"/>
  <c r="G97" i="2" s="1"/>
  <c r="F97" i="2"/>
  <c r="C97" i="2"/>
  <c r="D97" i="2"/>
  <c r="D96" i="2"/>
  <c r="C96" i="2"/>
  <c r="B96" i="2"/>
  <c r="G85" i="1" l="1"/>
  <c r="F89" i="2"/>
  <c r="F91" i="2" s="1"/>
  <c r="G64" i="5" s="1"/>
  <c r="G76" i="1"/>
  <c r="B52" i="2"/>
  <c r="G35" i="1"/>
  <c r="G25" i="5"/>
  <c r="B30" i="2"/>
  <c r="G42" i="1" s="1"/>
  <c r="G61" i="1"/>
  <c r="G45" i="5"/>
  <c r="G96" i="2"/>
  <c r="H96" i="2" s="1"/>
  <c r="B65" i="5" s="1"/>
  <c r="F100" i="2"/>
  <c r="G100" i="2" s="1"/>
  <c r="B96" i="1" s="1"/>
  <c r="B68" i="5" s="1"/>
  <c r="G87" i="1"/>
  <c r="G48" i="1" l="1"/>
  <c r="G33" i="5"/>
  <c r="B115" i="2"/>
  <c r="B116" i="2" s="1"/>
  <c r="B119" i="2" s="1"/>
  <c r="B121" i="2" s="1"/>
  <c r="G28" i="5"/>
  <c r="B93" i="1"/>
  <c r="D119" i="2" l="1"/>
  <c r="D121" i="2" s="1"/>
  <c r="E119" i="2"/>
  <c r="E121" i="2" s="1"/>
  <c r="C119" i="2"/>
  <c r="C121" i="2" s="1"/>
  <c r="B100" i="1"/>
  <c r="B71" i="5" s="1"/>
  <c r="B123" i="2" l="1"/>
  <c r="B73" i="5" s="1"/>
  <c r="C130" i="2" l="1"/>
  <c r="D110" i="1" s="1"/>
  <c r="B102" i="1"/>
  <c r="D79" i="5" l="1"/>
</calcChain>
</file>

<file path=xl/comments1.xml><?xml version="1.0" encoding="utf-8"?>
<comments xmlns="http://schemas.openxmlformats.org/spreadsheetml/2006/main">
  <authors>
    <author>Michele Cannito</author>
  </authors>
  <commentList>
    <comment ref="E16" authorId="0">
      <text>
        <r>
          <rPr>
            <b/>
            <sz val="9"/>
            <color indexed="81"/>
            <rFont val="Tahoma"/>
            <charset val="1"/>
          </rPr>
          <t>Selezionato nel menù a tendina il codice numerico associato alla 'tipologia di istruttoria' cui è associato il calcolo della tariffa; 
es. selezionare:
'1' se l'istruttoria è relativa alla istanza di AIA per un impianto ESISTENTE; 
'2' se l'istruttoria è relativa alla domanda di AIA per un impianto NUOVO; 
'3' se l'istruttoria è relativa ad una istanza di MODIFICA SOSTANZIALE'; 
'4' se l'istruttoria è relativa al RINNOVO dell'autorizzazione.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 xml:space="preserve">Selezionare dal menù a tendina il codice IPPC relativo all'attività principale svolta nello stabilimento 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Selezionare dal menù a tendina il codice IPPC relativo all'attività secondaria svolta nello stabilimento (il codice 1,0 si riferisce ad attività 1,1 con potenzialità tra 50 e 150 MW, mentre il codice 1,1 si riferisce ad attività 1,1 con potenzialità tra 150 e 300 MW</t>
        </r>
      </text>
    </comment>
    <comment ref="A28" authorId="0">
      <text>
        <r>
          <rPr>
            <b/>
            <sz val="9"/>
            <color indexed="81"/>
            <rFont val="Tahoma"/>
            <charset val="1"/>
          </rPr>
          <t>Selezionare dal menù a tendina il codice numerico associato alla 'tipologia di impianto'  nella cella evidenziata; per la definizione di Micro, Piccola, Media, Grande Impresa si rimanda alla Dgr 1480/2002 con cui venivano stabiliti l'ammontare e le modalità di versamento dell'acconto che le imprese richiedenti hanno versato alla Regione.</t>
        </r>
      </text>
    </comment>
    <comment ref="A39" authorId="0">
      <text>
        <r>
          <rPr>
            <b/>
            <sz val="9"/>
            <color indexed="81"/>
            <rFont val="Tahoma"/>
            <charset val="1"/>
          </rPr>
          <t>Inserire nelle relative celle evidenziate il n. complessivo di emissioni in atmosfera ed il n. complessivo di inquinanti.</t>
        </r>
      </text>
    </comment>
    <comment ref="A45" authorId="0">
      <text>
        <r>
          <rPr>
            <b/>
            <sz val="9"/>
            <color indexed="81"/>
            <rFont val="Tahoma"/>
            <charset val="1"/>
          </rPr>
          <t>Inserire nelle relative celle evidenziate il n. complessivo di scarichi idrici ed il n. complessivo di inquinanti.</t>
        </r>
      </text>
    </comment>
    <comment ref="A51" authorId="0">
      <text>
        <r>
          <rPr>
            <b/>
            <sz val="9"/>
            <color indexed="81"/>
            <rFont val="Tahoma"/>
            <charset val="1"/>
          </rPr>
          <t>Se  l'azienda è soggetta ad una o più delle componenti ambientali elencate selezionare 'SI' nel  menù a tendina relativo alla componente  ambientale interessata.</t>
        </r>
      </text>
    </comment>
    <comment ref="A70" authorId="0">
      <text>
        <r>
          <rPr>
            <b/>
            <sz val="9"/>
            <color indexed="81"/>
            <rFont val="Tahoma"/>
            <charset val="1"/>
          </rPr>
          <t>Selezionare 'SI' nel relativo menù a tendina se l'Azienda è dotata di sistemi di Certificazione ambientale; si ricorda che gli sconti associati a tale coefficiente non sono cumulabili.</t>
        </r>
      </text>
    </comment>
    <comment ref="A79" authorId="0">
      <text>
        <r>
          <rPr>
            <b/>
            <sz val="9"/>
            <color indexed="81"/>
            <rFont val="Tahoma"/>
            <charset val="1"/>
          </rPr>
          <t>Se l'azienda ha presentato l'istanza secondo le specifiche fornite dall'Autorità competente ed in formato elettronico selezionare '1' nel menù a tendina; selezionare '2' in caso contrario.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 xml:space="preserve"> coefficiente di categoria; in presenza di più attività IPPC si assume il coeff. maggiore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 xml:space="preserve">coefficiente impianto soggetto a procedura di VIA 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coefficiente impianto soggetto a D.Lgs. 334/99 e ss.mm.i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coefficiente impianto soggetto a modifica sostanziale già in possesso di AIA</t>
        </r>
      </text>
    </comment>
    <comment ref="A106" authorId="0">
      <text>
        <r>
          <rPr>
            <b/>
            <sz val="9"/>
            <color indexed="81"/>
            <rFont val="Tahoma"/>
            <charset val="1"/>
          </rPr>
          <t>Inserire l'importo dell'eventuale versamento già effettuato; la cella deve necessariamente contenere un valore.</t>
        </r>
      </text>
    </comment>
  </commentList>
</comments>
</file>

<file path=xl/sharedStrings.xml><?xml version="1.0" encoding="utf-8"?>
<sst xmlns="http://schemas.openxmlformats.org/spreadsheetml/2006/main" count="310" uniqueCount="187">
  <si>
    <t>tipologia impianto</t>
  </si>
  <si>
    <r>
      <t>CALCOLO DI C</t>
    </r>
    <r>
      <rPr>
        <b/>
        <vertAlign val="subscript"/>
        <sz val="14"/>
        <color indexed="8"/>
        <rFont val="Calibri"/>
        <family val="2"/>
      </rPr>
      <t>D</t>
    </r>
  </si>
  <si>
    <t>calcolo</t>
  </si>
  <si>
    <r>
      <t>calcolo C</t>
    </r>
    <r>
      <rPr>
        <vertAlign val="subscript"/>
        <sz val="11"/>
        <color indexed="10"/>
        <rFont val="Calibri"/>
        <family val="2"/>
      </rPr>
      <t>D</t>
    </r>
  </si>
  <si>
    <r>
      <t>CALCOLO DI C</t>
    </r>
    <r>
      <rPr>
        <b/>
        <vertAlign val="subscript"/>
        <sz val="14"/>
        <color indexed="8"/>
        <rFont val="Calibri"/>
        <family val="2"/>
      </rPr>
      <t>ARIA</t>
    </r>
  </si>
  <si>
    <t>N. di emissioni in atmosfera</t>
  </si>
  <si>
    <t>N. di inquinanti</t>
  </si>
  <si>
    <t>da 1 a 4 inquinanti</t>
  </si>
  <si>
    <t>da 5 a 10 inquinanti</t>
  </si>
  <si>
    <t>da 11 a 17 inquinanti</t>
  </si>
  <si>
    <t>più di 17 inquinanti</t>
  </si>
  <si>
    <t>0 inquinanti</t>
  </si>
  <si>
    <t>da 2 a 3</t>
  </si>
  <si>
    <t>da 4 a 8</t>
  </si>
  <si>
    <t>da 9 a 20</t>
  </si>
  <si>
    <t>da 21 a 60</t>
  </si>
  <si>
    <t>oltre 60</t>
  </si>
  <si>
    <t>NUMERO EMISSIONI IN ATMOSFERA</t>
  </si>
  <si>
    <t>NUMERO INQUINANTI</t>
  </si>
  <si>
    <t>CARIA</t>
  </si>
  <si>
    <r>
      <t>CALCOLO DI C</t>
    </r>
    <r>
      <rPr>
        <b/>
        <vertAlign val="subscript"/>
        <sz val="14"/>
        <color indexed="8"/>
        <rFont val="Calibri"/>
        <family val="2"/>
      </rPr>
      <t>H2O</t>
    </r>
  </si>
  <si>
    <t>N. di scarichi</t>
  </si>
  <si>
    <t>Numero di scarichi</t>
  </si>
  <si>
    <t>oltre 8</t>
  </si>
  <si>
    <t>Nessun inquinante</t>
  </si>
  <si>
    <t>da 5 a 7 inquinanti</t>
  </si>
  <si>
    <t>da 8 a 12 inquinanti</t>
  </si>
  <si>
    <t>da 13 a 15 inquinanti</t>
  </si>
  <si>
    <t>più di 15 inquinanti</t>
  </si>
  <si>
    <t>N. di scarichi idrici</t>
  </si>
  <si>
    <t>CH2O</t>
  </si>
  <si>
    <t>Sigla</t>
  </si>
  <si>
    <t>contatore</t>
  </si>
  <si>
    <t>valore</t>
  </si>
  <si>
    <t>COMPONENTI AMBIENTALI</t>
  </si>
  <si>
    <t>Ulteriore componente ambientale da considerare</t>
  </si>
  <si>
    <t xml:space="preserve">Clima acustico </t>
  </si>
  <si>
    <r>
      <t>C</t>
    </r>
    <r>
      <rPr>
        <vertAlign val="subscript"/>
        <sz val="12"/>
        <color indexed="8"/>
        <rFont val="Times New Roman"/>
        <family val="1"/>
      </rPr>
      <t>CA</t>
    </r>
  </si>
  <si>
    <t>Tutela quantitativa della risorsa idrica</t>
  </si>
  <si>
    <r>
      <t>C</t>
    </r>
    <r>
      <rPr>
        <vertAlign val="subscript"/>
        <sz val="12"/>
        <color indexed="8"/>
        <rFont val="Times New Roman"/>
        <family val="1"/>
      </rPr>
      <t>RI</t>
    </r>
  </si>
  <si>
    <t xml:space="preserve">Odori </t>
  </si>
  <si>
    <r>
      <t>C</t>
    </r>
    <r>
      <rPr>
        <vertAlign val="subscript"/>
        <sz val="12"/>
        <color indexed="8"/>
        <rFont val="Times New Roman"/>
        <family val="1"/>
      </rPr>
      <t>OD</t>
    </r>
  </si>
  <si>
    <t xml:space="preserve">Sicurezza del territorio </t>
  </si>
  <si>
    <r>
      <t>C</t>
    </r>
    <r>
      <rPr>
        <vertAlign val="subscript"/>
        <sz val="12"/>
        <color indexed="8"/>
        <rFont val="Times New Roman"/>
        <family val="1"/>
      </rPr>
      <t>ST</t>
    </r>
  </si>
  <si>
    <t xml:space="preserve">Ripristino ambientale </t>
  </si>
  <si>
    <r>
      <t>C</t>
    </r>
    <r>
      <rPr>
        <vertAlign val="subscript"/>
        <sz val="12"/>
        <color indexed="8"/>
        <rFont val="Times New Roman"/>
        <family val="1"/>
      </rPr>
      <t>RA</t>
    </r>
  </si>
  <si>
    <t>TOTALE Comp.Amb.</t>
  </si>
  <si>
    <t>CERTIFICAZIONI AMBIENTALI</t>
  </si>
  <si>
    <t>Sistema di Gestione Ambientale</t>
  </si>
  <si>
    <t>Certificazione ISO 14001</t>
  </si>
  <si>
    <t>Registrazione Regolamento EMAS</t>
  </si>
  <si>
    <t>PRESENTAZIONE DOMANDA</t>
  </si>
  <si>
    <t>1 - Presentata secondo le specifiche dell'A.C. ed in formato elettronico</t>
  </si>
  <si>
    <t>2 - Con copia informatizzata</t>
  </si>
  <si>
    <t>Cdom</t>
  </si>
  <si>
    <t>sconto totale</t>
  </si>
  <si>
    <t>Cdom+Csga</t>
  </si>
  <si>
    <t>SCONTI TOTALE</t>
  </si>
  <si>
    <t>COEFFICIENTI CORRETTIVI</t>
  </si>
  <si>
    <t>DENOMINAZIONE</t>
  </si>
  <si>
    <t>COMUNE</t>
  </si>
  <si>
    <t>VIA</t>
  </si>
  <si>
    <t>TIPOLOGIA DI ISTRUTTORIA:</t>
  </si>
  <si>
    <t>MODIFICA SOSTANZIALE</t>
  </si>
  <si>
    <t>RINNOVO</t>
  </si>
  <si>
    <t>K1</t>
  </si>
  <si>
    <t>K2</t>
  </si>
  <si>
    <t>K3</t>
  </si>
  <si>
    <t>PROCEDIMENTO DI VERIFICA DI VIA/VIA</t>
  </si>
  <si>
    <t>PROCEDIMENTO D.LGS 334/99 E S.M.I.</t>
  </si>
  <si>
    <t xml:space="preserve">IMPIANTO ESISTENTE </t>
  </si>
  <si>
    <t>IMPIANTO  NUOVO</t>
  </si>
  <si>
    <t>IMPIANTO NUOVO</t>
  </si>
  <si>
    <t>CALCOLO TARIFFA</t>
  </si>
  <si>
    <t>T istruttoria</t>
  </si>
  <si>
    <t>T finale</t>
  </si>
  <si>
    <t>PROVINCIA</t>
  </si>
  <si>
    <r>
      <t>calcolo C</t>
    </r>
    <r>
      <rPr>
        <b/>
        <vertAlign val="subscript"/>
        <sz val="11"/>
        <color indexed="8"/>
        <rFont val="Calibri"/>
        <family val="2"/>
      </rPr>
      <t>D</t>
    </r>
  </si>
  <si>
    <r>
      <t>calcolo C</t>
    </r>
    <r>
      <rPr>
        <b/>
        <vertAlign val="subscript"/>
        <sz val="11"/>
        <color indexed="8"/>
        <rFont val="Calibri"/>
        <family val="2"/>
      </rPr>
      <t>ARIA</t>
    </r>
  </si>
  <si>
    <r>
      <t>calcolo C</t>
    </r>
    <r>
      <rPr>
        <b/>
        <vertAlign val="subscript"/>
        <sz val="11"/>
        <color indexed="8"/>
        <rFont val="Calibri"/>
        <family val="2"/>
      </rPr>
      <t>H2O</t>
    </r>
  </si>
  <si>
    <r>
      <t>C</t>
    </r>
    <r>
      <rPr>
        <b/>
        <vertAlign val="subscript"/>
        <sz val="11"/>
        <color indexed="8"/>
        <rFont val="Calibri"/>
        <family val="2"/>
      </rPr>
      <t>SGA</t>
    </r>
  </si>
  <si>
    <t>TOT:</t>
  </si>
  <si>
    <t>IMPIANTO ESISTENTE</t>
  </si>
  <si>
    <t>tipologia di istruttoria</t>
  </si>
  <si>
    <t>Modalità di presentazione dell'istanza</t>
  </si>
  <si>
    <t>ACCONTO</t>
  </si>
  <si>
    <t>TARIFFA DA PAGARE</t>
  </si>
  <si>
    <t>PROCEDIMENTI CORRELATI</t>
  </si>
  <si>
    <r>
      <t>C</t>
    </r>
    <r>
      <rPr>
        <b/>
        <vertAlign val="subscript"/>
        <sz val="11"/>
        <color indexed="8"/>
        <rFont val="Calibri"/>
        <family val="2"/>
      </rPr>
      <t>dom</t>
    </r>
  </si>
  <si>
    <t>ANAGRAFICA COMPLESSO</t>
  </si>
  <si>
    <t>NOTE GENERALI PER LA COMPILAZIONE:</t>
  </si>
  <si>
    <t>Note per la compilazione delle Tabelle</t>
  </si>
  <si>
    <t>codIPPC</t>
  </si>
  <si>
    <t>CONVALIDA DATI</t>
  </si>
  <si>
    <t>tipoISTR</t>
  </si>
  <si>
    <t>Tipo IMP</t>
  </si>
  <si>
    <t>SI_NO</t>
  </si>
  <si>
    <t>SI</t>
  </si>
  <si>
    <t>NO</t>
  </si>
  <si>
    <t>Domanda</t>
  </si>
  <si>
    <t xml:space="preserve">ubicato a </t>
  </si>
  <si>
    <t>NOME GESTORE IMPIANTO</t>
  </si>
  <si>
    <t xml:space="preserve">provincia di </t>
  </si>
  <si>
    <r>
      <t>CALCOLO DI C</t>
    </r>
    <r>
      <rPr>
        <b/>
        <vertAlign val="subscript"/>
        <sz val="11"/>
        <color indexed="8"/>
        <rFont val="Calibri"/>
        <family val="2"/>
      </rPr>
      <t>D</t>
    </r>
  </si>
  <si>
    <r>
      <t>CALCOLO DI C</t>
    </r>
    <r>
      <rPr>
        <vertAlign val="subscript"/>
        <sz val="11"/>
        <color indexed="8"/>
        <rFont val="Calibri"/>
        <family val="2"/>
      </rPr>
      <t>ARIA</t>
    </r>
  </si>
  <si>
    <r>
      <t>CALCOLO DI C</t>
    </r>
    <r>
      <rPr>
        <b/>
        <vertAlign val="subscript"/>
        <sz val="11"/>
        <color indexed="8"/>
        <rFont val="Calibri"/>
        <family val="2"/>
      </rPr>
      <t>H2O</t>
    </r>
  </si>
  <si>
    <r>
      <t>calcolo C</t>
    </r>
    <r>
      <rPr>
        <vertAlign val="subscript"/>
        <sz val="12"/>
        <color indexed="8"/>
        <rFont val="Times New Roman"/>
        <family val="1"/>
      </rPr>
      <t>CA</t>
    </r>
  </si>
  <si>
    <r>
      <t>calcoloC</t>
    </r>
    <r>
      <rPr>
        <b/>
        <vertAlign val="subscript"/>
        <sz val="11"/>
        <color indexed="8"/>
        <rFont val="Times New Roman"/>
        <family val="1"/>
      </rPr>
      <t>RI</t>
    </r>
  </si>
  <si>
    <r>
      <t>calcolo C</t>
    </r>
    <r>
      <rPr>
        <b/>
        <vertAlign val="subscript"/>
        <sz val="11"/>
        <color indexed="8"/>
        <rFont val="Times New Roman"/>
        <family val="1"/>
      </rPr>
      <t>OD</t>
    </r>
  </si>
  <si>
    <r>
      <t>calcolo C</t>
    </r>
    <r>
      <rPr>
        <b/>
        <vertAlign val="subscript"/>
        <sz val="11"/>
        <color indexed="8"/>
        <rFont val="Times New Roman"/>
        <family val="1"/>
      </rPr>
      <t>ST</t>
    </r>
  </si>
  <si>
    <r>
      <t>calcolo C</t>
    </r>
    <r>
      <rPr>
        <b/>
        <vertAlign val="subscript"/>
        <sz val="11"/>
        <color indexed="8"/>
        <rFont val="Times New Roman"/>
        <family val="1"/>
      </rPr>
      <t>RA</t>
    </r>
  </si>
  <si>
    <r>
      <t xml:space="preserve">1) I dati  utilizzati dal foglio di calcolo ai fini della determinazione della tariffa sono da inserire nelle celle </t>
    </r>
    <r>
      <rPr>
        <b/>
        <sz val="11"/>
        <color indexed="8"/>
        <rFont val="Calibri"/>
        <family val="2"/>
      </rPr>
      <t>GIALLE</t>
    </r>
  </si>
  <si>
    <t>2) Una volta inserito il dato (laddove obbligatorio) la cella diventerà verde.</t>
  </si>
  <si>
    <r>
      <t>calcolo C</t>
    </r>
    <r>
      <rPr>
        <b/>
        <vertAlign val="subscript"/>
        <sz val="14"/>
        <color indexed="8"/>
        <rFont val="Calibri"/>
        <family val="2"/>
      </rPr>
      <t>D</t>
    </r>
  </si>
  <si>
    <r>
      <t>calcolo C</t>
    </r>
    <r>
      <rPr>
        <b/>
        <vertAlign val="subscript"/>
        <sz val="14"/>
        <color indexed="8"/>
        <rFont val="Calibri"/>
        <family val="2"/>
      </rPr>
      <t>ARIA</t>
    </r>
  </si>
  <si>
    <r>
      <t>calcolo C</t>
    </r>
    <r>
      <rPr>
        <b/>
        <vertAlign val="subscript"/>
        <sz val="14"/>
        <color indexed="8"/>
        <rFont val="Calibri"/>
        <family val="2"/>
      </rPr>
      <t>H2O</t>
    </r>
  </si>
  <si>
    <r>
      <t>calcolo C</t>
    </r>
    <r>
      <rPr>
        <b/>
        <vertAlign val="subscript"/>
        <sz val="14"/>
        <color indexed="8"/>
        <rFont val="Times New Roman"/>
        <family val="1"/>
      </rPr>
      <t>CA</t>
    </r>
  </si>
  <si>
    <r>
      <t>calcoloC</t>
    </r>
    <r>
      <rPr>
        <b/>
        <vertAlign val="subscript"/>
        <sz val="14"/>
        <color indexed="8"/>
        <rFont val="Times New Roman"/>
        <family val="1"/>
      </rPr>
      <t>RI</t>
    </r>
  </si>
  <si>
    <r>
      <t>calcolo C</t>
    </r>
    <r>
      <rPr>
        <b/>
        <vertAlign val="subscript"/>
        <sz val="14"/>
        <color indexed="8"/>
        <rFont val="Times New Roman"/>
        <family val="1"/>
      </rPr>
      <t>OD</t>
    </r>
  </si>
  <si>
    <r>
      <t>calcolo C</t>
    </r>
    <r>
      <rPr>
        <b/>
        <vertAlign val="subscript"/>
        <sz val="14"/>
        <color indexed="8"/>
        <rFont val="Times New Roman"/>
        <family val="1"/>
      </rPr>
      <t>ST</t>
    </r>
  </si>
  <si>
    <r>
      <t>calcolo C</t>
    </r>
    <r>
      <rPr>
        <b/>
        <vertAlign val="subscript"/>
        <sz val="14"/>
        <color indexed="8"/>
        <rFont val="Times New Roman"/>
        <family val="1"/>
      </rPr>
      <t>RA</t>
    </r>
  </si>
  <si>
    <r>
      <t>C</t>
    </r>
    <r>
      <rPr>
        <b/>
        <vertAlign val="subscript"/>
        <sz val="14"/>
        <color indexed="8"/>
        <rFont val="Calibri"/>
        <family val="2"/>
      </rPr>
      <t>SGA</t>
    </r>
  </si>
  <si>
    <r>
      <t>C</t>
    </r>
    <r>
      <rPr>
        <b/>
        <vertAlign val="subscript"/>
        <sz val="14"/>
        <color indexed="8"/>
        <rFont val="Calibri"/>
        <family val="2"/>
      </rPr>
      <t>dom</t>
    </r>
  </si>
  <si>
    <t>gestore</t>
  </si>
  <si>
    <t>impianto</t>
  </si>
  <si>
    <t xml:space="preserve">3) Laddove non sono previsti menù a tendina, vale a dire nelle voci relative a NUMERO EMISSIONI IN ATMOSFERA, NUMERO SCARICHI, INQUINANTI, QUANTITATIVI DI RIFIUTI porre attenzione al tipo di dato che viene immesso (DEVE ESSERE UN NUMERO). </t>
  </si>
  <si>
    <t>1, 2, 3 o 4</t>
  </si>
  <si>
    <t>1 - Grande impresa</t>
  </si>
  <si>
    <t>2 - Media impresa</t>
  </si>
  <si>
    <t>3 - Piccola Impresa</t>
  </si>
  <si>
    <t>4 - Allevamenti e micro impresa</t>
  </si>
  <si>
    <t>Grande impresa</t>
  </si>
  <si>
    <t>Media impresa</t>
  </si>
  <si>
    <t>Piccola impresa</t>
  </si>
  <si>
    <t>Allevamenti e Micro impresa</t>
  </si>
  <si>
    <t>Campi elettromagnetici e valutaz. Energetiche</t>
  </si>
  <si>
    <r>
      <t>C</t>
    </r>
    <r>
      <rPr>
        <vertAlign val="subscript"/>
        <sz val="11"/>
        <color indexed="8"/>
        <rFont val="Verdana"/>
        <family val="2"/>
      </rPr>
      <t>EM</t>
    </r>
  </si>
  <si>
    <t>Campi elettromagnetici e valutazioni energetiche</t>
  </si>
  <si>
    <r>
      <t>calcolo C</t>
    </r>
    <r>
      <rPr>
        <b/>
        <vertAlign val="subscript"/>
        <sz val="11"/>
        <color indexed="8"/>
        <rFont val="Verdana"/>
        <family val="2"/>
      </rPr>
      <t>EM</t>
    </r>
  </si>
  <si>
    <t>Domanda Presentata</t>
  </si>
  <si>
    <t>media impresa</t>
  </si>
  <si>
    <t>piccola impresa</t>
  </si>
  <si>
    <t>micro e allevamenti</t>
  </si>
  <si>
    <t>T istruttoria senza sconti</t>
  </si>
  <si>
    <t>1- primo rilascio dell'AIA (Impianti nuovi e esistenti) o nuova AIA a seguito di modifica sostanziale</t>
  </si>
  <si>
    <t>Rifiuti pericolosi e non pericolosi</t>
  </si>
  <si>
    <t>1,2 o 3</t>
  </si>
  <si>
    <t>Rifiuti</t>
  </si>
  <si>
    <t>2 - primo rilascio dell'AIA (Impianti nuovi e esistenti) o nuova AIA a seguito di modifica sostanziale e valutazioni di materie prime seconde, terre e rocce da scavo, etc.</t>
  </si>
  <si>
    <t>C rifiuti</t>
  </si>
  <si>
    <r>
      <t>calcolo C</t>
    </r>
    <r>
      <rPr>
        <b/>
        <vertAlign val="subscript"/>
        <sz val="11"/>
        <color indexed="8"/>
        <rFont val="Calibri"/>
        <family val="2"/>
      </rPr>
      <t xml:space="preserve"> RP e RnP</t>
    </r>
  </si>
  <si>
    <t>K4</t>
  </si>
  <si>
    <t>calcolo rinnovo</t>
  </si>
  <si>
    <t>REGIONE MARCHE</t>
  </si>
  <si>
    <t>2 -primo rilascio dell'AIA (Impianti nuovi e esistenti) o nuova AIA a seguito di modifica sostanziale e valutazioni di materie prime seconde, terre e rocce da scavo, etc.</t>
  </si>
  <si>
    <r>
      <t xml:space="preserve">se l'azienda, contestualmente alla istanza di AIA (nuovo impianto o modifica sostanziale) ha attivato la procedura di verifica di VIA/VIA o le procedure previste dagli art.6 o 8 del D.Lgs 334/99, selezionare 'SI' nel relativo menù a tendina; </t>
    </r>
    <r>
      <rPr>
        <b/>
        <sz val="11"/>
        <color indexed="19"/>
        <rFont val="Verdana"/>
        <family val="2"/>
      </rPr>
      <t>gli sconti non si applicano in caso di istruttorie per impianti ESISTENTI</t>
    </r>
    <r>
      <rPr>
        <sz val="11"/>
        <color indexed="19"/>
        <rFont val="Verdana"/>
        <family val="2"/>
      </rPr>
      <t xml:space="preserve">, pertanto se nella Tipologia di Istruttoria sarà selezionata la voce '1', </t>
    </r>
    <r>
      <rPr>
        <b/>
        <sz val="11"/>
        <color indexed="19"/>
        <rFont val="Verdana"/>
        <family val="2"/>
      </rPr>
      <t>non andra' compilata la presente tabella</t>
    </r>
  </si>
  <si>
    <r>
      <t>selezionato nel menù a tendina il codice numerico associato alla 'tipologia di istruttoria' cui è associato il calcolo della tariffa; (es. selezionare '</t>
    </r>
    <r>
      <rPr>
        <b/>
        <sz val="11"/>
        <color indexed="19"/>
        <rFont val="Calibri"/>
        <family val="2"/>
      </rPr>
      <t>1</t>
    </r>
    <r>
      <rPr>
        <sz val="11"/>
        <color indexed="19"/>
        <rFont val="Calibri"/>
        <family val="2"/>
      </rPr>
      <t xml:space="preserve">' se l'istruttoria è relativa alla istanza di AIA per un impianto </t>
    </r>
    <r>
      <rPr>
        <b/>
        <sz val="11"/>
        <color indexed="19"/>
        <rFont val="Calibri"/>
        <family val="2"/>
      </rPr>
      <t>ESISTENTE</t>
    </r>
    <r>
      <rPr>
        <sz val="11"/>
        <color indexed="19"/>
        <rFont val="Calibri"/>
        <family val="2"/>
      </rPr>
      <t xml:space="preserve"> '2' se l'istruttoria è relativa alla domanda di AIA per un impianto </t>
    </r>
    <r>
      <rPr>
        <b/>
        <sz val="11"/>
        <color indexed="19"/>
        <rFont val="Calibri"/>
        <family val="2"/>
      </rPr>
      <t>NUOVO;</t>
    </r>
    <r>
      <rPr>
        <sz val="11"/>
        <color indexed="19"/>
        <rFont val="Calibri"/>
        <family val="2"/>
      </rPr>
      <t xml:space="preserve"> selezionare '</t>
    </r>
    <r>
      <rPr>
        <b/>
        <sz val="11"/>
        <color indexed="19"/>
        <rFont val="Calibri"/>
        <family val="2"/>
      </rPr>
      <t>3</t>
    </r>
    <r>
      <rPr>
        <sz val="11"/>
        <color indexed="19"/>
        <rFont val="Calibri"/>
        <family val="2"/>
      </rPr>
      <t xml:space="preserve">' se l'istruttoria è relativa ad una istanza di </t>
    </r>
    <r>
      <rPr>
        <b/>
        <sz val="11"/>
        <color indexed="19"/>
        <rFont val="Calibri"/>
        <family val="2"/>
      </rPr>
      <t>MODIFICA SOSTANZIALE</t>
    </r>
    <r>
      <rPr>
        <sz val="11"/>
        <color indexed="19"/>
        <rFont val="Calibri"/>
        <family val="2"/>
      </rPr>
      <t xml:space="preserve">'; digitare '4' se l'istruttoria è relativa al </t>
    </r>
    <r>
      <rPr>
        <b/>
        <sz val="11"/>
        <color indexed="19"/>
        <rFont val="Calibri"/>
        <family val="2"/>
      </rPr>
      <t>RINNOVO</t>
    </r>
    <r>
      <rPr>
        <sz val="11"/>
        <color indexed="19"/>
        <rFont val="Calibri"/>
        <family val="2"/>
      </rPr>
      <t xml:space="preserve"> dell'autorizzazione)</t>
    </r>
  </si>
  <si>
    <t>PROCEDIMENTO DI VERIFICA DI VIA/VERFICA</t>
  </si>
  <si>
    <t>ATTIVITA' IPPC PRINCIPALE</t>
  </si>
  <si>
    <t>ATTIVITA' IPPC SECONDARIA</t>
  </si>
  <si>
    <t>K1 principale</t>
  </si>
  <si>
    <t>K1 secondaria</t>
  </si>
  <si>
    <t>COD IPPC PRIM.</t>
  </si>
  <si>
    <t>COD IPPC SECOND.</t>
  </si>
  <si>
    <t>4 - Micro impresa e allevamenti</t>
  </si>
  <si>
    <t>TARIFFA DA PAGARE (saldo)</t>
  </si>
  <si>
    <t>SERVIZIO INFRASTRUTTURE TRASPORTI ED ENERGIA</t>
  </si>
  <si>
    <t xml:space="preserve">6,6,c oltre 901 </t>
  </si>
  <si>
    <t>6,6,c da 750 a 800</t>
  </si>
  <si>
    <t>6,6,c da 801 a 900</t>
  </si>
  <si>
    <t>Importo già versato</t>
  </si>
  <si>
    <t>Importo versato</t>
  </si>
  <si>
    <t>EURO</t>
  </si>
  <si>
    <t>P.F. Valutazioni ed Autorizzazioni Ambientali, Qualità dell'Aria e Protezione Naturalistica</t>
  </si>
  <si>
    <t>RIESAME</t>
  </si>
  <si>
    <t>PROCEDIMENTO D.LGS. 105/15 E S.M.I.</t>
  </si>
  <si>
    <t>3 - riesame dell'AIA</t>
  </si>
  <si>
    <t>PROCEDIMENTO D.LGS 105/15 E S.M.I.</t>
  </si>
  <si>
    <t>codIPP secondario</t>
  </si>
  <si>
    <t>6,6,a da 40.000 a 100.000</t>
  </si>
  <si>
    <t>6,6,a da 100.001 a 200.000</t>
  </si>
  <si>
    <t>6,6,a oltre 200.001</t>
  </si>
  <si>
    <t>6,6,b da 2.000 a 2.500</t>
  </si>
  <si>
    <t>6,6,b da 2.501 a 3.000</t>
  </si>
  <si>
    <t>6,6,b oltre 3.001</t>
  </si>
  <si>
    <t xml:space="preserve">REPORT - DETERMINAZIONE DELLA TARIFFA AIA AI SENSI DELLE DGR 1547/2009; 257/2011; 437/2013 </t>
  </si>
  <si>
    <t>CALCOLO TARIFFA ISTRUTTORIA AIA AI SENSI DELLE DGR n.1547/2009, 257/2011 e 437/2013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</si>
</sst>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€&quot;\ #,##0"/>
    <numFmt numFmtId="166" formatCode="&quot;€&quot;\ #,##0.00"/>
  </numFmts>
  <fonts count="40" x14ac:knownFonts="1">
    <font>
      <sz val="11"/>
      <color theme="1"/>
      <name val="Verdana"/>
      <family val="2"/>
    </font>
    <font>
      <b/>
      <vertAlign val="subscript"/>
      <sz val="14"/>
      <color indexed="8"/>
      <name val="Calibri"/>
      <family val="2"/>
    </font>
    <font>
      <vertAlign val="subscript"/>
      <sz val="11"/>
      <color indexed="10"/>
      <name val="Calibri"/>
      <family val="2"/>
    </font>
    <font>
      <vertAlign val="subscript"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b/>
      <sz val="14"/>
      <color indexed="8"/>
      <name val="Verdana"/>
      <family val="2"/>
    </font>
    <font>
      <b/>
      <i/>
      <sz val="11"/>
      <color indexed="8"/>
      <name val="Verdana"/>
      <family val="2"/>
    </font>
    <font>
      <sz val="8"/>
      <color indexed="25"/>
      <name val="Verdana"/>
      <family val="2"/>
    </font>
    <font>
      <sz val="14"/>
      <color indexed="8"/>
      <name val="Verdana"/>
      <family val="2"/>
    </font>
    <font>
      <b/>
      <sz val="14"/>
      <color indexed="25"/>
      <name val="Verdana"/>
      <family val="2"/>
    </font>
    <font>
      <b/>
      <sz val="11"/>
      <color indexed="10"/>
      <name val="Verdana"/>
      <family val="2"/>
    </font>
    <font>
      <sz val="11"/>
      <color indexed="25"/>
      <name val="Verdana"/>
      <family val="2"/>
    </font>
    <font>
      <sz val="9"/>
      <color indexed="8"/>
      <name val="Verdana"/>
      <family val="2"/>
    </font>
    <font>
      <b/>
      <sz val="11"/>
      <color indexed="25"/>
      <name val="Verdana"/>
      <family val="2"/>
    </font>
    <font>
      <b/>
      <vertAlign val="subscript"/>
      <sz val="11"/>
      <color indexed="8"/>
      <name val="Times New Roman"/>
      <family val="1"/>
    </font>
    <font>
      <b/>
      <i/>
      <sz val="14"/>
      <color indexed="60"/>
      <name val="Verdana"/>
      <family val="2"/>
    </font>
    <font>
      <i/>
      <sz val="14"/>
      <color indexed="8"/>
      <name val="Verdana"/>
      <family val="2"/>
    </font>
    <font>
      <b/>
      <i/>
      <sz val="14"/>
      <color indexed="8"/>
      <name val="Verdana"/>
      <family val="2"/>
    </font>
    <font>
      <sz val="14"/>
      <color indexed="25"/>
      <name val="Verdana"/>
      <family val="2"/>
    </font>
    <font>
      <b/>
      <vertAlign val="subscript"/>
      <sz val="14"/>
      <color indexed="8"/>
      <name val="Times New Roman"/>
      <family val="1"/>
    </font>
    <font>
      <sz val="14"/>
      <color indexed="8"/>
      <name val="Verdana"/>
      <family val="2"/>
    </font>
    <font>
      <vertAlign val="subscript"/>
      <sz val="11"/>
      <color indexed="8"/>
      <name val="Verdana"/>
      <family val="2"/>
    </font>
    <font>
      <b/>
      <vertAlign val="subscript"/>
      <sz val="11"/>
      <color indexed="8"/>
      <name val="Verdana"/>
      <family val="2"/>
    </font>
    <font>
      <b/>
      <sz val="11"/>
      <color indexed="19"/>
      <name val="Verdana"/>
      <family val="2"/>
    </font>
    <font>
      <sz val="11"/>
      <color indexed="19"/>
      <name val="Verdana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color theme="1"/>
      <name val="Franklin Gothic Book"/>
      <family val="2"/>
    </font>
    <font>
      <b/>
      <sz val="11"/>
      <color theme="1"/>
      <name val="Verdana"/>
      <family val="2"/>
    </font>
    <font>
      <b/>
      <sz val="11"/>
      <color theme="9" tint="-0.499984740745262"/>
      <name val="Verdana"/>
      <family val="2"/>
    </font>
    <font>
      <sz val="11"/>
      <color theme="9" tint="-0.499984740745262"/>
      <name val="Verdana"/>
      <family val="2"/>
    </font>
    <font>
      <b/>
      <i/>
      <sz val="14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324">
    <xf numFmtId="0" fontId="0" fillId="0" borderId="0" xfId="0"/>
    <xf numFmtId="1" fontId="15" fillId="2" borderId="1" xfId="0" applyNumberFormat="1" applyFont="1" applyFill="1" applyBorder="1" applyProtection="1"/>
    <xf numFmtId="165" fontId="19" fillId="2" borderId="1" xfId="0" applyNumberFormat="1" applyFont="1" applyFill="1" applyBorder="1" applyProtection="1">
      <protection hidden="1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16" fillId="3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1" xfId="0" applyFont="1" applyBorder="1" applyProtection="1"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0" fillId="5" borderId="0" xfId="0" applyFill="1" applyProtection="1"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4" borderId="1" xfId="0" applyFill="1" applyBorder="1" applyProtection="1"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7" fillId="0" borderId="1" xfId="0" applyFont="1" applyBorder="1" applyProtection="1">
      <protection hidden="1"/>
    </xf>
    <xf numFmtId="49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1" fillId="5" borderId="1" xfId="0" applyFont="1" applyFill="1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0" fontId="0" fillId="6" borderId="0" xfId="0" applyFont="1" applyFill="1" applyProtection="1">
      <protection hidden="1"/>
    </xf>
    <xf numFmtId="0" fontId="0" fillId="4" borderId="1" xfId="0" applyFont="1" applyFill="1" applyBorder="1" applyProtection="1">
      <protection hidden="1"/>
    </xf>
    <xf numFmtId="0" fontId="0" fillId="2" borderId="2" xfId="0" applyFont="1" applyFill="1" applyBorder="1" applyProtection="1">
      <protection hidden="1"/>
    </xf>
    <xf numFmtId="0" fontId="0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12" fillId="2" borderId="5" xfId="0" applyFont="1" applyFill="1" applyBorder="1" applyProtection="1">
      <protection hidden="1"/>
    </xf>
    <xf numFmtId="0" fontId="9" fillId="7" borderId="1" xfId="0" applyFont="1" applyFill="1" applyBorder="1" applyProtection="1">
      <protection hidden="1"/>
    </xf>
    <xf numFmtId="0" fontId="9" fillId="7" borderId="6" xfId="0" applyFont="1" applyFill="1" applyBorder="1" applyAlignment="1" applyProtection="1">
      <alignment horizontal="left"/>
      <protection hidden="1"/>
    </xf>
    <xf numFmtId="1" fontId="19" fillId="2" borderId="1" xfId="0" applyNumberFormat="1" applyFont="1" applyFill="1" applyBorder="1" applyProtection="1">
      <protection hidden="1"/>
    </xf>
    <xf numFmtId="0" fontId="9" fillId="7" borderId="1" xfId="0" applyFont="1" applyFill="1" applyBorder="1" applyAlignment="1" applyProtection="1">
      <alignment horizontal="left"/>
      <protection hidden="1"/>
    </xf>
    <xf numFmtId="0" fontId="0" fillId="7" borderId="1" xfId="0" applyFont="1" applyFill="1" applyBorder="1" applyProtection="1">
      <protection hidden="1"/>
    </xf>
    <xf numFmtId="165" fontId="15" fillId="2" borderId="1" xfId="0" applyNumberFormat="1" applyFont="1" applyFill="1" applyBorder="1" applyProtection="1"/>
    <xf numFmtId="2" fontId="15" fillId="2" borderId="1" xfId="0" applyNumberFormat="1" applyFont="1" applyFill="1" applyBorder="1" applyProtection="1"/>
    <xf numFmtId="0" fontId="26" fillId="2" borderId="0" xfId="0" applyFont="1" applyFill="1" applyProtection="1"/>
    <xf numFmtId="0" fontId="11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Protection="1"/>
    <xf numFmtId="0" fontId="11" fillId="2" borderId="0" xfId="0" applyFont="1" applyFill="1" applyProtection="1"/>
    <xf numFmtId="0" fontId="26" fillId="2" borderId="2" xfId="0" applyFont="1" applyFill="1" applyBorder="1" applyProtection="1"/>
    <xf numFmtId="0" fontId="26" fillId="2" borderId="3" xfId="0" applyFont="1" applyFill="1" applyBorder="1" applyProtection="1"/>
    <xf numFmtId="0" fontId="26" fillId="2" borderId="4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1" fontId="11" fillId="2" borderId="0" xfId="0" applyNumberFormat="1" applyFont="1" applyFill="1" applyBorder="1" applyAlignment="1" applyProtection="1">
      <alignment horizontal="center" vertical="center"/>
    </xf>
    <xf numFmtId="0" fontId="23" fillId="2" borderId="5" xfId="0" applyFont="1" applyFill="1" applyBorder="1" applyProtection="1"/>
    <xf numFmtId="0" fontId="23" fillId="2" borderId="0" xfId="0" applyFont="1" applyFill="1" applyBorder="1" applyProtection="1"/>
    <xf numFmtId="0" fontId="26" fillId="2" borderId="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Protection="1"/>
    <xf numFmtId="0" fontId="11" fillId="2" borderId="1" xfId="0" applyFont="1" applyFill="1" applyBorder="1" applyProtection="1"/>
    <xf numFmtId="1" fontId="26" fillId="2" borderId="0" xfId="0" applyNumberFormat="1" applyFont="1" applyFill="1" applyProtection="1"/>
    <xf numFmtId="0" fontId="11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1" fontId="9" fillId="3" borderId="1" xfId="0" applyNumberFormat="1" applyFont="1" applyFill="1" applyBorder="1" applyProtection="1">
      <protection hidden="1"/>
    </xf>
    <xf numFmtId="0" fontId="16" fillId="3" borderId="10" xfId="0" applyFont="1" applyFill="1" applyBorder="1" applyAlignment="1" applyProtection="1">
      <alignment horizontal="center" wrapText="1"/>
      <protection hidden="1"/>
    </xf>
    <xf numFmtId="0" fontId="9" fillId="7" borderId="10" xfId="0" applyFont="1" applyFill="1" applyBorder="1" applyProtection="1">
      <protection hidden="1"/>
    </xf>
    <xf numFmtId="0" fontId="12" fillId="2" borderId="11" xfId="0" applyFont="1" applyFill="1" applyBorder="1" applyProtection="1">
      <protection hidden="1"/>
    </xf>
    <xf numFmtId="165" fontId="19" fillId="2" borderId="1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16" fillId="10" borderId="1" xfId="0" applyFont="1" applyFill="1" applyBorder="1" applyAlignment="1" applyProtection="1">
      <alignment horizontal="center" wrapText="1"/>
      <protection hidden="1"/>
    </xf>
    <xf numFmtId="1" fontId="9" fillId="10" borderId="1" xfId="0" applyNumberFormat="1" applyFont="1" applyFill="1" applyBorder="1" applyProtection="1">
      <protection hidden="1"/>
    </xf>
    <xf numFmtId="0" fontId="0" fillId="11" borderId="0" xfId="0" applyFont="1" applyFill="1" applyProtection="1">
      <protection hidden="1"/>
    </xf>
    <xf numFmtId="0" fontId="9" fillId="11" borderId="0" xfId="0" applyFont="1" applyFill="1" applyProtection="1">
      <protection hidden="1"/>
    </xf>
    <xf numFmtId="0" fontId="0" fillId="11" borderId="0" xfId="0" applyFont="1" applyFill="1" applyAlignment="1" applyProtection="1">
      <alignment horizontal="center"/>
      <protection hidden="1"/>
    </xf>
    <xf numFmtId="1" fontId="0" fillId="11" borderId="0" xfId="0" applyNumberFormat="1" applyFont="1" applyFill="1" applyProtection="1">
      <protection hidden="1"/>
    </xf>
    <xf numFmtId="0" fontId="7" fillId="11" borderId="0" xfId="0" applyFont="1" applyFill="1" applyProtection="1">
      <protection hidden="1"/>
    </xf>
    <xf numFmtId="0" fontId="0" fillId="0" borderId="0" xfId="0" applyProtection="1">
      <protection hidden="1"/>
    </xf>
    <xf numFmtId="0" fontId="26" fillId="2" borderId="1" xfId="0" applyFont="1" applyFill="1" applyBorder="1" applyProtection="1"/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1" xfId="0" applyBorder="1" applyProtection="1">
      <protection hidden="1"/>
    </xf>
    <xf numFmtId="164" fontId="0" fillId="0" borderId="14" xfId="0" applyNumberFormat="1" applyBorder="1" applyProtection="1">
      <protection hidden="1"/>
    </xf>
    <xf numFmtId="0" fontId="0" fillId="0" borderId="15" xfId="0" applyBorder="1" applyProtection="1">
      <protection hidden="1"/>
    </xf>
    <xf numFmtId="164" fontId="0" fillId="0" borderId="7" xfId="0" applyNumberForma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16" xfId="0" applyBorder="1" applyProtection="1">
      <protection hidden="1"/>
    </xf>
    <xf numFmtId="0" fontId="11" fillId="2" borderId="0" xfId="0" applyFont="1" applyFill="1" applyBorder="1" applyAlignment="1" applyProtection="1">
      <alignment horizontal="left"/>
    </xf>
    <xf numFmtId="165" fontId="15" fillId="2" borderId="0" xfId="0" applyNumberFormat="1" applyFont="1" applyFill="1" applyBorder="1" applyProtection="1"/>
    <xf numFmtId="0" fontId="14" fillId="2" borderId="1" xfId="0" applyFont="1" applyFill="1" applyBorder="1" applyProtection="1"/>
    <xf numFmtId="0" fontId="26" fillId="12" borderId="0" xfId="0" applyFont="1" applyFill="1" applyProtection="1"/>
    <xf numFmtId="0" fontId="11" fillId="2" borderId="10" xfId="0" applyFont="1" applyFill="1" applyBorder="1" applyProtection="1"/>
    <xf numFmtId="0" fontId="0" fillId="11" borderId="0" xfId="0" applyFont="1" applyFill="1" applyAlignment="1" applyProtection="1">
      <alignment horizontal="center"/>
      <protection hidden="1"/>
    </xf>
    <xf numFmtId="0" fontId="0" fillId="13" borderId="0" xfId="0" applyFont="1" applyFill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14" borderId="1" xfId="0" applyFont="1" applyFill="1" applyBorder="1" applyProtection="1">
      <protection hidden="1"/>
    </xf>
    <xf numFmtId="0" fontId="0" fillId="11" borderId="0" xfId="0" applyFont="1" applyFill="1" applyAlignment="1" applyProtection="1">
      <protection hidden="1"/>
    </xf>
    <xf numFmtId="0" fontId="0" fillId="2" borderId="5" xfId="0" applyFill="1" applyBorder="1" applyProtection="1">
      <protection locked="0" hidden="1"/>
    </xf>
    <xf numFmtId="0" fontId="0" fillId="2" borderId="17" xfId="0" applyFill="1" applyBorder="1" applyProtection="1">
      <protection locked="0" hidden="1"/>
    </xf>
    <xf numFmtId="0" fontId="0" fillId="12" borderId="0" xfId="0" applyFont="1" applyFill="1" applyProtection="1">
      <protection hidden="1"/>
    </xf>
    <xf numFmtId="0" fontId="0" fillId="2" borderId="18" xfId="0" applyFill="1" applyBorder="1" applyProtection="1">
      <protection locked="0" hidden="1"/>
    </xf>
    <xf numFmtId="49" fontId="0" fillId="4" borderId="11" xfId="0" applyNumberFormat="1" applyFill="1" applyBorder="1" applyProtection="1">
      <protection hidden="1"/>
    </xf>
    <xf numFmtId="0" fontId="0" fillId="0" borderId="7" xfId="0" applyBorder="1" applyProtection="1">
      <protection hidden="1"/>
    </xf>
    <xf numFmtId="164" fontId="9" fillId="4" borderId="19" xfId="0" applyNumberFormat="1" applyFont="1" applyFill="1" applyBorder="1" applyAlignment="1" applyProtection="1">
      <alignment horizontal="center"/>
      <protection locked="0" hidden="1"/>
    </xf>
    <xf numFmtId="164" fontId="9" fillId="4" borderId="9" xfId="0" applyNumberFormat="1" applyFont="1" applyFill="1" applyBorder="1" applyAlignment="1" applyProtection="1">
      <alignment horizontal="center"/>
      <protection locked="0" hidden="1"/>
    </xf>
    <xf numFmtId="0" fontId="0" fillId="0" borderId="14" xfId="0" applyBorder="1" applyProtection="1">
      <protection hidden="1"/>
    </xf>
    <xf numFmtId="49" fontId="0" fillId="4" borderId="15" xfId="0" applyNumberFormat="1" applyFill="1" applyBorder="1" applyProtection="1">
      <protection hidden="1"/>
    </xf>
    <xf numFmtId="0" fontId="9" fillId="3" borderId="20" xfId="0" applyFont="1" applyFill="1" applyBorder="1" applyProtection="1">
      <protection hidden="1"/>
    </xf>
    <xf numFmtId="0" fontId="26" fillId="2" borderId="0" xfId="0" applyFont="1" applyFill="1" applyAlignment="1" applyProtection="1"/>
    <xf numFmtId="0" fontId="22" fillId="2" borderId="19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</xf>
    <xf numFmtId="0" fontId="12" fillId="2" borderId="21" xfId="0" applyFont="1" applyFill="1" applyBorder="1" applyProtection="1">
      <protection hidden="1"/>
    </xf>
    <xf numFmtId="164" fontId="9" fillId="4" borderId="17" xfId="0" applyNumberFormat="1" applyFont="1" applyFill="1" applyBorder="1" applyAlignment="1" applyProtection="1">
      <alignment horizontal="center"/>
      <protection locked="0" hidden="1"/>
    </xf>
    <xf numFmtId="1" fontId="9" fillId="4" borderId="5" xfId="0" applyNumberFormat="1" applyFont="1" applyFill="1" applyBorder="1" applyAlignment="1" applyProtection="1">
      <alignment horizontal="center"/>
      <protection locked="0" hidden="1"/>
    </xf>
    <xf numFmtId="1" fontId="9" fillId="4" borderId="9" xfId="0" applyNumberFormat="1" applyFont="1" applyFill="1" applyBorder="1" applyAlignment="1" applyProtection="1">
      <alignment horizontal="center"/>
      <protection locked="0" hidden="1"/>
    </xf>
    <xf numFmtId="0" fontId="11" fillId="2" borderId="17" xfId="0" applyFont="1" applyFill="1" applyBorder="1" applyAlignment="1" applyProtection="1">
      <alignment horizontal="center"/>
    </xf>
    <xf numFmtId="0" fontId="26" fillId="2" borderId="22" xfId="0" applyFont="1" applyFill="1" applyBorder="1" applyAlignment="1" applyProtection="1">
      <alignment horizontal="center"/>
    </xf>
    <xf numFmtId="2" fontId="19" fillId="2" borderId="1" xfId="0" applyNumberFormat="1" applyFont="1" applyFill="1" applyBorder="1" applyAlignment="1" applyProtection="1">
      <alignment vertical="center"/>
      <protection hidden="1"/>
    </xf>
    <xf numFmtId="0" fontId="36" fillId="7" borderId="1" xfId="0" applyFont="1" applyFill="1" applyBorder="1" applyAlignment="1" applyProtection="1">
      <alignment vertical="center" wrapText="1"/>
      <protection hidden="1"/>
    </xf>
    <xf numFmtId="0" fontId="9" fillId="4" borderId="1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3" xfId="0" applyBorder="1" applyProtection="1">
      <protection hidden="1"/>
    </xf>
    <xf numFmtId="166" fontId="15" fillId="2" borderId="1" xfId="0" applyNumberFormat="1" applyFont="1" applyFill="1" applyBorder="1" applyProtection="1"/>
    <xf numFmtId="166" fontId="11" fillId="2" borderId="17" xfId="0" applyNumberFormat="1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  <protection locked="0" hidden="1"/>
    </xf>
    <xf numFmtId="0" fontId="9" fillId="4" borderId="9" xfId="0" applyFont="1" applyFill="1" applyBorder="1" applyAlignment="1" applyProtection="1">
      <alignment horizontal="center" vertical="center"/>
      <protection locked="0" hidden="1"/>
    </xf>
    <xf numFmtId="0" fontId="9" fillId="8" borderId="24" xfId="0" applyFont="1" applyFill="1" applyBorder="1" applyAlignment="1" applyProtection="1">
      <alignment horizontal="center"/>
      <protection hidden="1"/>
    </xf>
    <xf numFmtId="0" fontId="9" fillId="8" borderId="25" xfId="0" applyFont="1" applyFill="1" applyBorder="1" applyAlignment="1" applyProtection="1">
      <alignment horizontal="center"/>
      <protection hidden="1"/>
    </xf>
    <xf numFmtId="0" fontId="9" fillId="8" borderId="26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2" borderId="20" xfId="0" applyFont="1" applyFill="1" applyBorder="1" applyAlignment="1" applyProtection="1">
      <alignment horizontal="left"/>
      <protection hidden="1"/>
    </xf>
    <xf numFmtId="0" fontId="11" fillId="12" borderId="12" xfId="0" applyFont="1" applyFill="1" applyBorder="1" applyAlignment="1" applyProtection="1">
      <alignment horizontal="center" vertical="center" wrapText="1"/>
      <protection hidden="1"/>
    </xf>
    <xf numFmtId="0" fontId="11" fillId="12" borderId="13" xfId="0" applyFont="1" applyFill="1" applyBorder="1" applyAlignment="1" applyProtection="1">
      <alignment horizontal="center" vertical="center" wrapText="1"/>
      <protection hidden="1"/>
    </xf>
    <xf numFmtId="0" fontId="11" fillId="12" borderId="11" xfId="0" applyFont="1" applyFill="1" applyBorder="1" applyAlignment="1" applyProtection="1">
      <alignment horizontal="center" vertical="center" wrapText="1"/>
      <protection hidden="1"/>
    </xf>
    <xf numFmtId="0" fontId="11" fillId="12" borderId="14" xfId="0" applyFont="1" applyFill="1" applyBorder="1" applyAlignment="1" applyProtection="1">
      <alignment horizontal="center" vertical="center" wrapText="1"/>
      <protection hidden="1"/>
    </xf>
    <xf numFmtId="0" fontId="11" fillId="12" borderId="0" xfId="0" applyFont="1" applyFill="1" applyBorder="1" applyAlignment="1" applyProtection="1">
      <alignment horizontal="center" vertical="center" wrapText="1"/>
      <protection hidden="1"/>
    </xf>
    <xf numFmtId="0" fontId="11" fillId="12" borderId="15" xfId="0" applyFont="1" applyFill="1" applyBorder="1" applyAlignment="1" applyProtection="1">
      <alignment horizontal="center" vertical="center" wrapText="1"/>
      <protection hidden="1"/>
    </xf>
    <xf numFmtId="0" fontId="11" fillId="12" borderId="7" xfId="0" applyFont="1" applyFill="1" applyBorder="1" applyAlignment="1" applyProtection="1">
      <alignment horizontal="center" vertical="center" wrapText="1"/>
      <protection hidden="1"/>
    </xf>
    <xf numFmtId="0" fontId="11" fillId="12" borderId="8" xfId="0" applyFont="1" applyFill="1" applyBorder="1" applyAlignment="1" applyProtection="1">
      <alignment horizontal="center" vertical="center" wrapText="1"/>
      <protection hidden="1"/>
    </xf>
    <xf numFmtId="0" fontId="11" fillId="12" borderId="16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0" xfId="0" applyFont="1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left"/>
      <protection hidden="1"/>
    </xf>
    <xf numFmtId="0" fontId="0" fillId="0" borderId="28" xfId="0" applyFont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2" borderId="29" xfId="0" applyFill="1" applyBorder="1" applyAlignment="1" applyProtection="1">
      <alignment horizontal="left" wrapText="1"/>
      <protection hidden="1"/>
    </xf>
    <xf numFmtId="0" fontId="0" fillId="2" borderId="30" xfId="0" applyFill="1" applyBorder="1" applyAlignment="1" applyProtection="1">
      <alignment horizontal="left" wrapText="1"/>
      <protection hidden="1"/>
    </xf>
    <xf numFmtId="0" fontId="0" fillId="2" borderId="31" xfId="0" applyFill="1" applyBorder="1" applyAlignment="1" applyProtection="1">
      <alignment horizontal="left" wrapText="1"/>
      <protection hidden="1"/>
    </xf>
    <xf numFmtId="0" fontId="0" fillId="2" borderId="32" xfId="0" applyFill="1" applyBorder="1" applyAlignment="1" applyProtection="1">
      <alignment horizontal="left" wrapText="1"/>
      <protection hidden="1"/>
    </xf>
    <xf numFmtId="0" fontId="0" fillId="2" borderId="33" xfId="0" applyFill="1" applyBorder="1" applyAlignment="1" applyProtection="1">
      <alignment horizontal="left" wrapText="1"/>
      <protection hidden="1"/>
    </xf>
    <xf numFmtId="0" fontId="0" fillId="2" borderId="34" xfId="0" applyFill="1" applyBorder="1" applyAlignment="1" applyProtection="1">
      <alignment horizontal="left" wrapText="1"/>
      <protection hidden="1"/>
    </xf>
    <xf numFmtId="0" fontId="0" fillId="2" borderId="10" xfId="0" applyFont="1" applyFill="1" applyBorder="1" applyProtection="1"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9" fillId="9" borderId="12" xfId="0" applyFont="1" applyFill="1" applyBorder="1" applyAlignment="1" applyProtection="1">
      <alignment horizontal="center"/>
      <protection hidden="1"/>
    </xf>
    <xf numFmtId="0" fontId="9" fillId="9" borderId="13" xfId="0" applyFont="1" applyFill="1" applyBorder="1" applyAlignment="1" applyProtection="1">
      <alignment horizontal="center"/>
      <protection hidden="1"/>
    </xf>
    <xf numFmtId="0" fontId="9" fillId="9" borderId="11" xfId="0" applyFont="1" applyFill="1" applyBorder="1" applyAlignment="1" applyProtection="1">
      <alignment horizontal="center"/>
      <protection hidden="1"/>
    </xf>
    <xf numFmtId="0" fontId="9" fillId="9" borderId="35" xfId="0" applyFont="1" applyFill="1" applyBorder="1" applyAlignment="1" applyProtection="1">
      <alignment horizontal="center"/>
      <protection hidden="1"/>
    </xf>
    <xf numFmtId="0" fontId="9" fillId="9" borderId="36" xfId="0" applyFont="1" applyFill="1" applyBorder="1" applyAlignment="1" applyProtection="1">
      <alignment horizontal="center"/>
      <protection hidden="1"/>
    </xf>
    <xf numFmtId="0" fontId="9" fillId="9" borderId="19" xfId="0" applyFont="1" applyFill="1" applyBorder="1" applyAlignment="1" applyProtection="1">
      <alignment horizontal="center"/>
      <protection hidden="1"/>
    </xf>
    <xf numFmtId="0" fontId="12" fillId="2" borderId="37" xfId="0" applyFont="1" applyFill="1" applyBorder="1" applyAlignment="1" applyProtection="1">
      <alignment horizontal="center"/>
      <protection hidden="1"/>
    </xf>
    <xf numFmtId="0" fontId="12" fillId="2" borderId="38" xfId="0" applyFont="1" applyFill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9" fillId="9" borderId="27" xfId="0" applyFont="1" applyFill="1" applyBorder="1" applyAlignment="1" applyProtection="1">
      <alignment horizontal="center"/>
      <protection hidden="1"/>
    </xf>
    <xf numFmtId="0" fontId="9" fillId="9" borderId="28" xfId="0" applyFont="1" applyFill="1" applyBorder="1" applyAlignment="1" applyProtection="1">
      <alignment horizontal="center"/>
      <protection hidden="1"/>
    </xf>
    <xf numFmtId="0" fontId="9" fillId="9" borderId="6" xfId="0" applyFont="1" applyFill="1" applyBorder="1" applyAlignment="1" applyProtection="1">
      <alignment horizontal="center"/>
      <protection hidden="1"/>
    </xf>
    <xf numFmtId="0" fontId="9" fillId="4" borderId="39" xfId="0" applyFont="1" applyFill="1" applyBorder="1" applyAlignment="1" applyProtection="1">
      <alignment horizontal="center" vertical="center"/>
      <protection locked="0" hidden="1"/>
    </xf>
    <xf numFmtId="0" fontId="9" fillId="4" borderId="40" xfId="0" applyFont="1" applyFill="1" applyBorder="1" applyAlignment="1" applyProtection="1">
      <alignment horizontal="center" vertical="center"/>
      <protection locked="0" hidden="1"/>
    </xf>
    <xf numFmtId="0" fontId="9" fillId="4" borderId="41" xfId="0" applyFont="1" applyFill="1" applyBorder="1" applyAlignment="1" applyProtection="1">
      <alignment horizontal="center" vertical="center"/>
      <protection locked="0" hidden="1"/>
    </xf>
    <xf numFmtId="0" fontId="9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9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9" fillId="4" borderId="41" xfId="0" applyNumberFormat="1" applyFont="1" applyFill="1" applyBorder="1" applyAlignment="1" applyProtection="1">
      <alignment horizontal="center" vertical="center"/>
      <protection locked="0" hidden="1"/>
    </xf>
    <xf numFmtId="0" fontId="0" fillId="2" borderId="42" xfId="0" applyFill="1" applyBorder="1" applyAlignment="1" applyProtection="1">
      <alignment horizontal="left"/>
      <protection hidden="1"/>
    </xf>
    <xf numFmtId="0" fontId="0" fillId="2" borderId="28" xfId="0" applyFont="1" applyFill="1" applyBorder="1" applyAlignment="1" applyProtection="1">
      <alignment horizontal="left"/>
      <protection hidden="1"/>
    </xf>
    <xf numFmtId="0" fontId="0" fillId="2" borderId="6" xfId="0" applyFont="1" applyFill="1" applyBorder="1" applyAlignment="1" applyProtection="1">
      <alignment horizontal="left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0" fontId="0" fillId="2" borderId="37" xfId="0" applyFont="1" applyFill="1" applyBorder="1" applyAlignment="1" applyProtection="1">
      <alignment horizontal="left"/>
      <protection hidden="1"/>
    </xf>
    <xf numFmtId="0" fontId="0" fillId="2" borderId="38" xfId="0" applyFont="1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38" fillId="15" borderId="12" xfId="0" applyFont="1" applyFill="1" applyBorder="1" applyAlignment="1" applyProtection="1">
      <alignment horizontal="center" vertical="center" wrapText="1"/>
      <protection hidden="1"/>
    </xf>
    <xf numFmtId="0" fontId="38" fillId="15" borderId="13" xfId="0" applyFont="1" applyFill="1" applyBorder="1" applyAlignment="1" applyProtection="1">
      <alignment horizontal="center" vertical="center" wrapText="1"/>
      <protection hidden="1"/>
    </xf>
    <xf numFmtId="0" fontId="38" fillId="15" borderId="11" xfId="0" applyFont="1" applyFill="1" applyBorder="1" applyAlignment="1" applyProtection="1">
      <alignment horizontal="center" vertical="center" wrapText="1"/>
      <protection hidden="1"/>
    </xf>
    <xf numFmtId="0" fontId="38" fillId="15" borderId="14" xfId="0" applyFont="1" applyFill="1" applyBorder="1" applyAlignment="1" applyProtection="1">
      <alignment horizontal="center" vertical="center" wrapText="1"/>
      <protection hidden="1"/>
    </xf>
    <xf numFmtId="0" fontId="38" fillId="15" borderId="0" xfId="0" applyFont="1" applyFill="1" applyBorder="1" applyAlignment="1" applyProtection="1">
      <alignment horizontal="center" vertical="center" wrapText="1"/>
      <protection hidden="1"/>
    </xf>
    <xf numFmtId="0" fontId="38" fillId="15" borderId="15" xfId="0" applyFont="1" applyFill="1" applyBorder="1" applyAlignment="1" applyProtection="1">
      <alignment horizontal="center" vertical="center" wrapText="1"/>
      <protection hidden="1"/>
    </xf>
    <xf numFmtId="0" fontId="38" fillId="15" borderId="7" xfId="0" applyFont="1" applyFill="1" applyBorder="1" applyAlignment="1" applyProtection="1">
      <alignment horizontal="center" vertical="center" wrapText="1"/>
      <protection hidden="1"/>
    </xf>
    <xf numFmtId="0" fontId="38" fillId="15" borderId="8" xfId="0" applyFont="1" applyFill="1" applyBorder="1" applyAlignment="1" applyProtection="1">
      <alignment horizontal="center" vertical="center" wrapText="1"/>
      <protection hidden="1"/>
    </xf>
    <xf numFmtId="0" fontId="38" fillId="15" borderId="16" xfId="0" applyFont="1" applyFill="1" applyBorder="1" applyAlignment="1" applyProtection="1">
      <alignment horizontal="center" vertical="center" wrapText="1"/>
      <protection hidden="1"/>
    </xf>
    <xf numFmtId="0" fontId="9" fillId="9" borderId="37" xfId="0" applyFont="1" applyFill="1" applyBorder="1" applyAlignment="1" applyProtection="1">
      <alignment horizontal="center"/>
      <protection hidden="1"/>
    </xf>
    <xf numFmtId="0" fontId="9" fillId="9" borderId="38" xfId="0" applyFont="1" applyFill="1" applyBorder="1" applyAlignment="1" applyProtection="1">
      <alignment horizontal="center"/>
      <protection hidden="1"/>
    </xf>
    <xf numFmtId="0" fontId="9" fillId="9" borderId="5" xfId="0" applyFont="1" applyFill="1" applyBorder="1" applyAlignment="1" applyProtection="1">
      <alignment horizontal="center"/>
      <protection hidden="1"/>
    </xf>
    <xf numFmtId="1" fontId="9" fillId="4" borderId="22" xfId="0" applyNumberFormat="1" applyFont="1" applyFill="1" applyBorder="1" applyAlignment="1" applyProtection="1">
      <alignment horizontal="center" vertical="center"/>
      <protection locked="0" hidden="1"/>
    </xf>
    <xf numFmtId="1" fontId="9" fillId="4" borderId="17" xfId="0" applyNumberFormat="1" applyFont="1" applyFill="1" applyBorder="1" applyAlignment="1" applyProtection="1">
      <alignment horizontal="center" vertical="center"/>
      <protection locked="0" hidden="1"/>
    </xf>
    <xf numFmtId="1" fontId="9" fillId="4" borderId="9" xfId="0" applyNumberFormat="1" applyFont="1" applyFill="1" applyBorder="1" applyAlignment="1" applyProtection="1">
      <alignment horizontal="center" vertical="center"/>
      <protection locked="0" hidden="1"/>
    </xf>
    <xf numFmtId="0" fontId="0" fillId="2" borderId="1" xfId="0" applyFont="1" applyFill="1" applyBorder="1" applyProtection="1">
      <protection hidden="1"/>
    </xf>
    <xf numFmtId="0" fontId="37" fillId="15" borderId="12" xfId="0" applyFont="1" applyFill="1" applyBorder="1" applyAlignment="1" applyProtection="1">
      <alignment horizontal="center" vertical="center"/>
      <protection hidden="1"/>
    </xf>
    <xf numFmtId="0" fontId="37" fillId="15" borderId="13" xfId="0" applyFont="1" applyFill="1" applyBorder="1" applyAlignment="1" applyProtection="1">
      <alignment horizontal="center" vertical="center"/>
      <protection hidden="1"/>
    </xf>
    <xf numFmtId="0" fontId="37" fillId="15" borderId="11" xfId="0" applyFont="1" applyFill="1" applyBorder="1" applyAlignment="1" applyProtection="1">
      <alignment horizontal="center" vertical="center"/>
      <protection hidden="1"/>
    </xf>
    <xf numFmtId="0" fontId="37" fillId="15" borderId="7" xfId="0" applyFont="1" applyFill="1" applyBorder="1" applyAlignment="1" applyProtection="1">
      <alignment horizontal="center" vertical="center"/>
      <protection hidden="1"/>
    </xf>
    <xf numFmtId="0" fontId="37" fillId="15" borderId="8" xfId="0" applyFont="1" applyFill="1" applyBorder="1" applyAlignment="1" applyProtection="1">
      <alignment horizontal="center" vertical="center"/>
      <protection hidden="1"/>
    </xf>
    <xf numFmtId="0" fontId="37" fillId="15" borderId="16" xfId="0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center"/>
      <protection hidden="1"/>
    </xf>
    <xf numFmtId="0" fontId="0" fillId="2" borderId="38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3" xfId="0" applyFont="1" applyFill="1" applyBorder="1" applyAlignment="1" applyProtection="1">
      <alignment horizontal="center"/>
      <protection hidden="1"/>
    </xf>
    <xf numFmtId="0" fontId="0" fillId="2" borderId="44" xfId="0" applyFont="1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36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0" fontId="0" fillId="2" borderId="20" xfId="0" applyFont="1" applyFill="1" applyBorder="1" applyProtection="1">
      <protection hidden="1"/>
    </xf>
    <xf numFmtId="166" fontId="39" fillId="2" borderId="48" xfId="0" applyNumberFormat="1" applyFont="1" applyFill="1" applyBorder="1" applyAlignment="1" applyProtection="1">
      <alignment horizontal="center" vertical="center"/>
      <protection hidden="1"/>
    </xf>
    <xf numFmtId="166" fontId="39" fillId="2" borderId="11" xfId="0" applyNumberFormat="1" applyFont="1" applyFill="1" applyBorder="1" applyAlignment="1" applyProtection="1">
      <alignment horizontal="center" vertical="center"/>
      <protection hidden="1"/>
    </xf>
    <xf numFmtId="166" fontId="39" fillId="2" borderId="49" xfId="0" applyNumberFormat="1" applyFont="1" applyFill="1" applyBorder="1" applyAlignment="1" applyProtection="1">
      <alignment horizontal="center" vertical="center"/>
      <protection hidden="1"/>
    </xf>
    <xf numFmtId="166" fontId="39" fillId="2" borderId="16" xfId="0" applyNumberFormat="1" applyFont="1" applyFill="1" applyBorder="1" applyAlignment="1" applyProtection="1">
      <alignment horizontal="center" vertical="center"/>
      <protection hidden="1"/>
    </xf>
    <xf numFmtId="0" fontId="39" fillId="7" borderId="37" xfId="0" applyFont="1" applyFill="1" applyBorder="1" applyAlignment="1" applyProtection="1">
      <alignment horizontal="center" vertical="center"/>
      <protection hidden="1"/>
    </xf>
    <xf numFmtId="0" fontId="39" fillId="7" borderId="38" xfId="0" applyFont="1" applyFill="1" applyBorder="1" applyAlignment="1" applyProtection="1">
      <alignment horizontal="center" vertical="center"/>
      <protection hidden="1"/>
    </xf>
    <xf numFmtId="0" fontId="39" fillId="7" borderId="4" xfId="0" applyFont="1" applyFill="1" applyBorder="1" applyAlignment="1" applyProtection="1">
      <alignment horizontal="center" vertical="center"/>
      <protection hidden="1"/>
    </xf>
    <xf numFmtId="0" fontId="39" fillId="7" borderId="20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 wrapText="1"/>
      <protection hidden="1"/>
    </xf>
    <xf numFmtId="0" fontId="12" fillId="2" borderId="46" xfId="0" applyFont="1" applyFill="1" applyBorder="1" applyAlignment="1" applyProtection="1">
      <alignment horizontal="center" vertical="center" wrapText="1"/>
      <protection hidden="1"/>
    </xf>
    <xf numFmtId="0" fontId="12" fillId="2" borderId="50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45" xfId="0" applyFont="1" applyFill="1" applyBorder="1" applyAlignment="1" applyProtection="1">
      <alignment horizontal="center"/>
      <protection hidden="1"/>
    </xf>
    <xf numFmtId="0" fontId="12" fillId="2" borderId="46" xfId="0" applyFont="1" applyFill="1" applyBorder="1" applyAlignment="1" applyProtection="1">
      <alignment horizontal="center"/>
      <protection hidden="1"/>
    </xf>
    <xf numFmtId="0" fontId="12" fillId="2" borderId="47" xfId="0" applyFont="1" applyFill="1" applyBorder="1" applyAlignment="1" applyProtection="1">
      <alignment horizontal="center"/>
      <protection hidden="1"/>
    </xf>
    <xf numFmtId="0" fontId="12" fillId="9" borderId="27" xfId="0" applyFont="1" applyFill="1" applyBorder="1" applyAlignment="1" applyProtection="1">
      <alignment horizontal="center"/>
      <protection hidden="1"/>
    </xf>
    <xf numFmtId="0" fontId="12" fillId="9" borderId="28" xfId="0" applyFont="1" applyFill="1" applyBorder="1" applyAlignment="1" applyProtection="1">
      <alignment horizontal="center"/>
      <protection hidden="1"/>
    </xf>
    <xf numFmtId="0" fontId="12" fillId="9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6" fillId="0" borderId="8" xfId="0" applyFont="1" applyBorder="1" applyAlignment="1" applyProtection="1">
      <alignment horizontal="center"/>
      <protection hidden="1"/>
    </xf>
    <xf numFmtId="2" fontId="0" fillId="4" borderId="44" xfId="0" applyNumberFormat="1" applyFill="1" applyBorder="1" applyAlignment="1" applyProtection="1">
      <alignment horizontal="center" vertical="center"/>
      <protection hidden="1"/>
    </xf>
    <xf numFmtId="2" fontId="0" fillId="4" borderId="51" xfId="0" applyNumberFormat="1" applyFill="1" applyBorder="1" applyAlignment="1" applyProtection="1">
      <alignment horizontal="center" vertical="center"/>
      <protection hidden="1"/>
    </xf>
    <xf numFmtId="2" fontId="0" fillId="4" borderId="10" xfId="0" applyNumberForma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 wrapText="1"/>
    </xf>
    <xf numFmtId="0" fontId="26" fillId="2" borderId="52" xfId="0" applyFont="1" applyFill="1" applyBorder="1" applyAlignment="1" applyProtection="1">
      <alignment horizontal="left"/>
    </xf>
    <xf numFmtId="0" fontId="26" fillId="2" borderId="53" xfId="0" applyFont="1" applyFill="1" applyBorder="1" applyAlignment="1" applyProtection="1">
      <alignment horizontal="left"/>
    </xf>
    <xf numFmtId="0" fontId="26" fillId="2" borderId="54" xfId="0" applyFont="1" applyFill="1" applyBorder="1" applyAlignment="1" applyProtection="1">
      <alignment horizontal="left"/>
    </xf>
    <xf numFmtId="0" fontId="11" fillId="9" borderId="24" xfId="0" applyFont="1" applyFill="1" applyBorder="1" applyAlignment="1" applyProtection="1">
      <alignment horizontal="center"/>
    </xf>
    <xf numFmtId="0" fontId="11" fillId="9" borderId="25" xfId="0" applyFont="1" applyFill="1" applyBorder="1" applyAlignment="1" applyProtection="1">
      <alignment horizontal="center"/>
    </xf>
    <xf numFmtId="0" fontId="11" fillId="9" borderId="26" xfId="0" applyFont="1" applyFill="1" applyBorder="1" applyAlignment="1" applyProtection="1">
      <alignment horizontal="center"/>
    </xf>
    <xf numFmtId="0" fontId="21" fillId="2" borderId="12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</xf>
    <xf numFmtId="0" fontId="21" fillId="2" borderId="55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</xf>
    <xf numFmtId="166" fontId="21" fillId="2" borderId="48" xfId="0" applyNumberFormat="1" applyFont="1" applyFill="1" applyBorder="1" applyAlignment="1" applyProtection="1">
      <alignment horizontal="center" vertical="center"/>
    </xf>
    <xf numFmtId="166" fontId="21" fillId="2" borderId="11" xfId="0" applyNumberFormat="1" applyFont="1" applyFill="1" applyBorder="1" applyAlignment="1" applyProtection="1">
      <alignment horizontal="center" vertical="center"/>
    </xf>
    <xf numFmtId="166" fontId="21" fillId="2" borderId="49" xfId="0" applyNumberFormat="1" applyFont="1" applyFill="1" applyBorder="1" applyAlignment="1" applyProtection="1">
      <alignment horizontal="center" vertical="center"/>
    </xf>
    <xf numFmtId="166" fontId="21" fillId="2" borderId="16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56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left" vertical="center" wrapText="1"/>
      <protection hidden="1"/>
    </xf>
    <xf numFmtId="0" fontId="7" fillId="2" borderId="28" xfId="0" applyFont="1" applyFill="1" applyBorder="1" applyAlignment="1" applyProtection="1">
      <alignment horizontal="left" vertical="center" wrapText="1"/>
      <protection hidden="1"/>
    </xf>
    <xf numFmtId="0" fontId="7" fillId="2" borderId="6" xfId="0" applyFont="1" applyFill="1" applyBorder="1" applyAlignment="1" applyProtection="1">
      <alignment horizontal="left" vertical="center" wrapText="1"/>
      <protection hidden="1"/>
    </xf>
    <xf numFmtId="0" fontId="26" fillId="2" borderId="45" xfId="0" applyFont="1" applyFill="1" applyBorder="1" applyAlignment="1" applyProtection="1">
      <alignment horizontal="left"/>
    </xf>
    <xf numFmtId="0" fontId="26" fillId="2" borderId="46" xfId="0" applyFont="1" applyFill="1" applyBorder="1" applyAlignment="1" applyProtection="1">
      <alignment horizontal="left"/>
    </xf>
    <xf numFmtId="0" fontId="26" fillId="2" borderId="50" xfId="0" applyFont="1" applyFill="1" applyBorder="1" applyAlignment="1" applyProtection="1">
      <alignment horizontal="left"/>
    </xf>
    <xf numFmtId="0" fontId="11" fillId="9" borderId="12" xfId="0" applyFont="1" applyFill="1" applyBorder="1" applyAlignment="1" applyProtection="1">
      <alignment horizontal="center"/>
    </xf>
    <xf numFmtId="0" fontId="11" fillId="9" borderId="13" xfId="0" applyFont="1" applyFill="1" applyBorder="1" applyAlignment="1" applyProtection="1">
      <alignment horizontal="center"/>
    </xf>
    <xf numFmtId="0" fontId="11" fillId="9" borderId="11" xfId="0" applyFont="1" applyFill="1" applyBorder="1" applyAlignment="1" applyProtection="1">
      <alignment horizontal="center"/>
    </xf>
    <xf numFmtId="0" fontId="23" fillId="2" borderId="45" xfId="0" applyFont="1" applyFill="1" applyBorder="1" applyAlignment="1" applyProtection="1">
      <alignment horizontal="center"/>
    </xf>
    <xf numFmtId="0" fontId="23" fillId="2" borderId="46" xfId="0" applyFont="1" applyFill="1" applyBorder="1" applyAlignment="1" applyProtection="1">
      <alignment horizontal="center"/>
    </xf>
    <xf numFmtId="0" fontId="23" fillId="2" borderId="47" xfId="0" applyFont="1" applyFill="1" applyBorder="1" applyAlignment="1" applyProtection="1">
      <alignment horizontal="center"/>
    </xf>
    <xf numFmtId="0" fontId="14" fillId="2" borderId="42" xfId="0" applyFont="1" applyFill="1" applyBorder="1" applyAlignment="1" applyProtection="1">
      <alignment horizontal="left" vertical="center" wrapText="1"/>
    </xf>
    <xf numFmtId="0" fontId="14" fillId="2" borderId="28" xfId="0" applyFont="1" applyFill="1" applyBorder="1" applyAlignment="1" applyProtection="1">
      <alignment horizontal="left" vertical="center" wrapText="1"/>
    </xf>
    <xf numFmtId="0" fontId="26" fillId="2" borderId="42" xfId="0" applyFont="1" applyFill="1" applyBorder="1" applyAlignment="1" applyProtection="1">
      <alignment horizontal="left"/>
    </xf>
    <xf numFmtId="0" fontId="26" fillId="2" borderId="28" xfId="0" applyFont="1" applyFill="1" applyBorder="1" applyAlignment="1" applyProtection="1">
      <alignment horizontal="left"/>
    </xf>
    <xf numFmtId="0" fontId="26" fillId="2" borderId="6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26" fillId="2" borderId="57" xfId="0" applyFont="1" applyFill="1" applyBorder="1" applyAlignment="1" applyProtection="1">
      <alignment horizontal="center"/>
    </xf>
    <xf numFmtId="0" fontId="26" fillId="2" borderId="31" xfId="0" applyFont="1" applyFill="1" applyBorder="1" applyAlignment="1" applyProtection="1">
      <alignment horizontal="center"/>
    </xf>
    <xf numFmtId="0" fontId="26" fillId="2" borderId="27" xfId="0" applyFont="1" applyFill="1" applyBorder="1" applyProtection="1"/>
    <xf numFmtId="0" fontId="26" fillId="2" borderId="6" xfId="0" applyFont="1" applyFill="1" applyBorder="1" applyProtection="1"/>
    <xf numFmtId="0" fontId="26" fillId="2" borderId="45" xfId="0" applyFont="1" applyFill="1" applyBorder="1" applyAlignment="1" applyProtection="1">
      <alignment horizontal="center" vertical="center"/>
    </xf>
    <xf numFmtId="0" fontId="26" fillId="2" borderId="50" xfId="0" applyFont="1" applyFill="1" applyBorder="1" applyAlignment="1" applyProtection="1">
      <alignment horizontal="center" vertical="center"/>
    </xf>
    <xf numFmtId="0" fontId="26" fillId="2" borderId="42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0" fontId="26" fillId="2" borderId="58" xfId="0" applyFont="1" applyFill="1" applyBorder="1" applyProtection="1"/>
    <xf numFmtId="0" fontId="26" fillId="2" borderId="50" xfId="0" applyFont="1" applyFill="1" applyBorder="1" applyProtection="1"/>
    <xf numFmtId="1" fontId="11" fillId="2" borderId="21" xfId="0" applyNumberFormat="1" applyFont="1" applyFill="1" applyBorder="1" applyAlignment="1" applyProtection="1">
      <alignment horizontal="center" vertical="center"/>
    </xf>
    <xf numFmtId="1" fontId="11" fillId="2" borderId="59" xfId="0" applyNumberFormat="1" applyFont="1" applyFill="1" applyBorder="1" applyAlignment="1" applyProtection="1">
      <alignment horizontal="center" vertical="center"/>
    </xf>
    <xf numFmtId="1" fontId="11" fillId="2" borderId="56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1" fillId="2" borderId="17" xfId="0" applyNumberFormat="1" applyFont="1" applyFill="1" applyBorder="1" applyAlignment="1" applyProtection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23" fillId="9" borderId="37" xfId="0" applyFont="1" applyFill="1" applyBorder="1" applyAlignment="1" applyProtection="1">
      <alignment horizontal="center" vertical="center" wrapText="1"/>
    </xf>
    <xf numFmtId="0" fontId="23" fillId="9" borderId="38" xfId="0" applyFont="1" applyFill="1" applyBorder="1" applyAlignment="1" applyProtection="1">
      <alignment horizontal="center" vertical="center" wrapText="1"/>
    </xf>
    <xf numFmtId="0" fontId="23" fillId="9" borderId="5" xfId="0" applyFont="1" applyFill="1" applyBorder="1" applyAlignment="1" applyProtection="1">
      <alignment horizontal="center" vertical="center" wrapText="1"/>
    </xf>
    <xf numFmtId="0" fontId="14" fillId="2" borderId="60" xfId="0" applyFont="1" applyFill="1" applyBorder="1" applyProtection="1"/>
    <xf numFmtId="0" fontId="26" fillId="2" borderId="54" xfId="0" applyFont="1" applyFill="1" applyBorder="1" applyProtection="1"/>
    <xf numFmtId="0" fontId="26" fillId="2" borderId="24" xfId="0" applyFont="1" applyFill="1" applyBorder="1" applyAlignment="1" applyProtection="1">
      <alignment horizontal="center"/>
    </xf>
    <xf numFmtId="0" fontId="26" fillId="2" borderId="61" xfId="0" applyFont="1" applyFill="1" applyBorder="1" applyAlignment="1" applyProtection="1">
      <alignment horizontal="center"/>
    </xf>
    <xf numFmtId="0" fontId="23" fillId="2" borderId="37" xfId="0" applyFont="1" applyFill="1" applyBorder="1" applyAlignment="1" applyProtection="1">
      <alignment horizontal="center"/>
    </xf>
    <xf numFmtId="0" fontId="23" fillId="2" borderId="38" xfId="0" applyFont="1" applyFill="1" applyBorder="1" applyAlignment="1" applyProtection="1">
      <alignment horizontal="center"/>
    </xf>
  </cellXfs>
  <cellStyles count="2">
    <cellStyle name="Normale" xfId="0" builtinId="0"/>
    <cellStyle name="Normale 2" xfId="1"/>
  </cellStyles>
  <dxfs count="4">
    <dxf>
      <fill>
        <patternFill>
          <fgColor theme="8" tint="-0.499984740745262"/>
          <bgColor theme="8" tint="0.39994506668294322"/>
        </patternFill>
      </fill>
    </dxf>
    <dxf>
      <fill>
        <patternFill>
          <fgColor theme="7" tint="-0.499984740745262"/>
          <bgColor theme="8" tint="0.39994506668294322"/>
        </patternFill>
      </fill>
    </dxf>
    <dxf>
      <fill>
        <patternFill>
          <fgColor theme="8" tint="-0.499984740745262"/>
          <bgColor theme="8" tint="0.39994506668294322"/>
        </patternFill>
      </fill>
    </dxf>
    <dxf>
      <fill>
        <patternFill>
          <fgColor theme="8" tint="-0.499984740745262"/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66675</xdr:rowOff>
    </xdr:from>
    <xdr:to>
      <xdr:col>1</xdr:col>
      <xdr:colOff>76200</xdr:colOff>
      <xdr:row>2</xdr:row>
      <xdr:rowOff>200025</xdr:rowOff>
    </xdr:to>
    <xdr:pic>
      <xdr:nvPicPr>
        <xdr:cNvPr id="1132" name="Immagine 1" descr="logorm.gif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6675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i\espositor\Desktop\TARIFFA%20MODI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2 - TARIFFA MOD. NON SOS"/>
      <sheetName val="calcoli MOD. NON SOT"/>
      <sheetName val="REPORT FINALE"/>
    </sheetNames>
    <sheetDataSet>
      <sheetData sheetId="0"/>
      <sheetData sheetId="1"/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rra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Terra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erra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29"/>
  <sheetViews>
    <sheetView tabSelected="1" view="pageBreakPreview" zoomScale="85" zoomScaleNormal="80" zoomScaleSheetLayoutView="85" workbookViewId="0">
      <selection activeCell="C20" sqref="C20"/>
    </sheetView>
  </sheetViews>
  <sheetFormatPr defaultRowHeight="14.25" x14ac:dyDescent="0.2"/>
  <cols>
    <col min="1" max="1" width="19.296875" style="27" customWidth="1"/>
    <col min="2" max="2" width="12" style="27" customWidth="1"/>
    <col min="3" max="3" width="30" style="27" customWidth="1"/>
    <col min="4" max="4" width="14.09765625" style="27" customWidth="1"/>
    <col min="5" max="5" width="13" style="27" customWidth="1"/>
    <col min="6" max="6" width="25.59765625" style="27" customWidth="1"/>
    <col min="7" max="7" width="11.796875" style="27" customWidth="1"/>
    <col min="8" max="8" width="10.296875" style="27" customWidth="1"/>
    <col min="9" max="9" width="8.796875" style="27" customWidth="1"/>
    <col min="10" max="18" width="8.796875" style="27" hidden="1" customWidth="1"/>
    <col min="19" max="21" width="8.796875" style="92"/>
    <col min="22" max="31" width="8.796875" style="71"/>
    <col min="32" max="16384" width="8.796875" style="27"/>
  </cols>
  <sheetData>
    <row r="1" spans="1:31" ht="15.75" customHeight="1" x14ac:dyDescent="0.2">
      <c r="A1" s="134" t="s">
        <v>153</v>
      </c>
      <c r="B1" s="135"/>
      <c r="C1" s="135"/>
      <c r="D1" s="135"/>
      <c r="E1" s="135"/>
      <c r="F1" s="135"/>
      <c r="G1" s="135"/>
      <c r="H1" s="135"/>
      <c r="I1" s="136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AA1" s="99"/>
      <c r="AB1" s="99"/>
      <c r="AC1" s="99"/>
      <c r="AD1" s="99"/>
      <c r="AE1" s="99"/>
    </row>
    <row r="2" spans="1:31" ht="18" customHeight="1" x14ac:dyDescent="0.2">
      <c r="A2" s="137" t="s">
        <v>166</v>
      </c>
      <c r="B2" s="138"/>
      <c r="C2" s="138"/>
      <c r="D2" s="138"/>
      <c r="E2" s="138"/>
      <c r="F2" s="138"/>
      <c r="G2" s="138"/>
      <c r="H2" s="138"/>
      <c r="I2" s="139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AA2" s="99"/>
      <c r="AB2" s="99"/>
      <c r="AC2" s="99"/>
      <c r="AD2" s="99"/>
      <c r="AE2" s="99"/>
    </row>
    <row r="3" spans="1:31" ht="18" customHeight="1" thickBot="1" x14ac:dyDescent="0.25">
      <c r="A3" s="140" t="s">
        <v>173</v>
      </c>
      <c r="B3" s="141"/>
      <c r="C3" s="141"/>
      <c r="D3" s="141"/>
      <c r="E3" s="141"/>
      <c r="F3" s="141"/>
      <c r="G3" s="141"/>
      <c r="H3" s="141"/>
      <c r="I3" s="142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AA3" s="99"/>
      <c r="AB3" s="99"/>
      <c r="AC3" s="99"/>
      <c r="AD3" s="99"/>
      <c r="AE3" s="99"/>
    </row>
    <row r="4" spans="1:31" ht="15" thickBot="1" x14ac:dyDescent="0.25">
      <c r="A4" s="9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AA4" s="99"/>
      <c r="AB4" s="99"/>
      <c r="AC4" s="99"/>
      <c r="AD4" s="99"/>
      <c r="AE4" s="99"/>
    </row>
    <row r="5" spans="1:31" ht="15" customHeight="1" x14ac:dyDescent="0.2">
      <c r="A5" s="134" t="s">
        <v>186</v>
      </c>
      <c r="B5" s="135"/>
      <c r="C5" s="135"/>
      <c r="D5" s="135"/>
      <c r="E5" s="135"/>
      <c r="F5" s="135"/>
      <c r="G5" s="135"/>
      <c r="H5" s="135"/>
      <c r="I5" s="136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AA5" s="99"/>
      <c r="AB5" s="99"/>
      <c r="AC5" s="99"/>
      <c r="AD5" s="99"/>
      <c r="AE5" s="99"/>
    </row>
    <row r="6" spans="1:31" ht="25.5" customHeight="1" thickBot="1" x14ac:dyDescent="0.25">
      <c r="A6" s="140"/>
      <c r="B6" s="141"/>
      <c r="C6" s="141"/>
      <c r="D6" s="141"/>
      <c r="E6" s="141"/>
      <c r="F6" s="141"/>
      <c r="G6" s="141"/>
      <c r="H6" s="141"/>
      <c r="I6" s="142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AA6" s="99"/>
      <c r="AB6" s="99"/>
      <c r="AC6" s="99"/>
      <c r="AD6" s="99"/>
      <c r="AE6" s="99"/>
    </row>
    <row r="7" spans="1:3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AA7" s="99"/>
      <c r="AB7" s="99"/>
      <c r="AC7" s="99"/>
      <c r="AD7" s="99"/>
      <c r="AE7" s="99"/>
    </row>
    <row r="8" spans="1:31" x14ac:dyDescent="0.2">
      <c r="A8" s="166" t="s">
        <v>90</v>
      </c>
      <c r="B8" s="167"/>
      <c r="C8" s="167"/>
      <c r="D8" s="167"/>
      <c r="E8" s="167"/>
      <c r="F8" s="167"/>
      <c r="G8" s="168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AA8" s="99"/>
      <c r="AB8" s="99"/>
      <c r="AC8" s="99"/>
      <c r="AD8" s="99"/>
      <c r="AE8" s="99"/>
    </row>
    <row r="9" spans="1:31" ht="15" x14ac:dyDescent="0.25">
      <c r="A9" s="145" t="s">
        <v>111</v>
      </c>
      <c r="B9" s="146"/>
      <c r="C9" s="146"/>
      <c r="D9" s="146"/>
      <c r="E9" s="146"/>
      <c r="F9" s="147"/>
      <c r="G9" s="28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AA9" s="99"/>
      <c r="AB9" s="99"/>
      <c r="AC9" s="99"/>
      <c r="AD9" s="99"/>
      <c r="AE9" s="99"/>
    </row>
    <row r="10" spans="1:31" x14ac:dyDescent="0.2">
      <c r="A10" s="145" t="s">
        <v>112</v>
      </c>
      <c r="B10" s="146"/>
      <c r="C10" s="146"/>
      <c r="D10" s="146"/>
      <c r="E10" s="146"/>
      <c r="F10" s="147"/>
      <c r="G10" s="95"/>
      <c r="H10" s="71"/>
      <c r="I10" s="7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AA10" s="99"/>
      <c r="AB10" s="99"/>
      <c r="AC10" s="99"/>
      <c r="AD10" s="99"/>
      <c r="AE10" s="99"/>
    </row>
    <row r="11" spans="1:31" ht="14.25" customHeight="1" x14ac:dyDescent="0.2">
      <c r="A11" s="148" t="s">
        <v>125</v>
      </c>
      <c r="B11" s="149"/>
      <c r="C11" s="149"/>
      <c r="D11" s="149"/>
      <c r="E11" s="149"/>
      <c r="F11" s="149"/>
      <c r="G11" s="15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AA11" s="99"/>
      <c r="AB11" s="99"/>
      <c r="AC11" s="99"/>
      <c r="AD11" s="99"/>
      <c r="AE11" s="99"/>
    </row>
    <row r="12" spans="1:31" ht="15" customHeight="1" thickBot="1" x14ac:dyDescent="0.25">
      <c r="A12" s="151"/>
      <c r="B12" s="152"/>
      <c r="C12" s="152"/>
      <c r="D12" s="152"/>
      <c r="E12" s="152"/>
      <c r="F12" s="152"/>
      <c r="G12" s="153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AA12" s="99"/>
      <c r="AB12" s="99"/>
      <c r="AC12" s="99"/>
      <c r="AD12" s="99"/>
      <c r="AE12" s="99"/>
    </row>
    <row r="13" spans="1:31" ht="15.75" customHeight="1" thickBo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200" t="s">
        <v>91</v>
      </c>
      <c r="K13" s="201"/>
      <c r="L13" s="201"/>
      <c r="M13" s="201"/>
      <c r="N13" s="201"/>
      <c r="O13" s="201"/>
      <c r="P13" s="201"/>
      <c r="Q13" s="201"/>
      <c r="R13" s="202"/>
      <c r="S13" s="71"/>
      <c r="T13" s="71"/>
      <c r="U13" s="71"/>
      <c r="AA13" s="99"/>
      <c r="AB13" s="99"/>
      <c r="AC13" s="99"/>
      <c r="AD13" s="99"/>
      <c r="AE13" s="99"/>
    </row>
    <row r="14" spans="1:31" ht="15" thickBot="1" x14ac:dyDescent="0.25">
      <c r="A14" s="157" t="s">
        <v>89</v>
      </c>
      <c r="B14" s="158"/>
      <c r="C14" s="159"/>
      <c r="D14" s="71"/>
      <c r="E14" s="71"/>
      <c r="F14" s="71"/>
      <c r="G14" s="71"/>
      <c r="H14" s="71"/>
      <c r="I14" s="71"/>
      <c r="J14" s="203"/>
      <c r="K14" s="204"/>
      <c r="L14" s="204"/>
      <c r="M14" s="204"/>
      <c r="N14" s="204"/>
      <c r="O14" s="204"/>
      <c r="P14" s="204"/>
      <c r="Q14" s="204"/>
      <c r="R14" s="205"/>
      <c r="S14" s="71"/>
      <c r="T14" s="71"/>
      <c r="U14" s="71"/>
      <c r="AA14" s="99"/>
      <c r="AB14" s="99"/>
      <c r="AC14" s="99"/>
      <c r="AD14" s="99"/>
      <c r="AE14" s="99"/>
    </row>
    <row r="15" spans="1:31" ht="21.75" customHeight="1" thickBot="1" x14ac:dyDescent="0.25">
      <c r="A15" s="206" t="s">
        <v>101</v>
      </c>
      <c r="B15" s="207"/>
      <c r="C15" s="97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AA15" s="99"/>
      <c r="AB15" s="99"/>
      <c r="AC15" s="99"/>
      <c r="AD15" s="99"/>
      <c r="AE15" s="99"/>
    </row>
    <row r="16" spans="1:31" ht="21.75" customHeight="1" thickBot="1" x14ac:dyDescent="0.25">
      <c r="A16" s="155" t="s">
        <v>59</v>
      </c>
      <c r="B16" s="156"/>
      <c r="C16" s="98"/>
      <c r="D16" s="71"/>
      <c r="E16" s="160" t="s">
        <v>62</v>
      </c>
      <c r="F16" s="161"/>
      <c r="G16" s="161"/>
      <c r="H16" s="162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A16" s="99"/>
      <c r="AB16" s="99"/>
      <c r="AC16" s="99"/>
      <c r="AD16" s="99"/>
      <c r="AE16" s="99"/>
    </row>
    <row r="17" spans="1:31" ht="21.75" customHeight="1" x14ac:dyDescent="0.2">
      <c r="A17" s="155" t="s">
        <v>76</v>
      </c>
      <c r="B17" s="156"/>
      <c r="C17" s="98"/>
      <c r="D17" s="71"/>
      <c r="E17" s="29">
        <v>1</v>
      </c>
      <c r="F17" s="154" t="s">
        <v>70</v>
      </c>
      <c r="G17" s="154"/>
      <c r="H17" s="196"/>
      <c r="I17" s="71"/>
      <c r="J17" s="184" t="s">
        <v>156</v>
      </c>
      <c r="K17" s="185"/>
      <c r="L17" s="185"/>
      <c r="M17" s="185"/>
      <c r="N17" s="185"/>
      <c r="O17" s="185"/>
      <c r="P17" s="185"/>
      <c r="Q17" s="185"/>
      <c r="R17" s="186"/>
      <c r="S17" s="71"/>
      <c r="T17" s="71"/>
      <c r="U17" s="71"/>
      <c r="AA17" s="99"/>
      <c r="AB17" s="99"/>
      <c r="AC17" s="99"/>
      <c r="AD17" s="99"/>
      <c r="AE17" s="99"/>
    </row>
    <row r="18" spans="1:31" ht="21.75" customHeight="1" x14ac:dyDescent="0.2">
      <c r="A18" s="155" t="s">
        <v>60</v>
      </c>
      <c r="B18" s="156"/>
      <c r="C18" s="98"/>
      <c r="D18" s="71"/>
      <c r="E18" s="30">
        <v>2</v>
      </c>
      <c r="F18" s="199" t="s">
        <v>71</v>
      </c>
      <c r="G18" s="199"/>
      <c r="H18" s="197"/>
      <c r="I18" s="71"/>
      <c r="J18" s="187"/>
      <c r="K18" s="188"/>
      <c r="L18" s="188"/>
      <c r="M18" s="188"/>
      <c r="N18" s="188"/>
      <c r="O18" s="188"/>
      <c r="P18" s="188"/>
      <c r="Q18" s="188"/>
      <c r="R18" s="189"/>
      <c r="S18" s="71"/>
      <c r="T18" s="71"/>
      <c r="U18" s="71"/>
      <c r="AA18" s="99"/>
      <c r="AB18" s="99"/>
      <c r="AC18" s="99"/>
      <c r="AD18" s="99"/>
      <c r="AE18" s="99"/>
    </row>
    <row r="19" spans="1:31" ht="21.75" customHeight="1" thickBot="1" x14ac:dyDescent="0.25">
      <c r="A19" s="209" t="s">
        <v>61</v>
      </c>
      <c r="B19" s="210"/>
      <c r="C19" s="100"/>
      <c r="D19" s="71"/>
      <c r="E19" s="30">
        <v>3</v>
      </c>
      <c r="F19" s="199" t="s">
        <v>63</v>
      </c>
      <c r="G19" s="199"/>
      <c r="H19" s="197"/>
      <c r="I19" s="71"/>
      <c r="J19" s="187"/>
      <c r="K19" s="188"/>
      <c r="L19" s="188"/>
      <c r="M19" s="188"/>
      <c r="N19" s="188"/>
      <c r="O19" s="188"/>
      <c r="P19" s="188"/>
      <c r="Q19" s="188"/>
      <c r="R19" s="189"/>
      <c r="S19" s="71"/>
      <c r="T19" s="71"/>
      <c r="U19" s="71"/>
      <c r="AA19" s="99"/>
      <c r="AB19" s="99"/>
      <c r="AC19" s="99"/>
      <c r="AD19" s="99"/>
      <c r="AE19" s="99"/>
    </row>
    <row r="20" spans="1:31" ht="21.75" customHeight="1" thickBot="1" x14ac:dyDescent="0.25">
      <c r="A20" s="211" t="s">
        <v>158</v>
      </c>
      <c r="B20" s="212"/>
      <c r="C20" s="103"/>
      <c r="D20" s="71"/>
      <c r="E20" s="31">
        <v>4</v>
      </c>
      <c r="F20" s="214" t="s">
        <v>174</v>
      </c>
      <c r="G20" s="214"/>
      <c r="H20" s="198"/>
      <c r="I20" s="71"/>
      <c r="J20" s="190"/>
      <c r="K20" s="191"/>
      <c r="L20" s="191"/>
      <c r="M20" s="191"/>
      <c r="N20" s="191"/>
      <c r="O20" s="191"/>
      <c r="P20" s="191"/>
      <c r="Q20" s="191"/>
      <c r="R20" s="192"/>
      <c r="S20" s="71"/>
      <c r="T20" s="71"/>
      <c r="U20" s="71"/>
      <c r="AA20" s="99"/>
      <c r="AB20" s="99"/>
      <c r="AC20" s="99"/>
      <c r="AD20" s="99"/>
      <c r="AE20" s="99"/>
    </row>
    <row r="21" spans="1:31" ht="21.75" customHeight="1" thickBot="1" x14ac:dyDescent="0.25">
      <c r="A21" s="143" t="s">
        <v>159</v>
      </c>
      <c r="B21" s="144"/>
      <c r="C21" s="104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AA21" s="99"/>
      <c r="AB21" s="99"/>
      <c r="AC21" s="99"/>
      <c r="AD21" s="99"/>
      <c r="AE21" s="99"/>
    </row>
    <row r="22" spans="1:31" ht="35.25" customHeight="1" thickBot="1" x14ac:dyDescent="0.25">
      <c r="A22" s="73"/>
      <c r="B22" s="91"/>
      <c r="C22" s="9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AA22" s="99"/>
      <c r="AB22" s="99"/>
      <c r="AC22" s="99"/>
      <c r="AD22" s="99"/>
      <c r="AE22" s="99"/>
    </row>
    <row r="23" spans="1:31" ht="15.75" customHeight="1" x14ac:dyDescent="0.2">
      <c r="A23" s="73"/>
      <c r="B23" s="91"/>
      <c r="C23" s="91"/>
      <c r="D23" s="71"/>
      <c r="E23" s="193" t="s">
        <v>87</v>
      </c>
      <c r="F23" s="194"/>
      <c r="G23" s="194"/>
      <c r="H23" s="195"/>
      <c r="I23" s="71"/>
      <c r="J23" s="184" t="s">
        <v>155</v>
      </c>
      <c r="K23" s="185"/>
      <c r="L23" s="185"/>
      <c r="M23" s="185"/>
      <c r="N23" s="185"/>
      <c r="O23" s="185"/>
      <c r="P23" s="185"/>
      <c r="Q23" s="185"/>
      <c r="R23" s="186"/>
      <c r="S23" s="71"/>
      <c r="T23" s="71"/>
      <c r="U23" s="71"/>
      <c r="AA23" s="99"/>
      <c r="AB23" s="99"/>
      <c r="AC23" s="99"/>
      <c r="AD23" s="99"/>
      <c r="AE23" s="99"/>
    </row>
    <row r="24" spans="1:31" ht="15" customHeight="1" x14ac:dyDescent="0.2">
      <c r="A24" s="71"/>
      <c r="B24" s="91"/>
      <c r="C24" s="91"/>
      <c r="D24" s="71"/>
      <c r="E24" s="208" t="s">
        <v>157</v>
      </c>
      <c r="F24" s="131"/>
      <c r="G24" s="131"/>
      <c r="H24" s="114"/>
      <c r="I24" s="71"/>
      <c r="J24" s="187"/>
      <c r="K24" s="188"/>
      <c r="L24" s="188"/>
      <c r="M24" s="188"/>
      <c r="N24" s="188"/>
      <c r="O24" s="188"/>
      <c r="P24" s="188"/>
      <c r="Q24" s="188"/>
      <c r="R24" s="189"/>
      <c r="S24" s="71"/>
      <c r="T24" s="71"/>
      <c r="U24" s="71"/>
      <c r="AA24" s="99"/>
      <c r="AB24" s="99"/>
      <c r="AC24" s="99"/>
      <c r="AD24" s="99"/>
      <c r="AE24" s="99"/>
    </row>
    <row r="25" spans="1:31" ht="15" customHeight="1" thickBot="1" x14ac:dyDescent="0.25">
      <c r="A25" s="71"/>
      <c r="B25" s="71"/>
      <c r="C25" s="71"/>
      <c r="D25" s="71"/>
      <c r="E25" s="132" t="s">
        <v>175</v>
      </c>
      <c r="F25" s="133"/>
      <c r="G25" s="133"/>
      <c r="H25" s="104"/>
      <c r="I25" s="71"/>
      <c r="J25" s="187"/>
      <c r="K25" s="188"/>
      <c r="L25" s="188"/>
      <c r="M25" s="188"/>
      <c r="N25" s="188"/>
      <c r="O25" s="188"/>
      <c r="P25" s="188"/>
      <c r="Q25" s="188"/>
      <c r="R25" s="189"/>
      <c r="S25" s="71"/>
      <c r="T25" s="71"/>
      <c r="U25" s="71"/>
      <c r="AA25" s="99"/>
      <c r="AB25" s="99"/>
      <c r="AC25" s="99"/>
      <c r="AD25" s="99"/>
      <c r="AE25" s="99"/>
    </row>
    <row r="26" spans="1:31" ht="28.5" customHeight="1" thickBo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190"/>
      <c r="K26" s="191"/>
      <c r="L26" s="191"/>
      <c r="M26" s="191"/>
      <c r="N26" s="191"/>
      <c r="O26" s="191"/>
      <c r="P26" s="191"/>
      <c r="Q26" s="191"/>
      <c r="R26" s="192"/>
      <c r="S26" s="71"/>
      <c r="T26" s="71"/>
      <c r="U26" s="71"/>
      <c r="AA26" s="99"/>
      <c r="AB26" s="99"/>
      <c r="AC26" s="99"/>
      <c r="AD26" s="99"/>
      <c r="AE26" s="99"/>
    </row>
    <row r="27" spans="1:31" ht="15" customHeight="1" thickBo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AA27" s="99"/>
      <c r="AB27" s="99"/>
      <c r="AC27" s="99"/>
      <c r="AD27" s="99"/>
      <c r="AE27" s="99"/>
    </row>
    <row r="28" spans="1:31" ht="18.75" thickBot="1" x14ac:dyDescent="0.4">
      <c r="A28" s="127" t="s">
        <v>103</v>
      </c>
      <c r="B28" s="128"/>
      <c r="C28" s="129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AA28" s="99"/>
      <c r="AB28" s="99"/>
      <c r="AC28" s="99"/>
      <c r="AD28" s="99"/>
      <c r="AE28" s="99"/>
    </row>
    <row r="29" spans="1:31" ht="15" thickBot="1" x14ac:dyDescent="0.25">
      <c r="A29" s="71"/>
      <c r="B29" s="7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AA29" s="99"/>
      <c r="AB29" s="99"/>
      <c r="AC29" s="99"/>
      <c r="AD29" s="99"/>
      <c r="AE29" s="99"/>
    </row>
    <row r="30" spans="1:31" ht="14.25" customHeight="1" thickBot="1" x14ac:dyDescent="0.25">
      <c r="A30" s="228" t="s">
        <v>0</v>
      </c>
      <c r="B30" s="229"/>
      <c r="C30" s="229"/>
      <c r="D30" s="229"/>
      <c r="E30" s="229"/>
      <c r="F30" s="230"/>
      <c r="G30" s="66" t="s">
        <v>126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AA30" s="99"/>
      <c r="AB30" s="99"/>
      <c r="AC30" s="99"/>
      <c r="AD30" s="99"/>
      <c r="AE30" s="99"/>
    </row>
    <row r="31" spans="1:31" ht="15" customHeight="1" x14ac:dyDescent="0.2">
      <c r="A31" s="182" t="s">
        <v>127</v>
      </c>
      <c r="B31" s="156"/>
      <c r="C31" s="156"/>
      <c r="D31" s="156"/>
      <c r="E31" s="156"/>
      <c r="F31" s="183"/>
      <c r="G31" s="172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AA31" s="99"/>
      <c r="AB31" s="99"/>
      <c r="AC31" s="99"/>
      <c r="AD31" s="99"/>
      <c r="AE31" s="99"/>
    </row>
    <row r="32" spans="1:31" ht="14.25" customHeight="1" x14ac:dyDescent="0.2">
      <c r="A32" s="182" t="s">
        <v>128</v>
      </c>
      <c r="B32" s="156"/>
      <c r="C32" s="156"/>
      <c r="D32" s="156"/>
      <c r="E32" s="156"/>
      <c r="F32" s="183"/>
      <c r="G32" s="173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AA32" s="99"/>
      <c r="AB32" s="99"/>
      <c r="AC32" s="99"/>
      <c r="AD32" s="99"/>
      <c r="AE32" s="99"/>
    </row>
    <row r="33" spans="1:31" ht="15" customHeight="1" x14ac:dyDescent="0.2">
      <c r="A33" s="182" t="s">
        <v>129</v>
      </c>
      <c r="B33" s="156"/>
      <c r="C33" s="156"/>
      <c r="D33" s="156"/>
      <c r="E33" s="156"/>
      <c r="F33" s="183"/>
      <c r="G33" s="173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AA33" s="99"/>
      <c r="AB33" s="99"/>
      <c r="AC33" s="99"/>
      <c r="AD33" s="99"/>
      <c r="AE33" s="99"/>
    </row>
    <row r="34" spans="1:31" ht="15" thickBot="1" x14ac:dyDescent="0.25">
      <c r="A34" s="143" t="s">
        <v>164</v>
      </c>
      <c r="B34" s="144"/>
      <c r="C34" s="144"/>
      <c r="D34" s="144"/>
      <c r="E34" s="144"/>
      <c r="F34" s="213"/>
      <c r="G34" s="17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AA34" s="99"/>
      <c r="AB34" s="99"/>
      <c r="AC34" s="99"/>
      <c r="AD34" s="99"/>
      <c r="AE34" s="99"/>
    </row>
    <row r="35" spans="1:31" ht="18" x14ac:dyDescent="0.35">
      <c r="A35" s="71"/>
      <c r="B35" s="71"/>
      <c r="C35" s="71"/>
      <c r="D35" s="71"/>
      <c r="E35" s="71"/>
      <c r="F35" s="65" t="s">
        <v>77</v>
      </c>
      <c r="G35" s="67">
        <f>'Calcoli Foglio1'!I10</f>
        <v>0</v>
      </c>
      <c r="H35" s="74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AA35" s="99"/>
      <c r="AB35" s="99"/>
      <c r="AC35" s="99"/>
      <c r="AD35" s="99"/>
      <c r="AE35" s="99"/>
    </row>
    <row r="36" spans="1:3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AA36" s="99"/>
      <c r="AB36" s="99"/>
      <c r="AC36" s="99"/>
      <c r="AD36" s="99"/>
      <c r="AE36" s="99"/>
    </row>
    <row r="37" spans="1:31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AA37" s="99"/>
      <c r="AB37" s="99"/>
      <c r="AC37" s="99"/>
      <c r="AD37" s="99"/>
      <c r="AE37" s="99"/>
    </row>
    <row r="38" spans="1:31" ht="15" thickBot="1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AA38" s="99"/>
      <c r="AB38" s="99"/>
      <c r="AC38" s="99"/>
      <c r="AD38" s="99"/>
      <c r="AE38" s="99"/>
    </row>
    <row r="39" spans="1:31" ht="18.75" thickBot="1" x14ac:dyDescent="0.4">
      <c r="A39" s="127" t="s">
        <v>104</v>
      </c>
      <c r="B39" s="128"/>
      <c r="C39" s="129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AA39" s="99"/>
      <c r="AB39" s="99"/>
      <c r="AC39" s="99"/>
      <c r="AD39" s="99"/>
      <c r="AE39" s="99"/>
    </row>
    <row r="40" spans="1:31" ht="15" customHeight="1" thickBo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AA40" s="99"/>
      <c r="AB40" s="99"/>
      <c r="AC40" s="99"/>
      <c r="AD40" s="99"/>
      <c r="AE40" s="99"/>
    </row>
    <row r="41" spans="1:31" x14ac:dyDescent="0.2">
      <c r="A41" s="180" t="s">
        <v>5</v>
      </c>
      <c r="B41" s="181"/>
      <c r="C41" s="181"/>
      <c r="D41" s="11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AA41" s="99"/>
      <c r="AB41" s="99"/>
      <c r="AC41" s="99"/>
      <c r="AD41" s="99"/>
      <c r="AE41" s="99"/>
    </row>
    <row r="42" spans="1:31" ht="18.75" thickBot="1" x14ac:dyDescent="0.4">
      <c r="A42" s="132" t="s">
        <v>6</v>
      </c>
      <c r="B42" s="133"/>
      <c r="C42" s="133"/>
      <c r="D42" s="116"/>
      <c r="E42" s="71"/>
      <c r="F42" s="33" t="s">
        <v>78</v>
      </c>
      <c r="G42" s="2">
        <f>'Calcoli Foglio1'!B30</f>
        <v>0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AA42" s="99"/>
      <c r="AB42" s="99"/>
      <c r="AC42" s="99"/>
      <c r="AD42" s="99"/>
      <c r="AE42" s="99"/>
    </row>
    <row r="43" spans="1:3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AA43" s="99"/>
      <c r="AB43" s="99"/>
      <c r="AC43" s="99"/>
      <c r="AD43" s="99"/>
      <c r="AE43" s="99"/>
    </row>
    <row r="44" spans="1:31" ht="15" thickBo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AA44" s="99"/>
      <c r="AB44" s="99"/>
      <c r="AC44" s="99"/>
      <c r="AD44" s="99"/>
      <c r="AE44" s="99"/>
    </row>
    <row r="45" spans="1:31" ht="18.75" thickBot="1" x14ac:dyDescent="0.4">
      <c r="A45" s="127" t="s">
        <v>105</v>
      </c>
      <c r="B45" s="128"/>
      <c r="C45" s="129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AA45" s="99"/>
      <c r="AB45" s="99"/>
      <c r="AC45" s="99"/>
      <c r="AD45" s="99"/>
      <c r="AE45" s="99"/>
    </row>
    <row r="46" spans="1:31" ht="15" customHeight="1" thickBo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AA46" s="99"/>
      <c r="AB46" s="99"/>
      <c r="AC46" s="99"/>
      <c r="AD46" s="99"/>
      <c r="AE46" s="99"/>
    </row>
    <row r="47" spans="1:31" x14ac:dyDescent="0.2">
      <c r="A47" s="180" t="s">
        <v>21</v>
      </c>
      <c r="B47" s="181"/>
      <c r="C47" s="181"/>
      <c r="D47" s="115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AA47" s="99"/>
      <c r="AB47" s="99"/>
      <c r="AC47" s="99"/>
      <c r="AD47" s="99"/>
      <c r="AE47" s="99"/>
    </row>
    <row r="48" spans="1:31" ht="18.75" thickBot="1" x14ac:dyDescent="0.4">
      <c r="A48" s="132" t="s">
        <v>6</v>
      </c>
      <c r="B48" s="133"/>
      <c r="C48" s="133"/>
      <c r="D48" s="116"/>
      <c r="E48" s="71"/>
      <c r="F48" s="33" t="s">
        <v>79</v>
      </c>
      <c r="G48" s="2">
        <f>'Calcoli Foglio1'!B52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AA48" s="99"/>
      <c r="AB48" s="99"/>
      <c r="AC48" s="99"/>
      <c r="AD48" s="99"/>
      <c r="AE48" s="99"/>
    </row>
    <row r="49" spans="1:3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AA49" s="99"/>
      <c r="AB49" s="99"/>
      <c r="AC49" s="99"/>
      <c r="AD49" s="99"/>
      <c r="AE49" s="99"/>
    </row>
    <row r="50" spans="1:31" ht="15" thickBo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AA50" s="99"/>
      <c r="AB50" s="99"/>
      <c r="AC50" s="99"/>
      <c r="AD50" s="99"/>
      <c r="AE50" s="99"/>
    </row>
    <row r="51" spans="1:31" ht="15" thickBot="1" x14ac:dyDescent="0.25">
      <c r="A51" s="127" t="s">
        <v>34</v>
      </c>
      <c r="B51" s="128"/>
      <c r="C51" s="129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AA51" s="99"/>
      <c r="AB51" s="99"/>
      <c r="AC51" s="99"/>
      <c r="AD51" s="99"/>
      <c r="AE51" s="99"/>
    </row>
    <row r="52" spans="1:31" ht="15" thickBo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AA52" s="99"/>
      <c r="AB52" s="99"/>
      <c r="AC52" s="99"/>
      <c r="AD52" s="99"/>
      <c r="AE52" s="99"/>
    </row>
    <row r="53" spans="1:31" x14ac:dyDescent="0.2">
      <c r="A53" s="163" t="s">
        <v>35</v>
      </c>
      <c r="B53" s="164"/>
      <c r="C53" s="164"/>
      <c r="D53" s="164"/>
      <c r="E53" s="165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AA53" s="99"/>
      <c r="AB53" s="99"/>
      <c r="AC53" s="99"/>
      <c r="AD53" s="99"/>
      <c r="AE53" s="99"/>
    </row>
    <row r="54" spans="1:31" ht="17.25" customHeight="1" x14ac:dyDescent="0.35">
      <c r="A54" s="130" t="s">
        <v>36</v>
      </c>
      <c r="B54" s="131"/>
      <c r="C54" s="131"/>
      <c r="D54" s="131"/>
      <c r="E54" s="114"/>
      <c r="F54" s="34" t="s">
        <v>106</v>
      </c>
      <c r="G54" s="35">
        <f>'Calcoli Foglio1'!G58</f>
        <v>0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AA54" s="99"/>
      <c r="AB54" s="99"/>
      <c r="AC54" s="99"/>
      <c r="AD54" s="99"/>
      <c r="AE54" s="99"/>
    </row>
    <row r="55" spans="1:31" ht="17.25" x14ac:dyDescent="0.3">
      <c r="A55" s="130" t="s">
        <v>38</v>
      </c>
      <c r="B55" s="131"/>
      <c r="C55" s="131"/>
      <c r="D55" s="131"/>
      <c r="E55" s="114"/>
      <c r="F55" s="34" t="s">
        <v>107</v>
      </c>
      <c r="G55" s="35">
        <f>'Calcoli Foglio1'!G59</f>
        <v>0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AA55" s="99"/>
      <c r="AB55" s="99"/>
      <c r="AC55" s="99"/>
      <c r="AD55" s="99"/>
      <c r="AE55" s="99"/>
    </row>
    <row r="56" spans="1:31" ht="17.25" x14ac:dyDescent="0.3">
      <c r="A56" s="175" t="s">
        <v>137</v>
      </c>
      <c r="B56" s="176"/>
      <c r="C56" s="176"/>
      <c r="D56" s="177"/>
      <c r="E56" s="114"/>
      <c r="F56" s="34" t="s">
        <v>138</v>
      </c>
      <c r="G56" s="35">
        <f>'Calcoli Foglio1'!G60</f>
        <v>0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AA56" s="99"/>
      <c r="AB56" s="99"/>
      <c r="AC56" s="99"/>
      <c r="AD56" s="99"/>
      <c r="AE56" s="99"/>
    </row>
    <row r="57" spans="1:31" ht="17.25" x14ac:dyDescent="0.3">
      <c r="A57" s="130" t="s">
        <v>40</v>
      </c>
      <c r="B57" s="131"/>
      <c r="C57" s="131"/>
      <c r="D57" s="131"/>
      <c r="E57" s="114"/>
      <c r="F57" s="34" t="s">
        <v>108</v>
      </c>
      <c r="G57" s="35">
        <f>'Calcoli Foglio1'!G61</f>
        <v>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AA57" s="99"/>
      <c r="AB57" s="99"/>
      <c r="AC57" s="99"/>
      <c r="AD57" s="99"/>
      <c r="AE57" s="99"/>
    </row>
    <row r="58" spans="1:31" ht="17.25" x14ac:dyDescent="0.3">
      <c r="A58" s="130" t="s">
        <v>42</v>
      </c>
      <c r="B58" s="131"/>
      <c r="C58" s="131"/>
      <c r="D58" s="131"/>
      <c r="E58" s="114"/>
      <c r="F58" s="34" t="s">
        <v>109</v>
      </c>
      <c r="G58" s="35">
        <f>'Calcoli Foglio1'!G62</f>
        <v>0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AA58" s="99"/>
      <c r="AB58" s="99"/>
      <c r="AC58" s="99"/>
      <c r="AD58" s="99"/>
      <c r="AE58" s="99"/>
    </row>
    <row r="59" spans="1:31" ht="18" thickBot="1" x14ac:dyDescent="0.35">
      <c r="A59" s="132" t="s">
        <v>44</v>
      </c>
      <c r="B59" s="133"/>
      <c r="C59" s="133"/>
      <c r="D59" s="133"/>
      <c r="E59" s="104"/>
      <c r="F59" s="34" t="s">
        <v>110</v>
      </c>
      <c r="G59" s="35">
        <f>'Calcoli Foglio1'!G63</f>
        <v>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AA59" s="99"/>
      <c r="AB59" s="99"/>
      <c r="AC59" s="99"/>
      <c r="AD59" s="99"/>
      <c r="AE59" s="99"/>
    </row>
    <row r="60" spans="1:31" x14ac:dyDescent="0.2">
      <c r="A60" s="71"/>
      <c r="B60" s="71"/>
      <c r="C60" s="71"/>
      <c r="D60" s="71"/>
      <c r="E60" s="71"/>
      <c r="F60" s="72"/>
      <c r="G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AA60" s="99"/>
      <c r="AB60" s="99"/>
      <c r="AC60" s="99"/>
      <c r="AD60" s="99"/>
      <c r="AE60" s="99"/>
    </row>
    <row r="61" spans="1:31" x14ac:dyDescent="0.2">
      <c r="A61" s="71"/>
      <c r="B61" s="71"/>
      <c r="C61" s="71"/>
      <c r="D61" s="71"/>
      <c r="E61" s="71"/>
      <c r="F61" s="36" t="s">
        <v>46</v>
      </c>
      <c r="G61" s="2">
        <f>SUM(G54:G59)</f>
        <v>0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AA61" s="99"/>
      <c r="AB61" s="99"/>
      <c r="AC61" s="99"/>
      <c r="AD61" s="99"/>
      <c r="AE61" s="99"/>
    </row>
    <row r="62" spans="1:3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AA62" s="99"/>
      <c r="AB62" s="99"/>
      <c r="AC62" s="99"/>
      <c r="AD62" s="99"/>
      <c r="AE62" s="99"/>
    </row>
    <row r="63" spans="1:31" ht="15" thickBot="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AA63" s="99"/>
      <c r="AB63" s="99"/>
      <c r="AC63" s="99"/>
      <c r="AD63" s="99"/>
      <c r="AE63" s="99"/>
    </row>
    <row r="64" spans="1:31" ht="15" thickBot="1" x14ac:dyDescent="0.25">
      <c r="A64" s="223" t="s">
        <v>145</v>
      </c>
      <c r="B64" s="224"/>
      <c r="C64" s="224"/>
      <c r="D64" s="224"/>
      <c r="E64" s="225"/>
      <c r="F64" s="113" t="s">
        <v>146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AA64" s="99"/>
      <c r="AB64" s="99"/>
      <c r="AC64" s="99"/>
      <c r="AD64" s="99"/>
      <c r="AE64" s="99"/>
    </row>
    <row r="65" spans="1:31" ht="22.5" customHeight="1" x14ac:dyDescent="0.2">
      <c r="A65" s="178" t="s">
        <v>144</v>
      </c>
      <c r="B65" s="179"/>
      <c r="C65" s="179"/>
      <c r="D65" s="179"/>
      <c r="E65" s="179"/>
      <c r="F65" s="16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AA65" s="99"/>
      <c r="AB65" s="99"/>
      <c r="AC65" s="99"/>
      <c r="AD65" s="99"/>
      <c r="AE65" s="99"/>
    </row>
    <row r="66" spans="1:31" ht="33" customHeight="1" x14ac:dyDescent="0.2">
      <c r="A66" s="178" t="s">
        <v>154</v>
      </c>
      <c r="B66" s="179"/>
      <c r="C66" s="179"/>
      <c r="D66" s="179"/>
      <c r="E66" s="179"/>
      <c r="F66" s="1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AA66" s="99"/>
      <c r="AB66" s="99"/>
      <c r="AC66" s="99"/>
      <c r="AD66" s="99"/>
      <c r="AE66" s="99"/>
    </row>
    <row r="67" spans="1:31" ht="21" customHeight="1" thickBot="1" x14ac:dyDescent="0.25">
      <c r="A67" s="178" t="s">
        <v>176</v>
      </c>
      <c r="B67" s="179"/>
      <c r="C67" s="179"/>
      <c r="D67" s="179"/>
      <c r="E67" s="179"/>
      <c r="F67" s="1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AA67" s="99"/>
      <c r="AB67" s="99"/>
      <c r="AC67" s="99"/>
      <c r="AD67" s="99"/>
      <c r="AE67" s="99"/>
    </row>
    <row r="68" spans="1:31" ht="18" x14ac:dyDescent="0.35">
      <c r="A68" s="71"/>
      <c r="B68" s="71"/>
      <c r="C68" s="71"/>
      <c r="D68" s="71"/>
      <c r="E68" s="71"/>
      <c r="F68" s="65" t="s">
        <v>150</v>
      </c>
      <c r="G68" s="67">
        <f>'Calcoli Foglio1'!F71</f>
        <v>0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AA68" s="99"/>
      <c r="AB68" s="99"/>
      <c r="AC68" s="99"/>
      <c r="AD68" s="99"/>
      <c r="AE68" s="99"/>
    </row>
    <row r="69" spans="1:31" ht="15" thickBot="1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AA69" s="99"/>
      <c r="AB69" s="99"/>
      <c r="AC69" s="99"/>
      <c r="AD69" s="99"/>
      <c r="AE69" s="99"/>
    </row>
    <row r="70" spans="1:31" ht="15" thickBot="1" x14ac:dyDescent="0.25">
      <c r="A70" s="127" t="s">
        <v>47</v>
      </c>
      <c r="B70" s="128"/>
      <c r="C70" s="129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AA70" s="99"/>
      <c r="AB70" s="99"/>
      <c r="AC70" s="99"/>
      <c r="AD70" s="99"/>
      <c r="AE70" s="99"/>
    </row>
    <row r="71" spans="1:31" ht="15" thickBo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AA71" s="99"/>
      <c r="AB71" s="99"/>
      <c r="AC71" s="99"/>
      <c r="AD71" s="99"/>
      <c r="AE71" s="99"/>
    </row>
    <row r="72" spans="1:31" ht="14.25" customHeight="1" x14ac:dyDescent="0.2">
      <c r="A72" s="163" t="s">
        <v>48</v>
      </c>
      <c r="B72" s="164"/>
      <c r="C72" s="164"/>
      <c r="D72" s="164"/>
      <c r="E72" s="165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AA72" s="99"/>
      <c r="AB72" s="99"/>
      <c r="AC72" s="99"/>
      <c r="AD72" s="99"/>
      <c r="AE72" s="99"/>
    </row>
    <row r="73" spans="1:31" x14ac:dyDescent="0.2">
      <c r="A73" s="130" t="s">
        <v>49</v>
      </c>
      <c r="B73" s="131"/>
      <c r="C73" s="131"/>
      <c r="D73" s="131"/>
      <c r="E73" s="114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AA73" s="99"/>
      <c r="AB73" s="99"/>
      <c r="AC73" s="99"/>
      <c r="AD73" s="99"/>
      <c r="AE73" s="99"/>
    </row>
    <row r="74" spans="1:31" ht="15" thickBot="1" x14ac:dyDescent="0.25">
      <c r="A74" s="132" t="s">
        <v>50</v>
      </c>
      <c r="B74" s="133"/>
      <c r="C74" s="133"/>
      <c r="D74" s="133"/>
      <c r="E74" s="104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AA74" s="99"/>
      <c r="AB74" s="99"/>
      <c r="AC74" s="99"/>
      <c r="AD74" s="99"/>
      <c r="AE74" s="99"/>
    </row>
    <row r="75" spans="1:3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AA75" s="99"/>
      <c r="AB75" s="99"/>
      <c r="AC75" s="99"/>
      <c r="AD75" s="99"/>
      <c r="AE75" s="99"/>
    </row>
    <row r="76" spans="1:31" ht="18" x14ac:dyDescent="0.35">
      <c r="A76" s="71"/>
      <c r="B76" s="71"/>
      <c r="C76" s="71"/>
      <c r="D76" s="71"/>
      <c r="E76" s="71"/>
      <c r="F76" s="36" t="s">
        <v>80</v>
      </c>
      <c r="G76" s="2">
        <f>'Calcoli Foglio1'!F79</f>
        <v>0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AA76" s="99"/>
      <c r="AB76" s="99"/>
      <c r="AC76" s="99"/>
      <c r="AD76" s="99"/>
      <c r="AE76" s="99"/>
    </row>
    <row r="77" spans="1:3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AA77" s="99"/>
      <c r="AB77" s="99"/>
      <c r="AC77" s="99"/>
      <c r="AD77" s="99"/>
      <c r="AE77" s="99"/>
    </row>
    <row r="78" spans="1:31" ht="15" thickBot="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AA78" s="99"/>
      <c r="AB78" s="99"/>
      <c r="AC78" s="99"/>
      <c r="AD78" s="99"/>
      <c r="AE78" s="99"/>
    </row>
    <row r="79" spans="1:31" ht="15" thickBot="1" x14ac:dyDescent="0.25">
      <c r="A79" s="127" t="s">
        <v>51</v>
      </c>
      <c r="B79" s="128"/>
      <c r="C79" s="129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AA79" s="99"/>
      <c r="AB79" s="99"/>
      <c r="AC79" s="99"/>
      <c r="AD79" s="99"/>
      <c r="AE79" s="99"/>
    </row>
    <row r="80" spans="1:31" ht="15" thickBo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AA80" s="99"/>
      <c r="AB80" s="99"/>
      <c r="AC80" s="99"/>
      <c r="AD80" s="99"/>
      <c r="AE80" s="99"/>
    </row>
    <row r="81" spans="1:31" ht="14.25" customHeight="1" x14ac:dyDescent="0.2">
      <c r="A81" s="163" t="s">
        <v>84</v>
      </c>
      <c r="B81" s="164"/>
      <c r="C81" s="164"/>
      <c r="D81" s="164"/>
      <c r="E81" s="165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AA81" s="99"/>
      <c r="AB81" s="99"/>
      <c r="AC81" s="99"/>
      <c r="AD81" s="99"/>
      <c r="AE81" s="99"/>
    </row>
    <row r="82" spans="1:31" x14ac:dyDescent="0.2">
      <c r="A82" s="130" t="s">
        <v>52</v>
      </c>
      <c r="B82" s="131"/>
      <c r="C82" s="131"/>
      <c r="D82" s="131"/>
      <c r="E82" s="125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AA82" s="99"/>
      <c r="AB82" s="99"/>
      <c r="AC82" s="99"/>
      <c r="AD82" s="99"/>
      <c r="AE82" s="99"/>
    </row>
    <row r="83" spans="1:31" ht="15" thickBot="1" x14ac:dyDescent="0.25">
      <c r="A83" s="132" t="s">
        <v>53</v>
      </c>
      <c r="B83" s="133"/>
      <c r="C83" s="133"/>
      <c r="D83" s="133"/>
      <c r="E83" s="126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AA83" s="99"/>
      <c r="AB83" s="99"/>
      <c r="AC83" s="99"/>
      <c r="AD83" s="99"/>
      <c r="AE83" s="99"/>
    </row>
    <row r="84" spans="1:3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AA84" s="99"/>
      <c r="AB84" s="99"/>
      <c r="AC84" s="99"/>
      <c r="AD84" s="99"/>
      <c r="AE84" s="99"/>
    </row>
    <row r="85" spans="1:31" ht="18" x14ac:dyDescent="0.35">
      <c r="A85" s="71"/>
      <c r="B85" s="71"/>
      <c r="C85" s="71"/>
      <c r="D85" s="71"/>
      <c r="E85" s="71"/>
      <c r="F85" s="36" t="s">
        <v>88</v>
      </c>
      <c r="G85" s="2">
        <f>'Calcoli Foglio1'!F87</f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AA85" s="99"/>
      <c r="AB85" s="99"/>
      <c r="AC85" s="99"/>
      <c r="AD85" s="99"/>
      <c r="AE85" s="99"/>
    </row>
    <row r="86" spans="1:3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AA86" s="99"/>
      <c r="AB86" s="99"/>
      <c r="AC86" s="99"/>
      <c r="AD86" s="99"/>
      <c r="AE86" s="99"/>
    </row>
    <row r="87" spans="1:31" x14ac:dyDescent="0.2">
      <c r="A87" s="71"/>
      <c r="B87" s="71"/>
      <c r="C87" s="71"/>
      <c r="D87" s="71"/>
      <c r="E87" s="71"/>
      <c r="F87" s="36" t="s">
        <v>57</v>
      </c>
      <c r="G87" s="2">
        <f>'Calcoli Foglio1'!F91</f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AA87" s="99"/>
      <c r="AB87" s="99"/>
      <c r="AC87" s="99"/>
      <c r="AD87" s="99"/>
      <c r="AE87" s="99"/>
    </row>
    <row r="88" spans="1:3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AA88" s="99"/>
      <c r="AB88" s="99"/>
      <c r="AC88" s="99"/>
      <c r="AD88" s="99"/>
      <c r="AE88" s="99"/>
    </row>
    <row r="89" spans="1:3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AA89" s="99"/>
      <c r="AB89" s="99"/>
      <c r="AC89" s="99"/>
      <c r="AD89" s="99"/>
      <c r="AE89" s="99"/>
    </row>
    <row r="90" spans="1:31" ht="15" thickBo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AA90" s="99"/>
      <c r="AB90" s="99"/>
      <c r="AC90" s="99"/>
      <c r="AD90" s="99"/>
      <c r="AE90" s="99"/>
    </row>
    <row r="91" spans="1:31" ht="15" thickBot="1" x14ac:dyDescent="0.25">
      <c r="A91" s="127" t="s">
        <v>58</v>
      </c>
      <c r="B91" s="128"/>
      <c r="C91" s="129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AA91" s="99"/>
      <c r="AB91" s="99"/>
      <c r="AC91" s="99"/>
      <c r="AD91" s="99"/>
      <c r="AE91" s="99"/>
    </row>
    <row r="92" spans="1:3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AA92" s="99"/>
      <c r="AB92" s="99"/>
      <c r="AC92" s="99"/>
      <c r="AD92" s="99"/>
      <c r="AE92" s="99"/>
    </row>
    <row r="93" spans="1:31" ht="15.75" customHeight="1" x14ac:dyDescent="0.2">
      <c r="A93" s="120" t="s">
        <v>65</v>
      </c>
      <c r="B93" s="119">
        <f>'Calcoli Foglio1'!H96</f>
        <v>0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AA93" s="99"/>
      <c r="AB93" s="99"/>
      <c r="AC93" s="99"/>
      <c r="AD93" s="99"/>
      <c r="AE93" s="99"/>
    </row>
    <row r="94" spans="1:31" ht="15.75" customHeight="1" x14ac:dyDescent="0.2">
      <c r="A94" s="120" t="s">
        <v>66</v>
      </c>
      <c r="B94" s="119">
        <f>'Calcoli Foglio1'!F109</f>
        <v>1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AA94" s="99"/>
      <c r="AB94" s="99"/>
      <c r="AC94" s="99"/>
      <c r="AD94" s="99"/>
      <c r="AE94" s="99"/>
    </row>
    <row r="95" spans="1:31" ht="15.75" customHeight="1" x14ac:dyDescent="0.2">
      <c r="A95" s="120" t="s">
        <v>67</v>
      </c>
      <c r="B95" s="119">
        <f>'Calcoli Foglio1'!F110</f>
        <v>1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AA95" s="99"/>
      <c r="AB95" s="99"/>
      <c r="AC95" s="99"/>
      <c r="AD95" s="99"/>
      <c r="AE95" s="99"/>
    </row>
    <row r="96" spans="1:31" ht="15.75" customHeight="1" x14ac:dyDescent="0.2">
      <c r="A96" s="120" t="s">
        <v>151</v>
      </c>
      <c r="B96" s="119">
        <f>'Calcoli Foglio1'!G100</f>
        <v>1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AA96" s="99"/>
      <c r="AB96" s="99"/>
      <c r="AC96" s="99"/>
      <c r="AD96" s="99"/>
      <c r="AE96" s="99"/>
    </row>
    <row r="97" spans="1:31" ht="15" thickBot="1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AA97" s="99"/>
      <c r="AB97" s="99"/>
      <c r="AC97" s="99"/>
      <c r="AD97" s="99"/>
      <c r="AE97" s="99"/>
    </row>
    <row r="98" spans="1:31" ht="15" thickBot="1" x14ac:dyDescent="0.25">
      <c r="A98" s="127" t="s">
        <v>73</v>
      </c>
      <c r="B98" s="128"/>
      <c r="C98" s="129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AA98" s="99"/>
      <c r="AB98" s="99"/>
      <c r="AC98" s="99"/>
      <c r="AD98" s="99"/>
      <c r="AE98" s="99"/>
    </row>
    <row r="99" spans="1:3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AA99" s="99"/>
      <c r="AB99" s="99"/>
      <c r="AC99" s="99"/>
      <c r="AD99" s="99"/>
      <c r="AE99" s="99"/>
    </row>
    <row r="100" spans="1:31" x14ac:dyDescent="0.2">
      <c r="A100" s="37" t="s">
        <v>74</v>
      </c>
      <c r="B100" s="35">
        <f>'Calcoli Foglio1'!B116</f>
        <v>0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AA100" s="99"/>
      <c r="AB100" s="99"/>
      <c r="AC100" s="99"/>
      <c r="AD100" s="99"/>
      <c r="AE100" s="99"/>
    </row>
    <row r="101" spans="1:3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AA101" s="99"/>
      <c r="AB101" s="99"/>
      <c r="AC101" s="99"/>
      <c r="AD101" s="99"/>
      <c r="AE101" s="99"/>
    </row>
    <row r="102" spans="1:31" ht="29.25" customHeight="1" x14ac:dyDescent="0.2">
      <c r="A102" s="33" t="s">
        <v>75</v>
      </c>
      <c r="B102" s="35">
        <f>'Calcoli Foglio1'!B123</f>
        <v>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AA102" s="99"/>
      <c r="AB102" s="99"/>
      <c r="AC102" s="99"/>
      <c r="AD102" s="99"/>
      <c r="AE102" s="99"/>
    </row>
    <row r="103" spans="1:31" x14ac:dyDescent="0.2">
      <c r="A103" s="71"/>
      <c r="B103" s="71"/>
      <c r="C103" s="71"/>
      <c r="D103" s="71"/>
      <c r="E103" s="75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AA103" s="99"/>
      <c r="AB103" s="99"/>
      <c r="AC103" s="99"/>
      <c r="AD103" s="99"/>
      <c r="AE103" s="99"/>
    </row>
    <row r="104" spans="1:31" x14ac:dyDescent="0.2">
      <c r="A104" s="71"/>
      <c r="B104" s="71"/>
      <c r="C104" s="71"/>
      <c r="D104" s="71"/>
      <c r="E104" s="75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AA104" s="99"/>
      <c r="AB104" s="99"/>
      <c r="AC104" s="99"/>
      <c r="AD104" s="99"/>
      <c r="AE104" s="99"/>
    </row>
    <row r="105" spans="1:31" ht="15" thickBot="1" x14ac:dyDescent="0.25">
      <c r="A105" s="71"/>
      <c r="B105" s="71"/>
      <c r="C105" s="71"/>
      <c r="D105" s="71"/>
      <c r="E105" s="75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AA105" s="99"/>
      <c r="AB105" s="99"/>
      <c r="AC105" s="99"/>
      <c r="AD105" s="99"/>
      <c r="AE105" s="99"/>
    </row>
    <row r="106" spans="1:31" ht="15.75" customHeight="1" thickBot="1" x14ac:dyDescent="0.25">
      <c r="A106" s="127" t="s">
        <v>170</v>
      </c>
      <c r="B106" s="128"/>
      <c r="C106" s="128"/>
      <c r="D106" s="128"/>
      <c r="E106" s="128"/>
      <c r="F106" s="12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AA106" s="99"/>
      <c r="AB106" s="99"/>
      <c r="AC106" s="99"/>
      <c r="AD106" s="99"/>
      <c r="AE106" s="99"/>
    </row>
    <row r="107" spans="1:31" ht="15.75" customHeight="1" x14ac:dyDescent="0.2">
      <c r="A107" s="226" t="s">
        <v>171</v>
      </c>
      <c r="B107" s="227"/>
      <c r="C107" s="227"/>
      <c r="D107" s="227"/>
      <c r="E107" s="227"/>
      <c r="F107" s="12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AA107" s="99"/>
      <c r="AB107" s="99"/>
      <c r="AC107" s="99"/>
      <c r="AD107" s="99"/>
      <c r="AE107" s="99"/>
    </row>
    <row r="108" spans="1:3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AA108" s="99"/>
      <c r="AB108" s="99"/>
      <c r="AC108" s="99"/>
      <c r="AD108" s="99"/>
      <c r="AE108" s="99"/>
    </row>
    <row r="109" spans="1:31" ht="15" thickBot="1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AA109" s="99"/>
      <c r="AB109" s="99"/>
      <c r="AC109" s="99"/>
      <c r="AD109" s="99"/>
      <c r="AE109" s="99"/>
    </row>
    <row r="110" spans="1:31" ht="15" customHeight="1" x14ac:dyDescent="0.2">
      <c r="A110" s="219" t="s">
        <v>165</v>
      </c>
      <c r="B110" s="220"/>
      <c r="C110" s="220"/>
      <c r="D110" s="215">
        <f>'Calcoli Foglio1'!C130</f>
        <v>0</v>
      </c>
      <c r="E110" s="216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AA110" s="99"/>
      <c r="AB110" s="99"/>
      <c r="AC110" s="99"/>
      <c r="AD110" s="99"/>
      <c r="AE110" s="99"/>
    </row>
    <row r="111" spans="1:31" ht="15" customHeight="1" thickBot="1" x14ac:dyDescent="0.25">
      <c r="A111" s="221"/>
      <c r="B111" s="222"/>
      <c r="C111" s="222"/>
      <c r="D111" s="217"/>
      <c r="E111" s="218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AA111" s="99"/>
      <c r="AB111" s="99"/>
      <c r="AC111" s="99"/>
      <c r="AD111" s="99"/>
      <c r="AE111" s="99"/>
    </row>
    <row r="112" spans="1:31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</row>
    <row r="113" spans="1:31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</row>
    <row r="114" spans="1:31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</row>
    <row r="115" spans="1:31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</row>
    <row r="116" spans="1:31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</row>
    <row r="117" spans="1:31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</row>
    <row r="118" spans="1:31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</row>
    <row r="119" spans="1:31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</row>
    <row r="120" spans="1:31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</row>
    <row r="121" spans="1:31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</row>
    <row r="122" spans="1:31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</row>
    <row r="123" spans="1:31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</row>
    <row r="124" spans="1:31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</row>
    <row r="125" spans="1:31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</row>
    <row r="126" spans="1:3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</row>
    <row r="127" spans="1:31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</row>
    <row r="128" spans="1:31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</row>
    <row r="129" spans="1:31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</row>
    <row r="130" spans="1:31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</row>
    <row r="131" spans="1:31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</row>
    <row r="132" spans="1:31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</row>
    <row r="133" spans="1:31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</row>
    <row r="134" spans="1:31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</row>
    <row r="135" spans="1:31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</row>
    <row r="136" spans="1:31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</row>
    <row r="137" spans="1:31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</row>
    <row r="138" spans="1:31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</row>
    <row r="139" spans="1:31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</row>
    <row r="140" spans="1:31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</row>
    <row r="141" spans="1:31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</row>
    <row r="142" spans="1:31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</row>
    <row r="143" spans="1:31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</row>
    <row r="144" spans="1:31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</row>
    <row r="145" spans="1:31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</row>
    <row r="146" spans="1:31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</row>
    <row r="147" spans="1:31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</row>
    <row r="148" spans="1:31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</row>
    <row r="149" spans="1:31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</row>
    <row r="150" spans="1:31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</row>
    <row r="151" spans="1:31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</row>
    <row r="152" spans="1:31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</row>
    <row r="153" spans="1:31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</row>
    <row r="154" spans="1:31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</row>
    <row r="155" spans="1:31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</row>
    <row r="156" spans="1:3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</row>
    <row r="157" spans="1:31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</row>
    <row r="158" spans="1:31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</row>
    <row r="159" spans="1:31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</row>
    <row r="160" spans="1:31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</row>
    <row r="161" spans="1:31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</row>
    <row r="162" spans="1:31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</row>
    <row r="163" spans="1:31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</row>
    <row r="164" spans="1:31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</row>
    <row r="165" spans="1:31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</row>
    <row r="166" spans="1:31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</row>
    <row r="167" spans="1:31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</row>
    <row r="168" spans="1:31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</row>
    <row r="169" spans="1:31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</row>
    <row r="170" spans="1:31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</row>
    <row r="171" spans="1:31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</row>
    <row r="172" spans="1:31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</row>
    <row r="173" spans="1:31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</row>
    <row r="174" spans="1:31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</row>
    <row r="175" spans="1:31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</row>
    <row r="176" spans="1:31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</row>
    <row r="177" spans="1:31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</row>
    <row r="178" spans="1:31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</row>
    <row r="179" spans="1:31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</row>
    <row r="180" spans="1:31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</row>
    <row r="181" spans="1:31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</row>
    <row r="182" spans="1:31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</row>
    <row r="183" spans="1:31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</row>
    <row r="184" spans="1:31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</row>
    <row r="185" spans="1:31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</row>
    <row r="186" spans="1:31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</row>
    <row r="187" spans="1:31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</row>
    <row r="188" spans="1:31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</row>
    <row r="189" spans="1:31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</row>
    <row r="190" spans="1:31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</row>
    <row r="191" spans="1:31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</row>
    <row r="192" spans="1:31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</row>
    <row r="193" spans="1:31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</row>
    <row r="194" spans="1:31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</row>
    <row r="195" spans="1:31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</row>
    <row r="196" spans="1:31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</row>
    <row r="197" spans="1:31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</row>
    <row r="198" spans="1:31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</row>
    <row r="199" spans="1:31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</row>
    <row r="200" spans="1:31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</row>
    <row r="201" spans="1:31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</row>
    <row r="202" spans="1:31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</row>
    <row r="203" spans="1:31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</row>
    <row r="204" spans="1:31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</row>
    <row r="205" spans="1:31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</row>
    <row r="206" spans="1:31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</row>
    <row r="207" spans="1:31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</row>
    <row r="208" spans="1:31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</row>
    <row r="209" spans="1:31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</row>
    <row r="210" spans="1:31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</row>
    <row r="211" spans="1:31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</row>
    <row r="212" spans="1:31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</row>
    <row r="213" spans="1:31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</row>
    <row r="214" spans="1:31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</row>
    <row r="215" spans="1:31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</row>
    <row r="216" spans="1:31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</row>
    <row r="217" spans="1:31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</row>
    <row r="218" spans="1:31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</row>
    <row r="219" spans="1:31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</row>
    <row r="220" spans="1:31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</row>
    <row r="221" spans="1:31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</row>
    <row r="222" spans="1:31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</row>
    <row r="223" spans="1:31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</row>
    <row r="224" spans="1:31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</row>
    <row r="225" spans="1:31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</row>
    <row r="226" spans="1:31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</row>
    <row r="227" spans="1:31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</row>
    <row r="228" spans="1:31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</row>
    <row r="229" spans="1:31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</row>
  </sheetData>
  <sheetProtection selectLockedCells="1"/>
  <protectedRanges>
    <protectedRange sqref="H17" name="Intervallo2"/>
    <protectedRange sqref="C15:C21" name="Intervallo1"/>
  </protectedRanges>
  <mergeCells count="69">
    <mergeCell ref="D110:E111"/>
    <mergeCell ref="A17:B17"/>
    <mergeCell ref="A110:C111"/>
    <mergeCell ref="A79:C79"/>
    <mergeCell ref="A57:D57"/>
    <mergeCell ref="A64:E64"/>
    <mergeCell ref="A65:E65"/>
    <mergeCell ref="A66:E66"/>
    <mergeCell ref="A58:D58"/>
    <mergeCell ref="A59:D59"/>
    <mergeCell ref="A107:E107"/>
    <mergeCell ref="A28:C28"/>
    <mergeCell ref="A30:F30"/>
    <mergeCell ref="A70:C70"/>
    <mergeCell ref="A72:E72"/>
    <mergeCell ref="A73:D73"/>
    <mergeCell ref="A15:B15"/>
    <mergeCell ref="A54:D54"/>
    <mergeCell ref="A55:D55"/>
    <mergeCell ref="E25:G25"/>
    <mergeCell ref="E24:G24"/>
    <mergeCell ref="A19:B19"/>
    <mergeCell ref="A20:B20"/>
    <mergeCell ref="A32:F32"/>
    <mergeCell ref="A33:F33"/>
    <mergeCell ref="A42:C42"/>
    <mergeCell ref="A34:F34"/>
    <mergeCell ref="F19:G19"/>
    <mergeCell ref="F20:G20"/>
    <mergeCell ref="J17:R20"/>
    <mergeCell ref="E23:H23"/>
    <mergeCell ref="H17:H20"/>
    <mergeCell ref="F18:G18"/>
    <mergeCell ref="J13:R14"/>
    <mergeCell ref="J23:R26"/>
    <mergeCell ref="A74:D74"/>
    <mergeCell ref="A53:E53"/>
    <mergeCell ref="F65:F67"/>
    <mergeCell ref="G31:G34"/>
    <mergeCell ref="A56:D56"/>
    <mergeCell ref="A67:E67"/>
    <mergeCell ref="A41:C41"/>
    <mergeCell ref="A45:C45"/>
    <mergeCell ref="A47:C47"/>
    <mergeCell ref="A51:C51"/>
    <mergeCell ref="A39:C39"/>
    <mergeCell ref="A48:C48"/>
    <mergeCell ref="A31:F31"/>
    <mergeCell ref="A106:F106"/>
    <mergeCell ref="A1:I1"/>
    <mergeCell ref="A2:I2"/>
    <mergeCell ref="A3:I3"/>
    <mergeCell ref="A5:I6"/>
    <mergeCell ref="A21:B21"/>
    <mergeCell ref="A9:F9"/>
    <mergeCell ref="A10:F10"/>
    <mergeCell ref="A11:G12"/>
    <mergeCell ref="F17:G17"/>
    <mergeCell ref="A18:B18"/>
    <mergeCell ref="A14:C14"/>
    <mergeCell ref="E16:H16"/>
    <mergeCell ref="A16:B16"/>
    <mergeCell ref="A81:E81"/>
    <mergeCell ref="A8:G8"/>
    <mergeCell ref="E82:E83"/>
    <mergeCell ref="A98:C98"/>
    <mergeCell ref="A91:C91"/>
    <mergeCell ref="A82:D82"/>
    <mergeCell ref="A83:D83"/>
  </mergeCells>
  <phoneticPr fontId="0" type="noConversion"/>
  <conditionalFormatting sqref="E73:E74 E54:E59 E82:E83 F65 F107 C20 H24:H25 D42 D47:D48 G31">
    <cfRule type="notContainsBlanks" dxfId="3" priority="33" stopIfTrue="1">
      <formula>LEN(TRIM(C20))&gt;0</formula>
    </cfRule>
  </conditionalFormatting>
  <conditionalFormatting sqref="D41:D42 D47:D48">
    <cfRule type="cellIs" dxfId="2" priority="30" stopIfTrue="1" operator="greaterThan">
      <formula>0</formula>
    </cfRule>
  </conditionalFormatting>
  <conditionalFormatting sqref="H17:H20">
    <cfRule type="notContainsBlanks" dxfId="1" priority="8" stopIfTrue="1">
      <formula>LEN(TRIM(H17))&gt;0</formula>
    </cfRule>
  </conditionalFormatting>
  <conditionalFormatting sqref="C21">
    <cfRule type="notContainsBlanks" dxfId="0" priority="1" stopIfTrue="1">
      <formula>LEN(TRIM(C21))&gt;0</formula>
    </cfRule>
  </conditionalFormatting>
  <dataValidations count="5">
    <dataValidation type="list" allowBlank="1" showInputMessage="1" showErrorMessage="1" sqref="E73:E74 H24:H25 E54:E59">
      <formula1>SI_NO</formula1>
    </dataValidation>
    <dataValidation type="list" allowBlank="1" showInputMessage="1" showErrorMessage="1" sqref="E82:E83">
      <formula1>Domanda</formula1>
    </dataValidation>
    <dataValidation type="list" allowBlank="1" showInputMessage="1" showErrorMessage="1" sqref="F65:F67">
      <formula1>Rifiuti</formula1>
    </dataValidation>
    <dataValidation type="list" allowBlank="1" showInputMessage="1" showErrorMessage="1" sqref="H17:H20">
      <formula1>TipoISTR</formula1>
    </dataValidation>
    <dataValidation type="list" allowBlank="1" showInputMessage="1" showErrorMessage="1" sqref="G31:G34">
      <formula1>Tipo_IMP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0" orientation="portrait" r:id="rId1"/>
  <rowBreaks count="1" manualBreakCount="1">
    <brk id="7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'Calcoli Foglio1'!$A$135:$A$143</xm:f>
          </x14:formula1>
          <xm:sqref>C20</xm:sqref>
        </x14:dataValidation>
        <x14:dataValidation type="list" allowBlank="1" showInputMessage="1" showErrorMessage="1">
          <x14:formula1>
            <xm:f>'Calcoli Foglio1'!$K$135:$K$164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8"/>
  <sheetViews>
    <sheetView zoomScale="75" zoomScaleNormal="75" workbookViewId="0">
      <selection activeCell="I10" sqref="I10"/>
    </sheetView>
  </sheetViews>
  <sheetFormatPr defaultRowHeight="14.25" x14ac:dyDescent="0.2"/>
  <cols>
    <col min="1" max="1" width="26" style="4" customWidth="1"/>
    <col min="2" max="2" width="12.3984375" style="4" customWidth="1"/>
    <col min="3" max="3" width="16.3984375" style="4" customWidth="1"/>
    <col min="4" max="4" width="12" style="4" customWidth="1"/>
    <col min="5" max="5" width="15.296875" style="4" customWidth="1"/>
    <col min="6" max="6" width="11.796875" style="4" customWidth="1"/>
    <col min="7" max="7" width="15.796875" style="4" customWidth="1"/>
    <col min="8" max="8" width="20.19921875" style="4" customWidth="1"/>
    <col min="9" max="9" width="11.09765625" style="4" customWidth="1"/>
    <col min="10" max="10" width="8.796875" style="4"/>
    <col min="11" max="11" width="20" style="4" customWidth="1"/>
    <col min="12" max="16384" width="8.796875" style="4"/>
  </cols>
  <sheetData>
    <row r="3" spans="1:9" ht="20.25" x14ac:dyDescent="0.35">
      <c r="A3" s="3" t="s">
        <v>1</v>
      </c>
    </row>
    <row r="5" spans="1:9" x14ac:dyDescent="0.2">
      <c r="A5" s="231" t="s">
        <v>0</v>
      </c>
      <c r="B5" s="232"/>
      <c r="C5" s="232"/>
      <c r="D5" s="232"/>
      <c r="E5" s="232"/>
      <c r="F5" s="233"/>
      <c r="G5" s="4" t="s">
        <v>2</v>
      </c>
      <c r="H5" s="62" t="s">
        <v>152</v>
      </c>
    </row>
    <row r="6" spans="1:9" x14ac:dyDescent="0.2">
      <c r="A6" s="234" t="s">
        <v>131</v>
      </c>
      <c r="B6" s="234"/>
      <c r="C6" s="234"/>
      <c r="D6" s="234"/>
      <c r="E6" s="234"/>
      <c r="F6" s="234"/>
      <c r="G6" s="4">
        <f>IF('Foglio 1 - TARIFFA ISTRUTTORIA'!G31=1,2000,)</f>
        <v>0</v>
      </c>
      <c r="H6" s="5">
        <f>IF(AND('Foglio 1 - TARIFFA ISTRUTTORIA'!G31=1,'Foglio 1 - TARIFFA ISTRUTTORIA'!H17=4),1200,0)</f>
        <v>0</v>
      </c>
    </row>
    <row r="7" spans="1:9" x14ac:dyDescent="0.2">
      <c r="A7" s="234" t="s">
        <v>132</v>
      </c>
      <c r="B7" s="234"/>
      <c r="C7" s="234"/>
      <c r="D7" s="234"/>
      <c r="E7" s="234"/>
      <c r="F7" s="234"/>
      <c r="G7" s="62">
        <f>IF('Foglio 1 - TARIFFA ISTRUTTORIA'!G31=2,1500,)</f>
        <v>0</v>
      </c>
      <c r="H7" s="5">
        <f>IF(('Foglio 1 - TARIFFA ISTRUTTORIA'!G31=2)*AND('Foglio 1 - TARIFFA ISTRUTTORIA'!H17=4),1000,0)</f>
        <v>0</v>
      </c>
    </row>
    <row r="8" spans="1:9" x14ac:dyDescent="0.2">
      <c r="A8" s="234" t="s">
        <v>133</v>
      </c>
      <c r="B8" s="234"/>
      <c r="C8" s="234"/>
      <c r="D8" s="234"/>
      <c r="E8" s="234"/>
      <c r="F8" s="234"/>
      <c r="G8" s="62">
        <f>IF('Foglio 1 - TARIFFA ISTRUTTORIA'!G31=3,1000,)</f>
        <v>0</v>
      </c>
      <c r="H8" s="5">
        <f>IF(('Foglio 1 - TARIFFA ISTRUTTORIA'!G31=3)*AND('Foglio 1 - TARIFFA ISTRUTTORIA'!H17=4),500,0)</f>
        <v>0</v>
      </c>
    </row>
    <row r="9" spans="1:9" s="61" customFormat="1" x14ac:dyDescent="0.2">
      <c r="A9" s="234" t="s">
        <v>134</v>
      </c>
      <c r="B9" s="234"/>
      <c r="C9" s="234"/>
      <c r="D9" s="234"/>
      <c r="E9" s="234"/>
      <c r="F9" s="234"/>
      <c r="G9" s="62">
        <f>IF('Foglio 1 - TARIFFA ISTRUTTORIA'!G31=4,500,)</f>
        <v>0</v>
      </c>
      <c r="H9" s="5">
        <f>IF(('Foglio 1 - TARIFFA ISTRUTTORIA'!G31=4)*AND('Foglio 1 - TARIFFA ISTRUTTORIA'!H17=4),250,0)</f>
        <v>0</v>
      </c>
    </row>
    <row r="10" spans="1:9" ht="18" x14ac:dyDescent="0.35">
      <c r="F10" s="64" t="s">
        <v>3</v>
      </c>
      <c r="G10" s="5">
        <f>SUM(G6:G9)</f>
        <v>0</v>
      </c>
      <c r="H10" s="5">
        <f>SUM(H6:H9)</f>
        <v>0</v>
      </c>
      <c r="I10" s="63">
        <f>IF('Foglio 1 - TARIFFA ISTRUTTORIA'!$H$17=4,'Calcoli Foglio1'!H10,'Calcoli Foglio1'!G10)</f>
        <v>0</v>
      </c>
    </row>
    <row r="13" spans="1:9" ht="20.25" x14ac:dyDescent="0.35">
      <c r="A13" s="3" t="s">
        <v>4</v>
      </c>
    </row>
    <row r="15" spans="1:9" x14ac:dyDescent="0.2">
      <c r="A15" s="238" t="s">
        <v>5</v>
      </c>
      <c r="B15" s="238"/>
      <c r="C15" s="238"/>
      <c r="D15" s="8">
        <f>'Foglio 1 - TARIFFA ISTRUTTORIA'!D41</f>
        <v>0</v>
      </c>
    </row>
    <row r="16" spans="1:9" x14ac:dyDescent="0.2">
      <c r="A16" s="238" t="s">
        <v>6</v>
      </c>
      <c r="B16" s="238"/>
      <c r="C16" s="238"/>
      <c r="D16" s="8">
        <f>'Foglio 1 - TARIFFA ISTRUTTORIA'!D42</f>
        <v>0</v>
      </c>
    </row>
    <row r="18" spans="1:7" x14ac:dyDescent="0.2">
      <c r="A18" s="236" t="s">
        <v>18</v>
      </c>
      <c r="B18" s="235" t="s">
        <v>17</v>
      </c>
      <c r="C18" s="235"/>
      <c r="D18" s="235"/>
      <c r="E18" s="235"/>
      <c r="F18" s="235"/>
      <c r="G18" s="235"/>
    </row>
    <row r="19" spans="1:7" x14ac:dyDescent="0.2">
      <c r="A19" s="237"/>
      <c r="B19" s="9">
        <v>1</v>
      </c>
      <c r="C19" s="9" t="s">
        <v>12</v>
      </c>
      <c r="D19" s="9" t="s">
        <v>13</v>
      </c>
      <c r="E19" s="9" t="s">
        <v>14</v>
      </c>
      <c r="F19" s="9" t="s">
        <v>15</v>
      </c>
      <c r="G19" s="9" t="s">
        <v>16</v>
      </c>
    </row>
    <row r="20" spans="1:7" x14ac:dyDescent="0.2">
      <c r="A20" s="10" t="s">
        <v>11</v>
      </c>
      <c r="B20" s="235">
        <v>200</v>
      </c>
      <c r="C20" s="235"/>
      <c r="D20" s="235"/>
      <c r="E20" s="235"/>
      <c r="F20" s="235"/>
      <c r="G20" s="235"/>
    </row>
    <row r="21" spans="1:7" x14ac:dyDescent="0.2">
      <c r="A21" s="10" t="s">
        <v>7</v>
      </c>
      <c r="B21" s="10">
        <v>800</v>
      </c>
      <c r="C21" s="10">
        <v>1250</v>
      </c>
      <c r="D21" s="10">
        <v>2000</v>
      </c>
      <c r="E21" s="10">
        <v>3000</v>
      </c>
      <c r="F21" s="10">
        <v>4500</v>
      </c>
      <c r="G21" s="10">
        <v>12000</v>
      </c>
    </row>
    <row r="22" spans="1:7" x14ac:dyDescent="0.2">
      <c r="A22" s="10" t="s">
        <v>8</v>
      </c>
      <c r="B22" s="10">
        <v>1500</v>
      </c>
      <c r="C22" s="10">
        <v>2500</v>
      </c>
      <c r="D22" s="10">
        <v>4000</v>
      </c>
      <c r="E22" s="10">
        <v>5000</v>
      </c>
      <c r="F22" s="10">
        <v>7000</v>
      </c>
      <c r="G22" s="10">
        <v>20000</v>
      </c>
    </row>
    <row r="23" spans="1:7" x14ac:dyDescent="0.2">
      <c r="A23" s="10" t="s">
        <v>9</v>
      </c>
      <c r="B23" s="10">
        <v>3000</v>
      </c>
      <c r="C23" s="10">
        <v>7500</v>
      </c>
      <c r="D23" s="10">
        <v>12000</v>
      </c>
      <c r="E23" s="10">
        <v>16500</v>
      </c>
      <c r="F23" s="10">
        <v>20000</v>
      </c>
      <c r="G23" s="10">
        <v>33000</v>
      </c>
    </row>
    <row r="24" spans="1:7" x14ac:dyDescent="0.2">
      <c r="A24" s="10" t="s">
        <v>10</v>
      </c>
      <c r="B24" s="10">
        <v>3500</v>
      </c>
      <c r="C24" s="10">
        <v>8000</v>
      </c>
      <c r="D24" s="10">
        <v>16000</v>
      </c>
      <c r="E24" s="10">
        <v>30000</v>
      </c>
      <c r="F24" s="10">
        <v>34000</v>
      </c>
      <c r="G24" s="10">
        <v>49000</v>
      </c>
    </row>
    <row r="25" spans="1:7" x14ac:dyDescent="0.2">
      <c r="B25" s="4">
        <f>IF(AND($D$16=0,D15&gt;0),200,0)</f>
        <v>0</v>
      </c>
      <c r="C25" s="4">
        <f>IF($D$15=0,0,0)</f>
        <v>0</v>
      </c>
    </row>
    <row r="26" spans="1:7" x14ac:dyDescent="0.2">
      <c r="B26" s="4">
        <f>IF(AND($D$15=1,$D$16&gt;=1,$D$16&lt;5),800,0)</f>
        <v>0</v>
      </c>
      <c r="C26" s="4">
        <f>IF(AND($D$15&gt;=2,$D$15&lt;4,$D$16&gt;=1,$D$16&lt;5),1250,0)</f>
        <v>0</v>
      </c>
      <c r="D26" s="4">
        <f>IF(AND($D$15&gt;=4,$D$15&lt;9,$D$16&gt;=1,$D$16&lt;5),2000,0)</f>
        <v>0</v>
      </c>
      <c r="E26" s="4">
        <f>IF(AND($D$15&gt;=9,$D$15&lt;21,$D$16&gt;=1,$D$16&lt;5),3000,0)</f>
        <v>0</v>
      </c>
      <c r="F26" s="4">
        <f>IF(AND($D$15&gt;=21,$D$15&lt;61,$D$16&gt;=1,$D$16&lt;5),4500,0)</f>
        <v>0</v>
      </c>
      <c r="G26" s="4">
        <f>IF(AND($D$15&gt;=61,$D$16&gt;=1,$D$16&lt;5),12000,0)</f>
        <v>0</v>
      </c>
    </row>
    <row r="27" spans="1:7" x14ac:dyDescent="0.2">
      <c r="B27" s="4">
        <f>IF(AND(D15=1,D16&gt;=5,D16&lt;11),1500,0)</f>
        <v>0</v>
      </c>
      <c r="C27" s="4">
        <f>IF(AND($D$15&gt;=2,$D$15&lt;4,$D$16&gt;=5,$D$16&lt;11),2500,0)</f>
        <v>0</v>
      </c>
      <c r="D27" s="4">
        <f>IF(AND($D$15&gt;=4,$D$15&lt;9,$D$16&gt;=5,$D$16&lt;11),4000,0)</f>
        <v>0</v>
      </c>
      <c r="E27" s="4">
        <f>IF(AND($D$15&gt;=9,$D$15&lt;21,$D$16&gt;=5,$D$16&lt;11),5000,0)</f>
        <v>0</v>
      </c>
      <c r="F27" s="4">
        <f>IF(AND($D$15&gt;=21,$D$15&lt;61,$D$16&gt;=5,$D$16&lt;11),7000,0)</f>
        <v>0</v>
      </c>
      <c r="G27" s="4">
        <f>IF(AND($D$15&gt;=61,$D$16&gt;=5,$D$16&lt;11),20000,0)</f>
        <v>0</v>
      </c>
    </row>
    <row r="28" spans="1:7" x14ac:dyDescent="0.2">
      <c r="B28" s="4">
        <f>IF(AND(D15=1,D16&gt;=11,D16&lt;18),3000,0)</f>
        <v>0</v>
      </c>
      <c r="C28" s="4">
        <f>IF(AND($D$15&gt;=2,$D$15&lt;4,$D$16&gt;=11,$D$16&lt;18),7500,0)</f>
        <v>0</v>
      </c>
      <c r="D28" s="4">
        <f>IF(AND($D$15&gt;=4,$D$15&lt;9,$D$16&gt;=11,$D$16&lt;18),12000,0)</f>
        <v>0</v>
      </c>
      <c r="E28" s="4">
        <f>IF(AND($D$15&gt;=9,$D$15&lt;21,$D$16&gt;=11,$D$16&lt;18),16500,0)</f>
        <v>0</v>
      </c>
      <c r="F28" s="4">
        <f>IF(AND($D$15&gt;=21,$D$15&lt;61,$D$16&gt;=11,$D$16&lt;18),20000,0)</f>
        <v>0</v>
      </c>
      <c r="G28" s="4">
        <f>IF(AND($D$15&gt;=61,$D$16&gt;=11,$D$16&lt;18),33000,0)</f>
        <v>0</v>
      </c>
    </row>
    <row r="29" spans="1:7" x14ac:dyDescent="0.2">
      <c r="B29" s="4">
        <f>IF(AND(D15=1,D16&gt;=18),3500,0)</f>
        <v>0</v>
      </c>
      <c r="C29" s="4">
        <f>IF(AND($D$15&gt;=2,$D$15&lt;4,$D$16&gt;=18),8000,0)</f>
        <v>0</v>
      </c>
      <c r="D29" s="4">
        <f>IF(AND($D$15&gt;=4,$D$15&lt;9,$D$16&gt;=18),16000,0)</f>
        <v>0</v>
      </c>
      <c r="E29" s="4">
        <f>IF(AND($D$15&gt;=9,$D$15&lt;21,$D$16&gt;=18),30000,0)</f>
        <v>0</v>
      </c>
      <c r="F29" s="4">
        <f>IF(AND($D$15&gt;=21,$D$15&lt;61,$D$16&gt;=18),34000,0)</f>
        <v>0</v>
      </c>
      <c r="G29" s="4">
        <f>IF(AND($D$15&gt;=61,$D$16&gt;=18),49000,0)</f>
        <v>0</v>
      </c>
    </row>
    <row r="30" spans="1:7" x14ac:dyDescent="0.2">
      <c r="A30" s="6" t="s">
        <v>19</v>
      </c>
      <c r="B30" s="7">
        <f>SUM(B25:G29)</f>
        <v>0</v>
      </c>
    </row>
    <row r="32" spans="1:7" x14ac:dyDescent="0.2">
      <c r="A32" s="238" t="s">
        <v>29</v>
      </c>
      <c r="B32" s="238"/>
      <c r="C32" s="238"/>
      <c r="D32" s="8">
        <f>'Foglio 1 - TARIFFA ISTRUTTORIA'!D47</f>
        <v>0</v>
      </c>
    </row>
    <row r="33" spans="1:5" x14ac:dyDescent="0.2">
      <c r="A33" s="238" t="s">
        <v>6</v>
      </c>
      <c r="B33" s="238"/>
      <c r="C33" s="238"/>
      <c r="D33" s="8">
        <f>'Foglio 1 - TARIFFA ISTRUTTORIA'!D48</f>
        <v>0</v>
      </c>
    </row>
    <row r="35" spans="1:5" ht="20.25" x14ac:dyDescent="0.35">
      <c r="A35" s="3" t="s">
        <v>20</v>
      </c>
    </row>
    <row r="37" spans="1:5" ht="30" customHeight="1" x14ac:dyDescent="0.2">
      <c r="A37" s="240" t="s">
        <v>18</v>
      </c>
      <c r="B37" s="241" t="s">
        <v>22</v>
      </c>
      <c r="C37" s="241"/>
      <c r="D37" s="241"/>
      <c r="E37" s="241"/>
    </row>
    <row r="38" spans="1:5" x14ac:dyDescent="0.2">
      <c r="A38" s="240"/>
      <c r="B38" s="11">
        <v>1</v>
      </c>
      <c r="C38" s="11" t="s">
        <v>12</v>
      </c>
      <c r="D38" s="11" t="s">
        <v>13</v>
      </c>
      <c r="E38" s="11" t="s">
        <v>23</v>
      </c>
    </row>
    <row r="39" spans="1:5" x14ac:dyDescent="0.2">
      <c r="A39" s="10" t="s">
        <v>24</v>
      </c>
      <c r="B39" s="10">
        <v>50</v>
      </c>
      <c r="C39" s="242">
        <v>100</v>
      </c>
      <c r="D39" s="242"/>
      <c r="E39" s="10">
        <v>400</v>
      </c>
    </row>
    <row r="40" spans="1:5" x14ac:dyDescent="0.2">
      <c r="A40" s="10" t="s">
        <v>7</v>
      </c>
      <c r="B40" s="10">
        <v>950</v>
      </c>
      <c r="C40" s="10">
        <v>1500</v>
      </c>
      <c r="D40" s="10">
        <v>2000</v>
      </c>
      <c r="E40" s="10">
        <v>5000</v>
      </c>
    </row>
    <row r="41" spans="1:5" x14ac:dyDescent="0.2">
      <c r="A41" s="10" t="s">
        <v>25</v>
      </c>
      <c r="B41" s="10">
        <v>1750</v>
      </c>
      <c r="C41" s="10">
        <v>2800</v>
      </c>
      <c r="D41" s="10">
        <v>4200</v>
      </c>
      <c r="E41" s="10">
        <v>8000</v>
      </c>
    </row>
    <row r="42" spans="1:5" x14ac:dyDescent="0.2">
      <c r="A42" s="10" t="s">
        <v>26</v>
      </c>
      <c r="B42" s="10">
        <v>2300</v>
      </c>
      <c r="C42" s="10">
        <v>3800</v>
      </c>
      <c r="D42" s="10">
        <v>5800</v>
      </c>
      <c r="E42" s="10">
        <v>10000</v>
      </c>
    </row>
    <row r="43" spans="1:5" x14ac:dyDescent="0.2">
      <c r="A43" s="10" t="s">
        <v>27</v>
      </c>
      <c r="B43" s="10">
        <v>3500</v>
      </c>
      <c r="C43" s="10">
        <v>7500</v>
      </c>
      <c r="D43" s="10">
        <v>15000</v>
      </c>
      <c r="E43" s="10">
        <v>29000</v>
      </c>
    </row>
    <row r="44" spans="1:5" x14ac:dyDescent="0.2">
      <c r="A44" s="10" t="s">
        <v>28</v>
      </c>
      <c r="B44" s="10">
        <v>4500</v>
      </c>
      <c r="C44" s="10">
        <v>10000</v>
      </c>
      <c r="D44" s="10">
        <v>20000</v>
      </c>
      <c r="E44" s="10">
        <v>30000</v>
      </c>
    </row>
    <row r="45" spans="1:5" x14ac:dyDescent="0.2">
      <c r="A45" s="12" t="s">
        <v>24</v>
      </c>
      <c r="B45" s="13">
        <f>IF(AND($D$32=1,$D$33=0),50,0)</f>
        <v>0</v>
      </c>
      <c r="C45" s="13">
        <f>IF(AND($D$32&gt;=2,$D$32&lt;9,$D$33=0),100,0)</f>
        <v>0</v>
      </c>
      <c r="D45" s="14">
        <v>0</v>
      </c>
      <c r="E45" s="13">
        <f>IF(AND($D$32&gt;=9,$D$33=0),400,0)</f>
        <v>0</v>
      </c>
    </row>
    <row r="46" spans="1:5" x14ac:dyDescent="0.2">
      <c r="A46" s="12" t="s">
        <v>7</v>
      </c>
      <c r="B46" s="13">
        <f>IF(AND($D$32=1,$D$33&gt;=1,$D$33&lt;5),950,0)</f>
        <v>0</v>
      </c>
      <c r="C46" s="13">
        <f>IF(AND($D$32&gt;=2,$D$32&lt;4,1,$D$33&gt;=1,$D$33&lt;5),1500,0)</f>
        <v>0</v>
      </c>
      <c r="D46" s="13">
        <f>IF(AND($D$32&gt;=4,$D$32&lt;9,$D$33&gt;=1,$D$33&lt;5),2000,0)</f>
        <v>0</v>
      </c>
      <c r="E46" s="13">
        <f>IF(AND($D$32&gt;=9,$D$33&gt;=1,$D$33&lt;5),5000,0)</f>
        <v>0</v>
      </c>
    </row>
    <row r="47" spans="1:5" x14ac:dyDescent="0.2">
      <c r="A47" s="12" t="s">
        <v>25</v>
      </c>
      <c r="B47" s="13">
        <f>IF(AND($D$32=1,$D$33&gt;=5,$D$33&lt;8),1750,0)</f>
        <v>0</v>
      </c>
      <c r="C47" s="13">
        <f>IF(AND($D$32&gt;=2,$D$32&lt;4,1,$D$33&gt;=5,$D$33&lt;8),2800,0)</f>
        <v>0</v>
      </c>
      <c r="D47" s="13">
        <f>IF(AND($D$32&gt;=4,$D$32&lt;9,$D$33&gt;=5,$D$33&lt;8),4200,0)</f>
        <v>0</v>
      </c>
      <c r="E47" s="13">
        <f>IF(AND($D$32&gt;=9,$D$33&gt;=5,$D$33&lt;8),8000,0)</f>
        <v>0</v>
      </c>
    </row>
    <row r="48" spans="1:5" x14ac:dyDescent="0.2">
      <c r="A48" s="12" t="s">
        <v>26</v>
      </c>
      <c r="B48" s="13">
        <f>IF(AND($D$32=1,$D$33&gt;=8,$D$33&lt;13),2300,0)</f>
        <v>0</v>
      </c>
      <c r="C48" s="13">
        <f>IF(AND($D$32&gt;=2,$D$32&lt;4,1,$D$33&gt;=8,$D$33&lt;13),3800,0)</f>
        <v>0</v>
      </c>
      <c r="D48" s="13">
        <f>IF(AND($D$32&gt;=4,$D$32&lt;9,$D$33&gt;=8,$D$33&lt;13),5800,0)</f>
        <v>0</v>
      </c>
      <c r="E48" s="13">
        <f>IF(AND($D$32&gt;=9,$D$33&gt;=8,$D$33&lt;13),10000,0)</f>
        <v>0</v>
      </c>
    </row>
    <row r="49" spans="1:8" x14ac:dyDescent="0.2">
      <c r="A49" s="12" t="s">
        <v>27</v>
      </c>
      <c r="B49" s="13">
        <f>IF(AND($D$32=1,$D$33&gt;=13,$D$33&lt;16),3500,0)</f>
        <v>0</v>
      </c>
      <c r="C49" s="13">
        <f>IF(AND($D$32&gt;=2,$D$32&lt;4,1,$D$33&gt;=13,$D$33&lt;16),7500,0)</f>
        <v>0</v>
      </c>
      <c r="D49" s="13">
        <f>IF(AND($D$32&gt;=4,$D$32&lt;9,$D$33&gt;=13,$D$33&lt;16),15000,0)</f>
        <v>0</v>
      </c>
      <c r="E49" s="13">
        <f>IF(AND($D$32&gt;=9,$D$33&gt;=13,$D$33&lt;16),29000,0)</f>
        <v>0</v>
      </c>
    </row>
    <row r="50" spans="1:8" x14ac:dyDescent="0.2">
      <c r="A50" s="12" t="s">
        <v>28</v>
      </c>
      <c r="B50" s="13">
        <f>IF(AND($D$32=1,$D$33&gt;=16),4500,0)</f>
        <v>0</v>
      </c>
      <c r="C50" s="13">
        <f>IF(AND($D$32&gt;=2,$D$32&lt;4,1,$D$33&gt;=16),10000,0)</f>
        <v>0</v>
      </c>
      <c r="D50" s="13">
        <f>IF(AND($D$32&gt;=4,$D$32&lt;9,$D$33&gt;=16),20000,0)</f>
        <v>0</v>
      </c>
      <c r="E50" s="13">
        <f>IF(AND($D$32&gt;=9,$D$33&gt;=16),30000,0)</f>
        <v>0</v>
      </c>
    </row>
    <row r="52" spans="1:8" x14ac:dyDescent="0.2">
      <c r="A52" s="6" t="s">
        <v>30</v>
      </c>
      <c r="B52" s="7">
        <f>SUM(B45:E50)</f>
        <v>0</v>
      </c>
    </row>
    <row r="55" spans="1:8" ht="18" x14ac:dyDescent="0.25">
      <c r="A55" s="243" t="s">
        <v>34</v>
      </c>
      <c r="B55" s="243"/>
      <c r="C55" s="243"/>
    </row>
    <row r="57" spans="1:8" x14ac:dyDescent="0.2">
      <c r="A57" s="239" t="s">
        <v>35</v>
      </c>
      <c r="B57" s="239"/>
      <c r="C57" s="239"/>
      <c r="D57" s="16" t="s">
        <v>31</v>
      </c>
      <c r="F57" s="4" t="s">
        <v>32</v>
      </c>
      <c r="G57" s="4" t="s">
        <v>33</v>
      </c>
    </row>
    <row r="58" spans="1:8" ht="18.75" x14ac:dyDescent="0.35">
      <c r="A58" s="238" t="s">
        <v>36</v>
      </c>
      <c r="B58" s="238"/>
      <c r="C58" s="238"/>
      <c r="D58" s="17" t="s">
        <v>37</v>
      </c>
      <c r="E58" s="18">
        <f>'Foglio 1 - TARIFFA ISTRUTTORIA'!E54</f>
        <v>0</v>
      </c>
      <c r="F58" s="15">
        <f t="shared" ref="F58:F63" si="0">IF(E58=H58,1,0)</f>
        <v>0</v>
      </c>
      <c r="G58" s="61">
        <f>IF(F58=0,0,1000)</f>
        <v>0</v>
      </c>
      <c r="H58" s="61" t="s">
        <v>97</v>
      </c>
    </row>
    <row r="59" spans="1:8" ht="18.75" x14ac:dyDescent="0.35">
      <c r="A59" s="238" t="s">
        <v>38</v>
      </c>
      <c r="B59" s="238"/>
      <c r="C59" s="238"/>
      <c r="D59" s="17" t="s">
        <v>39</v>
      </c>
      <c r="E59" s="18">
        <f>'Foglio 1 - TARIFFA ISTRUTTORIA'!E55</f>
        <v>0</v>
      </c>
      <c r="F59" s="15">
        <f t="shared" si="0"/>
        <v>0</v>
      </c>
      <c r="G59" s="4">
        <f>IF(F59=0,0,1000)</f>
        <v>0</v>
      </c>
      <c r="H59" s="4" t="s">
        <v>97</v>
      </c>
    </row>
    <row r="60" spans="1:8" s="61" customFormat="1" ht="17.25" x14ac:dyDescent="0.3">
      <c r="A60" s="244" t="s">
        <v>135</v>
      </c>
      <c r="B60" s="245"/>
      <c r="C60" s="246"/>
      <c r="D60" s="60" t="s">
        <v>136</v>
      </c>
      <c r="E60" s="18">
        <f>'Foglio 1 - TARIFFA ISTRUTTORIA'!E56</f>
        <v>0</v>
      </c>
      <c r="F60" s="15">
        <f t="shared" si="0"/>
        <v>0</v>
      </c>
      <c r="G60" s="61">
        <f>IF(F60=0,0,1000)</f>
        <v>0</v>
      </c>
      <c r="H60" s="61" t="s">
        <v>97</v>
      </c>
    </row>
    <row r="61" spans="1:8" ht="18.75" x14ac:dyDescent="0.35">
      <c r="A61" s="238" t="s">
        <v>40</v>
      </c>
      <c r="B61" s="238"/>
      <c r="C61" s="238"/>
      <c r="D61" s="17" t="s">
        <v>41</v>
      </c>
      <c r="E61" s="18">
        <f>'Foglio 1 - TARIFFA ISTRUTTORIA'!E57</f>
        <v>0</v>
      </c>
      <c r="F61" s="15">
        <f t="shared" si="0"/>
        <v>0</v>
      </c>
      <c r="G61" s="4">
        <f>IF(F61=0,0,500)</f>
        <v>0</v>
      </c>
      <c r="H61" s="4" t="s">
        <v>97</v>
      </c>
    </row>
    <row r="62" spans="1:8" ht="18.75" x14ac:dyDescent="0.35">
      <c r="A62" s="238" t="s">
        <v>42</v>
      </c>
      <c r="B62" s="238"/>
      <c r="C62" s="238"/>
      <c r="D62" s="17" t="s">
        <v>43</v>
      </c>
      <c r="E62" s="18">
        <f>'Foglio 1 - TARIFFA ISTRUTTORIA'!E58</f>
        <v>0</v>
      </c>
      <c r="F62" s="15">
        <f t="shared" si="0"/>
        <v>0</v>
      </c>
      <c r="G62" s="4">
        <f>IF(F62=0,0,1000)</f>
        <v>0</v>
      </c>
      <c r="H62" s="4" t="s">
        <v>97</v>
      </c>
    </row>
    <row r="63" spans="1:8" ht="18.75" x14ac:dyDescent="0.35">
      <c r="A63" s="238" t="s">
        <v>44</v>
      </c>
      <c r="B63" s="238"/>
      <c r="C63" s="238"/>
      <c r="D63" s="17" t="s">
        <v>45</v>
      </c>
      <c r="E63" s="18">
        <f>'Foglio 1 - TARIFFA ISTRUTTORIA'!E59</f>
        <v>0</v>
      </c>
      <c r="F63" s="15">
        <f t="shared" si="0"/>
        <v>0</v>
      </c>
      <c r="G63" s="4">
        <f>IF(F63=0,0,1000)</f>
        <v>0</v>
      </c>
      <c r="H63" s="4" t="s">
        <v>97</v>
      </c>
    </row>
    <row r="64" spans="1:8" x14ac:dyDescent="0.2">
      <c r="F64" s="6" t="s">
        <v>81</v>
      </c>
      <c r="G64" s="7">
        <f>SUM(G58:G63)</f>
        <v>0</v>
      </c>
    </row>
    <row r="65" spans="1:8" x14ac:dyDescent="0.2">
      <c r="A65" s="247"/>
      <c r="B65" s="247"/>
      <c r="C65" s="247"/>
      <c r="D65" s="247"/>
      <c r="E65" s="247"/>
    </row>
    <row r="66" spans="1:8" s="62" customFormat="1" x14ac:dyDescent="0.2">
      <c r="A66" s="249" t="s">
        <v>147</v>
      </c>
      <c r="B66" s="249"/>
      <c r="C66" s="249"/>
      <c r="D66" s="249"/>
      <c r="E66" s="249"/>
    </row>
    <row r="67" spans="1:8" s="62" customFormat="1" ht="30" customHeight="1" x14ac:dyDescent="0.2">
      <c r="A67" s="178" t="s">
        <v>144</v>
      </c>
      <c r="B67" s="179"/>
      <c r="C67" s="179"/>
      <c r="D67" s="179"/>
      <c r="E67" s="250"/>
      <c r="F67" s="5">
        <f>IF('Foglio 1 - TARIFFA ISTRUTTORIA'!F65=1,300,)</f>
        <v>0</v>
      </c>
    </row>
    <row r="68" spans="1:8" s="62" customFormat="1" ht="30" customHeight="1" x14ac:dyDescent="0.2">
      <c r="A68" s="178" t="s">
        <v>148</v>
      </c>
      <c r="B68" s="179"/>
      <c r="C68" s="179"/>
      <c r="D68" s="179"/>
      <c r="E68" s="250"/>
      <c r="F68" s="5">
        <f>IF('Foglio 1 - TARIFFA ISTRUTTORIA'!F65=2,500,)</f>
        <v>0</v>
      </c>
    </row>
    <row r="69" spans="1:8" s="62" customFormat="1" ht="14.25" customHeight="1" x14ac:dyDescent="0.2">
      <c r="A69" s="178" t="s">
        <v>176</v>
      </c>
      <c r="B69" s="179"/>
      <c r="C69" s="179"/>
      <c r="D69" s="179"/>
      <c r="E69" s="250"/>
      <c r="F69" s="5">
        <f>IF('Foglio 1 - TARIFFA ISTRUTTORIA'!F65=3,150,)</f>
        <v>0</v>
      </c>
    </row>
    <row r="70" spans="1:8" s="62" customFormat="1" x14ac:dyDescent="0.2"/>
    <row r="71" spans="1:8" s="62" customFormat="1" x14ac:dyDescent="0.2">
      <c r="E71" s="6" t="s">
        <v>149</v>
      </c>
      <c r="F71" s="7">
        <f>SUM(F67:F69)</f>
        <v>0</v>
      </c>
    </row>
    <row r="72" spans="1:8" x14ac:dyDescent="0.2">
      <c r="A72" s="248"/>
      <c r="B72" s="248"/>
      <c r="C72" s="248"/>
      <c r="D72" s="248"/>
      <c r="E72" s="248"/>
      <c r="F72" s="5"/>
    </row>
    <row r="74" spans="1:8" ht="18" x14ac:dyDescent="0.25">
      <c r="A74" s="243" t="s">
        <v>47</v>
      </c>
      <c r="B74" s="243"/>
      <c r="C74" s="243"/>
    </row>
    <row r="76" spans="1:8" x14ac:dyDescent="0.2">
      <c r="A76" s="231" t="s">
        <v>48</v>
      </c>
      <c r="B76" s="232"/>
      <c r="C76" s="232"/>
      <c r="D76" s="233"/>
      <c r="E76" s="4" t="s">
        <v>32</v>
      </c>
      <c r="F76" s="4" t="s">
        <v>33</v>
      </c>
    </row>
    <row r="77" spans="1:8" x14ac:dyDescent="0.2">
      <c r="A77" s="244" t="s">
        <v>49</v>
      </c>
      <c r="B77" s="245"/>
      <c r="C77" s="245"/>
      <c r="D77" s="246"/>
      <c r="E77" s="15">
        <f>IF(G77=H77,1,0)</f>
        <v>0</v>
      </c>
      <c r="F77" s="4">
        <f>IF(E77=0,0,B115*0.25)</f>
        <v>0</v>
      </c>
      <c r="G77" s="4">
        <f>'Foglio 1 - TARIFFA ISTRUTTORIA'!E73</f>
        <v>0</v>
      </c>
      <c r="H77" s="61" t="s">
        <v>97</v>
      </c>
    </row>
    <row r="78" spans="1:8" x14ac:dyDescent="0.2">
      <c r="A78" s="244" t="s">
        <v>50</v>
      </c>
      <c r="B78" s="245"/>
      <c r="C78" s="245"/>
      <c r="D78" s="246"/>
      <c r="E78" s="15">
        <f>IF(G78=H78,1,0)</f>
        <v>0</v>
      </c>
      <c r="F78" s="61">
        <f>IF(E78=0,0,B115*0.3)</f>
        <v>0</v>
      </c>
      <c r="G78" s="4">
        <f>'Foglio 1 - TARIFFA ISTRUTTORIA'!E74</f>
        <v>0</v>
      </c>
      <c r="H78" s="61" t="s">
        <v>97</v>
      </c>
    </row>
    <row r="79" spans="1:8" x14ac:dyDescent="0.2">
      <c r="F79" s="4">
        <f>IF(G78=H78,F78,F77)</f>
        <v>0</v>
      </c>
    </row>
    <row r="81" spans="1:8" ht="18" x14ac:dyDescent="0.25">
      <c r="A81" s="243" t="s">
        <v>51</v>
      </c>
      <c r="B81" s="243"/>
      <c r="C81" s="243"/>
    </row>
    <row r="83" spans="1:8" x14ac:dyDescent="0.2">
      <c r="A83" s="231" t="s">
        <v>139</v>
      </c>
      <c r="B83" s="232"/>
      <c r="C83" s="232"/>
      <c r="D83" s="233"/>
      <c r="E83" s="19" t="s">
        <v>131</v>
      </c>
      <c r="F83" s="19" t="s">
        <v>140</v>
      </c>
      <c r="G83" s="19" t="s">
        <v>141</v>
      </c>
      <c r="H83" s="19" t="s">
        <v>142</v>
      </c>
    </row>
    <row r="84" spans="1:8" x14ac:dyDescent="0.2">
      <c r="A84" s="244" t="s">
        <v>52</v>
      </c>
      <c r="B84" s="245"/>
      <c r="C84" s="245"/>
      <c r="D84" s="246"/>
      <c r="E84" s="20">
        <f>IF(AND('Foglio 1 - TARIFFA ISTRUTTORIA'!$G$31=1,'Foglio 1 - TARIFFA ISTRUTTORIA'!$E$82=1),800,)</f>
        <v>0</v>
      </c>
      <c r="F84" s="20">
        <f>IF(AND('Foglio 1 - TARIFFA ISTRUTTORIA'!$G$31=2,'Foglio 1 - TARIFFA ISTRUTTORIA'!$E$82=1),500,)</f>
        <v>0</v>
      </c>
      <c r="G84" s="20">
        <f>IF(AND('Foglio 1 - TARIFFA ISTRUTTORIA'!$G$31=3,'Foglio 1 - TARIFFA ISTRUTTORIA'!$E$82=1),300,)</f>
        <v>0</v>
      </c>
      <c r="H84" s="20">
        <f>IF(AND('Foglio 1 - TARIFFA ISTRUTTORIA'!$G$31=4,'Foglio 1 - TARIFFA ISTRUTTORIA'!$E$82=1),150,)</f>
        <v>0</v>
      </c>
    </row>
    <row r="85" spans="1:8" x14ac:dyDescent="0.2">
      <c r="A85" s="244" t="s">
        <v>53</v>
      </c>
      <c r="B85" s="245"/>
      <c r="C85" s="245"/>
      <c r="D85" s="246"/>
      <c r="E85" s="20">
        <f>IF(AND('Foglio 1 - TARIFFA ISTRUTTORIA'!$G$31=1,'Foglio 1 - TARIFFA ISTRUTTORIA'!$E$82=2),500,)</f>
        <v>0</v>
      </c>
      <c r="F85" s="20">
        <f>IF(AND('Foglio 1 - TARIFFA ISTRUTTORIA'!$G$31=2,'Foglio 1 - TARIFFA ISTRUTTORIA'!$E$82=2),350,)</f>
        <v>0</v>
      </c>
      <c r="G85" s="20">
        <f>IF(AND('Foglio 1 - TARIFFA ISTRUTTORIA'!$G$31=3,'Foglio 1 - TARIFFA ISTRUTTORIA'!$E$82=2),200,)</f>
        <v>0</v>
      </c>
      <c r="H85" s="20">
        <f>IF(AND('Foglio 1 - TARIFFA ISTRUTTORIA'!$G$31=4,'Foglio 1 - TARIFFA ISTRUTTORIA'!$E$82=2),100,)</f>
        <v>0</v>
      </c>
    </row>
    <row r="87" spans="1:8" x14ac:dyDescent="0.2">
      <c r="E87" s="4" t="s">
        <v>54</v>
      </c>
      <c r="F87" s="4">
        <f>SUM(E84:H85)</f>
        <v>0</v>
      </c>
    </row>
    <row r="89" spans="1:8" x14ac:dyDescent="0.2">
      <c r="E89" s="4" t="s">
        <v>56</v>
      </c>
      <c r="F89" s="4">
        <f>F87+F79</f>
        <v>0</v>
      </c>
    </row>
    <row r="91" spans="1:8" x14ac:dyDescent="0.2">
      <c r="E91" s="6" t="s">
        <v>55</v>
      </c>
      <c r="F91" s="7">
        <f>F89</f>
        <v>0</v>
      </c>
    </row>
    <row r="93" spans="1:8" ht="15" thickBot="1" x14ac:dyDescent="0.25"/>
    <row r="94" spans="1:8" ht="18" x14ac:dyDescent="0.25">
      <c r="A94" s="243" t="s">
        <v>58</v>
      </c>
      <c r="B94" s="243"/>
      <c r="C94" s="243"/>
      <c r="G94" s="78" t="s">
        <v>162</v>
      </c>
      <c r="H94" s="101">
        <f>'Foglio 1 - TARIFFA ISTRUTTORIA'!C20</f>
        <v>0</v>
      </c>
    </row>
    <row r="95" spans="1:8" s="94" customFormat="1" ht="18.75" thickBot="1" x14ac:dyDescent="0.3">
      <c r="A95" s="93"/>
      <c r="B95" s="93"/>
      <c r="C95" s="93"/>
      <c r="G95" s="105" t="s">
        <v>163</v>
      </c>
      <c r="H95" s="106">
        <f>'Foglio 1 - TARIFFA ISTRUTTORIA'!C21</f>
        <v>0</v>
      </c>
    </row>
    <row r="96" spans="1:8" x14ac:dyDescent="0.2">
      <c r="A96" s="78" t="s">
        <v>160</v>
      </c>
      <c r="B96" s="79">
        <f>IF(OR($H$94=$A$135,$H$94=$A$138,$H$94=$A$141), 0.4,0)</f>
        <v>0</v>
      </c>
      <c r="C96" s="79">
        <f>IF(OR($H$94=$A$136,$H$94=$A$139,$H$94=$A$142),0.5,0)</f>
        <v>0</v>
      </c>
      <c r="D96" s="79">
        <f>IF(OR($H$94=$A$137,$H$94=$A$140,$H$94=$A$143),0.6,0)</f>
        <v>0</v>
      </c>
      <c r="E96" s="79"/>
      <c r="F96" s="79"/>
      <c r="G96" s="79">
        <f>SUM(B96:D96)</f>
        <v>0</v>
      </c>
      <c r="H96" s="258">
        <f>IF(G96&gt;G97,G96,G97)</f>
        <v>0</v>
      </c>
    </row>
    <row r="97" spans="1:10" x14ac:dyDescent="0.2">
      <c r="A97" s="105" t="s">
        <v>161</v>
      </c>
      <c r="B97" s="24">
        <f>IF(NOT(OR($H$95=1,$H$95=1.1,$H$95=5.3,H95=5.2,H95=5.4,H95=6.6)),0.8,0)</f>
        <v>0.8</v>
      </c>
      <c r="C97" s="24">
        <f>IF(OR($H$95=1),1.1,0)</f>
        <v>0</v>
      </c>
      <c r="D97" s="24">
        <f>IF(OR($H$95=1.1),1.3,0)</f>
        <v>0</v>
      </c>
      <c r="E97" s="24">
        <f>IF(OR($H$95=5.4,$H$95=5.2),2,0)</f>
        <v>0</v>
      </c>
      <c r="F97" s="24">
        <f>IF(OR($H$95=5.3,$H$95=6.6),0.6,0)</f>
        <v>0</v>
      </c>
      <c r="G97" s="4">
        <f>IF('Foglio 1 - TARIFFA ISTRUTTORIA'!C21="",0,SUM(B97:F97))</f>
        <v>0</v>
      </c>
      <c r="H97" s="259"/>
    </row>
    <row r="98" spans="1:10" x14ac:dyDescent="0.2">
      <c r="A98" s="105" t="s">
        <v>66</v>
      </c>
      <c r="B98" s="24"/>
      <c r="C98" s="24"/>
      <c r="D98" s="24"/>
      <c r="E98" s="24"/>
      <c r="F98" s="24"/>
      <c r="G98" s="7">
        <f>F109</f>
        <v>1</v>
      </c>
      <c r="H98" s="82"/>
    </row>
    <row r="99" spans="1:10" x14ac:dyDescent="0.2">
      <c r="A99" s="105" t="s">
        <v>67</v>
      </c>
      <c r="B99" s="24"/>
      <c r="C99" s="24"/>
      <c r="D99" s="24"/>
      <c r="E99" s="24"/>
      <c r="F99" s="24"/>
      <c r="G99" s="7">
        <f>F110</f>
        <v>1</v>
      </c>
      <c r="H99" s="82"/>
    </row>
    <row r="100" spans="1:10" s="62" customFormat="1" ht="15" thickBot="1" x14ac:dyDescent="0.25">
      <c r="A100" s="102" t="s">
        <v>151</v>
      </c>
      <c r="B100" s="107">
        <f>IF('Foglio 1 - TARIFFA ISTRUTTORIA'!H17=3,0.5,0)</f>
        <v>0</v>
      </c>
      <c r="C100" s="84">
        <f>IF(OR(AND('Foglio 1 - TARIFFA ISTRUTTORIA'!H17=4,$H$94=$A$135), AND('Foglio 1 - TARIFFA ISTRUTTORIA'!H17=4,$H$94=$A$138), AND('Foglio 1 - TARIFFA ISTRUTTORIA'!H17=4,$H$94=$A$141)),0.2,0)</f>
        <v>0</v>
      </c>
      <c r="D100" s="84">
        <f>IF(OR(AND('Foglio 1 - TARIFFA ISTRUTTORIA'!H17=4,$H$94=$A$136), AND('Foglio 1 - TARIFFA ISTRUTTORIA'!H17=4,$H$94=$A$139), AND('Foglio 1 - TARIFFA ISTRUTTORIA'!H17=4,$H$94=$A$142)),0.25,0)</f>
        <v>0</v>
      </c>
      <c r="E100" s="84">
        <f>IF(OR(AND('Foglio 1 - TARIFFA ISTRUTTORIA'!H17=4,$H$94=$A$137), AND('Foglio 1 - TARIFFA ISTRUTTORIA'!H17=4,$H$94=$A$140), AND('Foglio 1 - TARIFFA ISTRUTTORIA'!H17=4,$H$94=$A$143)),0.3,0)</f>
        <v>0</v>
      </c>
      <c r="F100" s="122">
        <f>SUM(B100:E100)</f>
        <v>0</v>
      </c>
      <c r="G100" s="107">
        <f>IF(OR('Foglio 1 - TARIFFA ISTRUTTORIA'!H17=3,'Foglio 1 - TARIFFA ISTRUTTORIA'!H17=4),'Calcoli Foglio1'!F100,1)</f>
        <v>1</v>
      </c>
      <c r="H100" s="85"/>
    </row>
    <row r="101" spans="1:10" x14ac:dyDescent="0.2">
      <c r="G101" s="24"/>
    </row>
    <row r="103" spans="1:10" x14ac:dyDescent="0.2">
      <c r="A103" s="4" t="s">
        <v>62</v>
      </c>
    </row>
    <row r="104" spans="1:10" x14ac:dyDescent="0.2">
      <c r="A104" s="4">
        <v>1</v>
      </c>
      <c r="B104" s="4" t="s">
        <v>82</v>
      </c>
    </row>
    <row r="105" spans="1:10" x14ac:dyDescent="0.2">
      <c r="A105" s="4">
        <v>2</v>
      </c>
      <c r="B105" s="253" t="s">
        <v>72</v>
      </c>
      <c r="C105" s="253"/>
      <c r="D105" s="255">
        <f>'Foglio 1 - TARIFFA ISTRUTTORIA'!H17</f>
        <v>0</v>
      </c>
    </row>
    <row r="106" spans="1:10" x14ac:dyDescent="0.2">
      <c r="A106" s="4">
        <v>3</v>
      </c>
      <c r="B106" s="253" t="s">
        <v>63</v>
      </c>
      <c r="C106" s="253"/>
      <c r="D106" s="256"/>
    </row>
    <row r="107" spans="1:10" x14ac:dyDescent="0.2">
      <c r="A107" s="4">
        <v>4</v>
      </c>
      <c r="B107" s="253" t="s">
        <v>64</v>
      </c>
      <c r="C107" s="253"/>
      <c r="D107" s="257"/>
    </row>
    <row r="108" spans="1:10" x14ac:dyDescent="0.2">
      <c r="E108" s="4" t="s">
        <v>32</v>
      </c>
    </row>
    <row r="109" spans="1:10" x14ac:dyDescent="0.2">
      <c r="A109" s="4" t="s">
        <v>68</v>
      </c>
      <c r="D109" s="21">
        <f>'Foglio 1 - TARIFFA ISTRUTTORIA'!H24</f>
        <v>0</v>
      </c>
      <c r="E109" s="15">
        <f>IF(D109=H109,1,0)</f>
        <v>0</v>
      </c>
      <c r="F109" s="22">
        <f>IF(E109=0,1,0.65)</f>
        <v>1</v>
      </c>
      <c r="H109" s="4" t="s">
        <v>97</v>
      </c>
      <c r="J109" s="4">
        <f>COUNTIF(D109,SI)</f>
        <v>0</v>
      </c>
    </row>
    <row r="110" spans="1:10" x14ac:dyDescent="0.2">
      <c r="A110" s="4" t="s">
        <v>177</v>
      </c>
      <c r="D110" s="21">
        <f>'Foglio 1 - TARIFFA ISTRUTTORIA'!H25</f>
        <v>0</v>
      </c>
      <c r="E110" s="15">
        <f>IF(D110=H110,1,0)</f>
        <v>0</v>
      </c>
      <c r="F110" s="22">
        <f>IF(E110=0,1,0.8)</f>
        <v>1</v>
      </c>
      <c r="H110" s="4" t="s">
        <v>97</v>
      </c>
    </row>
    <row r="113" spans="1:7" ht="18" x14ac:dyDescent="0.25">
      <c r="A113" s="243" t="s">
        <v>73</v>
      </c>
      <c r="B113" s="243"/>
      <c r="C113" s="243"/>
    </row>
    <row r="115" spans="1:7" x14ac:dyDescent="0.2">
      <c r="A115" s="69" t="s">
        <v>143</v>
      </c>
      <c r="B115" s="70">
        <f>I10+B30+B52+F71+G64</f>
        <v>0</v>
      </c>
    </row>
    <row r="116" spans="1:7" x14ac:dyDescent="0.2">
      <c r="A116" s="6" t="s">
        <v>74</v>
      </c>
      <c r="B116" s="63">
        <f>B115-F91</f>
        <v>0</v>
      </c>
    </row>
    <row r="117" spans="1:7" x14ac:dyDescent="0.2">
      <c r="B117" s="251" t="s">
        <v>83</v>
      </c>
      <c r="C117" s="251"/>
      <c r="D117" s="251"/>
      <c r="E117" s="251"/>
    </row>
    <row r="118" spans="1:7" x14ac:dyDescent="0.2">
      <c r="B118" s="4">
        <v>1</v>
      </c>
      <c r="C118" s="4">
        <v>2</v>
      </c>
      <c r="D118" s="4">
        <v>3</v>
      </c>
      <c r="E118" s="4">
        <v>4</v>
      </c>
    </row>
    <row r="119" spans="1:7" x14ac:dyDescent="0.2">
      <c r="A119" s="4" t="s">
        <v>75</v>
      </c>
      <c r="B119" s="4">
        <f>B116*H96*G98*G99*G100</f>
        <v>0</v>
      </c>
      <c r="C119" s="4">
        <f>B116*H96*G98*G99*G100</f>
        <v>0</v>
      </c>
      <c r="D119" s="4">
        <f>B116*H96*G98*G99*G100</f>
        <v>0</v>
      </c>
      <c r="E119" s="4">
        <f>B116*G100</f>
        <v>0</v>
      </c>
    </row>
    <row r="121" spans="1:7" x14ac:dyDescent="0.2">
      <c r="A121" s="4" t="s">
        <v>75</v>
      </c>
      <c r="B121" s="4">
        <f>IF($D$105=1,B119,0)</f>
        <v>0</v>
      </c>
      <c r="C121" s="4">
        <f>IF($D$105=2,C119,0)</f>
        <v>0</v>
      </c>
      <c r="D121" s="4">
        <f>IF($D$105=3,D119,0)</f>
        <v>0</v>
      </c>
      <c r="E121" s="4">
        <f>IF($D$105=4,E119,0)</f>
        <v>0</v>
      </c>
    </row>
    <row r="123" spans="1:7" x14ac:dyDescent="0.2">
      <c r="A123" s="6" t="s">
        <v>75</v>
      </c>
      <c r="B123" s="7">
        <f>SUM(B121:E121)</f>
        <v>0</v>
      </c>
    </row>
    <row r="125" spans="1:7" x14ac:dyDescent="0.2">
      <c r="C125" s="4" t="s">
        <v>172</v>
      </c>
      <c r="F125" s="76"/>
      <c r="G125" s="76"/>
    </row>
    <row r="126" spans="1:7" s="68" customFormat="1" x14ac:dyDescent="0.2">
      <c r="A126" s="76" t="s">
        <v>171</v>
      </c>
      <c r="B126" s="76"/>
      <c r="C126" s="76">
        <f>'Foglio 1 - TARIFFA ISTRUTTORIA'!F107</f>
        <v>0</v>
      </c>
      <c r="D126" s="76"/>
      <c r="E126" s="76"/>
      <c r="F126" s="76"/>
      <c r="G126" s="76"/>
    </row>
    <row r="127" spans="1:7" x14ac:dyDescent="0.2">
      <c r="D127" s="6" t="s">
        <v>85</v>
      </c>
      <c r="E127" s="7">
        <f>C126</f>
        <v>0</v>
      </c>
    </row>
    <row r="130" spans="1:11" ht="18" x14ac:dyDescent="0.25">
      <c r="A130" s="252" t="s">
        <v>86</v>
      </c>
      <c r="B130" s="252"/>
      <c r="C130" s="23">
        <f>B123-E127</f>
        <v>0</v>
      </c>
    </row>
    <row r="133" spans="1:11" ht="15" thickBot="1" x14ac:dyDescent="0.25">
      <c r="A133" s="254" t="s">
        <v>93</v>
      </c>
      <c r="B133" s="254"/>
      <c r="C133" s="254"/>
      <c r="D133" s="254"/>
      <c r="E133" s="254"/>
      <c r="F133" s="254"/>
      <c r="G133" s="254"/>
      <c r="H133" s="254"/>
      <c r="I133" s="254"/>
      <c r="J133" s="254"/>
    </row>
    <row r="134" spans="1:11" x14ac:dyDescent="0.2">
      <c r="A134" s="78" t="s">
        <v>92</v>
      </c>
      <c r="B134" s="79" t="s">
        <v>94</v>
      </c>
      <c r="C134" s="79" t="s">
        <v>95</v>
      </c>
      <c r="D134" s="79" t="s">
        <v>96</v>
      </c>
      <c r="E134" s="79" t="s">
        <v>147</v>
      </c>
      <c r="F134" s="79" t="s">
        <v>85</v>
      </c>
      <c r="G134" s="79" t="s">
        <v>99</v>
      </c>
      <c r="H134" s="79"/>
      <c r="I134" s="79"/>
      <c r="J134" s="80"/>
      <c r="K134" s="4" t="s">
        <v>178</v>
      </c>
    </row>
    <row r="135" spans="1:11" x14ac:dyDescent="0.2">
      <c r="A135" s="81" t="s">
        <v>179</v>
      </c>
      <c r="B135" s="25">
        <v>1</v>
      </c>
      <c r="C135" s="24">
        <v>1</v>
      </c>
      <c r="D135" s="24" t="s">
        <v>97</v>
      </c>
      <c r="E135" s="24">
        <v>1</v>
      </c>
      <c r="F135" s="24">
        <v>0</v>
      </c>
      <c r="G135" s="24">
        <v>1</v>
      </c>
      <c r="H135" s="24">
        <f>IF(D135=J135,1,0)</f>
        <v>1</v>
      </c>
      <c r="I135" s="24"/>
      <c r="J135" s="82" t="s">
        <v>97</v>
      </c>
    </row>
    <row r="136" spans="1:11" x14ac:dyDescent="0.2">
      <c r="A136" s="81" t="s">
        <v>180</v>
      </c>
      <c r="B136" s="25">
        <v>2</v>
      </c>
      <c r="C136" s="24">
        <v>2</v>
      </c>
      <c r="D136" s="24" t="s">
        <v>98</v>
      </c>
      <c r="E136" s="24">
        <v>2</v>
      </c>
      <c r="F136" s="24">
        <v>1000</v>
      </c>
      <c r="G136" s="24">
        <v>2</v>
      </c>
      <c r="H136" s="24"/>
      <c r="I136" s="24"/>
      <c r="J136" s="82" t="s">
        <v>98</v>
      </c>
      <c r="K136" s="81">
        <v>2.1</v>
      </c>
    </row>
    <row r="137" spans="1:11" x14ac:dyDescent="0.2">
      <c r="A137" s="81" t="s">
        <v>181</v>
      </c>
      <c r="B137" s="25">
        <v>3</v>
      </c>
      <c r="C137" s="24">
        <v>3</v>
      </c>
      <c r="D137" s="24"/>
      <c r="E137" s="24">
        <v>3</v>
      </c>
      <c r="F137" s="24">
        <v>2000</v>
      </c>
      <c r="G137" s="24"/>
      <c r="H137" s="24"/>
      <c r="I137" s="24"/>
      <c r="J137" s="82"/>
      <c r="K137" s="81">
        <v>2.2000000000000002</v>
      </c>
    </row>
    <row r="138" spans="1:11" x14ac:dyDescent="0.2">
      <c r="A138" s="81" t="s">
        <v>182</v>
      </c>
      <c r="B138" s="25">
        <v>4</v>
      </c>
      <c r="C138" s="24">
        <v>4</v>
      </c>
      <c r="D138" s="24"/>
      <c r="E138" s="24"/>
      <c r="F138" s="24">
        <v>4000</v>
      </c>
      <c r="G138" s="24"/>
      <c r="H138" s="24"/>
      <c r="I138" s="24"/>
      <c r="J138" s="82"/>
      <c r="K138" s="81">
        <v>2.2999999999999998</v>
      </c>
    </row>
    <row r="139" spans="1:11" x14ac:dyDescent="0.2">
      <c r="A139" s="81" t="s">
        <v>183</v>
      </c>
      <c r="B139" s="24"/>
      <c r="C139" s="24"/>
      <c r="D139" s="24"/>
      <c r="E139" s="24"/>
      <c r="F139" s="24">
        <v>8000</v>
      </c>
      <c r="G139" s="24"/>
      <c r="H139" s="24"/>
      <c r="I139" s="24"/>
      <c r="J139" s="82"/>
      <c r="K139" s="81">
        <v>2.4</v>
      </c>
    </row>
    <row r="140" spans="1:11" x14ac:dyDescent="0.2">
      <c r="A140" s="81" t="s">
        <v>184</v>
      </c>
      <c r="B140" s="24"/>
      <c r="C140" s="24"/>
      <c r="D140" s="24"/>
      <c r="E140" s="24"/>
      <c r="F140" s="24"/>
      <c r="G140" s="24"/>
      <c r="H140" s="24"/>
      <c r="I140" s="24"/>
      <c r="J140" s="82"/>
      <c r="K140" s="81">
        <v>2.5</v>
      </c>
    </row>
    <row r="141" spans="1:11" x14ac:dyDescent="0.2">
      <c r="A141" s="81" t="s">
        <v>168</v>
      </c>
      <c r="B141" s="24"/>
      <c r="C141" s="24"/>
      <c r="D141" s="24"/>
      <c r="E141" s="24"/>
      <c r="F141" s="24"/>
      <c r="G141" s="24"/>
      <c r="H141" s="24"/>
      <c r="I141" s="24"/>
      <c r="J141" s="82"/>
      <c r="K141" s="81">
        <v>2.6</v>
      </c>
    </row>
    <row r="142" spans="1:11" x14ac:dyDescent="0.2">
      <c r="A142" s="81" t="s">
        <v>169</v>
      </c>
      <c r="B142" s="24"/>
      <c r="C142" s="24"/>
      <c r="D142" s="24"/>
      <c r="E142" s="24"/>
      <c r="F142" s="24"/>
      <c r="G142" s="24"/>
      <c r="H142" s="24"/>
      <c r="I142" s="24"/>
      <c r="J142" s="82"/>
      <c r="K142" s="81">
        <v>3.1</v>
      </c>
    </row>
    <row r="143" spans="1:11" x14ac:dyDescent="0.2">
      <c r="A143" s="81" t="s">
        <v>167</v>
      </c>
      <c r="B143" s="24"/>
      <c r="C143" s="24"/>
      <c r="D143" s="24"/>
      <c r="E143" s="24"/>
      <c r="F143" s="24"/>
      <c r="G143" s="24"/>
      <c r="H143" s="24"/>
      <c r="I143" s="24"/>
      <c r="J143" s="82"/>
      <c r="K143" s="81">
        <v>3.2</v>
      </c>
    </row>
    <row r="144" spans="1:11" x14ac:dyDescent="0.2">
      <c r="B144" s="24"/>
      <c r="C144" s="24"/>
      <c r="D144" s="24"/>
      <c r="E144" s="24"/>
      <c r="F144" s="24"/>
      <c r="G144" s="24"/>
      <c r="H144" s="24"/>
      <c r="I144" s="24"/>
      <c r="J144" s="82"/>
      <c r="K144" s="81">
        <v>3.3</v>
      </c>
    </row>
    <row r="145" spans="2:11" x14ac:dyDescent="0.2">
      <c r="B145" s="24"/>
      <c r="C145" s="24"/>
      <c r="D145" s="24"/>
      <c r="E145" s="24"/>
      <c r="F145" s="24"/>
      <c r="G145" s="24"/>
      <c r="H145" s="24"/>
      <c r="I145" s="24"/>
      <c r="J145" s="82"/>
      <c r="K145" s="81">
        <v>3.4</v>
      </c>
    </row>
    <row r="146" spans="2:11" x14ac:dyDescent="0.2">
      <c r="B146" s="24"/>
      <c r="C146" s="24"/>
      <c r="D146" s="24"/>
      <c r="E146" s="24"/>
      <c r="F146" s="24"/>
      <c r="G146" s="24"/>
      <c r="H146" s="24"/>
      <c r="I146" s="24"/>
      <c r="J146" s="82"/>
      <c r="K146" s="81">
        <v>3.5</v>
      </c>
    </row>
    <row r="147" spans="2:11" x14ac:dyDescent="0.2">
      <c r="B147" s="24"/>
      <c r="C147" s="24"/>
      <c r="D147" s="24"/>
      <c r="E147" s="24"/>
      <c r="F147" s="24"/>
      <c r="G147" s="24"/>
      <c r="H147" s="24"/>
      <c r="I147" s="24"/>
      <c r="J147" s="82"/>
      <c r="K147" s="81">
        <v>4.0999999999999996</v>
      </c>
    </row>
    <row r="148" spans="2:11" x14ac:dyDescent="0.2">
      <c r="B148" s="24"/>
      <c r="C148" s="24"/>
      <c r="D148" s="24"/>
      <c r="E148" s="24"/>
      <c r="F148" s="24"/>
      <c r="G148" s="24"/>
      <c r="H148" s="24"/>
      <c r="I148" s="24"/>
      <c r="J148" s="82"/>
      <c r="K148" s="81">
        <v>4.2</v>
      </c>
    </row>
    <row r="149" spans="2:11" x14ac:dyDescent="0.2">
      <c r="B149" s="24"/>
      <c r="C149" s="24"/>
      <c r="D149" s="24"/>
      <c r="E149" s="24"/>
      <c r="F149" s="24"/>
      <c r="G149" s="24"/>
      <c r="H149" s="24"/>
      <c r="I149" s="24"/>
      <c r="J149" s="82"/>
      <c r="K149" s="81">
        <v>4.3</v>
      </c>
    </row>
    <row r="150" spans="2:11" x14ac:dyDescent="0.2">
      <c r="B150" s="24"/>
      <c r="C150" s="24"/>
      <c r="D150" s="24"/>
      <c r="E150" s="24"/>
      <c r="F150" s="24"/>
      <c r="G150" s="24"/>
      <c r="H150" s="24"/>
      <c r="I150" s="24"/>
      <c r="J150" s="82"/>
      <c r="K150" s="81">
        <v>4.4000000000000004</v>
      </c>
    </row>
    <row r="151" spans="2:11" x14ac:dyDescent="0.2">
      <c r="B151" s="24"/>
      <c r="C151" s="24"/>
      <c r="D151" s="24"/>
      <c r="E151" s="24"/>
      <c r="F151" s="24"/>
      <c r="G151" s="24"/>
      <c r="H151" s="24"/>
      <c r="I151" s="24"/>
      <c r="J151" s="82"/>
      <c r="K151" s="81">
        <v>4.5</v>
      </c>
    </row>
    <row r="152" spans="2:11" x14ac:dyDescent="0.2">
      <c r="B152" s="24"/>
      <c r="C152" s="24"/>
      <c r="D152" s="24"/>
      <c r="E152" s="24"/>
      <c r="F152" s="24"/>
      <c r="G152" s="24"/>
      <c r="H152" s="24"/>
      <c r="I152" s="24"/>
      <c r="J152" s="82"/>
      <c r="K152" s="81">
        <v>4.5999999999999996</v>
      </c>
    </row>
    <row r="153" spans="2:11" x14ac:dyDescent="0.2">
      <c r="B153" s="24"/>
      <c r="C153" s="24"/>
      <c r="D153" s="24"/>
      <c r="E153" s="24"/>
      <c r="F153" s="24"/>
      <c r="G153" s="24"/>
      <c r="H153" s="24"/>
      <c r="I153" s="24"/>
      <c r="J153" s="82"/>
      <c r="K153" s="81">
        <v>5.0999999999999996</v>
      </c>
    </row>
    <row r="154" spans="2:11" x14ac:dyDescent="0.2">
      <c r="B154" s="24"/>
      <c r="C154" s="24"/>
      <c r="D154" s="24"/>
      <c r="E154" s="24"/>
      <c r="F154" s="24"/>
      <c r="G154" s="24"/>
      <c r="H154" s="24"/>
      <c r="I154" s="24"/>
      <c r="J154" s="82"/>
      <c r="K154" s="81">
        <v>5.2</v>
      </c>
    </row>
    <row r="155" spans="2:11" x14ac:dyDescent="0.2">
      <c r="B155" s="24"/>
      <c r="C155" s="24"/>
      <c r="D155" s="24"/>
      <c r="E155" s="24"/>
      <c r="F155" s="24"/>
      <c r="G155" s="24"/>
      <c r="H155" s="24"/>
      <c r="I155" s="24"/>
      <c r="J155" s="82"/>
      <c r="K155" s="81">
        <v>5.3</v>
      </c>
    </row>
    <row r="156" spans="2:11" x14ac:dyDescent="0.2">
      <c r="B156" s="24"/>
      <c r="C156" s="24"/>
      <c r="D156" s="24"/>
      <c r="E156" s="24"/>
      <c r="F156" s="24"/>
      <c r="G156" s="24"/>
      <c r="H156" s="24"/>
      <c r="I156" s="24"/>
      <c r="J156" s="82"/>
      <c r="K156" s="81">
        <v>5.4</v>
      </c>
    </row>
    <row r="157" spans="2:11" x14ac:dyDescent="0.2">
      <c r="B157" s="24"/>
      <c r="C157" s="24"/>
      <c r="D157" s="24"/>
      <c r="E157" s="24"/>
      <c r="F157" s="24"/>
      <c r="G157" s="24"/>
      <c r="H157" s="24"/>
      <c r="I157" s="24"/>
      <c r="J157" s="82"/>
      <c r="K157" s="81">
        <v>6.1</v>
      </c>
    </row>
    <row r="158" spans="2:11" x14ac:dyDescent="0.2">
      <c r="B158" s="24"/>
      <c r="C158" s="24"/>
      <c r="D158" s="24"/>
      <c r="E158" s="24"/>
      <c r="F158" s="24"/>
      <c r="G158" s="24"/>
      <c r="H158" s="24"/>
      <c r="I158" s="24"/>
      <c r="J158" s="82"/>
      <c r="K158" s="81">
        <v>6.2</v>
      </c>
    </row>
    <row r="159" spans="2:11" x14ac:dyDescent="0.2">
      <c r="B159" s="24"/>
      <c r="C159" s="24"/>
      <c r="D159" s="24"/>
      <c r="E159" s="24"/>
      <c r="F159" s="24"/>
      <c r="G159" s="24"/>
      <c r="H159" s="24"/>
      <c r="I159" s="24"/>
      <c r="J159" s="82"/>
      <c r="K159" s="81">
        <v>6.3</v>
      </c>
    </row>
    <row r="160" spans="2:11" x14ac:dyDescent="0.2">
      <c r="B160" s="24"/>
      <c r="C160" s="24"/>
      <c r="D160" s="24"/>
      <c r="E160" s="24"/>
      <c r="F160" s="24"/>
      <c r="G160" s="24"/>
      <c r="H160" s="24"/>
      <c r="I160" s="24"/>
      <c r="J160" s="82"/>
      <c r="K160" s="81">
        <v>6.4</v>
      </c>
    </row>
    <row r="161" spans="1:11" x14ac:dyDescent="0.2">
      <c r="B161" s="24"/>
      <c r="C161" s="24"/>
      <c r="D161" s="24"/>
      <c r="E161" s="24"/>
      <c r="F161" s="24"/>
      <c r="G161" s="24"/>
      <c r="H161" s="24"/>
      <c r="I161" s="24"/>
      <c r="J161" s="82"/>
      <c r="K161" s="81">
        <v>6.5</v>
      </c>
    </row>
    <row r="162" spans="1:11" x14ac:dyDescent="0.2">
      <c r="B162" s="24"/>
      <c r="C162" s="24"/>
      <c r="D162" s="24"/>
      <c r="E162" s="24"/>
      <c r="F162" s="24"/>
      <c r="G162" s="24"/>
      <c r="H162" s="24"/>
      <c r="I162" s="24"/>
      <c r="J162" s="82"/>
      <c r="K162" s="81">
        <v>6.6</v>
      </c>
    </row>
    <row r="163" spans="1:11" x14ac:dyDescent="0.2">
      <c r="B163" s="24"/>
      <c r="C163" s="24"/>
      <c r="D163" s="24"/>
      <c r="E163" s="24"/>
      <c r="F163" s="24"/>
      <c r="G163" s="24"/>
      <c r="H163" s="24"/>
      <c r="I163" s="24"/>
      <c r="J163" s="82"/>
      <c r="K163" s="81">
        <v>6.7</v>
      </c>
    </row>
    <row r="164" spans="1:11" ht="15" thickBot="1" x14ac:dyDescent="0.25">
      <c r="B164" s="24"/>
      <c r="C164" s="24"/>
      <c r="D164" s="24"/>
      <c r="E164" s="24"/>
      <c r="F164" s="24"/>
      <c r="G164" s="24"/>
      <c r="H164" s="24"/>
      <c r="I164" s="24"/>
      <c r="J164" s="82"/>
      <c r="K164" s="83">
        <v>6.8</v>
      </c>
    </row>
    <row r="165" spans="1:11" x14ac:dyDescent="0.2">
      <c r="B165" s="24"/>
      <c r="C165" s="24"/>
      <c r="D165" s="24"/>
      <c r="E165" s="24"/>
      <c r="F165" s="24"/>
      <c r="G165" s="24"/>
      <c r="H165" s="24"/>
      <c r="I165" s="24"/>
      <c r="J165" s="82"/>
    </row>
    <row r="166" spans="1:11" x14ac:dyDescent="0.2">
      <c r="B166" s="24"/>
      <c r="C166" s="24"/>
      <c r="D166" s="24"/>
      <c r="E166" s="24"/>
      <c r="F166" s="24"/>
      <c r="G166" s="24"/>
      <c r="H166" s="24"/>
      <c r="I166" s="24"/>
      <c r="J166" s="82"/>
    </row>
    <row r="167" spans="1:11" x14ac:dyDescent="0.2">
      <c r="B167" s="24"/>
      <c r="C167" s="24"/>
      <c r="D167" s="24"/>
      <c r="E167" s="24"/>
      <c r="F167" s="24"/>
      <c r="G167" s="24"/>
      <c r="H167" s="24"/>
      <c r="I167" s="24"/>
      <c r="J167" s="82"/>
    </row>
    <row r="168" spans="1:11" ht="15" thickBot="1" x14ac:dyDescent="0.25">
      <c r="B168" s="84"/>
      <c r="C168" s="84"/>
      <c r="D168" s="84"/>
      <c r="E168" s="84"/>
      <c r="F168" s="84"/>
      <c r="G168" s="84"/>
      <c r="H168" s="84"/>
      <c r="I168" s="84"/>
      <c r="J168" s="85"/>
    </row>
    <row r="175" spans="1:11" x14ac:dyDescent="0.2">
      <c r="A175" s="26"/>
    </row>
    <row r="176" spans="1:11" x14ac:dyDescent="0.2">
      <c r="A176" s="26"/>
    </row>
    <row r="177" spans="1:1" x14ac:dyDescent="0.2">
      <c r="A177" s="26"/>
    </row>
    <row r="178" spans="1:1" x14ac:dyDescent="0.2">
      <c r="A178" s="26"/>
    </row>
    <row r="179" spans="1:1" x14ac:dyDescent="0.2">
      <c r="A179" s="26"/>
    </row>
    <row r="180" spans="1:1" x14ac:dyDescent="0.2">
      <c r="A180" s="26"/>
    </row>
    <row r="181" spans="1:1" x14ac:dyDescent="0.2">
      <c r="A181" s="26"/>
    </row>
    <row r="182" spans="1:1" x14ac:dyDescent="0.2">
      <c r="A182" s="26"/>
    </row>
    <row r="183" spans="1:1" x14ac:dyDescent="0.2">
      <c r="A183" s="26"/>
    </row>
    <row r="184" spans="1:1" x14ac:dyDescent="0.2">
      <c r="A184" s="26"/>
    </row>
    <row r="185" spans="1:1" x14ac:dyDescent="0.2">
      <c r="A185" s="26"/>
    </row>
    <row r="186" spans="1:1" x14ac:dyDescent="0.2">
      <c r="A186" s="26"/>
    </row>
    <row r="187" spans="1:1" x14ac:dyDescent="0.2">
      <c r="A187" s="26"/>
    </row>
    <row r="188" spans="1:1" x14ac:dyDescent="0.2">
      <c r="A188" s="26"/>
    </row>
    <row r="189" spans="1:1" x14ac:dyDescent="0.2">
      <c r="A189" s="26"/>
    </row>
    <row r="190" spans="1:1" x14ac:dyDescent="0.2">
      <c r="A190" s="26"/>
    </row>
    <row r="191" spans="1:1" x14ac:dyDescent="0.2">
      <c r="A191" s="26"/>
    </row>
    <row r="192" spans="1:1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  <row r="216" spans="1:1" x14ac:dyDescent="0.2">
      <c r="A216" s="26"/>
    </row>
    <row r="217" spans="1:1" x14ac:dyDescent="0.2">
      <c r="A217" s="26"/>
    </row>
    <row r="218" spans="1:1" x14ac:dyDescent="0.2">
      <c r="A218" s="26"/>
    </row>
    <row r="219" spans="1:1" x14ac:dyDescent="0.2">
      <c r="A219" s="26"/>
    </row>
    <row r="220" spans="1:1" x14ac:dyDescent="0.2">
      <c r="A220" s="26"/>
    </row>
    <row r="221" spans="1:1" x14ac:dyDescent="0.2">
      <c r="A221" s="26"/>
    </row>
    <row r="222" spans="1:1" x14ac:dyDescent="0.2">
      <c r="A222" s="26"/>
    </row>
    <row r="223" spans="1:1" x14ac:dyDescent="0.2">
      <c r="A223" s="26"/>
    </row>
    <row r="224" spans="1:1" x14ac:dyDescent="0.2">
      <c r="A224" s="26"/>
    </row>
    <row r="225" spans="1:1" x14ac:dyDescent="0.2">
      <c r="A225" s="26"/>
    </row>
    <row r="226" spans="1:1" x14ac:dyDescent="0.2">
      <c r="A226" s="26"/>
    </row>
    <row r="227" spans="1:1" x14ac:dyDescent="0.2">
      <c r="A227" s="26"/>
    </row>
    <row r="228" spans="1:1" x14ac:dyDescent="0.2">
      <c r="A228" s="26"/>
    </row>
  </sheetData>
  <sheetProtection selectLockedCells="1" selectUnlockedCells="1"/>
  <mergeCells count="47">
    <mergeCell ref="A133:J133"/>
    <mergeCell ref="A94:C94"/>
    <mergeCell ref="B105:C105"/>
    <mergeCell ref="D105:D107"/>
    <mergeCell ref="B106:C106"/>
    <mergeCell ref="H96:H97"/>
    <mergeCell ref="A81:C81"/>
    <mergeCell ref="A113:C113"/>
    <mergeCell ref="B117:E117"/>
    <mergeCell ref="A130:B130"/>
    <mergeCell ref="B107:C107"/>
    <mergeCell ref="A84:D84"/>
    <mergeCell ref="A85:D85"/>
    <mergeCell ref="A83:D83"/>
    <mergeCell ref="A62:C62"/>
    <mergeCell ref="A63:C63"/>
    <mergeCell ref="A78:D78"/>
    <mergeCell ref="A74:C74"/>
    <mergeCell ref="A65:E65"/>
    <mergeCell ref="A72:E72"/>
    <mergeCell ref="A76:D76"/>
    <mergeCell ref="A77:D77"/>
    <mergeCell ref="A66:E66"/>
    <mergeCell ref="A67:E67"/>
    <mergeCell ref="A68:E68"/>
    <mergeCell ref="A69:E69"/>
    <mergeCell ref="A57:C57"/>
    <mergeCell ref="A58:C58"/>
    <mergeCell ref="A59:C59"/>
    <mergeCell ref="A61:C61"/>
    <mergeCell ref="B20:G20"/>
    <mergeCell ref="A37:A38"/>
    <mergeCell ref="B37:E37"/>
    <mergeCell ref="C39:D39"/>
    <mergeCell ref="A32:C32"/>
    <mergeCell ref="A33:C33"/>
    <mergeCell ref="A55:C55"/>
    <mergeCell ref="A60:C60"/>
    <mergeCell ref="A5:F5"/>
    <mergeCell ref="A6:F6"/>
    <mergeCell ref="A7:F7"/>
    <mergeCell ref="A8:F8"/>
    <mergeCell ref="B18:G18"/>
    <mergeCell ref="A18:A19"/>
    <mergeCell ref="A9:F9"/>
    <mergeCell ref="A15:C15"/>
    <mergeCell ref="A16:C1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="75" zoomScaleNormal="100" zoomScaleSheetLayoutView="75" workbookViewId="0">
      <selection activeCell="I9" sqref="I9"/>
    </sheetView>
  </sheetViews>
  <sheetFormatPr defaultRowHeight="18" x14ac:dyDescent="0.25"/>
  <cols>
    <col min="1" max="1" width="22.5" style="40" customWidth="1"/>
    <col min="2" max="2" width="19.09765625" style="40" customWidth="1"/>
    <col min="3" max="3" width="28.59765625" style="40" customWidth="1"/>
    <col min="4" max="4" width="14.8984375" style="40" customWidth="1"/>
    <col min="5" max="5" width="15.69921875" style="40" customWidth="1"/>
    <col min="6" max="6" width="23.296875" style="40" customWidth="1"/>
    <col min="7" max="7" width="22" style="40" customWidth="1"/>
    <col min="8" max="8" width="15.59765625" style="40" customWidth="1"/>
    <col min="9" max="16384" width="8.796875" style="40"/>
  </cols>
  <sheetData>
    <row r="1" spans="1:8" ht="46.5" customHeight="1" x14ac:dyDescent="0.25">
      <c r="A1" s="43"/>
      <c r="B1" s="260" t="s">
        <v>185</v>
      </c>
      <c r="C1" s="260"/>
      <c r="D1" s="260"/>
      <c r="E1" s="260"/>
      <c r="F1" s="260"/>
      <c r="G1" s="260"/>
      <c r="H1" s="41"/>
    </row>
    <row r="2" spans="1:8" ht="39.75" customHeight="1" x14ac:dyDescent="0.25">
      <c r="A2" s="42" t="s">
        <v>123</v>
      </c>
      <c r="B2" s="41"/>
      <c r="C2" s="41"/>
      <c r="D2" s="41"/>
      <c r="E2" s="41"/>
      <c r="F2" s="41"/>
      <c r="G2" s="41"/>
      <c r="H2" s="41"/>
    </row>
    <row r="3" spans="1:8" ht="25.5" customHeight="1" x14ac:dyDescent="0.25">
      <c r="A3" s="42" t="s">
        <v>124</v>
      </c>
      <c r="B3" s="296">
        <f>C8</f>
        <v>0</v>
      </c>
      <c r="C3" s="296"/>
      <c r="D3" s="296"/>
      <c r="E3" s="41"/>
      <c r="F3" s="41"/>
      <c r="G3" s="41"/>
      <c r="H3" s="41"/>
    </row>
    <row r="4" spans="1:8" ht="25.5" customHeight="1" x14ac:dyDescent="0.25">
      <c r="A4" s="42" t="s">
        <v>100</v>
      </c>
      <c r="B4" s="41">
        <f>C10</f>
        <v>0</v>
      </c>
      <c r="C4" s="41">
        <f>C11</f>
        <v>0</v>
      </c>
      <c r="D4" s="42" t="s">
        <v>102</v>
      </c>
      <c r="E4" s="297">
        <f>C9</f>
        <v>0</v>
      </c>
      <c r="F4" s="297"/>
      <c r="G4" s="41"/>
      <c r="H4" s="41"/>
    </row>
    <row r="5" spans="1:8" ht="25.5" customHeight="1" x14ac:dyDescent="0.25">
      <c r="A5" s="42"/>
      <c r="B5" s="41"/>
      <c r="C5" s="41"/>
      <c r="D5" s="41"/>
      <c r="E5" s="41"/>
      <c r="F5" s="41"/>
      <c r="G5" s="41"/>
      <c r="H5" s="41"/>
    </row>
    <row r="6" spans="1:8" ht="15.75" customHeight="1" thickBot="1" x14ac:dyDescent="0.3"/>
    <row r="7" spans="1:8" ht="18.75" thickBot="1" x14ac:dyDescent="0.3">
      <c r="A7" s="264" t="s">
        <v>89</v>
      </c>
      <c r="B7" s="265"/>
      <c r="C7" s="266"/>
      <c r="E7" s="264" t="s">
        <v>62</v>
      </c>
      <c r="F7" s="265"/>
      <c r="G7" s="265"/>
      <c r="H7" s="266"/>
    </row>
    <row r="8" spans="1:8" ht="39.75" customHeight="1" x14ac:dyDescent="0.25">
      <c r="A8" s="302" t="s">
        <v>59</v>
      </c>
      <c r="B8" s="303"/>
      <c r="C8" s="110">
        <f>'Foglio 1 - TARIFFA ISTRUTTORIA'!C16</f>
        <v>0</v>
      </c>
      <c r="E8" s="44">
        <v>1</v>
      </c>
      <c r="F8" s="306" t="s">
        <v>70</v>
      </c>
      <c r="G8" s="307"/>
      <c r="H8" s="308">
        <f>'Foglio 1 - TARIFFA ISTRUTTORIA'!H17</f>
        <v>0</v>
      </c>
    </row>
    <row r="9" spans="1:8" ht="21" customHeight="1" x14ac:dyDescent="0.25">
      <c r="A9" s="304" t="s">
        <v>76</v>
      </c>
      <c r="B9" s="305"/>
      <c r="C9" s="111">
        <f>'Foglio 1 - TARIFFA ISTRUTTORIA'!C17</f>
        <v>0</v>
      </c>
      <c r="E9" s="45">
        <v>2</v>
      </c>
      <c r="F9" s="300" t="s">
        <v>71</v>
      </c>
      <c r="G9" s="301"/>
      <c r="H9" s="309"/>
    </row>
    <row r="10" spans="1:8" ht="21" customHeight="1" x14ac:dyDescent="0.25">
      <c r="A10" s="304" t="s">
        <v>60</v>
      </c>
      <c r="B10" s="305"/>
      <c r="C10" s="111">
        <f>'Foglio 1 - TARIFFA ISTRUTTORIA'!C18</f>
        <v>0</v>
      </c>
      <c r="E10" s="45">
        <v>3</v>
      </c>
      <c r="F10" s="300" t="s">
        <v>63</v>
      </c>
      <c r="G10" s="301"/>
      <c r="H10" s="309"/>
    </row>
    <row r="11" spans="1:8" ht="21" customHeight="1" thickBot="1" x14ac:dyDescent="0.3">
      <c r="A11" s="298" t="s">
        <v>61</v>
      </c>
      <c r="B11" s="299"/>
      <c r="C11" s="112">
        <f>'Foglio 1 - TARIFFA ISTRUTTORIA'!C19</f>
        <v>0</v>
      </c>
      <c r="E11" s="46">
        <v>4</v>
      </c>
      <c r="F11" s="318" t="s">
        <v>174</v>
      </c>
      <c r="G11" s="319"/>
      <c r="H11" s="310"/>
    </row>
    <row r="12" spans="1:8" ht="21" customHeight="1" thickBot="1" x14ac:dyDescent="0.3">
      <c r="A12" s="320" t="s">
        <v>158</v>
      </c>
      <c r="B12" s="321"/>
      <c r="C12" s="109">
        <f>'Foglio 1 - TARIFFA ISTRUTTORIA'!C20</f>
        <v>0</v>
      </c>
    </row>
    <row r="13" spans="1:8" ht="18.75" thickBot="1" x14ac:dyDescent="0.3">
      <c r="A13" s="320" t="s">
        <v>159</v>
      </c>
      <c r="B13" s="321"/>
      <c r="C13" s="109">
        <f>'Foglio 1 - TARIFFA ISTRUTTORIA'!C21</f>
        <v>0</v>
      </c>
    </row>
    <row r="14" spans="1:8" ht="20.25" customHeight="1" thickBot="1" x14ac:dyDescent="0.3">
      <c r="C14" s="108"/>
      <c r="E14" s="264" t="s">
        <v>87</v>
      </c>
      <c r="F14" s="265"/>
      <c r="G14" s="265"/>
      <c r="H14" s="266"/>
    </row>
    <row r="15" spans="1:8" ht="20.25" customHeight="1" x14ac:dyDescent="0.25">
      <c r="E15" s="282" t="s">
        <v>68</v>
      </c>
      <c r="F15" s="283"/>
      <c r="G15" s="284"/>
      <c r="H15" s="118">
        <f>'Foglio 1 - TARIFFA ISTRUTTORIA'!H24</f>
        <v>0</v>
      </c>
    </row>
    <row r="16" spans="1:8" ht="20.25" customHeight="1" thickBot="1" x14ac:dyDescent="0.3">
      <c r="E16" s="261" t="s">
        <v>69</v>
      </c>
      <c r="F16" s="262"/>
      <c r="G16" s="263"/>
      <c r="H16" s="118">
        <f>'Foglio 1 - TARIFFA ISTRUTTORIA'!H25</f>
        <v>0</v>
      </c>
    </row>
    <row r="17" spans="1:13" ht="18.75" thickBot="1" x14ac:dyDescent="0.3">
      <c r="A17" s="47"/>
      <c r="B17" s="48"/>
      <c r="C17" s="48"/>
      <c r="D17" s="49"/>
    </row>
    <row r="18" spans="1:13" ht="21" thickBot="1" x14ac:dyDescent="0.4">
      <c r="A18" s="285" t="s">
        <v>1</v>
      </c>
      <c r="B18" s="286"/>
      <c r="C18" s="287"/>
    </row>
    <row r="19" spans="1:13" x14ac:dyDescent="0.25">
      <c r="A19" s="322" t="s">
        <v>0</v>
      </c>
      <c r="B19" s="323"/>
      <c r="C19" s="323"/>
      <c r="D19" s="323"/>
      <c r="E19" s="323"/>
      <c r="F19" s="323"/>
      <c r="G19" s="50" t="s">
        <v>126</v>
      </c>
      <c r="H19" s="51"/>
    </row>
    <row r="20" spans="1:13" ht="15" customHeight="1" x14ac:dyDescent="0.25">
      <c r="A20" s="182" t="s">
        <v>127</v>
      </c>
      <c r="B20" s="156"/>
      <c r="C20" s="156"/>
      <c r="D20" s="156"/>
      <c r="E20" s="156"/>
      <c r="F20" s="156"/>
      <c r="G20" s="313">
        <f>'Foglio 1 - TARIFFA ISTRUTTORIA'!G31</f>
        <v>0</v>
      </c>
      <c r="H20" s="52"/>
      <c r="I20" s="53"/>
      <c r="J20" s="53"/>
      <c r="K20" s="42"/>
      <c r="L20" s="42"/>
      <c r="M20" s="42"/>
    </row>
    <row r="21" spans="1:13" x14ac:dyDescent="0.25">
      <c r="A21" s="182" t="s">
        <v>128</v>
      </c>
      <c r="B21" s="156"/>
      <c r="C21" s="156"/>
      <c r="D21" s="156"/>
      <c r="E21" s="156"/>
      <c r="F21" s="156"/>
      <c r="G21" s="313"/>
      <c r="H21" s="52"/>
      <c r="I21" s="53"/>
      <c r="J21" s="53"/>
    </row>
    <row r="22" spans="1:13" x14ac:dyDescent="0.25">
      <c r="A22" s="182" t="s">
        <v>129</v>
      </c>
      <c r="B22" s="156"/>
      <c r="C22" s="156"/>
      <c r="D22" s="156"/>
      <c r="E22" s="156"/>
      <c r="F22" s="156"/>
      <c r="G22" s="313"/>
      <c r="H22" s="52"/>
    </row>
    <row r="23" spans="1:13" ht="18.75" thickBot="1" x14ac:dyDescent="0.3">
      <c r="A23" s="143" t="s">
        <v>130</v>
      </c>
      <c r="B23" s="144"/>
      <c r="C23" s="144"/>
      <c r="D23" s="144"/>
      <c r="E23" s="144"/>
      <c r="F23" s="144"/>
      <c r="G23" s="314"/>
      <c r="H23" s="52"/>
    </row>
    <row r="25" spans="1:13" ht="21" thickBot="1" x14ac:dyDescent="0.4">
      <c r="F25" s="54" t="s">
        <v>113</v>
      </c>
      <c r="G25" s="38">
        <f>'Calcoli Foglio1'!I10</f>
        <v>0</v>
      </c>
      <c r="H25" s="55"/>
    </row>
    <row r="26" spans="1:13" ht="21" thickBot="1" x14ac:dyDescent="0.4">
      <c r="A26" s="264" t="s">
        <v>4</v>
      </c>
      <c r="B26" s="265"/>
      <c r="C26" s="266"/>
    </row>
    <row r="27" spans="1:13" x14ac:dyDescent="0.25">
      <c r="A27" s="282" t="s">
        <v>5</v>
      </c>
      <c r="B27" s="283"/>
      <c r="C27" s="284"/>
      <c r="D27" s="56">
        <f>'Foglio 1 - TARIFFA ISTRUTTORIA'!D41</f>
        <v>0</v>
      </c>
    </row>
    <row r="28" spans="1:13" ht="21" thickBot="1" x14ac:dyDescent="0.4">
      <c r="A28" s="261" t="s">
        <v>6</v>
      </c>
      <c r="B28" s="262"/>
      <c r="C28" s="263"/>
      <c r="D28" s="59">
        <f>'Foglio 1 - TARIFFA ISTRUTTORIA'!D42</f>
        <v>0</v>
      </c>
      <c r="F28" s="54" t="s">
        <v>114</v>
      </c>
      <c r="G28" s="38">
        <f>'Calcoli Foglio1'!B30</f>
        <v>0</v>
      </c>
    </row>
    <row r="30" spans="1:13" ht="18.75" thickBot="1" x14ac:dyDescent="0.3"/>
    <row r="31" spans="1:13" ht="21" thickBot="1" x14ac:dyDescent="0.4">
      <c r="A31" s="264" t="s">
        <v>20</v>
      </c>
      <c r="B31" s="265"/>
      <c r="C31" s="266"/>
    </row>
    <row r="32" spans="1:13" x14ac:dyDescent="0.25">
      <c r="A32" s="282" t="s">
        <v>21</v>
      </c>
      <c r="B32" s="283"/>
      <c r="C32" s="284"/>
      <c r="D32" s="56">
        <f>'Foglio 1 - TARIFFA ISTRUTTORIA'!D47</f>
        <v>0</v>
      </c>
    </row>
    <row r="33" spans="1:7" ht="21" thickBot="1" x14ac:dyDescent="0.4">
      <c r="A33" s="261" t="s">
        <v>6</v>
      </c>
      <c r="B33" s="262"/>
      <c r="C33" s="263"/>
      <c r="D33" s="59">
        <f>'Foglio 1 - TARIFFA ISTRUTTORIA'!D48</f>
        <v>0</v>
      </c>
      <c r="F33" s="54" t="s">
        <v>115</v>
      </c>
      <c r="G33" s="38">
        <f>'Calcoli Foglio1'!B52</f>
        <v>0</v>
      </c>
    </row>
    <row r="35" spans="1:7" ht="18.75" thickBot="1" x14ac:dyDescent="0.3"/>
    <row r="36" spans="1:7" ht="18.75" thickBot="1" x14ac:dyDescent="0.3">
      <c r="A36" s="264" t="s">
        <v>34</v>
      </c>
      <c r="B36" s="265"/>
      <c r="C36" s="266"/>
    </row>
    <row r="37" spans="1:7" x14ac:dyDescent="0.25">
      <c r="A37" s="288" t="s">
        <v>35</v>
      </c>
      <c r="B37" s="289"/>
      <c r="C37" s="289"/>
      <c r="D37" s="289"/>
      <c r="E37" s="290"/>
    </row>
    <row r="38" spans="1:7" ht="17.25" customHeight="1" x14ac:dyDescent="0.35">
      <c r="A38" s="291" t="s">
        <v>36</v>
      </c>
      <c r="B38" s="292"/>
      <c r="C38" s="292"/>
      <c r="D38" s="292"/>
      <c r="E38" s="117">
        <f>'Foglio 1 - TARIFFA ISTRUTTORIA'!E54</f>
        <v>0</v>
      </c>
      <c r="F38" s="57" t="s">
        <v>116</v>
      </c>
      <c r="G38" s="1">
        <f>'Calcoli Foglio1'!G58</f>
        <v>0</v>
      </c>
    </row>
    <row r="39" spans="1:7" ht="20.25" x14ac:dyDescent="0.35">
      <c r="A39" s="291" t="s">
        <v>38</v>
      </c>
      <c r="B39" s="292"/>
      <c r="C39" s="292"/>
      <c r="D39" s="292"/>
      <c r="E39" s="117">
        <f>'Foglio 1 - TARIFFA ISTRUTTORIA'!E55</f>
        <v>0</v>
      </c>
      <c r="F39" s="57" t="s">
        <v>117</v>
      </c>
      <c r="G39" s="1">
        <f>'Calcoli Foglio1'!G59</f>
        <v>0</v>
      </c>
    </row>
    <row r="40" spans="1:7" ht="20.25" x14ac:dyDescent="0.35">
      <c r="A40" s="291" t="s">
        <v>137</v>
      </c>
      <c r="B40" s="292"/>
      <c r="C40" s="292"/>
      <c r="D40" s="292"/>
      <c r="E40" s="117">
        <f>'Foglio 1 - TARIFFA ISTRUTTORIA'!E56</f>
        <v>0</v>
      </c>
      <c r="F40" s="57" t="s">
        <v>118</v>
      </c>
      <c r="G40" s="1">
        <f>'Calcoli Foglio1'!G60</f>
        <v>0</v>
      </c>
    </row>
    <row r="41" spans="1:7" ht="20.25" x14ac:dyDescent="0.35">
      <c r="A41" s="291" t="s">
        <v>40</v>
      </c>
      <c r="B41" s="292"/>
      <c r="C41" s="292"/>
      <c r="D41" s="292"/>
      <c r="E41" s="117">
        <f>'Foglio 1 - TARIFFA ISTRUTTORIA'!E57</f>
        <v>0</v>
      </c>
      <c r="F41" s="57" t="s">
        <v>119</v>
      </c>
      <c r="G41" s="1">
        <f>'Calcoli Foglio1'!G61</f>
        <v>0</v>
      </c>
    </row>
    <row r="42" spans="1:7" x14ac:dyDescent="0.25">
      <c r="A42" s="291" t="s">
        <v>42</v>
      </c>
      <c r="B42" s="292"/>
      <c r="C42" s="292"/>
      <c r="D42" s="292"/>
      <c r="E42" s="117">
        <f>'Foglio 1 - TARIFFA ISTRUTTORIA'!E58</f>
        <v>0</v>
      </c>
      <c r="F42" s="57"/>
      <c r="G42" s="1">
        <f>'Calcoli Foglio1'!G62</f>
        <v>0</v>
      </c>
    </row>
    <row r="43" spans="1:7" ht="21" thickBot="1" x14ac:dyDescent="0.4">
      <c r="A43" s="261" t="s">
        <v>44</v>
      </c>
      <c r="B43" s="262"/>
      <c r="C43" s="262"/>
      <c r="D43" s="263"/>
      <c r="E43" s="117">
        <f>'Foglio 1 - TARIFFA ISTRUTTORIA'!E59</f>
        <v>0</v>
      </c>
      <c r="F43" s="57" t="s">
        <v>120</v>
      </c>
      <c r="G43" s="1">
        <f>'Calcoli Foglio1'!G63</f>
        <v>0</v>
      </c>
    </row>
    <row r="44" spans="1:7" x14ac:dyDescent="0.25">
      <c r="F44" s="43"/>
      <c r="G44" s="43"/>
    </row>
    <row r="45" spans="1:7" x14ac:dyDescent="0.25">
      <c r="F45" s="58" t="s">
        <v>46</v>
      </c>
      <c r="G45" s="38">
        <f>SUM(G38:G43)</f>
        <v>0</v>
      </c>
    </row>
    <row r="46" spans="1:7" ht="18.75" thickBot="1" x14ac:dyDescent="0.3">
      <c r="F46" s="86"/>
      <c r="G46" s="87"/>
    </row>
    <row r="47" spans="1:7" x14ac:dyDescent="0.25">
      <c r="A47" s="223" t="s">
        <v>145</v>
      </c>
      <c r="B47" s="224"/>
      <c r="C47" s="224"/>
      <c r="D47" s="224"/>
      <c r="E47" s="225"/>
      <c r="F47" s="32" t="s">
        <v>146</v>
      </c>
    </row>
    <row r="48" spans="1:7" x14ac:dyDescent="0.25">
      <c r="A48" s="279" t="s">
        <v>144</v>
      </c>
      <c r="B48" s="280"/>
      <c r="C48" s="280"/>
      <c r="D48" s="280"/>
      <c r="E48" s="281"/>
      <c r="F48" s="313">
        <f>'Foglio 1 - TARIFFA ISTRUTTORIA'!F65</f>
        <v>0</v>
      </c>
    </row>
    <row r="49" spans="1:7" ht="30.75" customHeight="1" x14ac:dyDescent="0.25">
      <c r="A49" s="279" t="s">
        <v>148</v>
      </c>
      <c r="B49" s="280"/>
      <c r="C49" s="280"/>
      <c r="D49" s="280"/>
      <c r="E49" s="281"/>
      <c r="F49" s="313"/>
    </row>
    <row r="50" spans="1:7" x14ac:dyDescent="0.25">
      <c r="A50" s="279" t="s">
        <v>176</v>
      </c>
      <c r="B50" s="280"/>
      <c r="C50" s="280"/>
      <c r="D50" s="280"/>
      <c r="E50" s="281"/>
      <c r="F50" s="313"/>
    </row>
    <row r="51" spans="1:7" ht="19.5" x14ac:dyDescent="0.35">
      <c r="F51" s="58" t="s">
        <v>150</v>
      </c>
      <c r="G51" s="38">
        <f>'Calcoli Foglio1'!F71</f>
        <v>0</v>
      </c>
    </row>
    <row r="52" spans="1:7" ht="18" customHeight="1" thickBot="1" x14ac:dyDescent="0.3"/>
    <row r="53" spans="1:7" ht="18" customHeight="1" thickBot="1" x14ac:dyDescent="0.3">
      <c r="A53" s="264" t="s">
        <v>47</v>
      </c>
      <c r="B53" s="265"/>
      <c r="C53" s="266"/>
    </row>
    <row r="54" spans="1:7" ht="18" customHeight="1" x14ac:dyDescent="0.25">
      <c r="A54" s="288" t="s">
        <v>48</v>
      </c>
      <c r="B54" s="289"/>
      <c r="C54" s="289"/>
      <c r="D54" s="289"/>
      <c r="E54" s="290"/>
    </row>
    <row r="55" spans="1:7" x14ac:dyDescent="0.25">
      <c r="A55" s="293" t="s">
        <v>49</v>
      </c>
      <c r="B55" s="294"/>
      <c r="C55" s="294"/>
      <c r="D55" s="295"/>
      <c r="E55" s="117">
        <f>'Foglio 1 - TARIFFA ISTRUTTORIA'!E73</f>
        <v>0</v>
      </c>
    </row>
    <row r="56" spans="1:7" ht="21" thickBot="1" x14ac:dyDescent="0.4">
      <c r="A56" s="261" t="s">
        <v>50</v>
      </c>
      <c r="B56" s="262"/>
      <c r="C56" s="262"/>
      <c r="D56" s="263"/>
      <c r="E56" s="117">
        <f>'Foglio 1 - TARIFFA ISTRUTTORIA'!E74</f>
        <v>0</v>
      </c>
      <c r="F56" s="58" t="s">
        <v>121</v>
      </c>
      <c r="G56" s="38">
        <f>'Calcoli Foglio1'!F79</f>
        <v>0</v>
      </c>
    </row>
    <row r="57" spans="1:7" ht="18.75" thickBot="1" x14ac:dyDescent="0.3"/>
    <row r="58" spans="1:7" ht="18.75" thickBot="1" x14ac:dyDescent="0.3">
      <c r="A58" s="264" t="s">
        <v>51</v>
      </c>
      <c r="B58" s="265"/>
      <c r="C58" s="266"/>
    </row>
    <row r="59" spans="1:7" ht="18.75" thickBot="1" x14ac:dyDescent="0.3"/>
    <row r="60" spans="1:7" x14ac:dyDescent="0.25">
      <c r="A60" s="288" t="s">
        <v>84</v>
      </c>
      <c r="B60" s="289"/>
      <c r="C60" s="289"/>
      <c r="D60" s="289"/>
      <c r="E60" s="290"/>
    </row>
    <row r="61" spans="1:7" x14ac:dyDescent="0.25">
      <c r="A61" s="293" t="s">
        <v>52</v>
      </c>
      <c r="B61" s="294"/>
      <c r="C61" s="294"/>
      <c r="D61" s="295"/>
      <c r="E61" s="277">
        <f>'Foglio 1 - TARIFFA ISTRUTTORIA'!E82</f>
        <v>0</v>
      </c>
    </row>
    <row r="62" spans="1:7" ht="21" thickBot="1" x14ac:dyDescent="0.4">
      <c r="A62" s="261" t="s">
        <v>53</v>
      </c>
      <c r="B62" s="262"/>
      <c r="C62" s="262"/>
      <c r="D62" s="263"/>
      <c r="E62" s="278"/>
      <c r="F62" s="58" t="s">
        <v>122</v>
      </c>
      <c r="G62" s="38">
        <f>'Calcoli Foglio1'!F87</f>
        <v>0</v>
      </c>
    </row>
    <row r="63" spans="1:7" ht="18.75" thickBot="1" x14ac:dyDescent="0.3"/>
    <row r="64" spans="1:7" ht="18.75" thickBot="1" x14ac:dyDescent="0.3">
      <c r="A64" s="264" t="s">
        <v>58</v>
      </c>
      <c r="B64" s="265"/>
      <c r="C64" s="266"/>
      <c r="F64" s="58" t="s">
        <v>57</v>
      </c>
      <c r="G64" s="38">
        <f>'Calcoli Foglio1'!F91</f>
        <v>0</v>
      </c>
    </row>
    <row r="65" spans="1:7" ht="21" customHeight="1" x14ac:dyDescent="0.25">
      <c r="A65" s="77" t="s">
        <v>65</v>
      </c>
      <c r="B65" s="39">
        <f>'Calcoli Foglio1'!H96</f>
        <v>0</v>
      </c>
    </row>
    <row r="66" spans="1:7" ht="21" customHeight="1" x14ac:dyDescent="0.25">
      <c r="A66" s="77" t="s">
        <v>66</v>
      </c>
      <c r="B66" s="39">
        <f>'Calcoli Foglio1'!F109</f>
        <v>1</v>
      </c>
    </row>
    <row r="67" spans="1:7" ht="21" customHeight="1" x14ac:dyDescent="0.25">
      <c r="A67" s="77" t="s">
        <v>67</v>
      </c>
      <c r="B67" s="39">
        <f>'Calcoli Foglio1'!F110</f>
        <v>1</v>
      </c>
    </row>
    <row r="68" spans="1:7" ht="21" customHeight="1" x14ac:dyDescent="0.25">
      <c r="A68" s="88" t="s">
        <v>151</v>
      </c>
      <c r="B68" s="39">
        <f>'Foglio 1 - TARIFFA ISTRUTTORIA'!B96</f>
        <v>1</v>
      </c>
    </row>
    <row r="69" spans="1:7" ht="18.75" thickBot="1" x14ac:dyDescent="0.3"/>
    <row r="70" spans="1:7" ht="18" customHeight="1" thickBot="1" x14ac:dyDescent="0.3">
      <c r="A70" s="264" t="s">
        <v>73</v>
      </c>
      <c r="B70" s="265"/>
      <c r="C70" s="266"/>
    </row>
    <row r="71" spans="1:7" ht="18" customHeight="1" x14ac:dyDescent="0.25">
      <c r="A71" s="77" t="s">
        <v>74</v>
      </c>
      <c r="B71" s="123">
        <f>'Foglio 1 - TARIFFA ISTRUTTORIA'!B100</f>
        <v>0</v>
      </c>
    </row>
    <row r="72" spans="1:7" ht="18" customHeight="1" x14ac:dyDescent="0.25">
      <c r="G72" s="89"/>
    </row>
    <row r="73" spans="1:7" ht="18" customHeight="1" x14ac:dyDescent="0.25">
      <c r="A73" s="54" t="s">
        <v>75</v>
      </c>
      <c r="B73" s="123">
        <f>'Calcoli Foglio1'!B123</f>
        <v>0</v>
      </c>
    </row>
    <row r="74" spans="1:7" ht="18.75" thickBot="1" x14ac:dyDescent="0.3">
      <c r="E74" s="42"/>
      <c r="G74" s="89"/>
    </row>
    <row r="75" spans="1:7" ht="18" customHeight="1" x14ac:dyDescent="0.25">
      <c r="A75" s="315" t="s">
        <v>170</v>
      </c>
      <c r="B75" s="316"/>
      <c r="C75" s="316"/>
      <c r="D75" s="316"/>
      <c r="E75" s="316"/>
      <c r="F75" s="317"/>
    </row>
    <row r="76" spans="1:7" ht="18" customHeight="1" x14ac:dyDescent="0.25">
      <c r="A76" s="311" t="s">
        <v>171</v>
      </c>
      <c r="B76" s="312"/>
      <c r="C76" s="312"/>
      <c r="D76" s="312"/>
      <c r="E76" s="312"/>
      <c r="F76" s="124">
        <f>'Foglio 1 - TARIFFA ISTRUTTORIA'!F107</f>
        <v>0</v>
      </c>
    </row>
    <row r="77" spans="1:7" x14ac:dyDescent="0.25">
      <c r="F77" s="90" t="s">
        <v>85</v>
      </c>
      <c r="G77" s="123">
        <f>'Calcoli Foglio1'!E127</f>
        <v>0</v>
      </c>
    </row>
    <row r="78" spans="1:7" ht="18.75" thickBot="1" x14ac:dyDescent="0.3"/>
    <row r="79" spans="1:7" x14ac:dyDescent="0.25">
      <c r="A79" s="267" t="s">
        <v>165</v>
      </c>
      <c r="B79" s="268"/>
      <c r="C79" s="269"/>
      <c r="D79" s="273">
        <f>'Calcoli Foglio1'!C130</f>
        <v>0</v>
      </c>
      <c r="E79" s="274"/>
    </row>
    <row r="80" spans="1:7" ht="18.75" thickBot="1" x14ac:dyDescent="0.3">
      <c r="A80" s="270"/>
      <c r="B80" s="271"/>
      <c r="C80" s="272"/>
      <c r="D80" s="275"/>
      <c r="E80" s="276"/>
    </row>
  </sheetData>
  <sheetProtection selectLockedCells="1"/>
  <protectedRanges>
    <protectedRange sqref="C12:C13" name="Intervallo1"/>
  </protectedRanges>
  <mergeCells count="60">
    <mergeCell ref="A39:D39"/>
    <mergeCell ref="A20:F20"/>
    <mergeCell ref="A21:F21"/>
    <mergeCell ref="A22:F22"/>
    <mergeCell ref="A32:C32"/>
    <mergeCell ref="A33:C33"/>
    <mergeCell ref="A26:C26"/>
    <mergeCell ref="F11:G11"/>
    <mergeCell ref="A12:B12"/>
    <mergeCell ref="A13:B13"/>
    <mergeCell ref="A19:F19"/>
    <mergeCell ref="E14:H14"/>
    <mergeCell ref="A76:E76"/>
    <mergeCell ref="G20:G23"/>
    <mergeCell ref="A42:D42"/>
    <mergeCell ref="A43:D43"/>
    <mergeCell ref="F48:F50"/>
    <mergeCell ref="A75:F75"/>
    <mergeCell ref="A23:F23"/>
    <mergeCell ref="A64:C64"/>
    <mergeCell ref="A61:D61"/>
    <mergeCell ref="A41:D41"/>
    <mergeCell ref="A27:C27"/>
    <mergeCell ref="A28:C28"/>
    <mergeCell ref="A31:C31"/>
    <mergeCell ref="A36:C36"/>
    <mergeCell ref="A37:E37"/>
    <mergeCell ref="A38:D38"/>
    <mergeCell ref="A40:D40"/>
    <mergeCell ref="A54:E54"/>
    <mergeCell ref="A55:D55"/>
    <mergeCell ref="A53:C53"/>
    <mergeCell ref="B3:D3"/>
    <mergeCell ref="E4:F4"/>
    <mergeCell ref="A11:B11"/>
    <mergeCell ref="F10:G10"/>
    <mergeCell ref="A7:C7"/>
    <mergeCell ref="A8:B8"/>
    <mergeCell ref="E7:H7"/>
    <mergeCell ref="A9:B9"/>
    <mergeCell ref="F8:G8"/>
    <mergeCell ref="H8:H11"/>
    <mergeCell ref="A10:B10"/>
    <mergeCell ref="F9:G9"/>
    <mergeCell ref="B1:G1"/>
    <mergeCell ref="A62:D62"/>
    <mergeCell ref="A58:C58"/>
    <mergeCell ref="A79:C80"/>
    <mergeCell ref="D79:E80"/>
    <mergeCell ref="A70:C70"/>
    <mergeCell ref="E61:E62"/>
    <mergeCell ref="A56:D56"/>
    <mergeCell ref="A49:E49"/>
    <mergeCell ref="A50:E50"/>
    <mergeCell ref="E15:G15"/>
    <mergeCell ref="E16:G16"/>
    <mergeCell ref="A18:C18"/>
    <mergeCell ref="A60:E60"/>
    <mergeCell ref="A47:E47"/>
    <mergeCell ref="A48:E4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 xml:space="preserve">&amp;CREPORT TARIFFA ISTRUTTORIA AIA
</oddHeader>
    <oddFooter>Pagina &amp;P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10</vt:i4>
      </vt:variant>
    </vt:vector>
  </HeadingPairs>
  <TitlesOfParts>
    <vt:vector size="13" baseType="lpstr">
      <vt:lpstr>Foglio 1 - TARIFFA ISTRUTTORIA</vt:lpstr>
      <vt:lpstr>Calcoli Foglio1</vt:lpstr>
      <vt:lpstr>REPORT FINALE</vt:lpstr>
      <vt:lpstr>ACCONTO2</vt:lpstr>
      <vt:lpstr>'Foglio 1 - TARIFFA ISTRUTTORIA'!Area_stampa</vt:lpstr>
      <vt:lpstr>'REPORT FINALE'!Area_stampa</vt:lpstr>
      <vt:lpstr>codIPPC</vt:lpstr>
      <vt:lpstr>Domanda</vt:lpstr>
      <vt:lpstr>Rifiuti</vt:lpstr>
      <vt:lpstr>RUM</vt:lpstr>
      <vt:lpstr>SI_NO</vt:lpstr>
      <vt:lpstr>Tipo_IMP</vt:lpstr>
      <vt:lpstr>TipoISTR</vt:lpstr>
    </vt:vector>
  </TitlesOfParts>
  <Company>Regione Lombardia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Katjuscia Granci</dc:creator>
  <cp:lastModifiedBy>Alberto Orso</cp:lastModifiedBy>
  <cp:lastPrinted>2011-05-16T09:26:26Z</cp:lastPrinted>
  <dcterms:created xsi:type="dcterms:W3CDTF">2009-09-01T10:42:39Z</dcterms:created>
  <dcterms:modified xsi:type="dcterms:W3CDTF">2022-06-20T09:59:39Z</dcterms:modified>
</cp:coreProperties>
</file>