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GRECO\OneDrive - AGEA\Decreti\669\Spacchettamento\"/>
    </mc:Choice>
  </mc:AlternateContent>
  <xr:revisionPtr revIDLastSave="0" documentId="8_{40673431-275C-40A7-9F98-91E9483B882C}" xr6:coauthVersionLast="45" xr6:coauthVersionMax="45" xr10:uidLastSave="{00000000-0000-0000-0000-000000000000}"/>
  <bookViews>
    <workbookView xWindow="-108" yWindow="-108" windowWidth="23256" windowHeight="12576" xr2:uid="{1A3D526F-C65E-4D7B-A76B-E08C69643AF4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7" i="1" l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<sst xmlns="http://schemas.openxmlformats.org/spreadsheetml/2006/main" count="2463" uniqueCount="276">
  <si>
    <t>Dettaglio Domande Pagabili Decreto 669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</si>
  <si>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</si>
  <si>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</si>
  <si>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</si>
  <si>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</si>
  <si>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</si>
  <si>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</si>
  <si>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</si>
  <si>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</si>
  <si>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</si>
  <si>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</si>
  <si>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</si>
  <si>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</si>
  <si>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</si>
  <si>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</si>
  <si>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</si>
  <si>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</si>
  <si>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</si>
  <si>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</si>
  <si>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</si>
  <si>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</si>
  <si>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</si>
  <si>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</si>
  <si>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</si>
  <si>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</si>
  <si>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</si>
  <si>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</si>
  <si>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</si>
  <si>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</si>
  <si>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</si>
  <si>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ALIMENTAZIONE - ANCONA</t>
  </si>
  <si>
    <t>CAA CIA srl</t>
  </si>
  <si>
    <t>CAA CIA - ANCONA - 002</t>
  </si>
  <si>
    <t>SI</t>
  </si>
  <si>
    <t>PSR 2014/2022</t>
  </si>
  <si>
    <t>AZIENDA AGRICOLA PACCASASSI DEL CONERO SOCIETA' SEMPLICE AGRICOLA DI G</t>
  </si>
  <si>
    <t>AGEA.ASR.2024.0062676</t>
  </si>
  <si>
    <t>In Liquidazione</t>
  </si>
  <si>
    <t>Saldo</t>
  </si>
  <si>
    <t>Co-Finanziato</t>
  </si>
  <si>
    <t>Ordinario</t>
  </si>
  <si>
    <t>CAA Coldiretti srl</t>
  </si>
  <si>
    <t>CAA Coldiretti - ANCONA - 004</t>
  </si>
  <si>
    <t>CAMPOLUCCI MARCO</t>
  </si>
  <si>
    <t>SERV. DEC. AGRICOLTURA E ALIM. -ASCOLI PICENO</t>
  </si>
  <si>
    <t>CAA Coldiretti - MACERATA - 017</t>
  </si>
  <si>
    <t>NO</t>
  </si>
  <si>
    <t>MOCCI MARCO</t>
  </si>
  <si>
    <t>AGEA.ASR.2024.0067881</t>
  </si>
  <si>
    <t>IN PROPRIO</t>
  </si>
  <si>
    <t>COMUNANZA AGRARIA DI SPELONGA</t>
  </si>
  <si>
    <t>AGEA.ASR.2024.0061782</t>
  </si>
  <si>
    <t>SAL</t>
  </si>
  <si>
    <t>AGEA.ASR.2024.0067882</t>
  </si>
  <si>
    <t>TENUTA MONALDI SOCIETA' AGRICOLA S.S.</t>
  </si>
  <si>
    <t>AGEA.ASR.2024.0061760</t>
  </si>
  <si>
    <t>SERV. DEC. AGRICOLTURA E ALIMENTAZIONE - PESARO</t>
  </si>
  <si>
    <t>MONTEBELLO COOPERATIVA AGROBIOLOGICA</t>
  </si>
  <si>
    <t>AGEA.ASR.2024.0067470</t>
  </si>
  <si>
    <t>Misure a Superficie</t>
  </si>
  <si>
    <t>CAA Coldiretti - ANCONA - 003</t>
  </si>
  <si>
    <t>GIACANI FILIPPO</t>
  </si>
  <si>
    <t>AGEA.ASR.2024.0058570</t>
  </si>
  <si>
    <t>CAI Coldiretti Lombardia S.r.l.</t>
  </si>
  <si>
    <t>CAA Coldiretti - BRESCIA - 017</t>
  </si>
  <si>
    <t>LA VALLE SOCIETA' AGRICOLA DI PEZZOLA S.S.</t>
  </si>
  <si>
    <t>CAA LiberiAgricoltori srl già CAA AGCI srl</t>
  </si>
  <si>
    <t>CAA LiberiAgricoltori - MACERATA - 003</t>
  </si>
  <si>
    <t>SOCIETA' AGRICOLA NERI DI NERI ROBERTO E C. S.S.</t>
  </si>
  <si>
    <t>AGEA.ASR.2024.0059839</t>
  </si>
  <si>
    <t>CAA Confagricoltura srl</t>
  </si>
  <si>
    <t>CAA Confagricoltura - ASCOLI PICENO - 001</t>
  </si>
  <si>
    <t>SOCIETA' AGRICOLA QUARESIMA S.N.C. DI QUARESIMA M. &amp; C.</t>
  </si>
  <si>
    <t>CAA CIA - PESARO E URBINO - 006</t>
  </si>
  <si>
    <t>BOLDRIGHINI REMO</t>
  </si>
  <si>
    <t>CAA Coldiretti - PESARO E URBINO - 013</t>
  </si>
  <si>
    <t>MENCARINI ALBINO</t>
  </si>
  <si>
    <t>SERV. DEC. AGRICOLTURA E ALIM. - MACERATA</t>
  </si>
  <si>
    <t>CAA LiberiAgricoltori - MACERATA - 001</t>
  </si>
  <si>
    <t>BARTOCCI GUIDO</t>
  </si>
  <si>
    <t>AGEA.ASR.2024.0065387</t>
  </si>
  <si>
    <t>CAA-CAF AGRI S.R.L.</t>
  </si>
  <si>
    <t>CAA CAF AGRI - ASCOLI PICENO - 223</t>
  </si>
  <si>
    <t>TUCCINI MARICA</t>
  </si>
  <si>
    <t>CAA CIA - ANCONA - 005</t>
  </si>
  <si>
    <t>BERNARDI SERENA</t>
  </si>
  <si>
    <t>STROPPA SILVANA</t>
  </si>
  <si>
    <t>CAA CIA - PESARO E URBINO - 007</t>
  </si>
  <si>
    <t>CASAVECCHIA CRISTIAN</t>
  </si>
  <si>
    <t>CAA Coldiretti - MACERATA - 007</t>
  </si>
  <si>
    <t>CALCAGNOLI FRANCESCO</t>
  </si>
  <si>
    <t>CAA Coldiretti - PESARO E URBINO - 010</t>
  </si>
  <si>
    <t>MARI ANDREA</t>
  </si>
  <si>
    <t>CAA Coldiretti - PERUGIA - 008</t>
  </si>
  <si>
    <t>ALLEVAMENTO CAVALLI DEL CORNO DI ROMITELLI FAUSTO &amp; C. SOCIETA' AGRICO</t>
  </si>
  <si>
    <t>CAA LiberiAgricoltori - MACERATA - 002</t>
  </si>
  <si>
    <t>AZIENDA AGRICOLA SABATINO SNC DI PAOLETTI SABATINO E VITALETTI BRUNO</t>
  </si>
  <si>
    <t>CAA LiberiAgricoltori - MACERATA - 006</t>
  </si>
  <si>
    <t>PALMIERI ROBERTA</t>
  </si>
  <si>
    <t>AGEA.ASR.2024.0058577</t>
  </si>
  <si>
    <t>GALLI ANDREA</t>
  </si>
  <si>
    <t>PAZZELLI MORGAN</t>
  </si>
  <si>
    <t>CAA Confagricoltura - PESARO E URBINO - 001</t>
  </si>
  <si>
    <t>MOCHI II SOCIETA' AGRICOLA S.S.</t>
  </si>
  <si>
    <t>CAA CIA - PESARO E URBINO - 008</t>
  </si>
  <si>
    <t>NALDONI GIUSEPPE</t>
  </si>
  <si>
    <t>ROSELLI DANIELE</t>
  </si>
  <si>
    <t>CAA Coldiretti - PESARO E URBINO - 004</t>
  </si>
  <si>
    <t>BALDACCIONI GRAZIANO</t>
  </si>
  <si>
    <t>CAA Coldiretti - MACERATA - 009</t>
  </si>
  <si>
    <t>PERSICOROSSI FRANCO</t>
  </si>
  <si>
    <t>CAA LiberiAgricoltori - PESARO E URBINO - 001</t>
  </si>
  <si>
    <t>PONTE DELL'ARMELLINA SOCIETA' AGRICOLA A R.L.</t>
  </si>
  <si>
    <t>ANTONIUCCI VITTORIO</t>
  </si>
  <si>
    <t>CAA Coldiretti - ANCONA - 005</t>
  </si>
  <si>
    <t>GIOVAGNOLI ALDO</t>
  </si>
  <si>
    <t>MINNUCCI GIANLUCA</t>
  </si>
  <si>
    <t>SOCIETA' AGRICOLA F.LLI LONDEI S.S.</t>
  </si>
  <si>
    <t>SOCIETA' AGRICOLA FRATELLI BECCERICA S.S.</t>
  </si>
  <si>
    <t>CAA Confagricoltura - MACERATA - 001</t>
  </si>
  <si>
    <t>CRISTOFANELLI BROGLIO RAINALDI ALESSANDRA</t>
  </si>
  <si>
    <t>CAA LiberiAgricoltori - PESARO E URBINO - 002</t>
  </si>
  <si>
    <t>TENUTA BONSIGNORE S.R.L. SOCIETA' AGRICOLA</t>
  </si>
  <si>
    <t>ABBONDANZIERI MARIA-LETIZIA</t>
  </si>
  <si>
    <t>MAGNANI LUCIANO</t>
  </si>
  <si>
    <t>BECCERICA ENRICO</t>
  </si>
  <si>
    <t>CAA Coldiretti - PESARO E URBINO - 007</t>
  </si>
  <si>
    <t>URBINATI ANNA MARIA</t>
  </si>
  <si>
    <t>CAA CIA - ASCOLI PICENO - 001</t>
  </si>
  <si>
    <t>RANELLI MARCO</t>
  </si>
  <si>
    <t>FASEQ SRL - SOCIETA' AGRICOLA</t>
  </si>
  <si>
    <t>FIORINI CARLA</t>
  </si>
  <si>
    <t>CORRADETTI GIAMPIERO</t>
  </si>
  <si>
    <t>BORGIA MARTINA</t>
  </si>
  <si>
    <t>PIRAS LUIGI</t>
  </si>
  <si>
    <t>SOCIETA' AGRICOLA TTERRA DEL VENTO &amp; C.SAS DI SCATASSA DAVIDE</t>
  </si>
  <si>
    <t>CAA CIA - ASCOLI PICENO - 005</t>
  </si>
  <si>
    <t>GRAVUCCI MARIO</t>
  </si>
  <si>
    <t>CAA LiberiAgricoltori - MACERATA - 005</t>
  </si>
  <si>
    <t>BOTTA FRANCESCA</t>
  </si>
  <si>
    <t>CAA Coldiretti - ASCOLI PICENO - 010</t>
  </si>
  <si>
    <t>MADONINI VALERIA MARIA ALESSANDRA</t>
  </si>
  <si>
    <t>BRINCIVALLI RENZO</t>
  </si>
  <si>
    <t>SOCIETA' AGRICOLA TERRE VERDI S.S.</t>
  </si>
  <si>
    <t>ANGELI MIRKO</t>
  </si>
  <si>
    <t>AZIENDA AGRICOLA CAPRIGLIA S.S.</t>
  </si>
  <si>
    <t>DOMINICI TATIANA</t>
  </si>
  <si>
    <t>BECCERICA ANDREA</t>
  </si>
  <si>
    <t>CAA CIA - PESARO E URBINO - 005</t>
  </si>
  <si>
    <t>BRUNORI GIORGIO</t>
  </si>
  <si>
    <t>GENTILI ROMANO</t>
  </si>
  <si>
    <t>GIACINTI FRANCESCO</t>
  </si>
  <si>
    <t>MALTEMPO GIORGIO</t>
  </si>
  <si>
    <t>BARONA ALDA AMALIA CLAUDIA</t>
  </si>
  <si>
    <t>CONIGLI CRISTIAN</t>
  </si>
  <si>
    <t>CAA Coldiretti - FERMO - 001</t>
  </si>
  <si>
    <t>MASSI FRANCESCO</t>
  </si>
  <si>
    <t>SOCIETA' AGRICOLA DI PIETRANTONIO ANDREA E C. S.S</t>
  </si>
  <si>
    <t>VISSANI MIRKO</t>
  </si>
  <si>
    <t>LATTANZI LEONARDO</t>
  </si>
  <si>
    <t>CAA CAF AGRI - MACERATA - 223</t>
  </si>
  <si>
    <t>MONTECCHIA EZIO E CLAUDIO S.S. AGRICOLA</t>
  </si>
  <si>
    <t>SOCIETA' AGRICOLA VIGNA DEGLI ESTENSI S.S.</t>
  </si>
  <si>
    <t>CAA CIA - MACERATA - 001</t>
  </si>
  <si>
    <t>ROCCHI PARIS &amp; C. SOC. AGRICOLA SEMPLICE</t>
  </si>
  <si>
    <t>EUROTRADE S.R.L. SOCIETA' AGRICOLA</t>
  </si>
  <si>
    <t>CASALE DA' RO' SOCIETA' SEMPLICE AGRICOLA DI PACCUSSE ROBERTA E MARCHE</t>
  </si>
  <si>
    <t>METALLARI LORODANA</t>
  </si>
  <si>
    <t>CAA Coldiretti - MACERATA - 010</t>
  </si>
  <si>
    <t>COOPERATIVA SOCIALE 'TERRA E VITA'</t>
  </si>
  <si>
    <t>FEDELI SIMONE</t>
  </si>
  <si>
    <t>PETETTA DANIELE</t>
  </si>
  <si>
    <t>GASPARONI SERENA</t>
  </si>
  <si>
    <t>CICCOLINI FABRIZIO</t>
  </si>
  <si>
    <t>FRASCARELLI MARIA PAOLA</t>
  </si>
  <si>
    <t>CAA CIA - ANCONA - 004</t>
  </si>
  <si>
    <t>BIGNAMI CLAUDIO</t>
  </si>
  <si>
    <t>BOVINMARCHE - ALLEVATORI MARCHIGIANI SOCIETA' COOPERATIVA CONSORTILE A</t>
  </si>
  <si>
    <t>AGEA.ASR.2024.0060285</t>
  </si>
  <si>
    <t>CAA Coldiretti - ASCOLI PICENO - 040</t>
  </si>
  <si>
    <t>PELLEI MARIA</t>
  </si>
  <si>
    <t>PESARESI LUCA</t>
  </si>
  <si>
    <t>PIERANTOZZI SIMONE</t>
  </si>
  <si>
    <t>MORBIDELLI MARIELLA</t>
  </si>
  <si>
    <t>CAA CIA - ASCOLI PICENO - 006</t>
  </si>
  <si>
    <t>GRILLI MATTEO</t>
  </si>
  <si>
    <t>VILLA IMPERIUM DI GIUSEPPE COCCI GRIFONI &amp; C. SOC. AGR. SEMPLICE</t>
  </si>
  <si>
    <t>SOCIETA' AGRICOLA FLAMINI LORENZO E C SOC SEMPLICE</t>
  </si>
  <si>
    <t>CAA UNICAA srl</t>
  </si>
  <si>
    <t>CAA UNICAA - ASCOLI PICENO - 004</t>
  </si>
  <si>
    <t>SEMPRONI ELENA</t>
  </si>
  <si>
    <t>CAA Coldiretti - ANCONA - 002</t>
  </si>
  <si>
    <t>GUIDARELLI PIERO</t>
  </si>
  <si>
    <t>CAA Confagricoltura - ANCONA - 001</t>
  </si>
  <si>
    <t>SOCIETA' AGRICOLA VALLONGA S.S.</t>
  </si>
  <si>
    <t>SOCIETA' AGRICOLA LE ROTE S.R.L.S.</t>
  </si>
  <si>
    <t>BIGI ANDREA</t>
  </si>
  <si>
    <t>PALMIERI MICAELA</t>
  </si>
  <si>
    <t>SILVESTRI VALENTINA</t>
  </si>
  <si>
    <t>MICOZZI LUCA</t>
  </si>
  <si>
    <t>SOCIETA' AGRICOLA CONCA D'ORO EREDI CICCHI SERAFINO</t>
  </si>
  <si>
    <t>CAA Coldiretti - ASCOLI PICENO - 030</t>
  </si>
  <si>
    <t>MARCHEI MANUELA</t>
  </si>
  <si>
    <t>MOCHI MAURO</t>
  </si>
  <si>
    <t>ANTICA GASTRONOMIA DI ANDREOZZI SANDRA &amp; C. - S.N.C.</t>
  </si>
  <si>
    <t>CAA Coldiretti - MACERATA - 002</t>
  </si>
  <si>
    <t>EREDI CARDUCCI SOCIETA' SEMPLICE AGRICOLA</t>
  </si>
  <si>
    <t>CAMELI FIORELLA</t>
  </si>
  <si>
    <t>BENEDETTI GABRIELE</t>
  </si>
  <si>
    <t>GIOSUE' FLAVIA</t>
  </si>
  <si>
    <t>FRASCARELLI GERVASIO</t>
  </si>
  <si>
    <t>APIUA SOCIETA' AGRICOLA SEMPLICE DI BERTIN FRANCESCA E CASTIGNANI ROBE</t>
  </si>
  <si>
    <t>SANTILLI MARIA</t>
  </si>
  <si>
    <t>SOCIETA' AGRICOLA CARTECHINI E CAMILLETTI S.S.</t>
  </si>
  <si>
    <t>GABRIELLONI CESARINA</t>
  </si>
  <si>
    <t>PIANCATELLI ANTONIO</t>
  </si>
  <si>
    <t>CAA CAF AGRI - ANCONA - 221</t>
  </si>
  <si>
    <t>BOLOGNINI MASSIMO</t>
  </si>
  <si>
    <t>BODART DIANE YVES M P M G</t>
  </si>
  <si>
    <t>RIPOSATI STEFANO</t>
  </si>
  <si>
    <t>SBRICCOLI ANDREA</t>
  </si>
  <si>
    <t>MONTANARI ANGELO</t>
  </si>
  <si>
    <t>BUGLIONI CLELIA</t>
  </si>
  <si>
    <t>CANDELARESI CARLO</t>
  </si>
  <si>
    <t>SOCIETA AGRICOLA FATTORIA ANTICA DIMORA S.S.</t>
  </si>
  <si>
    <t>SOCIETA AGRICOLA ZENOBI S.S.</t>
  </si>
  <si>
    <t>CAA Coldiretti - ASCOLI PICENO - 015</t>
  </si>
  <si>
    <t>CICCHESE PAOLA</t>
  </si>
  <si>
    <t>SOCIETA' AGRICOLA A&amp;S FABRIZI S.S.</t>
  </si>
  <si>
    <t>SACRIPANTI AFRA</t>
  </si>
  <si>
    <t>CAA CIA - ASCOLI PICENO - 004</t>
  </si>
  <si>
    <t>CANALI NERIO</t>
  </si>
  <si>
    <t>F.lli CECCARELLI EMIDIO&amp;AGOSTINO</t>
  </si>
  <si>
    <t>CONCETTI GIULIANA</t>
  </si>
  <si>
    <t>SOCIETA' AGRICOLA SAN MARTINO DI VERDONI DAVIDE E C. SOCIETA' SEM PLIC</t>
  </si>
  <si>
    <t>FILODIVINO SOCIETA' AGRICOLA FORESTALE S.R.L.</t>
  </si>
  <si>
    <t>MANCINELLI BEATRICE</t>
  </si>
  <si>
    <t>CARSETTI ROLANDO</t>
  </si>
  <si>
    <t>MANCINI VILBERTO</t>
  </si>
  <si>
    <t>CANALI ISA MIRANDA</t>
  </si>
  <si>
    <t>TERRA PREMIATA DI GRAZIANO MAZZA &amp; FIGLI SOCIETA' AGRICOLA SEMPLICE</t>
  </si>
  <si>
    <t>PASQUALINI GIANNA</t>
  </si>
  <si>
    <t>CARLINI CLEMENTE</t>
  </si>
  <si>
    <t>CAA AGRISERVIZI s.r.l.</t>
  </si>
  <si>
    <t>CAA AGRISERVIZI - LATINA - 001</t>
  </si>
  <si>
    <t>CAUCCI GABRIELE</t>
  </si>
  <si>
    <t>ANTONINI ALESSANDRO</t>
  </si>
  <si>
    <t>CIARROCCHI MARINELLA</t>
  </si>
  <si>
    <t>AZIENDA AGRICOLA SBAFFI SOCIETA' SEMPLICE</t>
  </si>
  <si>
    <t>CAA CIA - ANCONA - 006</t>
  </si>
  <si>
    <t>COMUNE DI RECANATI</t>
  </si>
  <si>
    <t>AGEA.ASR.2024.0063588</t>
  </si>
  <si>
    <t>SOCIETA' AGRICOLA FONTE ANTICA DI TRAINI G. E L. S.S.</t>
  </si>
  <si>
    <t>AGEA.ASR.2024.0061464</t>
  </si>
  <si>
    <t>Anticipo</t>
  </si>
  <si>
    <t>MANCINI NADIA</t>
  </si>
  <si>
    <t>MOGLIANETTI MARCELLO</t>
  </si>
  <si>
    <t>MAURIZI ROBERTO</t>
  </si>
  <si>
    <t>BIANCHINI TATIANA</t>
  </si>
  <si>
    <t>SOC. AGR. SAPUTI SOCIETA' AGRICOLA SEMPLICE</t>
  </si>
  <si>
    <t>CAPPELLINI MIRCO</t>
  </si>
  <si>
    <t>BREZZA DI SERA SOCIETA' AGRICOLA SEMPLICE</t>
  </si>
  <si>
    <t>TALAMONTI GEREMIA</t>
  </si>
  <si>
    <t>PIZZARULLI LUCIANO</t>
  </si>
  <si>
    <t>LELLI ROSINA</t>
  </si>
  <si>
    <t>CAA Coldiretti - PESARO E URBINO - 006</t>
  </si>
  <si>
    <t>MASSI MARZIO</t>
  </si>
  <si>
    <t>CAA CAF AGRI - MACERATA - 224</t>
  </si>
  <si>
    <t>LUCHETTI CASIMIRO</t>
  </si>
  <si>
    <t>PACIAROTTI MATTEO</t>
  </si>
  <si>
    <t>SOCIETA AGRICOLA AGRIBAU S.S.</t>
  </si>
  <si>
    <t>PALAZZETTI GIOVANNA</t>
  </si>
  <si>
    <t>CAA CAF AGRI - ANCONA - 225</t>
  </si>
  <si>
    <t>Trascinamenti PSR 2014/2022</t>
  </si>
  <si>
    <t>MOSCONI MARIA</t>
  </si>
  <si>
    <t>AGEA.ASR.2021.0454353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</si>
</sst>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B7F3-4EF7-4931-AF49-588178EBC303}">
  <sheetPr>
    <pageSetUpPr fitToPage="1"/>
  </sheetPr>
  <dimension ref="A1:Z177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4.21875" bestFit="1" customWidth="1"/>
    <col min="5" max="5" width="25" bestFit="1" customWidth="1"/>
    <col min="6" max="6" width="32.7773437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8.33203125" bestFit="1" customWidth="1"/>
    <col min="11" max="11" width="13.21875" bestFit="1" customWidth="1"/>
    <col min="12" max="12" width="13.5546875" bestFit="1" customWidth="1"/>
    <col min="13" max="13" width="14.10937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20.399999999999999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2017</v>
      </c>
      <c r="H4" s="8" t="str">
        <f>_xlfn.CONCAT("34270426561")</f>
        <v>34270426561</v>
      </c>
      <c r="I4" s="8" t="s">
        <v>33</v>
      </c>
      <c r="J4" s="8" t="s">
        <v>34</v>
      </c>
      <c r="K4" s="8" t="str">
        <f>_xlfn.CONCAT("")</f>
        <v/>
      </c>
      <c r="L4" s="8" t="str">
        <f>_xlfn.CONCAT("3 3.1 3a")</f>
        <v>3 3.1 3a</v>
      </c>
      <c r="M4" s="8" t="str">
        <f>_xlfn.CONCAT("02775750421")</f>
        <v>02775750421</v>
      </c>
      <c r="N4" s="8" t="s">
        <v>35</v>
      </c>
      <c r="O4" s="8" t="s">
        <v>36</v>
      </c>
      <c r="P4" s="9">
        <v>45324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8">
        <v>242.09</v>
      </c>
      <c r="W4" s="8">
        <v>104.39</v>
      </c>
      <c r="X4" s="8">
        <v>96.4</v>
      </c>
      <c r="Y4" s="8">
        <v>41.3</v>
      </c>
      <c r="Z4" s="8">
        <v>0</v>
      </c>
    </row>
    <row r="5" spans="1:26" x14ac:dyDescent="0.3">
      <c r="A5" s="8" t="s">
        <v>27</v>
      </c>
      <c r="B5" s="8" t="s">
        <v>28</v>
      </c>
      <c r="C5" s="8" t="s">
        <v>29</v>
      </c>
      <c r="D5" s="8" t="s">
        <v>30</v>
      </c>
      <c r="E5" s="8" t="s">
        <v>41</v>
      </c>
      <c r="F5" s="8" t="s">
        <v>42</v>
      </c>
      <c r="G5" s="8">
        <v>2017</v>
      </c>
      <c r="H5" s="8" t="str">
        <f>_xlfn.CONCAT("34270426553")</f>
        <v>34270426553</v>
      </c>
      <c r="I5" s="8" t="s">
        <v>33</v>
      </c>
      <c r="J5" s="8" t="s">
        <v>34</v>
      </c>
      <c r="K5" s="8" t="str">
        <f>_xlfn.CONCAT("")</f>
        <v/>
      </c>
      <c r="L5" s="8" t="str">
        <f>_xlfn.CONCAT("3 3.1 3a")</f>
        <v>3 3.1 3a</v>
      </c>
      <c r="M5" s="8" t="str">
        <f>_xlfn.CONCAT("CMPMRC88E15I608E")</f>
        <v>CMPMRC88E15I608E</v>
      </c>
      <c r="N5" s="8" t="s">
        <v>43</v>
      </c>
      <c r="O5" s="8" t="s">
        <v>36</v>
      </c>
      <c r="P5" s="9">
        <v>45324</v>
      </c>
      <c r="Q5" s="8" t="s">
        <v>37</v>
      </c>
      <c r="R5" s="8" t="s">
        <v>38</v>
      </c>
      <c r="S5" s="8" t="s">
        <v>39</v>
      </c>
      <c r="T5" s="8"/>
      <c r="U5" s="8" t="s">
        <v>40</v>
      </c>
      <c r="V5" s="8">
        <v>52.68</v>
      </c>
      <c r="W5" s="8">
        <v>22.72</v>
      </c>
      <c r="X5" s="8">
        <v>20.98</v>
      </c>
      <c r="Y5" s="8">
        <v>8.98</v>
      </c>
      <c r="Z5" s="8">
        <v>0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44</v>
      </c>
      <c r="E6" s="8" t="s">
        <v>41</v>
      </c>
      <c r="F6" s="8" t="s">
        <v>45</v>
      </c>
      <c r="G6" s="8">
        <v>2017</v>
      </c>
      <c r="H6" s="8" t="str">
        <f>_xlfn.CONCAT("34270426504")</f>
        <v>34270426504</v>
      </c>
      <c r="I6" s="8" t="s">
        <v>46</v>
      </c>
      <c r="J6" s="8" t="s">
        <v>34</v>
      </c>
      <c r="K6" s="8" t="str">
        <f>_xlfn.CONCAT("")</f>
        <v/>
      </c>
      <c r="L6" s="8" t="str">
        <f>_xlfn.CONCAT("6 6.1 2b")</f>
        <v>6 6.1 2b</v>
      </c>
      <c r="M6" s="8" t="str">
        <f>_xlfn.CONCAT("MCCMRC92C06D653Q")</f>
        <v>MCCMRC92C06D653Q</v>
      </c>
      <c r="N6" s="8" t="s">
        <v>47</v>
      </c>
      <c r="O6" s="8" t="s">
        <v>48</v>
      </c>
      <c r="P6" s="9">
        <v>45324</v>
      </c>
      <c r="Q6" s="8" t="s">
        <v>37</v>
      </c>
      <c r="R6" s="8" t="s">
        <v>38</v>
      </c>
      <c r="S6" s="8" t="s">
        <v>39</v>
      </c>
      <c r="T6" s="8"/>
      <c r="U6" s="8" t="s">
        <v>40</v>
      </c>
      <c r="V6" s="10">
        <v>18000</v>
      </c>
      <c r="W6" s="10">
        <v>7761.6</v>
      </c>
      <c r="X6" s="10">
        <v>7167.6</v>
      </c>
      <c r="Y6" s="10">
        <v>3070.8</v>
      </c>
      <c r="Z6" s="8">
        <v>0</v>
      </c>
    </row>
    <row r="7" spans="1:26" x14ac:dyDescent="0.3">
      <c r="A7" s="8" t="s">
        <v>27</v>
      </c>
      <c r="B7" s="8" t="s">
        <v>28</v>
      </c>
      <c r="C7" s="8" t="s">
        <v>29</v>
      </c>
      <c r="D7" s="8" t="s">
        <v>44</v>
      </c>
      <c r="E7" s="8" t="s">
        <v>49</v>
      </c>
      <c r="F7" s="8" t="s">
        <v>49</v>
      </c>
      <c r="G7" s="8">
        <v>2017</v>
      </c>
      <c r="H7" s="8" t="str">
        <f>_xlfn.CONCAT("34270426520")</f>
        <v>34270426520</v>
      </c>
      <c r="I7" s="8" t="s">
        <v>46</v>
      </c>
      <c r="J7" s="8" t="s">
        <v>34</v>
      </c>
      <c r="K7" s="8" t="str">
        <f>_xlfn.CONCAT("")</f>
        <v/>
      </c>
      <c r="L7" s="8" t="str">
        <f>_xlfn.CONCAT("4 4.3 2a")</f>
        <v>4 4.3 2a</v>
      </c>
      <c r="M7" s="8" t="str">
        <f>_xlfn.CONCAT("92000130440")</f>
        <v>92000130440</v>
      </c>
      <c r="N7" s="8" t="s">
        <v>50</v>
      </c>
      <c r="O7" s="8" t="s">
        <v>51</v>
      </c>
      <c r="P7" s="9">
        <v>45324</v>
      </c>
      <c r="Q7" s="8" t="s">
        <v>37</v>
      </c>
      <c r="R7" s="8" t="s">
        <v>52</v>
      </c>
      <c r="S7" s="8" t="s">
        <v>39</v>
      </c>
      <c r="T7" s="8"/>
      <c r="U7" s="8" t="s">
        <v>40</v>
      </c>
      <c r="V7" s="10">
        <v>30533</v>
      </c>
      <c r="W7" s="10">
        <v>13165.83</v>
      </c>
      <c r="X7" s="10">
        <v>12158.24</v>
      </c>
      <c r="Y7" s="10">
        <v>5208.93</v>
      </c>
      <c r="Z7" s="8">
        <v>0</v>
      </c>
    </row>
    <row r="8" spans="1:26" x14ac:dyDescent="0.3">
      <c r="A8" s="8" t="s">
        <v>27</v>
      </c>
      <c r="B8" s="8" t="s">
        <v>28</v>
      </c>
      <c r="C8" s="8" t="s">
        <v>29</v>
      </c>
      <c r="D8" s="8" t="s">
        <v>44</v>
      </c>
      <c r="E8" s="8" t="s">
        <v>41</v>
      </c>
      <c r="F8" s="8" t="s">
        <v>45</v>
      </c>
      <c r="G8" s="8">
        <v>2017</v>
      </c>
      <c r="H8" s="8" t="str">
        <f>_xlfn.CONCAT("34270426512")</f>
        <v>34270426512</v>
      </c>
      <c r="I8" s="8" t="s">
        <v>46</v>
      </c>
      <c r="J8" s="8" t="s">
        <v>34</v>
      </c>
      <c r="K8" s="8" t="str">
        <f>_xlfn.CONCAT("")</f>
        <v/>
      </c>
      <c r="L8" s="8" t="str">
        <f>_xlfn.CONCAT("4 4.1 2a")</f>
        <v>4 4.1 2a</v>
      </c>
      <c r="M8" s="8" t="str">
        <f>_xlfn.CONCAT("MCCMRC92C06D653Q")</f>
        <v>MCCMRC92C06D653Q</v>
      </c>
      <c r="N8" s="8" t="s">
        <v>47</v>
      </c>
      <c r="O8" s="8" t="s">
        <v>53</v>
      </c>
      <c r="P8" s="9">
        <v>45324</v>
      </c>
      <c r="Q8" s="8" t="s">
        <v>37</v>
      </c>
      <c r="R8" s="8" t="s">
        <v>38</v>
      </c>
      <c r="S8" s="8" t="s">
        <v>39</v>
      </c>
      <c r="T8" s="8"/>
      <c r="U8" s="8" t="s">
        <v>40</v>
      </c>
      <c r="V8" s="10">
        <v>52380.31</v>
      </c>
      <c r="W8" s="10">
        <v>22586.39</v>
      </c>
      <c r="X8" s="10">
        <v>20857.84</v>
      </c>
      <c r="Y8" s="10">
        <v>8936.08</v>
      </c>
      <c r="Z8" s="8">
        <v>0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44</v>
      </c>
      <c r="E9" s="8" t="s">
        <v>49</v>
      </c>
      <c r="F9" s="8" t="s">
        <v>49</v>
      </c>
      <c r="G9" s="8">
        <v>2017</v>
      </c>
      <c r="H9" s="8" t="str">
        <f>_xlfn.CONCAT("34270426579")</f>
        <v>34270426579</v>
      </c>
      <c r="I9" s="8" t="s">
        <v>46</v>
      </c>
      <c r="J9" s="8" t="s">
        <v>34</v>
      </c>
      <c r="K9" s="8" t="str">
        <f>_xlfn.CONCAT("")</f>
        <v/>
      </c>
      <c r="L9" s="8" t="str">
        <f>_xlfn.CONCAT("4 4.1 2a")</f>
        <v>4 4.1 2a</v>
      </c>
      <c r="M9" s="8" t="str">
        <f>_xlfn.CONCAT("02469110445")</f>
        <v>02469110445</v>
      </c>
      <c r="N9" s="8" t="s">
        <v>54</v>
      </c>
      <c r="O9" s="8" t="s">
        <v>55</v>
      </c>
      <c r="P9" s="9">
        <v>45324</v>
      </c>
      <c r="Q9" s="8" t="s">
        <v>37</v>
      </c>
      <c r="R9" s="8" t="s">
        <v>52</v>
      </c>
      <c r="S9" s="8" t="s">
        <v>39</v>
      </c>
      <c r="T9" s="8"/>
      <c r="U9" s="8" t="s">
        <v>40</v>
      </c>
      <c r="V9" s="10">
        <v>38477.42</v>
      </c>
      <c r="W9" s="10">
        <v>16591.46</v>
      </c>
      <c r="X9" s="10">
        <v>15321.71</v>
      </c>
      <c r="Y9" s="10">
        <v>6564.25</v>
      </c>
      <c r="Z9" s="8">
        <v>0</v>
      </c>
    </row>
    <row r="10" spans="1:26" x14ac:dyDescent="0.3">
      <c r="A10" s="8" t="s">
        <v>27</v>
      </c>
      <c r="B10" s="8" t="s">
        <v>28</v>
      </c>
      <c r="C10" s="8" t="s">
        <v>29</v>
      </c>
      <c r="D10" s="8" t="s">
        <v>56</v>
      </c>
      <c r="E10" s="8" t="s">
        <v>49</v>
      </c>
      <c r="F10" s="8" t="s">
        <v>49</v>
      </c>
      <c r="G10" s="8">
        <v>2017</v>
      </c>
      <c r="H10" s="8" t="str">
        <f>_xlfn.CONCAT("34270426587")</f>
        <v>34270426587</v>
      </c>
      <c r="I10" s="8" t="s">
        <v>33</v>
      </c>
      <c r="J10" s="8" t="s">
        <v>34</v>
      </c>
      <c r="K10" s="8" t="str">
        <f>_xlfn.CONCAT("")</f>
        <v/>
      </c>
      <c r="L10" s="8" t="str">
        <f>_xlfn.CONCAT("16 16.1 2a")</f>
        <v>16 16.1 2a</v>
      </c>
      <c r="M10" s="8" t="str">
        <f>_xlfn.CONCAT("02334930415")</f>
        <v>02334930415</v>
      </c>
      <c r="N10" s="8" t="s">
        <v>57</v>
      </c>
      <c r="O10" s="8" t="s">
        <v>58</v>
      </c>
      <c r="P10" s="9">
        <v>45324</v>
      </c>
      <c r="Q10" s="8" t="s">
        <v>37</v>
      </c>
      <c r="R10" s="8" t="s">
        <v>38</v>
      </c>
      <c r="S10" s="8" t="s">
        <v>39</v>
      </c>
      <c r="T10" s="8"/>
      <c r="U10" s="8" t="s">
        <v>40</v>
      </c>
      <c r="V10" s="10">
        <v>1488.92</v>
      </c>
      <c r="W10" s="8">
        <v>642.02</v>
      </c>
      <c r="X10" s="8">
        <v>592.89</v>
      </c>
      <c r="Y10" s="8">
        <v>254.01</v>
      </c>
      <c r="Z10" s="8">
        <v>0</v>
      </c>
    </row>
    <row r="11" spans="1:26" x14ac:dyDescent="0.3">
      <c r="A11" s="8" t="s">
        <v>27</v>
      </c>
      <c r="B11" s="8" t="s">
        <v>59</v>
      </c>
      <c r="C11" s="8" t="s">
        <v>29</v>
      </c>
      <c r="D11" s="8" t="s">
        <v>30</v>
      </c>
      <c r="E11" s="8" t="s">
        <v>41</v>
      </c>
      <c r="F11" s="8" t="s">
        <v>60</v>
      </c>
      <c r="G11" s="8">
        <v>2023</v>
      </c>
      <c r="H11" s="8" t="str">
        <f>_xlfn.CONCAT("34240144393")</f>
        <v>34240144393</v>
      </c>
      <c r="I11" s="8" t="s">
        <v>46</v>
      </c>
      <c r="J11" s="8" t="s">
        <v>34</v>
      </c>
      <c r="K11" s="8" t="str">
        <f>_xlfn.CONCAT("")</f>
        <v/>
      </c>
      <c r="L11" s="8" t="str">
        <f>_xlfn.CONCAT("10 10.1 4a")</f>
        <v>10 10.1 4a</v>
      </c>
      <c r="M11" s="8" t="str">
        <f>_xlfn.CONCAT("GCNFPP81M01E388G")</f>
        <v>GCNFPP81M01E388G</v>
      </c>
      <c r="N11" s="8" t="s">
        <v>61</v>
      </c>
      <c r="O11" s="8" t="s">
        <v>62</v>
      </c>
      <c r="P11" s="9">
        <v>45329</v>
      </c>
      <c r="Q11" s="8" t="s">
        <v>37</v>
      </c>
      <c r="R11" s="8" t="s">
        <v>38</v>
      </c>
      <c r="S11" s="8" t="s">
        <v>39</v>
      </c>
      <c r="T11" s="8"/>
      <c r="U11" s="8" t="s">
        <v>40</v>
      </c>
      <c r="V11" s="8">
        <v>391.72</v>
      </c>
      <c r="W11" s="8">
        <v>168.91</v>
      </c>
      <c r="X11" s="8">
        <v>155.97999999999999</v>
      </c>
      <c r="Y11" s="8">
        <v>66.83</v>
      </c>
      <c r="Z11" s="8">
        <v>0</v>
      </c>
    </row>
    <row r="12" spans="1:26" x14ac:dyDescent="0.3">
      <c r="A12" s="8" t="s">
        <v>27</v>
      </c>
      <c r="B12" s="8" t="s">
        <v>59</v>
      </c>
      <c r="C12" s="8" t="s">
        <v>29</v>
      </c>
      <c r="D12" s="8" t="s">
        <v>30</v>
      </c>
      <c r="E12" s="8" t="s">
        <v>63</v>
      </c>
      <c r="F12" s="8" t="s">
        <v>64</v>
      </c>
      <c r="G12" s="8">
        <v>2023</v>
      </c>
      <c r="H12" s="8" t="str">
        <f>_xlfn.CONCAT("34240666189")</f>
        <v>34240666189</v>
      </c>
      <c r="I12" s="8" t="s">
        <v>46</v>
      </c>
      <c r="J12" s="8" t="s">
        <v>34</v>
      </c>
      <c r="K12" s="8" t="str">
        <f>_xlfn.CONCAT("")</f>
        <v/>
      </c>
      <c r="L12" s="8" t="str">
        <f>_xlfn.CONCAT("10 10.1 4a")</f>
        <v>10 10.1 4a</v>
      </c>
      <c r="M12" s="8" t="str">
        <f>_xlfn.CONCAT("02109470985")</f>
        <v>02109470985</v>
      </c>
      <c r="N12" s="8" t="s">
        <v>65</v>
      </c>
      <c r="O12" s="8" t="s">
        <v>62</v>
      </c>
      <c r="P12" s="9">
        <v>45329</v>
      </c>
      <c r="Q12" s="8" t="s">
        <v>37</v>
      </c>
      <c r="R12" s="8" t="s">
        <v>38</v>
      </c>
      <c r="S12" s="8" t="s">
        <v>39</v>
      </c>
      <c r="T12" s="8"/>
      <c r="U12" s="8" t="s">
        <v>40</v>
      </c>
      <c r="V12" s="10">
        <v>1653.32</v>
      </c>
      <c r="W12" s="8">
        <v>712.91</v>
      </c>
      <c r="X12" s="8">
        <v>658.35</v>
      </c>
      <c r="Y12" s="8">
        <v>282.06</v>
      </c>
      <c r="Z12" s="8">
        <v>0</v>
      </c>
    </row>
    <row r="13" spans="1:26" x14ac:dyDescent="0.3">
      <c r="A13" s="8" t="s">
        <v>27</v>
      </c>
      <c r="B13" s="8" t="s">
        <v>59</v>
      </c>
      <c r="C13" s="8" t="s">
        <v>29</v>
      </c>
      <c r="D13" s="8" t="s">
        <v>44</v>
      </c>
      <c r="E13" s="8" t="s">
        <v>66</v>
      </c>
      <c r="F13" s="8" t="s">
        <v>67</v>
      </c>
      <c r="G13" s="8">
        <v>2023</v>
      </c>
      <c r="H13" s="8" t="str">
        <f>_xlfn.CONCAT("34240546720")</f>
        <v>34240546720</v>
      </c>
      <c r="I13" s="8" t="s">
        <v>46</v>
      </c>
      <c r="J13" s="8" t="s">
        <v>34</v>
      </c>
      <c r="K13" s="8" t="str">
        <f>_xlfn.CONCAT("")</f>
        <v/>
      </c>
      <c r="L13" s="8" t="str">
        <f>_xlfn.CONCAT("11 11.2 4b")</f>
        <v>11 11.2 4b</v>
      </c>
      <c r="M13" s="8" t="str">
        <f>_xlfn.CONCAT("02515370449")</f>
        <v>02515370449</v>
      </c>
      <c r="N13" s="8" t="s">
        <v>68</v>
      </c>
      <c r="O13" s="8" t="s">
        <v>69</v>
      </c>
      <c r="P13" s="9">
        <v>45329</v>
      </c>
      <c r="Q13" s="8" t="s">
        <v>37</v>
      </c>
      <c r="R13" s="8" t="s">
        <v>38</v>
      </c>
      <c r="S13" s="8" t="s">
        <v>39</v>
      </c>
      <c r="T13" s="8"/>
      <c r="U13" s="8" t="s">
        <v>40</v>
      </c>
      <c r="V13" s="10">
        <v>1228.3</v>
      </c>
      <c r="W13" s="8">
        <v>529.64</v>
      </c>
      <c r="X13" s="8">
        <v>489.11</v>
      </c>
      <c r="Y13" s="8">
        <v>209.55</v>
      </c>
      <c r="Z13" s="8">
        <v>0</v>
      </c>
    </row>
    <row r="14" spans="1:26" ht="20.399999999999999" x14ac:dyDescent="0.3">
      <c r="A14" s="8" t="s">
        <v>27</v>
      </c>
      <c r="B14" s="8" t="s">
        <v>59</v>
      </c>
      <c r="C14" s="8" t="s">
        <v>29</v>
      </c>
      <c r="D14" s="8" t="s">
        <v>44</v>
      </c>
      <c r="E14" s="8" t="s">
        <v>70</v>
      </c>
      <c r="F14" s="8" t="s">
        <v>71</v>
      </c>
      <c r="G14" s="8">
        <v>2023</v>
      </c>
      <c r="H14" s="8" t="str">
        <f>_xlfn.CONCAT("34240550144")</f>
        <v>34240550144</v>
      </c>
      <c r="I14" s="8" t="s">
        <v>46</v>
      </c>
      <c r="J14" s="8" t="s">
        <v>34</v>
      </c>
      <c r="K14" s="8" t="str">
        <f>_xlfn.CONCAT("")</f>
        <v/>
      </c>
      <c r="L14" s="8" t="str">
        <f>_xlfn.CONCAT("11 11.2 4b")</f>
        <v>11 11.2 4b</v>
      </c>
      <c r="M14" s="8" t="str">
        <f>_xlfn.CONCAT("02476610445")</f>
        <v>02476610445</v>
      </c>
      <c r="N14" s="8" t="s">
        <v>72</v>
      </c>
      <c r="O14" s="8" t="s">
        <v>69</v>
      </c>
      <c r="P14" s="9">
        <v>45329</v>
      </c>
      <c r="Q14" s="8" t="s">
        <v>37</v>
      </c>
      <c r="R14" s="8" t="s">
        <v>38</v>
      </c>
      <c r="S14" s="8" t="s">
        <v>39</v>
      </c>
      <c r="T14" s="8"/>
      <c r="U14" s="8" t="s">
        <v>40</v>
      </c>
      <c r="V14" s="10">
        <v>1052.02</v>
      </c>
      <c r="W14" s="8">
        <v>453.63</v>
      </c>
      <c r="X14" s="8">
        <v>418.91</v>
      </c>
      <c r="Y14" s="8">
        <v>179.48</v>
      </c>
      <c r="Z14" s="8">
        <v>0</v>
      </c>
    </row>
    <row r="15" spans="1:26" x14ac:dyDescent="0.3">
      <c r="A15" s="8" t="s">
        <v>27</v>
      </c>
      <c r="B15" s="8" t="s">
        <v>59</v>
      </c>
      <c r="C15" s="8" t="s">
        <v>29</v>
      </c>
      <c r="D15" s="8" t="s">
        <v>56</v>
      </c>
      <c r="E15" s="8" t="s">
        <v>31</v>
      </c>
      <c r="F15" s="8" t="s">
        <v>73</v>
      </c>
      <c r="G15" s="8">
        <v>2023</v>
      </c>
      <c r="H15" s="8" t="str">
        <f>_xlfn.CONCAT("34240178177")</f>
        <v>34240178177</v>
      </c>
      <c r="I15" s="8" t="s">
        <v>46</v>
      </c>
      <c r="J15" s="8" t="s">
        <v>34</v>
      </c>
      <c r="K15" s="8" t="str">
        <f>_xlfn.CONCAT("")</f>
        <v/>
      </c>
      <c r="L15" s="8" t="str">
        <f>_xlfn.CONCAT("11 11.2 4b")</f>
        <v>11 11.2 4b</v>
      </c>
      <c r="M15" s="8" t="str">
        <f>_xlfn.CONCAT("BLDRME35D12G089O")</f>
        <v>BLDRME35D12G089O</v>
      </c>
      <c r="N15" s="8" t="s">
        <v>74</v>
      </c>
      <c r="O15" s="8" t="s">
        <v>69</v>
      </c>
      <c r="P15" s="9">
        <v>45329</v>
      </c>
      <c r="Q15" s="8" t="s">
        <v>37</v>
      </c>
      <c r="R15" s="8" t="s">
        <v>38</v>
      </c>
      <c r="S15" s="8" t="s">
        <v>39</v>
      </c>
      <c r="T15" s="8"/>
      <c r="U15" s="8" t="s">
        <v>40</v>
      </c>
      <c r="V15" s="8">
        <v>102.91</v>
      </c>
      <c r="W15" s="8">
        <v>44.37</v>
      </c>
      <c r="X15" s="8">
        <v>40.98</v>
      </c>
      <c r="Y15" s="8">
        <v>17.559999999999999</v>
      </c>
      <c r="Z15" s="8">
        <v>0</v>
      </c>
    </row>
    <row r="16" spans="1:26" x14ac:dyDescent="0.3">
      <c r="A16" s="8" t="s">
        <v>27</v>
      </c>
      <c r="B16" s="8" t="s">
        <v>59</v>
      </c>
      <c r="C16" s="8" t="s">
        <v>29</v>
      </c>
      <c r="D16" s="8" t="s">
        <v>56</v>
      </c>
      <c r="E16" s="8" t="s">
        <v>41</v>
      </c>
      <c r="F16" s="8" t="s">
        <v>75</v>
      </c>
      <c r="G16" s="8">
        <v>2023</v>
      </c>
      <c r="H16" s="8" t="str">
        <f>_xlfn.CONCAT("34240429455")</f>
        <v>34240429455</v>
      </c>
      <c r="I16" s="8" t="s">
        <v>46</v>
      </c>
      <c r="J16" s="8" t="s">
        <v>34</v>
      </c>
      <c r="K16" s="8" t="str">
        <f>_xlfn.CONCAT("")</f>
        <v/>
      </c>
      <c r="L16" s="8" t="str">
        <f>_xlfn.CONCAT("11 11.2 4b")</f>
        <v>11 11.2 4b</v>
      </c>
      <c r="M16" s="8" t="str">
        <f>_xlfn.CONCAT("MNCLBN52A12I344G")</f>
        <v>MNCLBN52A12I344G</v>
      </c>
      <c r="N16" s="8" t="s">
        <v>76</v>
      </c>
      <c r="O16" s="8" t="s">
        <v>69</v>
      </c>
      <c r="P16" s="9">
        <v>45329</v>
      </c>
      <c r="Q16" s="8" t="s">
        <v>37</v>
      </c>
      <c r="R16" s="8" t="s">
        <v>38</v>
      </c>
      <c r="S16" s="8" t="s">
        <v>39</v>
      </c>
      <c r="T16" s="8"/>
      <c r="U16" s="8" t="s">
        <v>40</v>
      </c>
      <c r="V16" s="8">
        <v>73.8</v>
      </c>
      <c r="W16" s="8">
        <v>31.82</v>
      </c>
      <c r="X16" s="8">
        <v>29.39</v>
      </c>
      <c r="Y16" s="8">
        <v>12.59</v>
      </c>
      <c r="Z16" s="8">
        <v>0</v>
      </c>
    </row>
    <row r="17" spans="1:26" x14ac:dyDescent="0.3">
      <c r="A17" s="8" t="s">
        <v>27</v>
      </c>
      <c r="B17" s="8" t="s">
        <v>59</v>
      </c>
      <c r="C17" s="8" t="s">
        <v>29</v>
      </c>
      <c r="D17" s="8" t="s">
        <v>77</v>
      </c>
      <c r="E17" s="8" t="s">
        <v>66</v>
      </c>
      <c r="F17" s="8" t="s">
        <v>78</v>
      </c>
      <c r="G17" s="8">
        <v>2023</v>
      </c>
      <c r="H17" s="8" t="str">
        <f>_xlfn.CONCAT("34210097134")</f>
        <v>34210097134</v>
      </c>
      <c r="I17" s="8" t="s">
        <v>46</v>
      </c>
      <c r="J17" s="8" t="s">
        <v>34</v>
      </c>
      <c r="K17" s="8" t="str">
        <f>_xlfn.CONCAT("")</f>
        <v/>
      </c>
      <c r="L17" s="8" t="str">
        <f>_xlfn.CONCAT("13 13.1 4a")</f>
        <v>13 13.1 4a</v>
      </c>
      <c r="M17" s="8" t="str">
        <f>_xlfn.CONCAT("BRTGDU85T19B474U")</f>
        <v>BRTGDU85T19B474U</v>
      </c>
      <c r="N17" s="8" t="s">
        <v>79</v>
      </c>
      <c r="O17" s="8" t="s">
        <v>80</v>
      </c>
      <c r="P17" s="9">
        <v>45329</v>
      </c>
      <c r="Q17" s="8" t="s">
        <v>37</v>
      </c>
      <c r="R17" s="8" t="s">
        <v>38</v>
      </c>
      <c r="S17" s="8" t="s">
        <v>39</v>
      </c>
      <c r="T17" s="8"/>
      <c r="U17" s="8" t="s">
        <v>40</v>
      </c>
      <c r="V17" s="10">
        <v>11250</v>
      </c>
      <c r="W17" s="10">
        <v>4851</v>
      </c>
      <c r="X17" s="10">
        <v>4479.75</v>
      </c>
      <c r="Y17" s="10">
        <v>1919.25</v>
      </c>
      <c r="Z17" s="8">
        <v>0</v>
      </c>
    </row>
    <row r="18" spans="1:26" x14ac:dyDescent="0.3">
      <c r="A18" s="8" t="s">
        <v>27</v>
      </c>
      <c r="B18" s="8" t="s">
        <v>59</v>
      </c>
      <c r="C18" s="8" t="s">
        <v>29</v>
      </c>
      <c r="D18" s="8" t="s">
        <v>44</v>
      </c>
      <c r="E18" s="8" t="s">
        <v>81</v>
      </c>
      <c r="F18" s="8" t="s">
        <v>82</v>
      </c>
      <c r="G18" s="8">
        <v>2023</v>
      </c>
      <c r="H18" s="8" t="str">
        <f>_xlfn.CONCAT("34210102363")</f>
        <v>34210102363</v>
      </c>
      <c r="I18" s="8" t="s">
        <v>46</v>
      </c>
      <c r="J18" s="8" t="s">
        <v>34</v>
      </c>
      <c r="K18" s="8" t="str">
        <f>_xlfn.CONCAT("")</f>
        <v/>
      </c>
      <c r="L18" s="8" t="str">
        <f>_xlfn.CONCAT("13 13.1 4a")</f>
        <v>13 13.1 4a</v>
      </c>
      <c r="M18" s="8" t="str">
        <f>_xlfn.CONCAT("TCCMRC98P59A252M")</f>
        <v>TCCMRC98P59A252M</v>
      </c>
      <c r="N18" s="8" t="s">
        <v>83</v>
      </c>
      <c r="O18" s="8" t="s">
        <v>80</v>
      </c>
      <c r="P18" s="9">
        <v>45329</v>
      </c>
      <c r="Q18" s="8" t="s">
        <v>37</v>
      </c>
      <c r="R18" s="8" t="s">
        <v>38</v>
      </c>
      <c r="S18" s="8" t="s">
        <v>39</v>
      </c>
      <c r="T18" s="8"/>
      <c r="U18" s="8" t="s">
        <v>40</v>
      </c>
      <c r="V18" s="10">
        <v>11250</v>
      </c>
      <c r="W18" s="10">
        <v>4851</v>
      </c>
      <c r="X18" s="10">
        <v>4479.75</v>
      </c>
      <c r="Y18" s="10">
        <v>1919.25</v>
      </c>
      <c r="Z18" s="8">
        <v>0</v>
      </c>
    </row>
    <row r="19" spans="1:26" x14ac:dyDescent="0.3">
      <c r="A19" s="8" t="s">
        <v>27</v>
      </c>
      <c r="B19" s="8" t="s">
        <v>59</v>
      </c>
      <c r="C19" s="8" t="s">
        <v>29</v>
      </c>
      <c r="D19" s="8" t="s">
        <v>30</v>
      </c>
      <c r="E19" s="8" t="s">
        <v>31</v>
      </c>
      <c r="F19" s="8" t="s">
        <v>84</v>
      </c>
      <c r="G19" s="8">
        <v>2023</v>
      </c>
      <c r="H19" s="8" t="str">
        <f>_xlfn.CONCAT("34210084322")</f>
        <v>34210084322</v>
      </c>
      <c r="I19" s="8" t="s">
        <v>46</v>
      </c>
      <c r="J19" s="8" t="s">
        <v>34</v>
      </c>
      <c r="K19" s="8" t="str">
        <f>_xlfn.CONCAT("")</f>
        <v/>
      </c>
      <c r="L19" s="8" t="str">
        <f>_xlfn.CONCAT("13 13.1 4a")</f>
        <v>13 13.1 4a</v>
      </c>
      <c r="M19" s="8" t="str">
        <f>_xlfn.CONCAT("BRNSRN95A66G479L")</f>
        <v>BRNSRN95A66G479L</v>
      </c>
      <c r="N19" s="8" t="s">
        <v>85</v>
      </c>
      <c r="O19" s="8" t="s">
        <v>80</v>
      </c>
      <c r="P19" s="9">
        <v>45329</v>
      </c>
      <c r="Q19" s="8" t="s">
        <v>37</v>
      </c>
      <c r="R19" s="8" t="s">
        <v>38</v>
      </c>
      <c r="S19" s="8" t="s">
        <v>39</v>
      </c>
      <c r="T19" s="8"/>
      <c r="U19" s="8" t="s">
        <v>40</v>
      </c>
      <c r="V19" s="10">
        <v>3551.73</v>
      </c>
      <c r="W19" s="10">
        <v>1531.51</v>
      </c>
      <c r="X19" s="10">
        <v>1414.3</v>
      </c>
      <c r="Y19" s="8">
        <v>605.91999999999996</v>
      </c>
      <c r="Z19" s="8">
        <v>0</v>
      </c>
    </row>
    <row r="20" spans="1:26" x14ac:dyDescent="0.3">
      <c r="A20" s="8" t="s">
        <v>27</v>
      </c>
      <c r="B20" s="8" t="s">
        <v>59</v>
      </c>
      <c r="C20" s="8" t="s">
        <v>29</v>
      </c>
      <c r="D20" s="8" t="s">
        <v>30</v>
      </c>
      <c r="E20" s="8" t="s">
        <v>31</v>
      </c>
      <c r="F20" s="8" t="s">
        <v>84</v>
      </c>
      <c r="G20" s="8">
        <v>2023</v>
      </c>
      <c r="H20" s="8" t="str">
        <f>_xlfn.CONCAT("34210066485")</f>
        <v>34210066485</v>
      </c>
      <c r="I20" s="8" t="s">
        <v>46</v>
      </c>
      <c r="J20" s="8" t="s">
        <v>34</v>
      </c>
      <c r="K20" s="8" t="str">
        <f>_xlfn.CONCAT("")</f>
        <v/>
      </c>
      <c r="L20" s="8" t="str">
        <f>_xlfn.CONCAT("13 13.1 4a")</f>
        <v>13 13.1 4a</v>
      </c>
      <c r="M20" s="8" t="str">
        <f>_xlfn.CONCAT("STRSVN52B65D451B")</f>
        <v>STRSVN52B65D451B</v>
      </c>
      <c r="N20" s="8" t="s">
        <v>86</v>
      </c>
      <c r="O20" s="8" t="s">
        <v>80</v>
      </c>
      <c r="P20" s="9">
        <v>45329</v>
      </c>
      <c r="Q20" s="8" t="s">
        <v>37</v>
      </c>
      <c r="R20" s="8" t="s">
        <v>38</v>
      </c>
      <c r="S20" s="8" t="s">
        <v>39</v>
      </c>
      <c r="T20" s="8"/>
      <c r="U20" s="8" t="s">
        <v>40</v>
      </c>
      <c r="V20" s="10">
        <v>2352.4</v>
      </c>
      <c r="W20" s="10">
        <v>1014.35</v>
      </c>
      <c r="X20" s="8">
        <v>936.73</v>
      </c>
      <c r="Y20" s="8">
        <v>401.32</v>
      </c>
      <c r="Z20" s="8">
        <v>0</v>
      </c>
    </row>
    <row r="21" spans="1:26" x14ac:dyDescent="0.3">
      <c r="A21" s="8" t="s">
        <v>27</v>
      </c>
      <c r="B21" s="8" t="s">
        <v>59</v>
      </c>
      <c r="C21" s="8" t="s">
        <v>29</v>
      </c>
      <c r="D21" s="8" t="s">
        <v>56</v>
      </c>
      <c r="E21" s="8" t="s">
        <v>31</v>
      </c>
      <c r="F21" s="8" t="s">
        <v>87</v>
      </c>
      <c r="G21" s="8">
        <v>2023</v>
      </c>
      <c r="H21" s="8" t="str">
        <f>_xlfn.CONCAT("34210043070")</f>
        <v>34210043070</v>
      </c>
      <c r="I21" s="8" t="s">
        <v>46</v>
      </c>
      <c r="J21" s="8" t="s">
        <v>34</v>
      </c>
      <c r="K21" s="8" t="str">
        <f>_xlfn.CONCAT("")</f>
        <v/>
      </c>
      <c r="L21" s="8" t="str">
        <f>_xlfn.CONCAT("13 13.1 4a")</f>
        <v>13 13.1 4a</v>
      </c>
      <c r="M21" s="8" t="str">
        <f>_xlfn.CONCAT("CSVCST98E24E256O")</f>
        <v>CSVCST98E24E256O</v>
      </c>
      <c r="N21" s="8" t="s">
        <v>88</v>
      </c>
      <c r="O21" s="8" t="s">
        <v>80</v>
      </c>
      <c r="P21" s="9">
        <v>45329</v>
      </c>
      <c r="Q21" s="8" t="s">
        <v>37</v>
      </c>
      <c r="R21" s="8" t="s">
        <v>38</v>
      </c>
      <c r="S21" s="8" t="s">
        <v>39</v>
      </c>
      <c r="T21" s="8"/>
      <c r="U21" s="8" t="s">
        <v>40</v>
      </c>
      <c r="V21" s="10">
        <v>2540.4</v>
      </c>
      <c r="W21" s="10">
        <v>1095.42</v>
      </c>
      <c r="X21" s="10">
        <v>1011.59</v>
      </c>
      <c r="Y21" s="8">
        <v>433.39</v>
      </c>
      <c r="Z21" s="8">
        <v>0</v>
      </c>
    </row>
    <row r="22" spans="1:26" x14ac:dyDescent="0.3">
      <c r="A22" s="8" t="s">
        <v>27</v>
      </c>
      <c r="B22" s="8" t="s">
        <v>59</v>
      </c>
      <c r="C22" s="8" t="s">
        <v>29</v>
      </c>
      <c r="D22" s="8" t="s">
        <v>77</v>
      </c>
      <c r="E22" s="8" t="s">
        <v>41</v>
      </c>
      <c r="F22" s="8" t="s">
        <v>89</v>
      </c>
      <c r="G22" s="8">
        <v>2023</v>
      </c>
      <c r="H22" s="8" t="str">
        <f>_xlfn.CONCAT("34210042817")</f>
        <v>34210042817</v>
      </c>
      <c r="I22" s="8" t="s">
        <v>46</v>
      </c>
      <c r="J22" s="8" t="s">
        <v>34</v>
      </c>
      <c r="K22" s="8" t="str">
        <f>_xlfn.CONCAT("")</f>
        <v/>
      </c>
      <c r="L22" s="8" t="str">
        <f>_xlfn.CONCAT("13 13.1 4a")</f>
        <v>13 13.1 4a</v>
      </c>
      <c r="M22" s="8" t="str">
        <f>_xlfn.CONCAT("CLCFNC80T26I436D")</f>
        <v>CLCFNC80T26I436D</v>
      </c>
      <c r="N22" s="8" t="s">
        <v>90</v>
      </c>
      <c r="O22" s="8" t="s">
        <v>80</v>
      </c>
      <c r="P22" s="9">
        <v>45329</v>
      </c>
      <c r="Q22" s="8" t="s">
        <v>37</v>
      </c>
      <c r="R22" s="8" t="s">
        <v>38</v>
      </c>
      <c r="S22" s="8" t="s">
        <v>39</v>
      </c>
      <c r="T22" s="8"/>
      <c r="U22" s="8" t="s">
        <v>40</v>
      </c>
      <c r="V22" s="10">
        <v>1108.94</v>
      </c>
      <c r="W22" s="8">
        <v>478.17</v>
      </c>
      <c r="X22" s="8">
        <v>441.58</v>
      </c>
      <c r="Y22" s="8">
        <v>189.19</v>
      </c>
      <c r="Z22" s="8">
        <v>0</v>
      </c>
    </row>
    <row r="23" spans="1:26" x14ac:dyDescent="0.3">
      <c r="A23" s="8" t="s">
        <v>27</v>
      </c>
      <c r="B23" s="8" t="s">
        <v>59</v>
      </c>
      <c r="C23" s="8" t="s">
        <v>29</v>
      </c>
      <c r="D23" s="8" t="s">
        <v>56</v>
      </c>
      <c r="E23" s="8" t="s">
        <v>41</v>
      </c>
      <c r="F23" s="8" t="s">
        <v>91</v>
      </c>
      <c r="G23" s="8">
        <v>2023</v>
      </c>
      <c r="H23" s="8" t="str">
        <f>_xlfn.CONCAT("34210058961")</f>
        <v>34210058961</v>
      </c>
      <c r="I23" s="8" t="s">
        <v>46</v>
      </c>
      <c r="J23" s="8" t="s">
        <v>34</v>
      </c>
      <c r="K23" s="8" t="str">
        <f>_xlfn.CONCAT("")</f>
        <v/>
      </c>
      <c r="L23" s="8" t="str">
        <f>_xlfn.CONCAT("13 13.1 4a")</f>
        <v>13 13.1 4a</v>
      </c>
      <c r="M23" s="8" t="str">
        <f>_xlfn.CONCAT("MRANDR90E02L500D")</f>
        <v>MRANDR90E02L500D</v>
      </c>
      <c r="N23" s="8" t="s">
        <v>92</v>
      </c>
      <c r="O23" s="8" t="s">
        <v>80</v>
      </c>
      <c r="P23" s="9">
        <v>45329</v>
      </c>
      <c r="Q23" s="8" t="s">
        <v>37</v>
      </c>
      <c r="R23" s="8" t="s">
        <v>38</v>
      </c>
      <c r="S23" s="8" t="s">
        <v>39</v>
      </c>
      <c r="T23" s="8"/>
      <c r="U23" s="8" t="s">
        <v>40</v>
      </c>
      <c r="V23" s="10">
        <v>2224.1</v>
      </c>
      <c r="W23" s="8">
        <v>959.03</v>
      </c>
      <c r="X23" s="8">
        <v>885.64</v>
      </c>
      <c r="Y23" s="8">
        <v>379.43</v>
      </c>
      <c r="Z23" s="8">
        <v>0</v>
      </c>
    </row>
    <row r="24" spans="1:26" ht="20.399999999999999" x14ac:dyDescent="0.3">
      <c r="A24" s="8" t="s">
        <v>27</v>
      </c>
      <c r="B24" s="8" t="s">
        <v>59</v>
      </c>
      <c r="C24" s="8" t="s">
        <v>29</v>
      </c>
      <c r="D24" s="8" t="s">
        <v>56</v>
      </c>
      <c r="E24" s="8" t="s">
        <v>41</v>
      </c>
      <c r="F24" s="8" t="s">
        <v>93</v>
      </c>
      <c r="G24" s="8">
        <v>2023</v>
      </c>
      <c r="H24" s="8" t="str">
        <f>_xlfn.CONCAT("34210108725")</f>
        <v>34210108725</v>
      </c>
      <c r="I24" s="8" t="s">
        <v>46</v>
      </c>
      <c r="J24" s="8" t="s">
        <v>34</v>
      </c>
      <c r="K24" s="8" t="str">
        <f>_xlfn.CONCAT("")</f>
        <v/>
      </c>
      <c r="L24" s="8" t="str">
        <f>_xlfn.CONCAT("13 13.1 4a")</f>
        <v>13 13.1 4a</v>
      </c>
      <c r="M24" s="8" t="str">
        <f>_xlfn.CONCAT("03783410545")</f>
        <v>03783410545</v>
      </c>
      <c r="N24" s="8" t="s">
        <v>94</v>
      </c>
      <c r="O24" s="8" t="s">
        <v>80</v>
      </c>
      <c r="P24" s="9">
        <v>45329</v>
      </c>
      <c r="Q24" s="8" t="s">
        <v>37</v>
      </c>
      <c r="R24" s="8" t="s">
        <v>38</v>
      </c>
      <c r="S24" s="8" t="s">
        <v>39</v>
      </c>
      <c r="T24" s="8"/>
      <c r="U24" s="8" t="s">
        <v>40</v>
      </c>
      <c r="V24" s="10">
        <v>11063.29</v>
      </c>
      <c r="W24" s="10">
        <v>4770.49</v>
      </c>
      <c r="X24" s="10">
        <v>4405.3999999999996</v>
      </c>
      <c r="Y24" s="10">
        <v>1887.4</v>
      </c>
      <c r="Z24" s="8">
        <v>0</v>
      </c>
    </row>
    <row r="25" spans="1:26" ht="20.399999999999999" x14ac:dyDescent="0.3">
      <c r="A25" s="8" t="s">
        <v>27</v>
      </c>
      <c r="B25" s="8" t="s">
        <v>59</v>
      </c>
      <c r="C25" s="8" t="s">
        <v>29</v>
      </c>
      <c r="D25" s="8" t="s">
        <v>30</v>
      </c>
      <c r="E25" s="8" t="s">
        <v>66</v>
      </c>
      <c r="F25" s="8" t="s">
        <v>95</v>
      </c>
      <c r="G25" s="8">
        <v>2023</v>
      </c>
      <c r="H25" s="8" t="str">
        <f>_xlfn.CONCAT("34210036744")</f>
        <v>34210036744</v>
      </c>
      <c r="I25" s="8" t="s">
        <v>46</v>
      </c>
      <c r="J25" s="8" t="s">
        <v>34</v>
      </c>
      <c r="K25" s="8" t="str">
        <f>_xlfn.CONCAT("")</f>
        <v/>
      </c>
      <c r="L25" s="8" t="str">
        <f>_xlfn.CONCAT("13 13.1 4a")</f>
        <v>13 13.1 4a</v>
      </c>
      <c r="M25" s="8" t="str">
        <f>_xlfn.CONCAT("02600250423")</f>
        <v>02600250423</v>
      </c>
      <c r="N25" s="8" t="s">
        <v>96</v>
      </c>
      <c r="O25" s="8" t="s">
        <v>80</v>
      </c>
      <c r="P25" s="9">
        <v>45329</v>
      </c>
      <c r="Q25" s="8" t="s">
        <v>37</v>
      </c>
      <c r="R25" s="8" t="s">
        <v>38</v>
      </c>
      <c r="S25" s="8" t="s">
        <v>39</v>
      </c>
      <c r="T25" s="8"/>
      <c r="U25" s="8" t="s">
        <v>40</v>
      </c>
      <c r="V25" s="8">
        <v>665.67</v>
      </c>
      <c r="W25" s="8">
        <v>287.04000000000002</v>
      </c>
      <c r="X25" s="8">
        <v>265.07</v>
      </c>
      <c r="Y25" s="8">
        <v>113.56</v>
      </c>
      <c r="Z25" s="8">
        <v>0</v>
      </c>
    </row>
    <row r="26" spans="1:26" x14ac:dyDescent="0.3">
      <c r="A26" s="8" t="s">
        <v>27</v>
      </c>
      <c r="B26" s="8" t="s">
        <v>59</v>
      </c>
      <c r="C26" s="8" t="s">
        <v>29</v>
      </c>
      <c r="D26" s="8" t="s">
        <v>77</v>
      </c>
      <c r="E26" s="8" t="s">
        <v>66</v>
      </c>
      <c r="F26" s="8" t="s">
        <v>97</v>
      </c>
      <c r="G26" s="8">
        <v>2023</v>
      </c>
      <c r="H26" s="8" t="str">
        <f>_xlfn.CONCAT("34240184878")</f>
        <v>34240184878</v>
      </c>
      <c r="I26" s="8" t="s">
        <v>46</v>
      </c>
      <c r="J26" s="8" t="s">
        <v>34</v>
      </c>
      <c r="K26" s="8" t="str">
        <f>_xlfn.CONCAT("")</f>
        <v/>
      </c>
      <c r="L26" s="8" t="str">
        <f>_xlfn.CONCAT("11 11.2 4b")</f>
        <v>11 11.2 4b</v>
      </c>
      <c r="M26" s="8" t="str">
        <f>_xlfn.CONCAT("PLMRRT71D67F454W")</f>
        <v>PLMRRT71D67F454W</v>
      </c>
      <c r="N26" s="8" t="s">
        <v>98</v>
      </c>
      <c r="O26" s="8" t="s">
        <v>99</v>
      </c>
      <c r="P26" s="9">
        <v>45329</v>
      </c>
      <c r="Q26" s="8" t="s">
        <v>37</v>
      </c>
      <c r="R26" s="8" t="s">
        <v>38</v>
      </c>
      <c r="S26" s="8" t="s">
        <v>39</v>
      </c>
      <c r="T26" s="8"/>
      <c r="U26" s="8" t="s">
        <v>40</v>
      </c>
      <c r="V26" s="8">
        <v>183.21</v>
      </c>
      <c r="W26" s="8">
        <v>79</v>
      </c>
      <c r="X26" s="8">
        <v>72.95</v>
      </c>
      <c r="Y26" s="8">
        <v>31.26</v>
      </c>
      <c r="Z26" s="8">
        <v>0</v>
      </c>
    </row>
    <row r="27" spans="1:26" x14ac:dyDescent="0.3">
      <c r="A27" s="8" t="s">
        <v>27</v>
      </c>
      <c r="B27" s="8" t="s">
        <v>59</v>
      </c>
      <c r="C27" s="8" t="s">
        <v>29</v>
      </c>
      <c r="D27" s="8" t="s">
        <v>77</v>
      </c>
      <c r="E27" s="8" t="s">
        <v>66</v>
      </c>
      <c r="F27" s="8" t="s">
        <v>78</v>
      </c>
      <c r="G27" s="8">
        <v>2023</v>
      </c>
      <c r="H27" s="8" t="str">
        <f>_xlfn.CONCAT("34240559681")</f>
        <v>34240559681</v>
      </c>
      <c r="I27" s="8" t="s">
        <v>46</v>
      </c>
      <c r="J27" s="8" t="s">
        <v>34</v>
      </c>
      <c r="K27" s="8" t="str">
        <f>_xlfn.CONCAT("")</f>
        <v/>
      </c>
      <c r="L27" s="8" t="str">
        <f>_xlfn.CONCAT("11 11.2 4b")</f>
        <v>11 11.2 4b</v>
      </c>
      <c r="M27" s="8" t="str">
        <f>_xlfn.CONCAT("BRTGDU85T19B474U")</f>
        <v>BRTGDU85T19B474U</v>
      </c>
      <c r="N27" s="8" t="s">
        <v>79</v>
      </c>
      <c r="O27" s="8" t="s">
        <v>99</v>
      </c>
      <c r="P27" s="9">
        <v>45329</v>
      </c>
      <c r="Q27" s="8" t="s">
        <v>37</v>
      </c>
      <c r="R27" s="8" t="s">
        <v>38</v>
      </c>
      <c r="S27" s="8" t="s">
        <v>39</v>
      </c>
      <c r="T27" s="8"/>
      <c r="U27" s="8" t="s">
        <v>40</v>
      </c>
      <c r="V27" s="10">
        <v>21509.25</v>
      </c>
      <c r="W27" s="10">
        <v>9274.7900000000009</v>
      </c>
      <c r="X27" s="10">
        <v>8564.98</v>
      </c>
      <c r="Y27" s="10">
        <v>3669.48</v>
      </c>
      <c r="Z27" s="8">
        <v>0</v>
      </c>
    </row>
    <row r="28" spans="1:26" x14ac:dyDescent="0.3">
      <c r="A28" s="8" t="s">
        <v>27</v>
      </c>
      <c r="B28" s="8" t="s">
        <v>59</v>
      </c>
      <c r="C28" s="8" t="s">
        <v>29</v>
      </c>
      <c r="D28" s="8" t="s">
        <v>77</v>
      </c>
      <c r="E28" s="8" t="s">
        <v>66</v>
      </c>
      <c r="F28" s="8" t="s">
        <v>78</v>
      </c>
      <c r="G28" s="8">
        <v>2023</v>
      </c>
      <c r="H28" s="8" t="str">
        <f>_xlfn.CONCAT("34240342294")</f>
        <v>34240342294</v>
      </c>
      <c r="I28" s="8" t="s">
        <v>46</v>
      </c>
      <c r="J28" s="8" t="s">
        <v>34</v>
      </c>
      <c r="K28" s="8" t="str">
        <f>_xlfn.CONCAT("")</f>
        <v/>
      </c>
      <c r="L28" s="8" t="str">
        <f>_xlfn.CONCAT("11 11.2 4b")</f>
        <v>11 11.2 4b</v>
      </c>
      <c r="M28" s="8" t="str">
        <f>_xlfn.CONCAT("GLLNDR84M05E783B")</f>
        <v>GLLNDR84M05E783B</v>
      </c>
      <c r="N28" s="8" t="s">
        <v>100</v>
      </c>
      <c r="O28" s="8" t="s">
        <v>99</v>
      </c>
      <c r="P28" s="9">
        <v>45329</v>
      </c>
      <c r="Q28" s="8" t="s">
        <v>37</v>
      </c>
      <c r="R28" s="8" t="s">
        <v>38</v>
      </c>
      <c r="S28" s="8" t="s">
        <v>39</v>
      </c>
      <c r="T28" s="8"/>
      <c r="U28" s="8" t="s">
        <v>40</v>
      </c>
      <c r="V28" s="10">
        <v>1709.67</v>
      </c>
      <c r="W28" s="8">
        <v>737.21</v>
      </c>
      <c r="X28" s="8">
        <v>680.79</v>
      </c>
      <c r="Y28" s="8">
        <v>291.67</v>
      </c>
      <c r="Z28" s="8">
        <v>0</v>
      </c>
    </row>
    <row r="29" spans="1:26" x14ac:dyDescent="0.3">
      <c r="A29" s="8" t="s">
        <v>27</v>
      </c>
      <c r="B29" s="8" t="s">
        <v>59</v>
      </c>
      <c r="C29" s="8" t="s">
        <v>29</v>
      </c>
      <c r="D29" s="8" t="s">
        <v>77</v>
      </c>
      <c r="E29" s="8" t="s">
        <v>66</v>
      </c>
      <c r="F29" s="8" t="s">
        <v>78</v>
      </c>
      <c r="G29" s="8">
        <v>2023</v>
      </c>
      <c r="H29" s="8" t="str">
        <f>_xlfn.CONCAT("34240762509")</f>
        <v>34240762509</v>
      </c>
      <c r="I29" s="8" t="s">
        <v>46</v>
      </c>
      <c r="J29" s="8" t="s">
        <v>34</v>
      </c>
      <c r="K29" s="8" t="str">
        <f>_xlfn.CONCAT("")</f>
        <v/>
      </c>
      <c r="L29" s="8" t="str">
        <f>_xlfn.CONCAT("10 10.1 4a")</f>
        <v>10 10.1 4a</v>
      </c>
      <c r="M29" s="8" t="str">
        <f>_xlfn.CONCAT("PZZMGN79R03L191W")</f>
        <v>PZZMGN79R03L191W</v>
      </c>
      <c r="N29" s="8" t="s">
        <v>101</v>
      </c>
      <c r="O29" s="8" t="s">
        <v>62</v>
      </c>
      <c r="P29" s="9">
        <v>45329</v>
      </c>
      <c r="Q29" s="8" t="s">
        <v>37</v>
      </c>
      <c r="R29" s="8" t="s">
        <v>38</v>
      </c>
      <c r="S29" s="8" t="s">
        <v>39</v>
      </c>
      <c r="T29" s="8"/>
      <c r="U29" s="8" t="s">
        <v>40</v>
      </c>
      <c r="V29" s="8">
        <v>384.04</v>
      </c>
      <c r="W29" s="8">
        <v>165.6</v>
      </c>
      <c r="X29" s="8">
        <v>152.91999999999999</v>
      </c>
      <c r="Y29" s="8">
        <v>65.52</v>
      </c>
      <c r="Z29" s="8">
        <v>0</v>
      </c>
    </row>
    <row r="30" spans="1:26" x14ac:dyDescent="0.3">
      <c r="A30" s="8" t="s">
        <v>27</v>
      </c>
      <c r="B30" s="8" t="s">
        <v>59</v>
      </c>
      <c r="C30" s="8" t="s">
        <v>29</v>
      </c>
      <c r="D30" s="8" t="s">
        <v>56</v>
      </c>
      <c r="E30" s="8" t="s">
        <v>70</v>
      </c>
      <c r="F30" s="8" t="s">
        <v>102</v>
      </c>
      <c r="G30" s="8">
        <v>2023</v>
      </c>
      <c r="H30" s="8" t="str">
        <f>_xlfn.CONCAT("34240314921")</f>
        <v>34240314921</v>
      </c>
      <c r="I30" s="8" t="s">
        <v>46</v>
      </c>
      <c r="J30" s="8" t="s">
        <v>34</v>
      </c>
      <c r="K30" s="8" t="str">
        <f>_xlfn.CONCAT("")</f>
        <v/>
      </c>
      <c r="L30" s="8" t="str">
        <f>_xlfn.CONCAT("11 11.2 4b")</f>
        <v>11 11.2 4b</v>
      </c>
      <c r="M30" s="8" t="str">
        <f>_xlfn.CONCAT("02760550414")</f>
        <v>02760550414</v>
      </c>
      <c r="N30" s="8" t="s">
        <v>103</v>
      </c>
      <c r="O30" s="8" t="s">
        <v>69</v>
      </c>
      <c r="P30" s="9">
        <v>45329</v>
      </c>
      <c r="Q30" s="8" t="s">
        <v>37</v>
      </c>
      <c r="R30" s="8" t="s">
        <v>38</v>
      </c>
      <c r="S30" s="8" t="s">
        <v>39</v>
      </c>
      <c r="T30" s="8"/>
      <c r="U30" s="8" t="s">
        <v>40</v>
      </c>
      <c r="V30" s="10">
        <v>1877.67</v>
      </c>
      <c r="W30" s="8">
        <v>809.65</v>
      </c>
      <c r="X30" s="8">
        <v>747.69</v>
      </c>
      <c r="Y30" s="8">
        <v>320.33</v>
      </c>
      <c r="Z30" s="8">
        <v>0</v>
      </c>
    </row>
    <row r="31" spans="1:26" x14ac:dyDescent="0.3">
      <c r="A31" s="8" t="s">
        <v>27</v>
      </c>
      <c r="B31" s="8" t="s">
        <v>59</v>
      </c>
      <c r="C31" s="8" t="s">
        <v>29</v>
      </c>
      <c r="D31" s="8" t="s">
        <v>56</v>
      </c>
      <c r="E31" s="8" t="s">
        <v>31</v>
      </c>
      <c r="F31" s="8" t="s">
        <v>104</v>
      </c>
      <c r="G31" s="8">
        <v>2023</v>
      </c>
      <c r="H31" s="8" t="str">
        <f>_xlfn.CONCAT("34240481761")</f>
        <v>34240481761</v>
      </c>
      <c r="I31" s="8" t="s">
        <v>46</v>
      </c>
      <c r="J31" s="8" t="s">
        <v>34</v>
      </c>
      <c r="K31" s="8" t="str">
        <f>_xlfn.CONCAT("")</f>
        <v/>
      </c>
      <c r="L31" s="8" t="str">
        <f>_xlfn.CONCAT("11 11.2 4b")</f>
        <v>11 11.2 4b</v>
      </c>
      <c r="M31" s="8" t="str">
        <f>_xlfn.CONCAT("NLDGPP62H23E785R")</f>
        <v>NLDGPP62H23E785R</v>
      </c>
      <c r="N31" s="8" t="s">
        <v>105</v>
      </c>
      <c r="O31" s="8" t="s">
        <v>69</v>
      </c>
      <c r="P31" s="9">
        <v>45329</v>
      </c>
      <c r="Q31" s="8" t="s">
        <v>37</v>
      </c>
      <c r="R31" s="8" t="s">
        <v>38</v>
      </c>
      <c r="S31" s="8" t="s">
        <v>39</v>
      </c>
      <c r="T31" s="8"/>
      <c r="U31" s="8" t="s">
        <v>40</v>
      </c>
      <c r="V31" s="8">
        <v>376.86</v>
      </c>
      <c r="W31" s="8">
        <v>162.5</v>
      </c>
      <c r="X31" s="8">
        <v>150.07</v>
      </c>
      <c r="Y31" s="8">
        <v>64.290000000000006</v>
      </c>
      <c r="Z31" s="8">
        <v>0</v>
      </c>
    </row>
    <row r="32" spans="1:26" x14ac:dyDescent="0.3">
      <c r="A32" s="8" t="s">
        <v>27</v>
      </c>
      <c r="B32" s="8" t="s">
        <v>59</v>
      </c>
      <c r="C32" s="8" t="s">
        <v>29</v>
      </c>
      <c r="D32" s="8" t="s">
        <v>77</v>
      </c>
      <c r="E32" s="8" t="s">
        <v>41</v>
      </c>
      <c r="F32" s="8" t="s">
        <v>89</v>
      </c>
      <c r="G32" s="8">
        <v>2023</v>
      </c>
      <c r="H32" s="8" t="str">
        <f>_xlfn.CONCAT("34240264977")</f>
        <v>34240264977</v>
      </c>
      <c r="I32" s="8" t="s">
        <v>46</v>
      </c>
      <c r="J32" s="8" t="s">
        <v>34</v>
      </c>
      <c r="K32" s="8" t="str">
        <f>_xlfn.CONCAT("")</f>
        <v/>
      </c>
      <c r="L32" s="8" t="str">
        <f>_xlfn.CONCAT("10 10.1 4a")</f>
        <v>10 10.1 4a</v>
      </c>
      <c r="M32" s="8" t="str">
        <f>_xlfn.CONCAT("RSLDNL94T30A252S")</f>
        <v>RSLDNL94T30A252S</v>
      </c>
      <c r="N32" s="8" t="s">
        <v>106</v>
      </c>
      <c r="O32" s="8" t="s">
        <v>62</v>
      </c>
      <c r="P32" s="9">
        <v>45329</v>
      </c>
      <c r="Q32" s="8" t="s">
        <v>37</v>
      </c>
      <c r="R32" s="8" t="s">
        <v>38</v>
      </c>
      <c r="S32" s="8" t="s">
        <v>39</v>
      </c>
      <c r="T32" s="8"/>
      <c r="U32" s="8" t="s">
        <v>40</v>
      </c>
      <c r="V32" s="10">
        <v>1354.89</v>
      </c>
      <c r="W32" s="8">
        <v>584.23</v>
      </c>
      <c r="X32" s="8">
        <v>539.52</v>
      </c>
      <c r="Y32" s="8">
        <v>231.14</v>
      </c>
      <c r="Z32" s="8">
        <v>0</v>
      </c>
    </row>
    <row r="33" spans="1:26" x14ac:dyDescent="0.3">
      <c r="A33" s="8" t="s">
        <v>27</v>
      </c>
      <c r="B33" s="8" t="s">
        <v>59</v>
      </c>
      <c r="C33" s="8" t="s">
        <v>29</v>
      </c>
      <c r="D33" s="8" t="s">
        <v>56</v>
      </c>
      <c r="E33" s="8" t="s">
        <v>41</v>
      </c>
      <c r="F33" s="8" t="s">
        <v>107</v>
      </c>
      <c r="G33" s="8">
        <v>2023</v>
      </c>
      <c r="H33" s="8" t="str">
        <f>_xlfn.CONCAT("34210030572")</f>
        <v>34210030572</v>
      </c>
      <c r="I33" s="8" t="s">
        <v>46</v>
      </c>
      <c r="J33" s="8" t="s">
        <v>34</v>
      </c>
      <c r="K33" s="8" t="str">
        <f>_xlfn.CONCAT("")</f>
        <v/>
      </c>
      <c r="L33" s="8" t="str">
        <f>_xlfn.CONCAT("13 13.1 4a")</f>
        <v>13 13.1 4a</v>
      </c>
      <c r="M33" s="8" t="str">
        <f>_xlfn.CONCAT("BLDGZN55M21G551S")</f>
        <v>BLDGZN55M21G551S</v>
      </c>
      <c r="N33" s="8" t="s">
        <v>108</v>
      </c>
      <c r="O33" s="8" t="s">
        <v>80</v>
      </c>
      <c r="P33" s="9">
        <v>45329</v>
      </c>
      <c r="Q33" s="8" t="s">
        <v>37</v>
      </c>
      <c r="R33" s="8" t="s">
        <v>38</v>
      </c>
      <c r="S33" s="8" t="s">
        <v>39</v>
      </c>
      <c r="T33" s="8"/>
      <c r="U33" s="8" t="s">
        <v>40</v>
      </c>
      <c r="V33" s="10">
        <v>3194.45</v>
      </c>
      <c r="W33" s="10">
        <v>1377.45</v>
      </c>
      <c r="X33" s="10">
        <v>1272.03</v>
      </c>
      <c r="Y33" s="8">
        <v>544.97</v>
      </c>
      <c r="Z33" s="8">
        <v>0</v>
      </c>
    </row>
    <row r="34" spans="1:26" x14ac:dyDescent="0.3">
      <c r="A34" s="8" t="s">
        <v>27</v>
      </c>
      <c r="B34" s="8" t="s">
        <v>59</v>
      </c>
      <c r="C34" s="8" t="s">
        <v>29</v>
      </c>
      <c r="D34" s="8" t="s">
        <v>77</v>
      </c>
      <c r="E34" s="8" t="s">
        <v>41</v>
      </c>
      <c r="F34" s="8" t="s">
        <v>109</v>
      </c>
      <c r="G34" s="8">
        <v>2023</v>
      </c>
      <c r="H34" s="8" t="str">
        <f>_xlfn.CONCAT("34240396951")</f>
        <v>34240396951</v>
      </c>
      <c r="I34" s="8" t="s">
        <v>46</v>
      </c>
      <c r="J34" s="8" t="s">
        <v>34</v>
      </c>
      <c r="K34" s="8" t="str">
        <f>_xlfn.CONCAT("")</f>
        <v/>
      </c>
      <c r="L34" s="8" t="str">
        <f>_xlfn.CONCAT("10 10.1 4a")</f>
        <v>10 10.1 4a</v>
      </c>
      <c r="M34" s="8" t="str">
        <f>_xlfn.CONCAT("PRSFNC50T21B398U")</f>
        <v>PRSFNC50T21B398U</v>
      </c>
      <c r="N34" s="8" t="s">
        <v>110</v>
      </c>
      <c r="O34" s="8" t="s">
        <v>62</v>
      </c>
      <c r="P34" s="9">
        <v>45329</v>
      </c>
      <c r="Q34" s="8" t="s">
        <v>37</v>
      </c>
      <c r="R34" s="8" t="s">
        <v>38</v>
      </c>
      <c r="S34" s="8" t="s">
        <v>39</v>
      </c>
      <c r="T34" s="8"/>
      <c r="U34" s="8" t="s">
        <v>40</v>
      </c>
      <c r="V34" s="8">
        <v>437.88</v>
      </c>
      <c r="W34" s="8">
        <v>188.81</v>
      </c>
      <c r="X34" s="8">
        <v>174.36</v>
      </c>
      <c r="Y34" s="8">
        <v>74.709999999999994</v>
      </c>
      <c r="Z34" s="8">
        <v>0</v>
      </c>
    </row>
    <row r="35" spans="1:26" x14ac:dyDescent="0.3">
      <c r="A35" s="8" t="s">
        <v>27</v>
      </c>
      <c r="B35" s="8" t="s">
        <v>59</v>
      </c>
      <c r="C35" s="8" t="s">
        <v>29</v>
      </c>
      <c r="D35" s="8" t="s">
        <v>56</v>
      </c>
      <c r="E35" s="8" t="s">
        <v>66</v>
      </c>
      <c r="F35" s="8" t="s">
        <v>111</v>
      </c>
      <c r="G35" s="8">
        <v>2023</v>
      </c>
      <c r="H35" s="8" t="str">
        <f>_xlfn.CONCAT("34240244201")</f>
        <v>34240244201</v>
      </c>
      <c r="I35" s="8" t="s">
        <v>46</v>
      </c>
      <c r="J35" s="8" t="s">
        <v>34</v>
      </c>
      <c r="K35" s="8" t="str">
        <f>_xlfn.CONCAT("")</f>
        <v/>
      </c>
      <c r="L35" s="8" t="str">
        <f>_xlfn.CONCAT("11 11.2 4b")</f>
        <v>11 11.2 4b</v>
      </c>
      <c r="M35" s="8" t="str">
        <f>_xlfn.CONCAT("02453800415")</f>
        <v>02453800415</v>
      </c>
      <c r="N35" s="8" t="s">
        <v>112</v>
      </c>
      <c r="O35" s="8" t="s">
        <v>69</v>
      </c>
      <c r="P35" s="9">
        <v>45329</v>
      </c>
      <c r="Q35" s="8" t="s">
        <v>37</v>
      </c>
      <c r="R35" s="8" t="s">
        <v>38</v>
      </c>
      <c r="S35" s="8" t="s">
        <v>39</v>
      </c>
      <c r="T35" s="8"/>
      <c r="U35" s="8" t="s">
        <v>40</v>
      </c>
      <c r="V35" s="10">
        <v>3546.79</v>
      </c>
      <c r="W35" s="10">
        <v>1529.38</v>
      </c>
      <c r="X35" s="10">
        <v>1412.33</v>
      </c>
      <c r="Y35" s="8">
        <v>605.08000000000004</v>
      </c>
      <c r="Z35" s="8">
        <v>0</v>
      </c>
    </row>
    <row r="36" spans="1:26" x14ac:dyDescent="0.3">
      <c r="A36" s="8" t="s">
        <v>27</v>
      </c>
      <c r="B36" s="8" t="s">
        <v>59</v>
      </c>
      <c r="C36" s="8" t="s">
        <v>29</v>
      </c>
      <c r="D36" s="8" t="s">
        <v>56</v>
      </c>
      <c r="E36" s="8" t="s">
        <v>41</v>
      </c>
      <c r="F36" s="8" t="s">
        <v>91</v>
      </c>
      <c r="G36" s="8">
        <v>2023</v>
      </c>
      <c r="H36" s="8" t="str">
        <f>_xlfn.CONCAT("34210054093")</f>
        <v>34210054093</v>
      </c>
      <c r="I36" s="8" t="s">
        <v>46</v>
      </c>
      <c r="J36" s="8" t="s">
        <v>34</v>
      </c>
      <c r="K36" s="8" t="str">
        <f>_xlfn.CONCAT("")</f>
        <v/>
      </c>
      <c r="L36" s="8" t="str">
        <f>_xlfn.CONCAT("13 13.1 4a")</f>
        <v>13 13.1 4a</v>
      </c>
      <c r="M36" s="8" t="str">
        <f>_xlfn.CONCAT("NTNVTR36M04F135Q")</f>
        <v>NTNVTR36M04F135Q</v>
      </c>
      <c r="N36" s="8" t="s">
        <v>113</v>
      </c>
      <c r="O36" s="8" t="s">
        <v>80</v>
      </c>
      <c r="P36" s="9">
        <v>45329</v>
      </c>
      <c r="Q36" s="8" t="s">
        <v>37</v>
      </c>
      <c r="R36" s="8" t="s">
        <v>38</v>
      </c>
      <c r="S36" s="8" t="s">
        <v>39</v>
      </c>
      <c r="T36" s="8"/>
      <c r="U36" s="8" t="s">
        <v>40</v>
      </c>
      <c r="V36" s="8">
        <v>659.23</v>
      </c>
      <c r="W36" s="8">
        <v>284.26</v>
      </c>
      <c r="X36" s="8">
        <v>262.51</v>
      </c>
      <c r="Y36" s="8">
        <v>112.46</v>
      </c>
      <c r="Z36" s="8">
        <v>0</v>
      </c>
    </row>
    <row r="37" spans="1:26" x14ac:dyDescent="0.3">
      <c r="A37" s="8" t="s">
        <v>27</v>
      </c>
      <c r="B37" s="8" t="s">
        <v>59</v>
      </c>
      <c r="C37" s="8" t="s">
        <v>29</v>
      </c>
      <c r="D37" s="8" t="s">
        <v>30</v>
      </c>
      <c r="E37" s="8" t="s">
        <v>41</v>
      </c>
      <c r="F37" s="8" t="s">
        <v>114</v>
      </c>
      <c r="G37" s="8">
        <v>2023</v>
      </c>
      <c r="H37" s="8" t="str">
        <f>_xlfn.CONCAT("34210072715")</f>
        <v>34210072715</v>
      </c>
      <c r="I37" s="8" t="s">
        <v>46</v>
      </c>
      <c r="J37" s="8" t="s">
        <v>34</v>
      </c>
      <c r="K37" s="8" t="str">
        <f>_xlfn.CONCAT("")</f>
        <v/>
      </c>
      <c r="L37" s="8" t="str">
        <f>_xlfn.CONCAT("13 13.1 4a")</f>
        <v>13 13.1 4a</v>
      </c>
      <c r="M37" s="8" t="str">
        <f>_xlfn.CONCAT("GVGLDA49A07I461Y")</f>
        <v>GVGLDA49A07I461Y</v>
      </c>
      <c r="N37" s="8" t="s">
        <v>115</v>
      </c>
      <c r="O37" s="8" t="s">
        <v>80</v>
      </c>
      <c r="P37" s="9">
        <v>45329</v>
      </c>
      <c r="Q37" s="8" t="s">
        <v>37</v>
      </c>
      <c r="R37" s="8" t="s">
        <v>38</v>
      </c>
      <c r="S37" s="8" t="s">
        <v>39</v>
      </c>
      <c r="T37" s="8"/>
      <c r="U37" s="8" t="s">
        <v>40</v>
      </c>
      <c r="V37" s="8">
        <v>273.07</v>
      </c>
      <c r="W37" s="8">
        <v>117.75</v>
      </c>
      <c r="X37" s="8">
        <v>108.74</v>
      </c>
      <c r="Y37" s="8">
        <v>46.58</v>
      </c>
      <c r="Z37" s="8">
        <v>0</v>
      </c>
    </row>
    <row r="38" spans="1:26" x14ac:dyDescent="0.3">
      <c r="A38" s="8" t="s">
        <v>27</v>
      </c>
      <c r="B38" s="8" t="s">
        <v>59</v>
      </c>
      <c r="C38" s="8" t="s">
        <v>29</v>
      </c>
      <c r="D38" s="8" t="s">
        <v>77</v>
      </c>
      <c r="E38" s="8" t="s">
        <v>41</v>
      </c>
      <c r="F38" s="8" t="s">
        <v>109</v>
      </c>
      <c r="G38" s="8">
        <v>2023</v>
      </c>
      <c r="H38" s="8" t="str">
        <f>_xlfn.CONCAT("34240131168")</f>
        <v>34240131168</v>
      </c>
      <c r="I38" s="8" t="s">
        <v>46</v>
      </c>
      <c r="J38" s="8" t="s">
        <v>34</v>
      </c>
      <c r="K38" s="8" t="str">
        <f>_xlfn.CONCAT("")</f>
        <v/>
      </c>
      <c r="L38" s="8" t="str">
        <f>_xlfn.CONCAT("10 10.1 4a")</f>
        <v>10 10.1 4a</v>
      </c>
      <c r="M38" s="8" t="str">
        <f>_xlfn.CONCAT("MNNGLC74S07E783T")</f>
        <v>MNNGLC74S07E783T</v>
      </c>
      <c r="N38" s="8" t="s">
        <v>116</v>
      </c>
      <c r="O38" s="8" t="s">
        <v>62</v>
      </c>
      <c r="P38" s="9">
        <v>45329</v>
      </c>
      <c r="Q38" s="8" t="s">
        <v>37</v>
      </c>
      <c r="R38" s="8" t="s">
        <v>38</v>
      </c>
      <c r="S38" s="8" t="s">
        <v>39</v>
      </c>
      <c r="T38" s="8"/>
      <c r="U38" s="8" t="s">
        <v>40</v>
      </c>
      <c r="V38" s="8">
        <v>549.16</v>
      </c>
      <c r="W38" s="8">
        <v>236.8</v>
      </c>
      <c r="X38" s="8">
        <v>218.68</v>
      </c>
      <c r="Y38" s="8">
        <v>93.68</v>
      </c>
      <c r="Z38" s="8">
        <v>0</v>
      </c>
    </row>
    <row r="39" spans="1:26" x14ac:dyDescent="0.3">
      <c r="A39" s="8" t="s">
        <v>27</v>
      </c>
      <c r="B39" s="8" t="s">
        <v>59</v>
      </c>
      <c r="C39" s="8" t="s">
        <v>29</v>
      </c>
      <c r="D39" s="8" t="s">
        <v>56</v>
      </c>
      <c r="E39" s="8" t="s">
        <v>66</v>
      </c>
      <c r="F39" s="8" t="s">
        <v>111</v>
      </c>
      <c r="G39" s="8">
        <v>2023</v>
      </c>
      <c r="H39" s="8" t="str">
        <f>_xlfn.CONCAT("34240504547")</f>
        <v>34240504547</v>
      </c>
      <c r="I39" s="8" t="s">
        <v>46</v>
      </c>
      <c r="J39" s="8" t="s">
        <v>34</v>
      </c>
      <c r="K39" s="8" t="str">
        <f>_xlfn.CONCAT("")</f>
        <v/>
      </c>
      <c r="L39" s="8" t="str">
        <f>_xlfn.CONCAT("11 11.2 4b")</f>
        <v>11 11.2 4b</v>
      </c>
      <c r="M39" s="8" t="str">
        <f>_xlfn.CONCAT("01065340414")</f>
        <v>01065340414</v>
      </c>
      <c r="N39" s="8" t="s">
        <v>117</v>
      </c>
      <c r="O39" s="8" t="s">
        <v>69</v>
      </c>
      <c r="P39" s="9">
        <v>45329</v>
      </c>
      <c r="Q39" s="8" t="s">
        <v>37</v>
      </c>
      <c r="R39" s="8" t="s">
        <v>38</v>
      </c>
      <c r="S39" s="8" t="s">
        <v>39</v>
      </c>
      <c r="T39" s="8"/>
      <c r="U39" s="8" t="s">
        <v>40</v>
      </c>
      <c r="V39" s="8">
        <v>979.72</v>
      </c>
      <c r="W39" s="8">
        <v>422.46</v>
      </c>
      <c r="X39" s="8">
        <v>390.12</v>
      </c>
      <c r="Y39" s="8">
        <v>167.14</v>
      </c>
      <c r="Z39" s="8">
        <v>0</v>
      </c>
    </row>
    <row r="40" spans="1:26" x14ac:dyDescent="0.3">
      <c r="A40" s="8" t="s">
        <v>27</v>
      </c>
      <c r="B40" s="8" t="s">
        <v>59</v>
      </c>
      <c r="C40" s="8" t="s">
        <v>29</v>
      </c>
      <c r="D40" s="8" t="s">
        <v>56</v>
      </c>
      <c r="E40" s="8" t="s">
        <v>66</v>
      </c>
      <c r="F40" s="8" t="s">
        <v>111</v>
      </c>
      <c r="G40" s="8">
        <v>2023</v>
      </c>
      <c r="H40" s="8" t="str">
        <f>_xlfn.CONCAT("34210091756")</f>
        <v>34210091756</v>
      </c>
      <c r="I40" s="8" t="s">
        <v>46</v>
      </c>
      <c r="J40" s="8" t="s">
        <v>34</v>
      </c>
      <c r="K40" s="8" t="str">
        <f>_xlfn.CONCAT("")</f>
        <v/>
      </c>
      <c r="L40" s="8" t="str">
        <f>_xlfn.CONCAT("13 13.1 4a")</f>
        <v>13 13.1 4a</v>
      </c>
      <c r="M40" s="8" t="str">
        <f>_xlfn.CONCAT("01065340414")</f>
        <v>01065340414</v>
      </c>
      <c r="N40" s="8" t="s">
        <v>117</v>
      </c>
      <c r="O40" s="8" t="s">
        <v>80</v>
      </c>
      <c r="P40" s="9">
        <v>45329</v>
      </c>
      <c r="Q40" s="8" t="s">
        <v>37</v>
      </c>
      <c r="R40" s="8" t="s">
        <v>38</v>
      </c>
      <c r="S40" s="8" t="s">
        <v>39</v>
      </c>
      <c r="T40" s="8"/>
      <c r="U40" s="8" t="s">
        <v>40</v>
      </c>
      <c r="V40" s="10">
        <v>1281.93</v>
      </c>
      <c r="W40" s="8">
        <v>552.77</v>
      </c>
      <c r="X40" s="8">
        <v>510.46</v>
      </c>
      <c r="Y40" s="8">
        <v>218.7</v>
      </c>
      <c r="Z40" s="8">
        <v>0</v>
      </c>
    </row>
    <row r="41" spans="1:26" x14ac:dyDescent="0.3">
      <c r="A41" s="8" t="s">
        <v>27</v>
      </c>
      <c r="B41" s="8" t="s">
        <v>59</v>
      </c>
      <c r="C41" s="8" t="s">
        <v>29</v>
      </c>
      <c r="D41" s="8" t="s">
        <v>77</v>
      </c>
      <c r="E41" s="8" t="s">
        <v>41</v>
      </c>
      <c r="F41" s="8" t="s">
        <v>89</v>
      </c>
      <c r="G41" s="8">
        <v>2023</v>
      </c>
      <c r="H41" s="8" t="str">
        <f>_xlfn.CONCAT("34210079694")</f>
        <v>34210079694</v>
      </c>
      <c r="I41" s="8" t="s">
        <v>46</v>
      </c>
      <c r="J41" s="8" t="s">
        <v>34</v>
      </c>
      <c r="K41" s="8" t="str">
        <f>_xlfn.CONCAT("")</f>
        <v/>
      </c>
      <c r="L41" s="8" t="str">
        <f>_xlfn.CONCAT("13 13.1 4a")</f>
        <v>13 13.1 4a</v>
      </c>
      <c r="M41" s="8" t="str">
        <f>_xlfn.CONCAT("01746490430")</f>
        <v>01746490430</v>
      </c>
      <c r="N41" s="8" t="s">
        <v>118</v>
      </c>
      <c r="O41" s="8" t="s">
        <v>80</v>
      </c>
      <c r="P41" s="9">
        <v>45329</v>
      </c>
      <c r="Q41" s="8" t="s">
        <v>37</v>
      </c>
      <c r="R41" s="8" t="s">
        <v>38</v>
      </c>
      <c r="S41" s="8" t="s">
        <v>39</v>
      </c>
      <c r="T41" s="8"/>
      <c r="U41" s="8" t="s">
        <v>40</v>
      </c>
      <c r="V41" s="10">
        <v>5750.45</v>
      </c>
      <c r="W41" s="10">
        <v>2479.59</v>
      </c>
      <c r="X41" s="10">
        <v>2289.83</v>
      </c>
      <c r="Y41" s="8">
        <v>981.03</v>
      </c>
      <c r="Z41" s="8">
        <v>0</v>
      </c>
    </row>
    <row r="42" spans="1:26" x14ac:dyDescent="0.3">
      <c r="A42" s="8" t="s">
        <v>27</v>
      </c>
      <c r="B42" s="8" t="s">
        <v>59</v>
      </c>
      <c r="C42" s="8" t="s">
        <v>29</v>
      </c>
      <c r="D42" s="8" t="s">
        <v>77</v>
      </c>
      <c r="E42" s="8" t="s">
        <v>70</v>
      </c>
      <c r="F42" s="8" t="s">
        <v>119</v>
      </c>
      <c r="G42" s="8">
        <v>2023</v>
      </c>
      <c r="H42" s="8" t="str">
        <f>_xlfn.CONCAT("34240011006")</f>
        <v>34240011006</v>
      </c>
      <c r="I42" s="8" t="s">
        <v>46</v>
      </c>
      <c r="J42" s="8" t="s">
        <v>34</v>
      </c>
      <c r="K42" s="8" t="str">
        <f>_xlfn.CONCAT("")</f>
        <v/>
      </c>
      <c r="L42" s="8" t="str">
        <f>_xlfn.CONCAT("10 10.1 4a")</f>
        <v>10 10.1 4a</v>
      </c>
      <c r="M42" s="8" t="str">
        <f>_xlfn.CONCAT("CRSLSN62E70H501U")</f>
        <v>CRSLSN62E70H501U</v>
      </c>
      <c r="N42" s="8" t="s">
        <v>120</v>
      </c>
      <c r="O42" s="8" t="s">
        <v>62</v>
      </c>
      <c r="P42" s="9">
        <v>45329</v>
      </c>
      <c r="Q42" s="8" t="s">
        <v>37</v>
      </c>
      <c r="R42" s="8" t="s">
        <v>38</v>
      </c>
      <c r="S42" s="8" t="s">
        <v>39</v>
      </c>
      <c r="T42" s="8"/>
      <c r="U42" s="8" t="s">
        <v>40</v>
      </c>
      <c r="V42" s="8">
        <v>246.44</v>
      </c>
      <c r="W42" s="8">
        <v>106.26</v>
      </c>
      <c r="X42" s="8">
        <v>98.13</v>
      </c>
      <c r="Y42" s="8">
        <v>42.05</v>
      </c>
      <c r="Z42" s="8">
        <v>0</v>
      </c>
    </row>
    <row r="43" spans="1:26" x14ac:dyDescent="0.3">
      <c r="A43" s="8" t="s">
        <v>27</v>
      </c>
      <c r="B43" s="8" t="s">
        <v>59</v>
      </c>
      <c r="C43" s="8" t="s">
        <v>29</v>
      </c>
      <c r="D43" s="8" t="s">
        <v>56</v>
      </c>
      <c r="E43" s="8" t="s">
        <v>66</v>
      </c>
      <c r="F43" s="8" t="s">
        <v>121</v>
      </c>
      <c r="G43" s="8">
        <v>2023</v>
      </c>
      <c r="H43" s="8" t="str">
        <f>_xlfn.CONCAT("34240334291")</f>
        <v>34240334291</v>
      </c>
      <c r="I43" s="8" t="s">
        <v>46</v>
      </c>
      <c r="J43" s="8" t="s">
        <v>34</v>
      </c>
      <c r="K43" s="8" t="str">
        <f>_xlfn.CONCAT("")</f>
        <v/>
      </c>
      <c r="L43" s="8" t="str">
        <f>_xlfn.CONCAT("11 11.2 4b")</f>
        <v>11 11.2 4b</v>
      </c>
      <c r="M43" s="8" t="str">
        <f>_xlfn.CONCAT("02638300398")</f>
        <v>02638300398</v>
      </c>
      <c r="N43" s="8" t="s">
        <v>122</v>
      </c>
      <c r="O43" s="8" t="s">
        <v>69</v>
      </c>
      <c r="P43" s="9">
        <v>45329</v>
      </c>
      <c r="Q43" s="8" t="s">
        <v>37</v>
      </c>
      <c r="R43" s="8" t="s">
        <v>38</v>
      </c>
      <c r="S43" s="8" t="s">
        <v>39</v>
      </c>
      <c r="T43" s="8"/>
      <c r="U43" s="8" t="s">
        <v>40</v>
      </c>
      <c r="V43" s="8">
        <v>259.95999999999998</v>
      </c>
      <c r="W43" s="8">
        <v>112.09</v>
      </c>
      <c r="X43" s="8">
        <v>103.52</v>
      </c>
      <c r="Y43" s="8">
        <v>44.35</v>
      </c>
      <c r="Z43" s="8">
        <v>0</v>
      </c>
    </row>
    <row r="44" spans="1:26" x14ac:dyDescent="0.3">
      <c r="A44" s="8" t="s">
        <v>27</v>
      </c>
      <c r="B44" s="8" t="s">
        <v>59</v>
      </c>
      <c r="C44" s="8" t="s">
        <v>29</v>
      </c>
      <c r="D44" s="8" t="s">
        <v>56</v>
      </c>
      <c r="E44" s="8" t="s">
        <v>31</v>
      </c>
      <c r="F44" s="8" t="s">
        <v>87</v>
      </c>
      <c r="G44" s="8">
        <v>2023</v>
      </c>
      <c r="H44" s="8" t="str">
        <f>_xlfn.CONCAT("34240177948")</f>
        <v>34240177948</v>
      </c>
      <c r="I44" s="8" t="s">
        <v>46</v>
      </c>
      <c r="J44" s="8" t="s">
        <v>34</v>
      </c>
      <c r="K44" s="8" t="str">
        <f>_xlfn.CONCAT("")</f>
        <v/>
      </c>
      <c r="L44" s="8" t="str">
        <f>_xlfn.CONCAT("11 11.2 4b")</f>
        <v>11 11.2 4b</v>
      </c>
      <c r="M44" s="8" t="str">
        <f>_xlfn.CONCAT("BBNMLT76E45G453C")</f>
        <v>BBNMLT76E45G453C</v>
      </c>
      <c r="N44" s="8" t="s">
        <v>123</v>
      </c>
      <c r="O44" s="8" t="s">
        <v>69</v>
      </c>
      <c r="P44" s="9">
        <v>45329</v>
      </c>
      <c r="Q44" s="8" t="s">
        <v>37</v>
      </c>
      <c r="R44" s="8" t="s">
        <v>38</v>
      </c>
      <c r="S44" s="8" t="s">
        <v>39</v>
      </c>
      <c r="T44" s="8"/>
      <c r="U44" s="8" t="s">
        <v>40</v>
      </c>
      <c r="V44" s="10">
        <v>5028</v>
      </c>
      <c r="W44" s="10">
        <v>2168.0700000000002</v>
      </c>
      <c r="X44" s="10">
        <v>2002.15</v>
      </c>
      <c r="Y44" s="8">
        <v>857.78</v>
      </c>
      <c r="Z44" s="8">
        <v>0</v>
      </c>
    </row>
    <row r="45" spans="1:26" x14ac:dyDescent="0.3">
      <c r="A45" s="8" t="s">
        <v>27</v>
      </c>
      <c r="B45" s="8" t="s">
        <v>59</v>
      </c>
      <c r="C45" s="8" t="s">
        <v>29</v>
      </c>
      <c r="D45" s="8" t="s">
        <v>56</v>
      </c>
      <c r="E45" s="8" t="s">
        <v>31</v>
      </c>
      <c r="F45" s="8" t="s">
        <v>87</v>
      </c>
      <c r="G45" s="8">
        <v>2023</v>
      </c>
      <c r="H45" s="8" t="str">
        <f>_xlfn.CONCAT("34210037833")</f>
        <v>34210037833</v>
      </c>
      <c r="I45" s="8" t="s">
        <v>46</v>
      </c>
      <c r="J45" s="8" t="s">
        <v>34</v>
      </c>
      <c r="K45" s="8" t="str">
        <f>_xlfn.CONCAT("")</f>
        <v/>
      </c>
      <c r="L45" s="8" t="str">
        <f>_xlfn.CONCAT("13 13.1 4a")</f>
        <v>13 13.1 4a</v>
      </c>
      <c r="M45" s="8" t="str">
        <f>_xlfn.CONCAT("BBNMLT76E45G453C")</f>
        <v>BBNMLT76E45G453C</v>
      </c>
      <c r="N45" s="8" t="s">
        <v>123</v>
      </c>
      <c r="O45" s="8" t="s">
        <v>80</v>
      </c>
      <c r="P45" s="9">
        <v>45329</v>
      </c>
      <c r="Q45" s="8" t="s">
        <v>37</v>
      </c>
      <c r="R45" s="8" t="s">
        <v>38</v>
      </c>
      <c r="S45" s="8" t="s">
        <v>39</v>
      </c>
      <c r="T45" s="8"/>
      <c r="U45" s="8" t="s">
        <v>40</v>
      </c>
      <c r="V45" s="10">
        <v>2493.2800000000002</v>
      </c>
      <c r="W45" s="10">
        <v>1075.0999999999999</v>
      </c>
      <c r="X45" s="8">
        <v>992.82</v>
      </c>
      <c r="Y45" s="8">
        <v>425.36</v>
      </c>
      <c r="Z45" s="8">
        <v>0</v>
      </c>
    </row>
    <row r="46" spans="1:26" x14ac:dyDescent="0.3">
      <c r="A46" s="8" t="s">
        <v>27</v>
      </c>
      <c r="B46" s="8" t="s">
        <v>59</v>
      </c>
      <c r="C46" s="8" t="s">
        <v>29</v>
      </c>
      <c r="D46" s="8" t="s">
        <v>56</v>
      </c>
      <c r="E46" s="8" t="s">
        <v>41</v>
      </c>
      <c r="F46" s="8" t="s">
        <v>107</v>
      </c>
      <c r="G46" s="8">
        <v>2023</v>
      </c>
      <c r="H46" s="8" t="str">
        <f>_xlfn.CONCAT("34240024751")</f>
        <v>34240024751</v>
      </c>
      <c r="I46" s="8" t="s">
        <v>46</v>
      </c>
      <c r="J46" s="8" t="s">
        <v>34</v>
      </c>
      <c r="K46" s="8" t="str">
        <f>_xlfn.CONCAT("")</f>
        <v/>
      </c>
      <c r="L46" s="8" t="str">
        <f>_xlfn.CONCAT("11 11.2 4b")</f>
        <v>11 11.2 4b</v>
      </c>
      <c r="M46" s="8" t="str">
        <f>_xlfn.CONCAT("MGNLCN54S09I459K")</f>
        <v>MGNLCN54S09I459K</v>
      </c>
      <c r="N46" s="8" t="s">
        <v>124</v>
      </c>
      <c r="O46" s="8" t="s">
        <v>69</v>
      </c>
      <c r="P46" s="9">
        <v>45329</v>
      </c>
      <c r="Q46" s="8" t="s">
        <v>37</v>
      </c>
      <c r="R46" s="8" t="s">
        <v>38</v>
      </c>
      <c r="S46" s="8" t="s">
        <v>39</v>
      </c>
      <c r="T46" s="8"/>
      <c r="U46" s="8" t="s">
        <v>40</v>
      </c>
      <c r="V46" s="8">
        <v>683.83</v>
      </c>
      <c r="W46" s="8">
        <v>294.87</v>
      </c>
      <c r="X46" s="8">
        <v>272.3</v>
      </c>
      <c r="Y46" s="8">
        <v>116.66</v>
      </c>
      <c r="Z46" s="8">
        <v>0</v>
      </c>
    </row>
    <row r="47" spans="1:26" x14ac:dyDescent="0.3">
      <c r="A47" s="8" t="s">
        <v>27</v>
      </c>
      <c r="B47" s="8" t="s">
        <v>59</v>
      </c>
      <c r="C47" s="8" t="s">
        <v>29</v>
      </c>
      <c r="D47" s="8" t="s">
        <v>77</v>
      </c>
      <c r="E47" s="8" t="s">
        <v>41</v>
      </c>
      <c r="F47" s="8" t="s">
        <v>89</v>
      </c>
      <c r="G47" s="8">
        <v>2023</v>
      </c>
      <c r="H47" s="8" t="str">
        <f>_xlfn.CONCAT("34210069448")</f>
        <v>34210069448</v>
      </c>
      <c r="I47" s="8" t="s">
        <v>46</v>
      </c>
      <c r="J47" s="8" t="s">
        <v>34</v>
      </c>
      <c r="K47" s="8" t="str">
        <f>_xlfn.CONCAT("")</f>
        <v/>
      </c>
      <c r="L47" s="8" t="str">
        <f>_xlfn.CONCAT("13 13.1 4a")</f>
        <v>13 13.1 4a</v>
      </c>
      <c r="M47" s="8" t="str">
        <f>_xlfn.CONCAT("BCCNRC78C21I436T")</f>
        <v>BCCNRC78C21I436T</v>
      </c>
      <c r="N47" s="8" t="s">
        <v>125</v>
      </c>
      <c r="O47" s="8" t="s">
        <v>80</v>
      </c>
      <c r="P47" s="9">
        <v>45329</v>
      </c>
      <c r="Q47" s="8" t="s">
        <v>37</v>
      </c>
      <c r="R47" s="8" t="s">
        <v>38</v>
      </c>
      <c r="S47" s="8" t="s">
        <v>39</v>
      </c>
      <c r="T47" s="8"/>
      <c r="U47" s="8" t="s">
        <v>40</v>
      </c>
      <c r="V47" s="8">
        <v>345.49</v>
      </c>
      <c r="W47" s="8">
        <v>148.97999999999999</v>
      </c>
      <c r="X47" s="8">
        <v>137.57</v>
      </c>
      <c r="Y47" s="8">
        <v>58.94</v>
      </c>
      <c r="Z47" s="8">
        <v>0</v>
      </c>
    </row>
    <row r="48" spans="1:26" x14ac:dyDescent="0.3">
      <c r="A48" s="8" t="s">
        <v>27</v>
      </c>
      <c r="B48" s="8" t="s">
        <v>59</v>
      </c>
      <c r="C48" s="8" t="s">
        <v>29</v>
      </c>
      <c r="D48" s="8" t="s">
        <v>56</v>
      </c>
      <c r="E48" s="8" t="s">
        <v>41</v>
      </c>
      <c r="F48" s="8" t="s">
        <v>126</v>
      </c>
      <c r="G48" s="8">
        <v>2023</v>
      </c>
      <c r="H48" s="8" t="str">
        <f>_xlfn.CONCAT("34240145481")</f>
        <v>34240145481</v>
      </c>
      <c r="I48" s="8" t="s">
        <v>46</v>
      </c>
      <c r="J48" s="8" t="s">
        <v>34</v>
      </c>
      <c r="K48" s="8" t="str">
        <f>_xlfn.CONCAT("")</f>
        <v/>
      </c>
      <c r="L48" s="8" t="str">
        <f>_xlfn.CONCAT("11 11.2 4b")</f>
        <v>11 11.2 4b</v>
      </c>
      <c r="M48" s="8" t="str">
        <f>_xlfn.CONCAT("RBNNMR44H64I285A")</f>
        <v>RBNNMR44H64I285A</v>
      </c>
      <c r="N48" s="8" t="s">
        <v>127</v>
      </c>
      <c r="O48" s="8" t="s">
        <v>69</v>
      </c>
      <c r="P48" s="9">
        <v>45329</v>
      </c>
      <c r="Q48" s="8" t="s">
        <v>37</v>
      </c>
      <c r="R48" s="8" t="s">
        <v>38</v>
      </c>
      <c r="S48" s="8" t="s">
        <v>39</v>
      </c>
      <c r="T48" s="8"/>
      <c r="U48" s="8" t="s">
        <v>40</v>
      </c>
      <c r="V48" s="8">
        <v>203.56</v>
      </c>
      <c r="W48" s="8">
        <v>87.78</v>
      </c>
      <c r="X48" s="8">
        <v>81.06</v>
      </c>
      <c r="Y48" s="8">
        <v>34.72</v>
      </c>
      <c r="Z48" s="8">
        <v>0</v>
      </c>
    </row>
    <row r="49" spans="1:26" x14ac:dyDescent="0.3">
      <c r="A49" s="8" t="s">
        <v>27</v>
      </c>
      <c r="B49" s="8" t="s">
        <v>59</v>
      </c>
      <c r="C49" s="8" t="s">
        <v>29</v>
      </c>
      <c r="D49" s="8" t="s">
        <v>44</v>
      </c>
      <c r="E49" s="8" t="s">
        <v>31</v>
      </c>
      <c r="F49" s="8" t="s">
        <v>128</v>
      </c>
      <c r="G49" s="8">
        <v>2023</v>
      </c>
      <c r="H49" s="8" t="str">
        <f>_xlfn.CONCAT("34240395672")</f>
        <v>34240395672</v>
      </c>
      <c r="I49" s="8" t="s">
        <v>46</v>
      </c>
      <c r="J49" s="8" t="s">
        <v>34</v>
      </c>
      <c r="K49" s="8" t="str">
        <f>_xlfn.CONCAT("")</f>
        <v/>
      </c>
      <c r="L49" s="8" t="str">
        <f>_xlfn.CONCAT("11 11.2 4b")</f>
        <v>11 11.2 4b</v>
      </c>
      <c r="M49" s="8" t="str">
        <f>_xlfn.CONCAT("RNLMRC78H25A462U")</f>
        <v>RNLMRC78H25A462U</v>
      </c>
      <c r="N49" s="8" t="s">
        <v>129</v>
      </c>
      <c r="O49" s="8" t="s">
        <v>69</v>
      </c>
      <c r="P49" s="9">
        <v>45329</v>
      </c>
      <c r="Q49" s="8" t="s">
        <v>37</v>
      </c>
      <c r="R49" s="8" t="s">
        <v>38</v>
      </c>
      <c r="S49" s="8" t="s">
        <v>39</v>
      </c>
      <c r="T49" s="8"/>
      <c r="U49" s="8" t="s">
        <v>40</v>
      </c>
      <c r="V49" s="10">
        <v>4327.13</v>
      </c>
      <c r="W49" s="10">
        <v>1865.86</v>
      </c>
      <c r="X49" s="10">
        <v>1723.06</v>
      </c>
      <c r="Y49" s="8">
        <v>738.21</v>
      </c>
      <c r="Z49" s="8">
        <v>0</v>
      </c>
    </row>
    <row r="50" spans="1:26" x14ac:dyDescent="0.3">
      <c r="A50" s="8" t="s">
        <v>27</v>
      </c>
      <c r="B50" s="8" t="s">
        <v>59</v>
      </c>
      <c r="C50" s="8" t="s">
        <v>29</v>
      </c>
      <c r="D50" s="8" t="s">
        <v>44</v>
      </c>
      <c r="E50" s="8" t="s">
        <v>49</v>
      </c>
      <c r="F50" s="8" t="s">
        <v>49</v>
      </c>
      <c r="G50" s="8">
        <v>2023</v>
      </c>
      <c r="H50" s="8" t="str">
        <f>_xlfn.CONCAT("34240432210")</f>
        <v>34240432210</v>
      </c>
      <c r="I50" s="8" t="s">
        <v>46</v>
      </c>
      <c r="J50" s="8" t="s">
        <v>34</v>
      </c>
      <c r="K50" s="8" t="str">
        <f>_xlfn.CONCAT("")</f>
        <v/>
      </c>
      <c r="L50" s="8" t="str">
        <f>_xlfn.CONCAT("11 11.2 4b")</f>
        <v>11 11.2 4b</v>
      </c>
      <c r="M50" s="8" t="str">
        <f>_xlfn.CONCAT("02100760442")</f>
        <v>02100760442</v>
      </c>
      <c r="N50" s="8" t="s">
        <v>130</v>
      </c>
      <c r="O50" s="8" t="s">
        <v>69</v>
      </c>
      <c r="P50" s="9">
        <v>45329</v>
      </c>
      <c r="Q50" s="8" t="s">
        <v>37</v>
      </c>
      <c r="R50" s="8" t="s">
        <v>38</v>
      </c>
      <c r="S50" s="8" t="s">
        <v>39</v>
      </c>
      <c r="T50" s="8"/>
      <c r="U50" s="8" t="s">
        <v>40</v>
      </c>
      <c r="V50" s="10">
        <v>1051.45</v>
      </c>
      <c r="W50" s="8">
        <v>453.39</v>
      </c>
      <c r="X50" s="8">
        <v>418.69</v>
      </c>
      <c r="Y50" s="8">
        <v>179.37</v>
      </c>
      <c r="Z50" s="8">
        <v>0</v>
      </c>
    </row>
    <row r="51" spans="1:26" x14ac:dyDescent="0.3">
      <c r="A51" s="8" t="s">
        <v>27</v>
      </c>
      <c r="B51" s="8" t="s">
        <v>59</v>
      </c>
      <c r="C51" s="8" t="s">
        <v>29</v>
      </c>
      <c r="D51" s="8" t="s">
        <v>56</v>
      </c>
      <c r="E51" s="8" t="s">
        <v>70</v>
      </c>
      <c r="F51" s="8" t="s">
        <v>102</v>
      </c>
      <c r="G51" s="8">
        <v>2023</v>
      </c>
      <c r="H51" s="8" t="str">
        <f>_xlfn.CONCAT("34240509389")</f>
        <v>34240509389</v>
      </c>
      <c r="I51" s="8" t="s">
        <v>46</v>
      </c>
      <c r="J51" s="8" t="s">
        <v>34</v>
      </c>
      <c r="K51" s="8" t="str">
        <f>_xlfn.CONCAT("")</f>
        <v/>
      </c>
      <c r="L51" s="8" t="str">
        <f>_xlfn.CONCAT("11 11.2 4b")</f>
        <v>11 11.2 4b</v>
      </c>
      <c r="M51" s="8" t="str">
        <f>_xlfn.CONCAT("FRNCRL72S55I608G")</f>
        <v>FRNCRL72S55I608G</v>
      </c>
      <c r="N51" s="8" t="s">
        <v>131</v>
      </c>
      <c r="O51" s="8" t="s">
        <v>69</v>
      </c>
      <c r="P51" s="9">
        <v>45329</v>
      </c>
      <c r="Q51" s="8" t="s">
        <v>37</v>
      </c>
      <c r="R51" s="8" t="s">
        <v>38</v>
      </c>
      <c r="S51" s="8" t="s">
        <v>39</v>
      </c>
      <c r="T51" s="8"/>
      <c r="U51" s="8" t="s">
        <v>40</v>
      </c>
      <c r="V51" s="10">
        <v>13591.21</v>
      </c>
      <c r="W51" s="10">
        <v>5860.53</v>
      </c>
      <c r="X51" s="10">
        <v>5412.02</v>
      </c>
      <c r="Y51" s="10">
        <v>2318.66</v>
      </c>
      <c r="Z51" s="8">
        <v>0</v>
      </c>
    </row>
    <row r="52" spans="1:26" x14ac:dyDescent="0.3">
      <c r="A52" s="8" t="s">
        <v>27</v>
      </c>
      <c r="B52" s="8" t="s">
        <v>59</v>
      </c>
      <c r="C52" s="8" t="s">
        <v>29</v>
      </c>
      <c r="D52" s="8" t="s">
        <v>44</v>
      </c>
      <c r="E52" s="8" t="s">
        <v>49</v>
      </c>
      <c r="F52" s="8" t="s">
        <v>49</v>
      </c>
      <c r="G52" s="8">
        <v>2023</v>
      </c>
      <c r="H52" s="8" t="str">
        <f>_xlfn.CONCAT("34240439942")</f>
        <v>34240439942</v>
      </c>
      <c r="I52" s="8" t="s">
        <v>46</v>
      </c>
      <c r="J52" s="8" t="s">
        <v>34</v>
      </c>
      <c r="K52" s="8" t="str">
        <f>_xlfn.CONCAT("")</f>
        <v/>
      </c>
      <c r="L52" s="8" t="str">
        <f>_xlfn.CONCAT("11 11.2 4b")</f>
        <v>11 11.2 4b</v>
      </c>
      <c r="M52" s="8" t="str">
        <f>_xlfn.CONCAT("CRRGPR65C21C321Q")</f>
        <v>CRRGPR65C21C321Q</v>
      </c>
      <c r="N52" s="8" t="s">
        <v>132</v>
      </c>
      <c r="O52" s="8" t="s">
        <v>69</v>
      </c>
      <c r="P52" s="9">
        <v>45329</v>
      </c>
      <c r="Q52" s="8" t="s">
        <v>37</v>
      </c>
      <c r="R52" s="8" t="s">
        <v>38</v>
      </c>
      <c r="S52" s="8" t="s">
        <v>39</v>
      </c>
      <c r="T52" s="8"/>
      <c r="U52" s="8" t="s">
        <v>40</v>
      </c>
      <c r="V52" s="8">
        <v>462.92</v>
      </c>
      <c r="W52" s="8">
        <v>199.61</v>
      </c>
      <c r="X52" s="8">
        <v>184.33</v>
      </c>
      <c r="Y52" s="8">
        <v>78.98</v>
      </c>
      <c r="Z52" s="8">
        <v>0</v>
      </c>
    </row>
    <row r="53" spans="1:26" x14ac:dyDescent="0.3">
      <c r="A53" s="8" t="s">
        <v>27</v>
      </c>
      <c r="B53" s="8" t="s">
        <v>59</v>
      </c>
      <c r="C53" s="8" t="s">
        <v>29</v>
      </c>
      <c r="D53" s="8" t="s">
        <v>56</v>
      </c>
      <c r="E53" s="8" t="s">
        <v>31</v>
      </c>
      <c r="F53" s="8" t="s">
        <v>104</v>
      </c>
      <c r="G53" s="8">
        <v>2023</v>
      </c>
      <c r="H53" s="8" t="str">
        <f>_xlfn.CONCAT("34240405091")</f>
        <v>34240405091</v>
      </c>
      <c r="I53" s="8" t="s">
        <v>46</v>
      </c>
      <c r="J53" s="8" t="s">
        <v>34</v>
      </c>
      <c r="K53" s="8" t="str">
        <f>_xlfn.CONCAT("")</f>
        <v/>
      </c>
      <c r="L53" s="8" t="str">
        <f>_xlfn.CONCAT("11 11.2 4b")</f>
        <v>11 11.2 4b</v>
      </c>
      <c r="M53" s="8" t="str">
        <f>_xlfn.CONCAT("BRGMTN00L69G479Q")</f>
        <v>BRGMTN00L69G479Q</v>
      </c>
      <c r="N53" s="8" t="s">
        <v>133</v>
      </c>
      <c r="O53" s="8" t="s">
        <v>69</v>
      </c>
      <c r="P53" s="9">
        <v>45329</v>
      </c>
      <c r="Q53" s="8" t="s">
        <v>37</v>
      </c>
      <c r="R53" s="8" t="s">
        <v>38</v>
      </c>
      <c r="S53" s="8" t="s">
        <v>39</v>
      </c>
      <c r="T53" s="8"/>
      <c r="U53" s="8" t="s">
        <v>40</v>
      </c>
      <c r="V53" s="10">
        <v>5477.43</v>
      </c>
      <c r="W53" s="10">
        <v>2361.87</v>
      </c>
      <c r="X53" s="10">
        <v>2181.11</v>
      </c>
      <c r="Y53" s="8">
        <v>934.45</v>
      </c>
      <c r="Z53" s="8">
        <v>0</v>
      </c>
    </row>
    <row r="54" spans="1:26" x14ac:dyDescent="0.3">
      <c r="A54" s="8" t="s">
        <v>27</v>
      </c>
      <c r="B54" s="8" t="s">
        <v>59</v>
      </c>
      <c r="C54" s="8" t="s">
        <v>29</v>
      </c>
      <c r="D54" s="8" t="s">
        <v>30</v>
      </c>
      <c r="E54" s="8" t="s">
        <v>41</v>
      </c>
      <c r="F54" s="8" t="s">
        <v>114</v>
      </c>
      <c r="G54" s="8">
        <v>2023</v>
      </c>
      <c r="H54" s="8" t="str">
        <f>_xlfn.CONCAT("34210074844")</f>
        <v>34210074844</v>
      </c>
      <c r="I54" s="8" t="s">
        <v>46</v>
      </c>
      <c r="J54" s="8" t="s">
        <v>34</v>
      </c>
      <c r="K54" s="8" t="str">
        <f>_xlfn.CONCAT("")</f>
        <v/>
      </c>
      <c r="L54" s="8" t="str">
        <f>_xlfn.CONCAT("13 13.1 4a")</f>
        <v>13 13.1 4a</v>
      </c>
      <c r="M54" s="8" t="str">
        <f>_xlfn.CONCAT("PRSLGU53B08E647X")</f>
        <v>PRSLGU53B08E647X</v>
      </c>
      <c r="N54" s="8" t="s">
        <v>134</v>
      </c>
      <c r="O54" s="8" t="s">
        <v>80</v>
      </c>
      <c r="P54" s="9">
        <v>45329</v>
      </c>
      <c r="Q54" s="8" t="s">
        <v>37</v>
      </c>
      <c r="R54" s="8" t="s">
        <v>38</v>
      </c>
      <c r="S54" s="8" t="s">
        <v>39</v>
      </c>
      <c r="T54" s="8"/>
      <c r="U54" s="8" t="s">
        <v>40</v>
      </c>
      <c r="V54" s="10">
        <v>5324.07</v>
      </c>
      <c r="W54" s="10">
        <v>2295.7399999999998</v>
      </c>
      <c r="X54" s="10">
        <v>2120.04</v>
      </c>
      <c r="Y54" s="8">
        <v>908.29</v>
      </c>
      <c r="Z54" s="8">
        <v>0</v>
      </c>
    </row>
    <row r="55" spans="1:26" ht="20.399999999999999" x14ac:dyDescent="0.3">
      <c r="A55" s="8" t="s">
        <v>27</v>
      </c>
      <c r="B55" s="8" t="s">
        <v>59</v>
      </c>
      <c r="C55" s="8" t="s">
        <v>29</v>
      </c>
      <c r="D55" s="8" t="s">
        <v>56</v>
      </c>
      <c r="E55" s="8" t="s">
        <v>66</v>
      </c>
      <c r="F55" s="8" t="s">
        <v>121</v>
      </c>
      <c r="G55" s="8">
        <v>2023</v>
      </c>
      <c r="H55" s="8" t="str">
        <f>_xlfn.CONCAT("34240246750")</f>
        <v>34240246750</v>
      </c>
      <c r="I55" s="8" t="s">
        <v>46</v>
      </c>
      <c r="J55" s="8" t="s">
        <v>34</v>
      </c>
      <c r="K55" s="8" t="str">
        <f>_xlfn.CONCAT("")</f>
        <v/>
      </c>
      <c r="L55" s="8" t="str">
        <f>_xlfn.CONCAT("11 11.2 4b")</f>
        <v>11 11.2 4b</v>
      </c>
      <c r="M55" s="8" t="str">
        <f>_xlfn.CONCAT("02386680413")</f>
        <v>02386680413</v>
      </c>
      <c r="N55" s="8" t="s">
        <v>135</v>
      </c>
      <c r="O55" s="8" t="s">
        <v>69</v>
      </c>
      <c r="P55" s="9">
        <v>45329</v>
      </c>
      <c r="Q55" s="8" t="s">
        <v>37</v>
      </c>
      <c r="R55" s="8" t="s">
        <v>38</v>
      </c>
      <c r="S55" s="8" t="s">
        <v>39</v>
      </c>
      <c r="T55" s="8"/>
      <c r="U55" s="8" t="s">
        <v>40</v>
      </c>
      <c r="V55" s="8">
        <v>693</v>
      </c>
      <c r="W55" s="8">
        <v>298.82</v>
      </c>
      <c r="X55" s="8">
        <v>275.95</v>
      </c>
      <c r="Y55" s="8">
        <v>118.23</v>
      </c>
      <c r="Z55" s="8">
        <v>0</v>
      </c>
    </row>
    <row r="56" spans="1:26" x14ac:dyDescent="0.3">
      <c r="A56" s="8" t="s">
        <v>27</v>
      </c>
      <c r="B56" s="8" t="s">
        <v>59</v>
      </c>
      <c r="C56" s="8" t="s">
        <v>29</v>
      </c>
      <c r="D56" s="8" t="s">
        <v>44</v>
      </c>
      <c r="E56" s="8" t="s">
        <v>31</v>
      </c>
      <c r="F56" s="8" t="s">
        <v>136</v>
      </c>
      <c r="G56" s="8">
        <v>2023</v>
      </c>
      <c r="H56" s="8" t="str">
        <f>_xlfn.CONCAT("34240640218")</f>
        <v>34240640218</v>
      </c>
      <c r="I56" s="8" t="s">
        <v>46</v>
      </c>
      <c r="J56" s="8" t="s">
        <v>34</v>
      </c>
      <c r="K56" s="8" t="str">
        <f>_xlfn.CONCAT("")</f>
        <v/>
      </c>
      <c r="L56" s="8" t="str">
        <f>_xlfn.CONCAT("11 11.2 4b")</f>
        <v>11 11.2 4b</v>
      </c>
      <c r="M56" s="8" t="str">
        <f>_xlfn.CONCAT("GRVMRA66C04A252I")</f>
        <v>GRVMRA66C04A252I</v>
      </c>
      <c r="N56" s="8" t="s">
        <v>137</v>
      </c>
      <c r="O56" s="8" t="s">
        <v>69</v>
      </c>
      <c r="P56" s="9">
        <v>45329</v>
      </c>
      <c r="Q56" s="8" t="s">
        <v>37</v>
      </c>
      <c r="R56" s="8" t="s">
        <v>38</v>
      </c>
      <c r="S56" s="8" t="s">
        <v>39</v>
      </c>
      <c r="T56" s="8"/>
      <c r="U56" s="8" t="s">
        <v>40</v>
      </c>
      <c r="V56" s="8">
        <v>748.41</v>
      </c>
      <c r="W56" s="8">
        <v>322.70999999999998</v>
      </c>
      <c r="X56" s="8">
        <v>298.02</v>
      </c>
      <c r="Y56" s="8">
        <v>127.68</v>
      </c>
      <c r="Z56" s="8">
        <v>0</v>
      </c>
    </row>
    <row r="57" spans="1:26" x14ac:dyDescent="0.3">
      <c r="A57" s="8" t="s">
        <v>27</v>
      </c>
      <c r="B57" s="8" t="s">
        <v>59</v>
      </c>
      <c r="C57" s="8" t="s">
        <v>29</v>
      </c>
      <c r="D57" s="8" t="s">
        <v>77</v>
      </c>
      <c r="E57" s="8" t="s">
        <v>66</v>
      </c>
      <c r="F57" s="8" t="s">
        <v>138</v>
      </c>
      <c r="G57" s="8">
        <v>2023</v>
      </c>
      <c r="H57" s="8" t="str">
        <f>_xlfn.CONCAT("34210056114")</f>
        <v>34210056114</v>
      </c>
      <c r="I57" s="8" t="s">
        <v>46</v>
      </c>
      <c r="J57" s="8" t="s">
        <v>34</v>
      </c>
      <c r="K57" s="8" t="str">
        <f>_xlfn.CONCAT("")</f>
        <v/>
      </c>
      <c r="L57" s="8" t="str">
        <f>_xlfn.CONCAT("13 13.1 4a")</f>
        <v>13 13.1 4a</v>
      </c>
      <c r="M57" s="8" t="str">
        <f>_xlfn.CONCAT("BTTFNC77B47H211O")</f>
        <v>BTTFNC77B47H211O</v>
      </c>
      <c r="N57" s="8" t="s">
        <v>139</v>
      </c>
      <c r="O57" s="8" t="s">
        <v>80</v>
      </c>
      <c r="P57" s="9">
        <v>45329</v>
      </c>
      <c r="Q57" s="8" t="s">
        <v>37</v>
      </c>
      <c r="R57" s="8" t="s">
        <v>38</v>
      </c>
      <c r="S57" s="8" t="s">
        <v>39</v>
      </c>
      <c r="T57" s="8"/>
      <c r="U57" s="8" t="s">
        <v>40</v>
      </c>
      <c r="V57" s="10">
        <v>1088.98</v>
      </c>
      <c r="W57" s="8">
        <v>469.57</v>
      </c>
      <c r="X57" s="8">
        <v>433.63</v>
      </c>
      <c r="Y57" s="8">
        <v>185.78</v>
      </c>
      <c r="Z57" s="8">
        <v>0</v>
      </c>
    </row>
    <row r="58" spans="1:26" x14ac:dyDescent="0.3">
      <c r="A58" s="8" t="s">
        <v>27</v>
      </c>
      <c r="B58" s="8" t="s">
        <v>59</v>
      </c>
      <c r="C58" s="8" t="s">
        <v>29</v>
      </c>
      <c r="D58" s="8" t="s">
        <v>44</v>
      </c>
      <c r="E58" s="8" t="s">
        <v>41</v>
      </c>
      <c r="F58" s="8" t="s">
        <v>140</v>
      </c>
      <c r="G58" s="8">
        <v>2023</v>
      </c>
      <c r="H58" s="8" t="str">
        <f>_xlfn.CONCAT("34240159417")</f>
        <v>34240159417</v>
      </c>
      <c r="I58" s="8" t="s">
        <v>46</v>
      </c>
      <c r="J58" s="8" t="s">
        <v>34</v>
      </c>
      <c r="K58" s="8" t="str">
        <f>_xlfn.CONCAT("")</f>
        <v/>
      </c>
      <c r="L58" s="8" t="str">
        <f>_xlfn.CONCAT("11 11.2 4b")</f>
        <v>11 11.2 4b</v>
      </c>
      <c r="M58" s="8" t="str">
        <f>_xlfn.CONCAT("MDNVRM72P69F205Y")</f>
        <v>MDNVRM72P69F205Y</v>
      </c>
      <c r="N58" s="8" t="s">
        <v>141</v>
      </c>
      <c r="O58" s="8" t="s">
        <v>69</v>
      </c>
      <c r="P58" s="9">
        <v>45329</v>
      </c>
      <c r="Q58" s="8" t="s">
        <v>37</v>
      </c>
      <c r="R58" s="8" t="s">
        <v>38</v>
      </c>
      <c r="S58" s="8" t="s">
        <v>39</v>
      </c>
      <c r="T58" s="8"/>
      <c r="U58" s="8" t="s">
        <v>40</v>
      </c>
      <c r="V58" s="10">
        <v>6368.8</v>
      </c>
      <c r="W58" s="10">
        <v>2746.23</v>
      </c>
      <c r="X58" s="10">
        <v>2536.06</v>
      </c>
      <c r="Y58" s="10">
        <v>1086.51</v>
      </c>
      <c r="Z58" s="8">
        <v>0</v>
      </c>
    </row>
    <row r="59" spans="1:26" x14ac:dyDescent="0.3">
      <c r="A59" s="8" t="s">
        <v>27</v>
      </c>
      <c r="B59" s="8" t="s">
        <v>59</v>
      </c>
      <c r="C59" s="8" t="s">
        <v>29</v>
      </c>
      <c r="D59" s="8" t="s">
        <v>56</v>
      </c>
      <c r="E59" s="8" t="s">
        <v>70</v>
      </c>
      <c r="F59" s="8" t="s">
        <v>102</v>
      </c>
      <c r="G59" s="8">
        <v>2023</v>
      </c>
      <c r="H59" s="8" t="str">
        <f>_xlfn.CONCAT("34210074539")</f>
        <v>34210074539</v>
      </c>
      <c r="I59" s="8" t="s">
        <v>46</v>
      </c>
      <c r="J59" s="8" t="s">
        <v>34</v>
      </c>
      <c r="K59" s="8" t="str">
        <f>_xlfn.CONCAT("")</f>
        <v/>
      </c>
      <c r="L59" s="8" t="str">
        <f>_xlfn.CONCAT("13 13.1 4a")</f>
        <v>13 13.1 4a</v>
      </c>
      <c r="M59" s="8" t="str">
        <f>_xlfn.CONCAT("BRNRNZ59C15A327K")</f>
        <v>BRNRNZ59C15A327K</v>
      </c>
      <c r="N59" s="8" t="s">
        <v>142</v>
      </c>
      <c r="O59" s="8" t="s">
        <v>80</v>
      </c>
      <c r="P59" s="9">
        <v>45329</v>
      </c>
      <c r="Q59" s="8" t="s">
        <v>37</v>
      </c>
      <c r="R59" s="8" t="s">
        <v>38</v>
      </c>
      <c r="S59" s="8" t="s">
        <v>39</v>
      </c>
      <c r="T59" s="8"/>
      <c r="U59" s="8" t="s">
        <v>40</v>
      </c>
      <c r="V59" s="8">
        <v>354.39</v>
      </c>
      <c r="W59" s="8">
        <v>152.81</v>
      </c>
      <c r="X59" s="8">
        <v>141.12</v>
      </c>
      <c r="Y59" s="8">
        <v>60.46</v>
      </c>
      <c r="Z59" s="8">
        <v>0</v>
      </c>
    </row>
    <row r="60" spans="1:26" x14ac:dyDescent="0.3">
      <c r="A60" s="8" t="s">
        <v>27</v>
      </c>
      <c r="B60" s="8" t="s">
        <v>59</v>
      </c>
      <c r="C60" s="8" t="s">
        <v>29</v>
      </c>
      <c r="D60" s="8" t="s">
        <v>56</v>
      </c>
      <c r="E60" s="8" t="s">
        <v>66</v>
      </c>
      <c r="F60" s="8" t="s">
        <v>111</v>
      </c>
      <c r="G60" s="8">
        <v>2023</v>
      </c>
      <c r="H60" s="8" t="str">
        <f>_xlfn.CONCAT("34210058516")</f>
        <v>34210058516</v>
      </c>
      <c r="I60" s="8" t="s">
        <v>46</v>
      </c>
      <c r="J60" s="8" t="s">
        <v>34</v>
      </c>
      <c r="K60" s="8" t="str">
        <f>_xlfn.CONCAT("")</f>
        <v/>
      </c>
      <c r="L60" s="8" t="str">
        <f>_xlfn.CONCAT("13 13.1 4a")</f>
        <v>13 13.1 4a</v>
      </c>
      <c r="M60" s="8" t="str">
        <f>_xlfn.CONCAT("02688080411")</f>
        <v>02688080411</v>
      </c>
      <c r="N60" s="8" t="s">
        <v>143</v>
      </c>
      <c r="O60" s="8" t="s">
        <v>80</v>
      </c>
      <c r="P60" s="9">
        <v>45329</v>
      </c>
      <c r="Q60" s="8" t="s">
        <v>37</v>
      </c>
      <c r="R60" s="8" t="s">
        <v>38</v>
      </c>
      <c r="S60" s="8" t="s">
        <v>39</v>
      </c>
      <c r="T60" s="8"/>
      <c r="U60" s="8" t="s">
        <v>40</v>
      </c>
      <c r="V60" s="8">
        <v>389.94</v>
      </c>
      <c r="W60" s="8">
        <v>168.14</v>
      </c>
      <c r="X60" s="8">
        <v>155.27000000000001</v>
      </c>
      <c r="Y60" s="8">
        <v>66.53</v>
      </c>
      <c r="Z60" s="8">
        <v>0</v>
      </c>
    </row>
    <row r="61" spans="1:26" x14ac:dyDescent="0.3">
      <c r="A61" s="8" t="s">
        <v>27</v>
      </c>
      <c r="B61" s="8" t="s">
        <v>59</v>
      </c>
      <c r="C61" s="8" t="s">
        <v>29</v>
      </c>
      <c r="D61" s="8" t="s">
        <v>77</v>
      </c>
      <c r="E61" s="8" t="s">
        <v>66</v>
      </c>
      <c r="F61" s="8" t="s">
        <v>138</v>
      </c>
      <c r="G61" s="8">
        <v>2023</v>
      </c>
      <c r="H61" s="8" t="str">
        <f>_xlfn.CONCAT("34210103478")</f>
        <v>34210103478</v>
      </c>
      <c r="I61" s="8" t="s">
        <v>46</v>
      </c>
      <c r="J61" s="8" t="s">
        <v>34</v>
      </c>
      <c r="K61" s="8" t="str">
        <f>_xlfn.CONCAT("")</f>
        <v/>
      </c>
      <c r="L61" s="8" t="str">
        <f>_xlfn.CONCAT("13 13.1 4a")</f>
        <v>13 13.1 4a</v>
      </c>
      <c r="M61" s="8" t="str">
        <f>_xlfn.CONCAT("NGLMRK78A11B474J")</f>
        <v>NGLMRK78A11B474J</v>
      </c>
      <c r="N61" s="8" t="s">
        <v>144</v>
      </c>
      <c r="O61" s="8" t="s">
        <v>80</v>
      </c>
      <c r="P61" s="9">
        <v>45329</v>
      </c>
      <c r="Q61" s="8" t="s">
        <v>37</v>
      </c>
      <c r="R61" s="8" t="s">
        <v>38</v>
      </c>
      <c r="S61" s="8" t="s">
        <v>39</v>
      </c>
      <c r="T61" s="8"/>
      <c r="U61" s="8" t="s">
        <v>40</v>
      </c>
      <c r="V61" s="10">
        <v>10172.06</v>
      </c>
      <c r="W61" s="10">
        <v>4386.1899999999996</v>
      </c>
      <c r="X61" s="10">
        <v>4050.51</v>
      </c>
      <c r="Y61" s="10">
        <v>1735.36</v>
      </c>
      <c r="Z61" s="8">
        <v>0</v>
      </c>
    </row>
    <row r="62" spans="1:26" x14ac:dyDescent="0.3">
      <c r="A62" s="8" t="s">
        <v>27</v>
      </c>
      <c r="B62" s="8" t="s">
        <v>59</v>
      </c>
      <c r="C62" s="8" t="s">
        <v>29</v>
      </c>
      <c r="D62" s="8" t="s">
        <v>77</v>
      </c>
      <c r="E62" s="8" t="s">
        <v>66</v>
      </c>
      <c r="F62" s="8" t="s">
        <v>138</v>
      </c>
      <c r="G62" s="8">
        <v>2023</v>
      </c>
      <c r="H62" s="8" t="str">
        <f>_xlfn.CONCAT("34210109871")</f>
        <v>34210109871</v>
      </c>
      <c r="I62" s="8" t="s">
        <v>46</v>
      </c>
      <c r="J62" s="8" t="s">
        <v>34</v>
      </c>
      <c r="K62" s="8" t="str">
        <f>_xlfn.CONCAT("")</f>
        <v/>
      </c>
      <c r="L62" s="8" t="str">
        <f>_xlfn.CONCAT("13 13.1 4a")</f>
        <v>13 13.1 4a</v>
      </c>
      <c r="M62" s="8" t="str">
        <f>_xlfn.CONCAT("02029790439")</f>
        <v>02029790439</v>
      </c>
      <c r="N62" s="8" t="s">
        <v>145</v>
      </c>
      <c r="O62" s="8" t="s">
        <v>80</v>
      </c>
      <c r="P62" s="9">
        <v>45329</v>
      </c>
      <c r="Q62" s="8" t="s">
        <v>37</v>
      </c>
      <c r="R62" s="8" t="s">
        <v>38</v>
      </c>
      <c r="S62" s="8" t="s">
        <v>39</v>
      </c>
      <c r="T62" s="8"/>
      <c r="U62" s="8" t="s">
        <v>40</v>
      </c>
      <c r="V62" s="10">
        <v>4540.8999999999996</v>
      </c>
      <c r="W62" s="10">
        <v>1958.04</v>
      </c>
      <c r="X62" s="10">
        <v>1808.19</v>
      </c>
      <c r="Y62" s="8">
        <v>774.67</v>
      </c>
      <c r="Z62" s="8">
        <v>0</v>
      </c>
    </row>
    <row r="63" spans="1:26" x14ac:dyDescent="0.3">
      <c r="A63" s="8" t="s">
        <v>27</v>
      </c>
      <c r="B63" s="8" t="s">
        <v>59</v>
      </c>
      <c r="C63" s="8" t="s">
        <v>29</v>
      </c>
      <c r="D63" s="8" t="s">
        <v>77</v>
      </c>
      <c r="E63" s="8" t="s">
        <v>66</v>
      </c>
      <c r="F63" s="8" t="s">
        <v>138</v>
      </c>
      <c r="G63" s="8">
        <v>2023</v>
      </c>
      <c r="H63" s="8" t="str">
        <f>_xlfn.CONCAT("34240714252")</f>
        <v>34240714252</v>
      </c>
      <c r="I63" s="8" t="s">
        <v>46</v>
      </c>
      <c r="J63" s="8" t="s">
        <v>34</v>
      </c>
      <c r="K63" s="8" t="str">
        <f>_xlfn.CONCAT("")</f>
        <v/>
      </c>
      <c r="L63" s="8" t="str">
        <f>_xlfn.CONCAT("11 11.2 4b")</f>
        <v>11 11.2 4b</v>
      </c>
      <c r="M63" s="8" t="str">
        <f>_xlfn.CONCAT("02029790439")</f>
        <v>02029790439</v>
      </c>
      <c r="N63" s="8" t="s">
        <v>145</v>
      </c>
      <c r="O63" s="8" t="s">
        <v>99</v>
      </c>
      <c r="P63" s="9">
        <v>45329</v>
      </c>
      <c r="Q63" s="8" t="s">
        <v>37</v>
      </c>
      <c r="R63" s="8" t="s">
        <v>38</v>
      </c>
      <c r="S63" s="8" t="s">
        <v>39</v>
      </c>
      <c r="T63" s="8"/>
      <c r="U63" s="8" t="s">
        <v>40</v>
      </c>
      <c r="V63" s="8">
        <v>750.12</v>
      </c>
      <c r="W63" s="8">
        <v>323.45</v>
      </c>
      <c r="X63" s="8">
        <v>298.7</v>
      </c>
      <c r="Y63" s="8">
        <v>127.97</v>
      </c>
      <c r="Z63" s="8">
        <v>0</v>
      </c>
    </row>
    <row r="64" spans="1:26" x14ac:dyDescent="0.3">
      <c r="A64" s="8" t="s">
        <v>27</v>
      </c>
      <c r="B64" s="8" t="s">
        <v>59</v>
      </c>
      <c r="C64" s="8" t="s">
        <v>29</v>
      </c>
      <c r="D64" s="8" t="s">
        <v>56</v>
      </c>
      <c r="E64" s="8" t="s">
        <v>41</v>
      </c>
      <c r="F64" s="8" t="s">
        <v>107</v>
      </c>
      <c r="G64" s="8">
        <v>2023</v>
      </c>
      <c r="H64" s="8" t="str">
        <f>_xlfn.CONCAT("34210004619")</f>
        <v>34210004619</v>
      </c>
      <c r="I64" s="8" t="s">
        <v>46</v>
      </c>
      <c r="J64" s="8" t="s">
        <v>34</v>
      </c>
      <c r="K64" s="8" t="str">
        <f>_xlfn.CONCAT("")</f>
        <v/>
      </c>
      <c r="L64" s="8" t="str">
        <f>_xlfn.CONCAT("13 13.1 4a")</f>
        <v>13 13.1 4a</v>
      </c>
      <c r="M64" s="8" t="str">
        <f>_xlfn.CONCAT("DMNTTN85S43I459T")</f>
        <v>DMNTTN85S43I459T</v>
      </c>
      <c r="N64" s="8" t="s">
        <v>146</v>
      </c>
      <c r="O64" s="8" t="s">
        <v>80</v>
      </c>
      <c r="P64" s="9">
        <v>45329</v>
      </c>
      <c r="Q64" s="8" t="s">
        <v>37</v>
      </c>
      <c r="R64" s="8" t="s">
        <v>38</v>
      </c>
      <c r="S64" s="8" t="s">
        <v>39</v>
      </c>
      <c r="T64" s="8"/>
      <c r="U64" s="8" t="s">
        <v>40</v>
      </c>
      <c r="V64" s="10">
        <v>1193.9000000000001</v>
      </c>
      <c r="W64" s="8">
        <v>514.80999999999995</v>
      </c>
      <c r="X64" s="8">
        <v>475.41</v>
      </c>
      <c r="Y64" s="8">
        <v>203.68</v>
      </c>
      <c r="Z64" s="8">
        <v>0</v>
      </c>
    </row>
    <row r="65" spans="1:26" x14ac:dyDescent="0.3">
      <c r="A65" s="8" t="s">
        <v>27</v>
      </c>
      <c r="B65" s="8" t="s">
        <v>59</v>
      </c>
      <c r="C65" s="8" t="s">
        <v>29</v>
      </c>
      <c r="D65" s="8" t="s">
        <v>77</v>
      </c>
      <c r="E65" s="8" t="s">
        <v>41</v>
      </c>
      <c r="F65" s="8" t="s">
        <v>89</v>
      </c>
      <c r="G65" s="8">
        <v>2023</v>
      </c>
      <c r="H65" s="8" t="str">
        <f>_xlfn.CONCAT("34210025911")</f>
        <v>34210025911</v>
      </c>
      <c r="I65" s="8" t="s">
        <v>46</v>
      </c>
      <c r="J65" s="8" t="s">
        <v>34</v>
      </c>
      <c r="K65" s="8" t="str">
        <f>_xlfn.CONCAT("")</f>
        <v/>
      </c>
      <c r="L65" s="8" t="str">
        <f>_xlfn.CONCAT("13 13.1 4a")</f>
        <v>13 13.1 4a</v>
      </c>
      <c r="M65" s="8" t="str">
        <f>_xlfn.CONCAT("BCCNDR74C16I436R")</f>
        <v>BCCNDR74C16I436R</v>
      </c>
      <c r="N65" s="8" t="s">
        <v>147</v>
      </c>
      <c r="O65" s="8" t="s">
        <v>80</v>
      </c>
      <c r="P65" s="9">
        <v>45329</v>
      </c>
      <c r="Q65" s="8" t="s">
        <v>37</v>
      </c>
      <c r="R65" s="8" t="s">
        <v>38</v>
      </c>
      <c r="S65" s="8" t="s">
        <v>39</v>
      </c>
      <c r="T65" s="8"/>
      <c r="U65" s="8" t="s">
        <v>40</v>
      </c>
      <c r="V65" s="10">
        <v>8241.9699999999993</v>
      </c>
      <c r="W65" s="10">
        <v>3553.94</v>
      </c>
      <c r="X65" s="10">
        <v>3281.95</v>
      </c>
      <c r="Y65" s="10">
        <v>1406.08</v>
      </c>
      <c r="Z65" s="8">
        <v>0</v>
      </c>
    </row>
    <row r="66" spans="1:26" x14ac:dyDescent="0.3">
      <c r="A66" s="8" t="s">
        <v>27</v>
      </c>
      <c r="B66" s="8" t="s">
        <v>59</v>
      </c>
      <c r="C66" s="8" t="s">
        <v>29</v>
      </c>
      <c r="D66" s="8" t="s">
        <v>77</v>
      </c>
      <c r="E66" s="8" t="s">
        <v>41</v>
      </c>
      <c r="F66" s="8" t="s">
        <v>89</v>
      </c>
      <c r="G66" s="8">
        <v>2023</v>
      </c>
      <c r="H66" s="8" t="str">
        <f>_xlfn.CONCAT("34240116292")</f>
        <v>34240116292</v>
      </c>
      <c r="I66" s="8" t="s">
        <v>46</v>
      </c>
      <c r="J66" s="8" t="s">
        <v>34</v>
      </c>
      <c r="K66" s="8" t="str">
        <f>_xlfn.CONCAT("")</f>
        <v/>
      </c>
      <c r="L66" s="8" t="str">
        <f>_xlfn.CONCAT("11 11.2 4b")</f>
        <v>11 11.2 4b</v>
      </c>
      <c r="M66" s="8" t="str">
        <f>_xlfn.CONCAT("BCCNDR74C16I436R")</f>
        <v>BCCNDR74C16I436R</v>
      </c>
      <c r="N66" s="8" t="s">
        <v>147</v>
      </c>
      <c r="O66" s="8" t="s">
        <v>99</v>
      </c>
      <c r="P66" s="9">
        <v>45329</v>
      </c>
      <c r="Q66" s="8" t="s">
        <v>37</v>
      </c>
      <c r="R66" s="8" t="s">
        <v>38</v>
      </c>
      <c r="S66" s="8" t="s">
        <v>39</v>
      </c>
      <c r="T66" s="8"/>
      <c r="U66" s="8" t="s">
        <v>40</v>
      </c>
      <c r="V66" s="10">
        <v>24903.82</v>
      </c>
      <c r="W66" s="10">
        <v>10738.53</v>
      </c>
      <c r="X66" s="10">
        <v>9916.7000000000007</v>
      </c>
      <c r="Y66" s="10">
        <v>4248.59</v>
      </c>
      <c r="Z66" s="8">
        <v>0</v>
      </c>
    </row>
    <row r="67" spans="1:26" x14ac:dyDescent="0.3">
      <c r="A67" s="8" t="s">
        <v>27</v>
      </c>
      <c r="B67" s="8" t="s">
        <v>59</v>
      </c>
      <c r="C67" s="8" t="s">
        <v>29</v>
      </c>
      <c r="D67" s="8" t="s">
        <v>56</v>
      </c>
      <c r="E67" s="8" t="s">
        <v>31</v>
      </c>
      <c r="F67" s="8" t="s">
        <v>148</v>
      </c>
      <c r="G67" s="8">
        <v>2023</v>
      </c>
      <c r="H67" s="8" t="str">
        <f>_xlfn.CONCAT("34210045372")</f>
        <v>34210045372</v>
      </c>
      <c r="I67" s="8" t="s">
        <v>46</v>
      </c>
      <c r="J67" s="8" t="s">
        <v>34</v>
      </c>
      <c r="K67" s="8" t="str">
        <f>_xlfn.CONCAT("")</f>
        <v/>
      </c>
      <c r="L67" s="8" t="str">
        <f>_xlfn.CONCAT("13 13.1 4a")</f>
        <v>13 13.1 4a</v>
      </c>
      <c r="M67" s="8" t="str">
        <f>_xlfn.CONCAT("BRNGRG57C11E351V")</f>
        <v>BRNGRG57C11E351V</v>
      </c>
      <c r="N67" s="8" t="s">
        <v>149</v>
      </c>
      <c r="O67" s="8" t="s">
        <v>80</v>
      </c>
      <c r="P67" s="9">
        <v>45329</v>
      </c>
      <c r="Q67" s="8" t="s">
        <v>37</v>
      </c>
      <c r="R67" s="8" t="s">
        <v>38</v>
      </c>
      <c r="S67" s="8" t="s">
        <v>39</v>
      </c>
      <c r="T67" s="8"/>
      <c r="U67" s="8" t="s">
        <v>40</v>
      </c>
      <c r="V67" s="10">
        <v>2288.1</v>
      </c>
      <c r="W67" s="8">
        <v>986.63</v>
      </c>
      <c r="X67" s="8">
        <v>911.12</v>
      </c>
      <c r="Y67" s="8">
        <v>390.35</v>
      </c>
      <c r="Z67" s="8">
        <v>0</v>
      </c>
    </row>
    <row r="68" spans="1:26" x14ac:dyDescent="0.3">
      <c r="A68" s="8" t="s">
        <v>27</v>
      </c>
      <c r="B68" s="8" t="s">
        <v>59</v>
      </c>
      <c r="C68" s="8" t="s">
        <v>29</v>
      </c>
      <c r="D68" s="8" t="s">
        <v>77</v>
      </c>
      <c r="E68" s="8" t="s">
        <v>41</v>
      </c>
      <c r="F68" s="8" t="s">
        <v>89</v>
      </c>
      <c r="G68" s="8">
        <v>2023</v>
      </c>
      <c r="H68" s="8" t="str">
        <f>_xlfn.CONCAT("34210090931")</f>
        <v>34210090931</v>
      </c>
      <c r="I68" s="8" t="s">
        <v>46</v>
      </c>
      <c r="J68" s="8" t="s">
        <v>34</v>
      </c>
      <c r="K68" s="8" t="str">
        <f>_xlfn.CONCAT("")</f>
        <v/>
      </c>
      <c r="L68" s="8" t="str">
        <f>_xlfn.CONCAT("13 13.1 4a")</f>
        <v>13 13.1 4a</v>
      </c>
      <c r="M68" s="8" t="str">
        <f>_xlfn.CONCAT("GNTRMN51T29I436U")</f>
        <v>GNTRMN51T29I436U</v>
      </c>
      <c r="N68" s="8" t="s">
        <v>150</v>
      </c>
      <c r="O68" s="8" t="s">
        <v>80</v>
      </c>
      <c r="P68" s="9">
        <v>45329</v>
      </c>
      <c r="Q68" s="8" t="s">
        <v>37</v>
      </c>
      <c r="R68" s="8" t="s">
        <v>38</v>
      </c>
      <c r="S68" s="8" t="s">
        <v>39</v>
      </c>
      <c r="T68" s="8"/>
      <c r="U68" s="8" t="s">
        <v>40</v>
      </c>
      <c r="V68" s="10">
        <v>10460.56</v>
      </c>
      <c r="W68" s="10">
        <v>4510.59</v>
      </c>
      <c r="X68" s="10">
        <v>4165.3900000000003</v>
      </c>
      <c r="Y68" s="10">
        <v>1784.58</v>
      </c>
      <c r="Z68" s="8">
        <v>0</v>
      </c>
    </row>
    <row r="69" spans="1:26" x14ac:dyDescent="0.3">
      <c r="A69" s="8" t="s">
        <v>27</v>
      </c>
      <c r="B69" s="8" t="s">
        <v>59</v>
      </c>
      <c r="C69" s="8" t="s">
        <v>29</v>
      </c>
      <c r="D69" s="8" t="s">
        <v>77</v>
      </c>
      <c r="E69" s="8" t="s">
        <v>41</v>
      </c>
      <c r="F69" s="8" t="s">
        <v>89</v>
      </c>
      <c r="G69" s="8">
        <v>2023</v>
      </c>
      <c r="H69" s="8" t="str">
        <f>_xlfn.CONCAT("34210013487")</f>
        <v>34210013487</v>
      </c>
      <c r="I69" s="8" t="s">
        <v>46</v>
      </c>
      <c r="J69" s="8" t="s">
        <v>34</v>
      </c>
      <c r="K69" s="8" t="str">
        <f>_xlfn.CONCAT("")</f>
        <v/>
      </c>
      <c r="L69" s="8" t="str">
        <f>_xlfn.CONCAT("13 13.1 4a")</f>
        <v>13 13.1 4a</v>
      </c>
      <c r="M69" s="8" t="str">
        <f>_xlfn.CONCAT("GCNFNC80C26I156D")</f>
        <v>GCNFNC80C26I156D</v>
      </c>
      <c r="N69" s="8" t="s">
        <v>151</v>
      </c>
      <c r="O69" s="8" t="s">
        <v>80</v>
      </c>
      <c r="P69" s="9">
        <v>45329</v>
      </c>
      <c r="Q69" s="8" t="s">
        <v>37</v>
      </c>
      <c r="R69" s="8" t="s">
        <v>38</v>
      </c>
      <c r="S69" s="8" t="s">
        <v>39</v>
      </c>
      <c r="T69" s="8"/>
      <c r="U69" s="8" t="s">
        <v>40</v>
      </c>
      <c r="V69" s="10">
        <v>1170.4000000000001</v>
      </c>
      <c r="W69" s="8">
        <v>504.68</v>
      </c>
      <c r="X69" s="8">
        <v>466.05</v>
      </c>
      <c r="Y69" s="8">
        <v>199.67</v>
      </c>
      <c r="Z69" s="8">
        <v>0</v>
      </c>
    </row>
    <row r="70" spans="1:26" x14ac:dyDescent="0.3">
      <c r="A70" s="8" t="s">
        <v>27</v>
      </c>
      <c r="B70" s="8" t="s">
        <v>59</v>
      </c>
      <c r="C70" s="8" t="s">
        <v>29</v>
      </c>
      <c r="D70" s="8" t="s">
        <v>56</v>
      </c>
      <c r="E70" s="8" t="s">
        <v>41</v>
      </c>
      <c r="F70" s="8" t="s">
        <v>75</v>
      </c>
      <c r="G70" s="8">
        <v>2023</v>
      </c>
      <c r="H70" s="8" t="str">
        <f>_xlfn.CONCAT("34210037890")</f>
        <v>34210037890</v>
      </c>
      <c r="I70" s="8" t="s">
        <v>46</v>
      </c>
      <c r="J70" s="8" t="s">
        <v>34</v>
      </c>
      <c r="K70" s="8" t="str">
        <f>_xlfn.CONCAT("")</f>
        <v/>
      </c>
      <c r="L70" s="8" t="str">
        <f>_xlfn.CONCAT("13 13.1 4a")</f>
        <v>13 13.1 4a</v>
      </c>
      <c r="M70" s="8" t="str">
        <f>_xlfn.CONCAT("MLTGRG60B12D749Z")</f>
        <v>MLTGRG60B12D749Z</v>
      </c>
      <c r="N70" s="8" t="s">
        <v>152</v>
      </c>
      <c r="O70" s="8" t="s">
        <v>80</v>
      </c>
      <c r="P70" s="9">
        <v>45329</v>
      </c>
      <c r="Q70" s="8" t="s">
        <v>37</v>
      </c>
      <c r="R70" s="8" t="s">
        <v>38</v>
      </c>
      <c r="S70" s="8" t="s">
        <v>39</v>
      </c>
      <c r="T70" s="8"/>
      <c r="U70" s="8" t="s">
        <v>40</v>
      </c>
      <c r="V70" s="10">
        <v>3456.39</v>
      </c>
      <c r="W70" s="10">
        <v>1490.4</v>
      </c>
      <c r="X70" s="10">
        <v>1376.33</v>
      </c>
      <c r="Y70" s="8">
        <v>589.66</v>
      </c>
      <c r="Z70" s="8">
        <v>0</v>
      </c>
    </row>
    <row r="71" spans="1:26" x14ac:dyDescent="0.3">
      <c r="A71" s="8" t="s">
        <v>27</v>
      </c>
      <c r="B71" s="8" t="s">
        <v>59</v>
      </c>
      <c r="C71" s="8" t="s">
        <v>29</v>
      </c>
      <c r="D71" s="8" t="s">
        <v>56</v>
      </c>
      <c r="E71" s="8" t="s">
        <v>31</v>
      </c>
      <c r="F71" s="8" t="s">
        <v>87</v>
      </c>
      <c r="G71" s="8">
        <v>2023</v>
      </c>
      <c r="H71" s="8" t="str">
        <f>_xlfn.CONCAT("34210036926")</f>
        <v>34210036926</v>
      </c>
      <c r="I71" s="8" t="s">
        <v>46</v>
      </c>
      <c r="J71" s="8" t="s">
        <v>34</v>
      </c>
      <c r="K71" s="8" t="str">
        <f>_xlfn.CONCAT("")</f>
        <v/>
      </c>
      <c r="L71" s="8" t="str">
        <f>_xlfn.CONCAT("13 13.1 4a")</f>
        <v>13 13.1 4a</v>
      </c>
      <c r="M71" s="8" t="str">
        <f>_xlfn.CONCAT("BRNLML56P56C523N")</f>
        <v>BRNLML56P56C523N</v>
      </c>
      <c r="N71" s="8" t="s">
        <v>153</v>
      </c>
      <c r="O71" s="8" t="s">
        <v>80</v>
      </c>
      <c r="P71" s="9">
        <v>45329</v>
      </c>
      <c r="Q71" s="8" t="s">
        <v>37</v>
      </c>
      <c r="R71" s="8" t="s">
        <v>38</v>
      </c>
      <c r="S71" s="8" t="s">
        <v>39</v>
      </c>
      <c r="T71" s="8"/>
      <c r="U71" s="8" t="s">
        <v>40</v>
      </c>
      <c r="V71" s="8">
        <v>859.97</v>
      </c>
      <c r="W71" s="8">
        <v>370.82</v>
      </c>
      <c r="X71" s="8">
        <v>342.44</v>
      </c>
      <c r="Y71" s="8">
        <v>146.71</v>
      </c>
      <c r="Z71" s="8">
        <v>0</v>
      </c>
    </row>
    <row r="72" spans="1:26" x14ac:dyDescent="0.3">
      <c r="A72" s="8" t="s">
        <v>27</v>
      </c>
      <c r="B72" s="8" t="s">
        <v>59</v>
      </c>
      <c r="C72" s="8" t="s">
        <v>29</v>
      </c>
      <c r="D72" s="8" t="s">
        <v>30</v>
      </c>
      <c r="E72" s="8" t="s">
        <v>31</v>
      </c>
      <c r="F72" s="8" t="s">
        <v>84</v>
      </c>
      <c r="G72" s="8">
        <v>2023</v>
      </c>
      <c r="H72" s="8" t="str">
        <f>_xlfn.CONCAT("34210028410")</f>
        <v>34210028410</v>
      </c>
      <c r="I72" s="8" t="s">
        <v>46</v>
      </c>
      <c r="J72" s="8" t="s">
        <v>34</v>
      </c>
      <c r="K72" s="8" t="str">
        <f>_xlfn.CONCAT("")</f>
        <v/>
      </c>
      <c r="L72" s="8" t="str">
        <f>_xlfn.CONCAT("13 13.1 4a")</f>
        <v>13 13.1 4a</v>
      </c>
      <c r="M72" s="8" t="str">
        <f>_xlfn.CONCAT("CNGCST98S30D451Y")</f>
        <v>CNGCST98S30D451Y</v>
      </c>
      <c r="N72" s="8" t="s">
        <v>154</v>
      </c>
      <c r="O72" s="8" t="s">
        <v>80</v>
      </c>
      <c r="P72" s="9">
        <v>45329</v>
      </c>
      <c r="Q72" s="8" t="s">
        <v>37</v>
      </c>
      <c r="R72" s="8" t="s">
        <v>38</v>
      </c>
      <c r="S72" s="8" t="s">
        <v>39</v>
      </c>
      <c r="T72" s="8"/>
      <c r="U72" s="8" t="s">
        <v>40</v>
      </c>
      <c r="V72" s="10">
        <v>8082.64</v>
      </c>
      <c r="W72" s="10">
        <v>3485.23</v>
      </c>
      <c r="X72" s="10">
        <v>3218.51</v>
      </c>
      <c r="Y72" s="10">
        <v>1378.9</v>
      </c>
      <c r="Z72" s="8">
        <v>0</v>
      </c>
    </row>
    <row r="73" spans="1:26" x14ac:dyDescent="0.3">
      <c r="A73" s="8" t="s">
        <v>27</v>
      </c>
      <c r="B73" s="8" t="s">
        <v>59</v>
      </c>
      <c r="C73" s="8" t="s">
        <v>29</v>
      </c>
      <c r="D73" s="8" t="s">
        <v>44</v>
      </c>
      <c r="E73" s="8" t="s">
        <v>41</v>
      </c>
      <c r="F73" s="8" t="s">
        <v>155</v>
      </c>
      <c r="G73" s="8">
        <v>2023</v>
      </c>
      <c r="H73" s="8" t="str">
        <f>_xlfn.CONCAT("34210006440")</f>
        <v>34210006440</v>
      </c>
      <c r="I73" s="8" t="s">
        <v>46</v>
      </c>
      <c r="J73" s="8" t="s">
        <v>34</v>
      </c>
      <c r="K73" s="8" t="str">
        <f>_xlfn.CONCAT("")</f>
        <v/>
      </c>
      <c r="L73" s="8" t="str">
        <f>_xlfn.CONCAT("13 13.1 4a")</f>
        <v>13 13.1 4a</v>
      </c>
      <c r="M73" s="8" t="str">
        <f>_xlfn.CONCAT("MSSFNC57C15A252Z")</f>
        <v>MSSFNC57C15A252Z</v>
      </c>
      <c r="N73" s="8" t="s">
        <v>156</v>
      </c>
      <c r="O73" s="8" t="s">
        <v>80</v>
      </c>
      <c r="P73" s="9">
        <v>45329</v>
      </c>
      <c r="Q73" s="8" t="s">
        <v>37</v>
      </c>
      <c r="R73" s="8" t="s">
        <v>38</v>
      </c>
      <c r="S73" s="8" t="s">
        <v>39</v>
      </c>
      <c r="T73" s="8"/>
      <c r="U73" s="8" t="s">
        <v>40</v>
      </c>
      <c r="V73" s="10">
        <v>1186.73</v>
      </c>
      <c r="W73" s="8">
        <v>511.72</v>
      </c>
      <c r="X73" s="8">
        <v>472.56</v>
      </c>
      <c r="Y73" s="8">
        <v>202.45</v>
      </c>
      <c r="Z73" s="8">
        <v>0</v>
      </c>
    </row>
    <row r="74" spans="1:26" x14ac:dyDescent="0.3">
      <c r="A74" s="8" t="s">
        <v>27</v>
      </c>
      <c r="B74" s="8" t="s">
        <v>59</v>
      </c>
      <c r="C74" s="8" t="s">
        <v>29</v>
      </c>
      <c r="D74" s="8" t="s">
        <v>77</v>
      </c>
      <c r="E74" s="8" t="s">
        <v>66</v>
      </c>
      <c r="F74" s="8" t="s">
        <v>78</v>
      </c>
      <c r="G74" s="8">
        <v>2023</v>
      </c>
      <c r="H74" s="8" t="str">
        <f>_xlfn.CONCAT("34240657675")</f>
        <v>34240657675</v>
      </c>
      <c r="I74" s="8" t="s">
        <v>46</v>
      </c>
      <c r="J74" s="8" t="s">
        <v>34</v>
      </c>
      <c r="K74" s="8" t="str">
        <f>_xlfn.CONCAT("")</f>
        <v/>
      </c>
      <c r="L74" s="8" t="str">
        <f>_xlfn.CONCAT("11 11.2 4b")</f>
        <v>11 11.2 4b</v>
      </c>
      <c r="M74" s="8" t="str">
        <f>_xlfn.CONCAT("01246270431")</f>
        <v>01246270431</v>
      </c>
      <c r="N74" s="8" t="s">
        <v>157</v>
      </c>
      <c r="O74" s="8" t="s">
        <v>99</v>
      </c>
      <c r="P74" s="9">
        <v>45329</v>
      </c>
      <c r="Q74" s="8" t="s">
        <v>37</v>
      </c>
      <c r="R74" s="8" t="s">
        <v>38</v>
      </c>
      <c r="S74" s="8" t="s">
        <v>39</v>
      </c>
      <c r="T74" s="8"/>
      <c r="U74" s="8" t="s">
        <v>40</v>
      </c>
      <c r="V74" s="10">
        <v>1691.28</v>
      </c>
      <c r="W74" s="8">
        <v>729.28</v>
      </c>
      <c r="X74" s="8">
        <v>673.47</v>
      </c>
      <c r="Y74" s="8">
        <v>288.52999999999997</v>
      </c>
      <c r="Z74" s="8">
        <v>0</v>
      </c>
    </row>
    <row r="75" spans="1:26" x14ac:dyDescent="0.3">
      <c r="A75" s="8" t="s">
        <v>27</v>
      </c>
      <c r="B75" s="8" t="s">
        <v>59</v>
      </c>
      <c r="C75" s="8" t="s">
        <v>29</v>
      </c>
      <c r="D75" s="8" t="s">
        <v>77</v>
      </c>
      <c r="E75" s="8" t="s">
        <v>66</v>
      </c>
      <c r="F75" s="8" t="s">
        <v>138</v>
      </c>
      <c r="G75" s="8">
        <v>2023</v>
      </c>
      <c r="H75" s="8" t="str">
        <f>_xlfn.CONCAT("34240403203")</f>
        <v>34240403203</v>
      </c>
      <c r="I75" s="8" t="s">
        <v>46</v>
      </c>
      <c r="J75" s="8" t="s">
        <v>34</v>
      </c>
      <c r="K75" s="8" t="str">
        <f>_xlfn.CONCAT("")</f>
        <v/>
      </c>
      <c r="L75" s="8" t="str">
        <f>_xlfn.CONCAT("11 11.2 4b")</f>
        <v>11 11.2 4b</v>
      </c>
      <c r="M75" s="8" t="str">
        <f>_xlfn.CONCAT("VSSMRK77B15L191Y")</f>
        <v>VSSMRK77B15L191Y</v>
      </c>
      <c r="N75" s="8" t="s">
        <v>158</v>
      </c>
      <c r="O75" s="8" t="s">
        <v>99</v>
      </c>
      <c r="P75" s="9">
        <v>45329</v>
      </c>
      <c r="Q75" s="8" t="s">
        <v>37</v>
      </c>
      <c r="R75" s="8" t="s">
        <v>38</v>
      </c>
      <c r="S75" s="8" t="s">
        <v>39</v>
      </c>
      <c r="T75" s="8"/>
      <c r="U75" s="8" t="s">
        <v>40</v>
      </c>
      <c r="V75" s="10">
        <v>1387.96</v>
      </c>
      <c r="W75" s="8">
        <v>598.49</v>
      </c>
      <c r="X75" s="8">
        <v>552.69000000000005</v>
      </c>
      <c r="Y75" s="8">
        <v>236.78</v>
      </c>
      <c r="Z75" s="8">
        <v>0</v>
      </c>
    </row>
    <row r="76" spans="1:26" x14ac:dyDescent="0.3">
      <c r="A76" s="8" t="s">
        <v>27</v>
      </c>
      <c r="B76" s="8" t="s">
        <v>59</v>
      </c>
      <c r="C76" s="8" t="s">
        <v>29</v>
      </c>
      <c r="D76" s="8" t="s">
        <v>77</v>
      </c>
      <c r="E76" s="8" t="s">
        <v>66</v>
      </c>
      <c r="F76" s="8" t="s">
        <v>138</v>
      </c>
      <c r="G76" s="8">
        <v>2023</v>
      </c>
      <c r="H76" s="8" t="str">
        <f>_xlfn.CONCAT("34240534734")</f>
        <v>34240534734</v>
      </c>
      <c r="I76" s="8" t="s">
        <v>46</v>
      </c>
      <c r="J76" s="8" t="s">
        <v>34</v>
      </c>
      <c r="K76" s="8" t="str">
        <f>_xlfn.CONCAT("")</f>
        <v/>
      </c>
      <c r="L76" s="8" t="str">
        <f>_xlfn.CONCAT("11 11.2 4b")</f>
        <v>11 11.2 4b</v>
      </c>
      <c r="M76" s="8" t="str">
        <f>_xlfn.CONCAT("LTTLRD92L22I156R")</f>
        <v>LTTLRD92L22I156R</v>
      </c>
      <c r="N76" s="8" t="s">
        <v>159</v>
      </c>
      <c r="O76" s="8" t="s">
        <v>99</v>
      </c>
      <c r="P76" s="9">
        <v>45329</v>
      </c>
      <c r="Q76" s="8" t="s">
        <v>37</v>
      </c>
      <c r="R76" s="8" t="s">
        <v>38</v>
      </c>
      <c r="S76" s="8" t="s">
        <v>39</v>
      </c>
      <c r="T76" s="8"/>
      <c r="U76" s="8" t="s">
        <v>40</v>
      </c>
      <c r="V76" s="8">
        <v>154.75</v>
      </c>
      <c r="W76" s="8">
        <v>66.73</v>
      </c>
      <c r="X76" s="8">
        <v>61.62</v>
      </c>
      <c r="Y76" s="8">
        <v>26.4</v>
      </c>
      <c r="Z76" s="8">
        <v>0</v>
      </c>
    </row>
    <row r="77" spans="1:26" x14ac:dyDescent="0.3">
      <c r="A77" s="8" t="s">
        <v>27</v>
      </c>
      <c r="B77" s="8" t="s">
        <v>59</v>
      </c>
      <c r="C77" s="8" t="s">
        <v>29</v>
      </c>
      <c r="D77" s="8" t="s">
        <v>77</v>
      </c>
      <c r="E77" s="8" t="s">
        <v>81</v>
      </c>
      <c r="F77" s="8" t="s">
        <v>160</v>
      </c>
      <c r="G77" s="8">
        <v>2023</v>
      </c>
      <c r="H77" s="8" t="str">
        <f>_xlfn.CONCAT("34240263896")</f>
        <v>34240263896</v>
      </c>
      <c r="I77" s="8" t="s">
        <v>46</v>
      </c>
      <c r="J77" s="8" t="s">
        <v>34</v>
      </c>
      <c r="K77" s="8" t="str">
        <f>_xlfn.CONCAT("")</f>
        <v/>
      </c>
      <c r="L77" s="8" t="str">
        <f>_xlfn.CONCAT("11 11.2 4b")</f>
        <v>11 11.2 4b</v>
      </c>
      <c r="M77" s="8" t="str">
        <f>_xlfn.CONCAT("01676350430")</f>
        <v>01676350430</v>
      </c>
      <c r="N77" s="8" t="s">
        <v>161</v>
      </c>
      <c r="O77" s="8" t="s">
        <v>99</v>
      </c>
      <c r="P77" s="9">
        <v>45329</v>
      </c>
      <c r="Q77" s="8" t="s">
        <v>37</v>
      </c>
      <c r="R77" s="8" t="s">
        <v>38</v>
      </c>
      <c r="S77" s="8" t="s">
        <v>39</v>
      </c>
      <c r="T77" s="8"/>
      <c r="U77" s="8" t="s">
        <v>40</v>
      </c>
      <c r="V77" s="10">
        <v>1316</v>
      </c>
      <c r="W77" s="8">
        <v>567.46</v>
      </c>
      <c r="X77" s="8">
        <v>524.03</v>
      </c>
      <c r="Y77" s="8">
        <v>224.51</v>
      </c>
      <c r="Z77" s="8">
        <v>0</v>
      </c>
    </row>
    <row r="78" spans="1:26" x14ac:dyDescent="0.3">
      <c r="A78" s="8" t="s">
        <v>27</v>
      </c>
      <c r="B78" s="8" t="s">
        <v>59</v>
      </c>
      <c r="C78" s="8" t="s">
        <v>29</v>
      </c>
      <c r="D78" s="8" t="s">
        <v>77</v>
      </c>
      <c r="E78" s="8" t="s">
        <v>81</v>
      </c>
      <c r="F78" s="8" t="s">
        <v>160</v>
      </c>
      <c r="G78" s="8">
        <v>2023</v>
      </c>
      <c r="H78" s="8" t="str">
        <f>_xlfn.CONCAT("34240264001")</f>
        <v>34240264001</v>
      </c>
      <c r="I78" s="8" t="s">
        <v>46</v>
      </c>
      <c r="J78" s="8" t="s">
        <v>34</v>
      </c>
      <c r="K78" s="8" t="str">
        <f>_xlfn.CONCAT("")</f>
        <v/>
      </c>
      <c r="L78" s="8" t="str">
        <f>_xlfn.CONCAT("11 11.2 4b")</f>
        <v>11 11.2 4b</v>
      </c>
      <c r="M78" s="8" t="str">
        <f>_xlfn.CONCAT("01676350430")</f>
        <v>01676350430</v>
      </c>
      <c r="N78" s="8" t="s">
        <v>161</v>
      </c>
      <c r="O78" s="8" t="s">
        <v>99</v>
      </c>
      <c r="P78" s="9">
        <v>45329</v>
      </c>
      <c r="Q78" s="8" t="s">
        <v>37</v>
      </c>
      <c r="R78" s="8" t="s">
        <v>38</v>
      </c>
      <c r="S78" s="8" t="s">
        <v>39</v>
      </c>
      <c r="T78" s="8"/>
      <c r="U78" s="8" t="s">
        <v>40</v>
      </c>
      <c r="V78" s="10">
        <v>3575.67</v>
      </c>
      <c r="W78" s="10">
        <v>1541.83</v>
      </c>
      <c r="X78" s="10">
        <v>1423.83</v>
      </c>
      <c r="Y78" s="8">
        <v>610.01</v>
      </c>
      <c r="Z78" s="8">
        <v>0</v>
      </c>
    </row>
    <row r="79" spans="1:26" x14ac:dyDescent="0.3">
      <c r="A79" s="8" t="s">
        <v>27</v>
      </c>
      <c r="B79" s="8" t="s">
        <v>59</v>
      </c>
      <c r="C79" s="8" t="s">
        <v>29</v>
      </c>
      <c r="D79" s="8" t="s">
        <v>30</v>
      </c>
      <c r="E79" s="8" t="s">
        <v>31</v>
      </c>
      <c r="F79" s="8" t="s">
        <v>84</v>
      </c>
      <c r="G79" s="8">
        <v>2023</v>
      </c>
      <c r="H79" s="8" t="str">
        <f>_xlfn.CONCAT("34240184381")</f>
        <v>34240184381</v>
      </c>
      <c r="I79" s="8" t="s">
        <v>46</v>
      </c>
      <c r="J79" s="8" t="s">
        <v>34</v>
      </c>
      <c r="K79" s="8" t="str">
        <f>_xlfn.CONCAT("")</f>
        <v/>
      </c>
      <c r="L79" s="8" t="str">
        <f>_xlfn.CONCAT("11 11.2 4b")</f>
        <v>11 11.2 4b</v>
      </c>
      <c r="M79" s="8" t="str">
        <f>_xlfn.CONCAT("02426390429")</f>
        <v>02426390429</v>
      </c>
      <c r="N79" s="8" t="s">
        <v>162</v>
      </c>
      <c r="O79" s="8" t="s">
        <v>99</v>
      </c>
      <c r="P79" s="9">
        <v>45329</v>
      </c>
      <c r="Q79" s="8" t="s">
        <v>37</v>
      </c>
      <c r="R79" s="8" t="s">
        <v>38</v>
      </c>
      <c r="S79" s="8" t="s">
        <v>39</v>
      </c>
      <c r="T79" s="8"/>
      <c r="U79" s="8" t="s">
        <v>40</v>
      </c>
      <c r="V79" s="10">
        <v>1271.79</v>
      </c>
      <c r="W79" s="8">
        <v>548.4</v>
      </c>
      <c r="X79" s="8">
        <v>506.43</v>
      </c>
      <c r="Y79" s="8">
        <v>216.96</v>
      </c>
      <c r="Z79" s="8">
        <v>0</v>
      </c>
    </row>
    <row r="80" spans="1:26" x14ac:dyDescent="0.3">
      <c r="A80" s="8" t="s">
        <v>27</v>
      </c>
      <c r="B80" s="8" t="s">
        <v>59</v>
      </c>
      <c r="C80" s="8" t="s">
        <v>29</v>
      </c>
      <c r="D80" s="8" t="s">
        <v>77</v>
      </c>
      <c r="E80" s="8" t="s">
        <v>31</v>
      </c>
      <c r="F80" s="8" t="s">
        <v>163</v>
      </c>
      <c r="G80" s="8">
        <v>2023</v>
      </c>
      <c r="H80" s="8" t="str">
        <f>_xlfn.CONCAT("34240264043")</f>
        <v>34240264043</v>
      </c>
      <c r="I80" s="8" t="s">
        <v>46</v>
      </c>
      <c r="J80" s="8" t="s">
        <v>34</v>
      </c>
      <c r="K80" s="8" t="str">
        <f>_xlfn.CONCAT("")</f>
        <v/>
      </c>
      <c r="L80" s="8" t="str">
        <f>_xlfn.CONCAT("11 11.2 4b")</f>
        <v>11 11.2 4b</v>
      </c>
      <c r="M80" s="8" t="str">
        <f>_xlfn.CONCAT("01297060434")</f>
        <v>01297060434</v>
      </c>
      <c r="N80" s="8" t="s">
        <v>164</v>
      </c>
      <c r="O80" s="8" t="s">
        <v>99</v>
      </c>
      <c r="P80" s="9">
        <v>45329</v>
      </c>
      <c r="Q80" s="8" t="s">
        <v>37</v>
      </c>
      <c r="R80" s="8" t="s">
        <v>38</v>
      </c>
      <c r="S80" s="8" t="s">
        <v>39</v>
      </c>
      <c r="T80" s="8"/>
      <c r="U80" s="8" t="s">
        <v>40</v>
      </c>
      <c r="V80" s="8">
        <v>140.52000000000001</v>
      </c>
      <c r="W80" s="8">
        <v>60.59</v>
      </c>
      <c r="X80" s="8">
        <v>55.96</v>
      </c>
      <c r="Y80" s="8">
        <v>23.97</v>
      </c>
      <c r="Z80" s="8">
        <v>0</v>
      </c>
    </row>
    <row r="81" spans="1:26" x14ac:dyDescent="0.3">
      <c r="A81" s="8" t="s">
        <v>27</v>
      </c>
      <c r="B81" s="8" t="s">
        <v>59</v>
      </c>
      <c r="C81" s="8" t="s">
        <v>29</v>
      </c>
      <c r="D81" s="8" t="s">
        <v>44</v>
      </c>
      <c r="E81" s="8" t="s">
        <v>31</v>
      </c>
      <c r="F81" s="8" t="s">
        <v>128</v>
      </c>
      <c r="G81" s="8">
        <v>2023</v>
      </c>
      <c r="H81" s="8" t="str">
        <f>_xlfn.CONCAT("34240429380")</f>
        <v>34240429380</v>
      </c>
      <c r="I81" s="8" t="s">
        <v>46</v>
      </c>
      <c r="J81" s="8" t="s">
        <v>34</v>
      </c>
      <c r="K81" s="8" t="str">
        <f>_xlfn.CONCAT("")</f>
        <v/>
      </c>
      <c r="L81" s="8" t="str">
        <f>_xlfn.CONCAT("11 11.2 4b")</f>
        <v>11 11.2 4b</v>
      </c>
      <c r="M81" s="8" t="str">
        <f>_xlfn.CONCAT("06963341000")</f>
        <v>06963341000</v>
      </c>
      <c r="N81" s="8" t="s">
        <v>165</v>
      </c>
      <c r="O81" s="8" t="s">
        <v>99</v>
      </c>
      <c r="P81" s="9">
        <v>45329</v>
      </c>
      <c r="Q81" s="8" t="s">
        <v>37</v>
      </c>
      <c r="R81" s="8" t="s">
        <v>38</v>
      </c>
      <c r="S81" s="8" t="s">
        <v>39</v>
      </c>
      <c r="T81" s="8"/>
      <c r="U81" s="8" t="s">
        <v>40</v>
      </c>
      <c r="V81" s="10">
        <v>1883.71</v>
      </c>
      <c r="W81" s="8">
        <v>812.26</v>
      </c>
      <c r="X81" s="8">
        <v>750.09</v>
      </c>
      <c r="Y81" s="8">
        <v>321.36</v>
      </c>
      <c r="Z81" s="8">
        <v>0</v>
      </c>
    </row>
    <row r="82" spans="1:26" ht="20.399999999999999" x14ac:dyDescent="0.3">
      <c r="A82" s="8" t="s">
        <v>27</v>
      </c>
      <c r="B82" s="8" t="s">
        <v>59</v>
      </c>
      <c r="C82" s="8" t="s">
        <v>29</v>
      </c>
      <c r="D82" s="8" t="s">
        <v>30</v>
      </c>
      <c r="E82" s="8" t="s">
        <v>31</v>
      </c>
      <c r="F82" s="8" t="s">
        <v>32</v>
      </c>
      <c r="G82" s="8">
        <v>2023</v>
      </c>
      <c r="H82" s="8" t="str">
        <f>_xlfn.CONCAT("34240141712")</f>
        <v>34240141712</v>
      </c>
      <c r="I82" s="8" t="s">
        <v>46</v>
      </c>
      <c r="J82" s="8" t="s">
        <v>34</v>
      </c>
      <c r="K82" s="8" t="str">
        <f>_xlfn.CONCAT("")</f>
        <v/>
      </c>
      <c r="L82" s="8" t="str">
        <f>_xlfn.CONCAT("11 11.2 4b")</f>
        <v>11 11.2 4b</v>
      </c>
      <c r="M82" s="8" t="str">
        <f>_xlfn.CONCAT("02707770422")</f>
        <v>02707770422</v>
      </c>
      <c r="N82" s="8" t="s">
        <v>166</v>
      </c>
      <c r="O82" s="8" t="s">
        <v>99</v>
      </c>
      <c r="P82" s="9">
        <v>45329</v>
      </c>
      <c r="Q82" s="8" t="s">
        <v>37</v>
      </c>
      <c r="R82" s="8" t="s">
        <v>38</v>
      </c>
      <c r="S82" s="8" t="s">
        <v>39</v>
      </c>
      <c r="T82" s="8"/>
      <c r="U82" s="8" t="s">
        <v>40</v>
      </c>
      <c r="V82" s="8">
        <v>684.4</v>
      </c>
      <c r="W82" s="8">
        <v>295.11</v>
      </c>
      <c r="X82" s="8">
        <v>272.52999999999997</v>
      </c>
      <c r="Y82" s="8">
        <v>116.76</v>
      </c>
      <c r="Z82" s="8">
        <v>0</v>
      </c>
    </row>
    <row r="83" spans="1:26" x14ac:dyDescent="0.3">
      <c r="A83" s="8" t="s">
        <v>27</v>
      </c>
      <c r="B83" s="8" t="s">
        <v>59</v>
      </c>
      <c r="C83" s="8" t="s">
        <v>29</v>
      </c>
      <c r="D83" s="8" t="s">
        <v>44</v>
      </c>
      <c r="E83" s="8" t="s">
        <v>41</v>
      </c>
      <c r="F83" s="8" t="s">
        <v>140</v>
      </c>
      <c r="G83" s="8">
        <v>2023</v>
      </c>
      <c r="H83" s="8" t="str">
        <f>_xlfn.CONCAT("34240125376")</f>
        <v>34240125376</v>
      </c>
      <c r="I83" s="8" t="s">
        <v>46</v>
      </c>
      <c r="J83" s="8" t="s">
        <v>34</v>
      </c>
      <c r="K83" s="8" t="str">
        <f>_xlfn.CONCAT("")</f>
        <v/>
      </c>
      <c r="L83" s="8" t="str">
        <f>_xlfn.CONCAT("11 11.2 4b")</f>
        <v>11 11.2 4b</v>
      </c>
      <c r="M83" s="8" t="str">
        <f>_xlfn.CONCAT("MTLLDN94S42Z100O")</f>
        <v>MTLLDN94S42Z100O</v>
      </c>
      <c r="N83" s="8" t="s">
        <v>167</v>
      </c>
      <c r="O83" s="8" t="s">
        <v>99</v>
      </c>
      <c r="P83" s="9">
        <v>45329</v>
      </c>
      <c r="Q83" s="8" t="s">
        <v>37</v>
      </c>
      <c r="R83" s="8" t="s">
        <v>38</v>
      </c>
      <c r="S83" s="8" t="s">
        <v>39</v>
      </c>
      <c r="T83" s="8"/>
      <c r="U83" s="8" t="s">
        <v>40</v>
      </c>
      <c r="V83" s="8">
        <v>57.36</v>
      </c>
      <c r="W83" s="8">
        <v>24.73</v>
      </c>
      <c r="X83" s="8">
        <v>22.84</v>
      </c>
      <c r="Y83" s="8">
        <v>9.7899999999999991</v>
      </c>
      <c r="Z83" s="8">
        <v>0</v>
      </c>
    </row>
    <row r="84" spans="1:26" x14ac:dyDescent="0.3">
      <c r="A84" s="8" t="s">
        <v>27</v>
      </c>
      <c r="B84" s="8" t="s">
        <v>59</v>
      </c>
      <c r="C84" s="8" t="s">
        <v>29</v>
      </c>
      <c r="D84" s="8" t="s">
        <v>77</v>
      </c>
      <c r="E84" s="8" t="s">
        <v>41</v>
      </c>
      <c r="F84" s="8" t="s">
        <v>168</v>
      </c>
      <c r="G84" s="8">
        <v>2023</v>
      </c>
      <c r="H84" s="8" t="str">
        <f>_xlfn.CONCAT("34240200385")</f>
        <v>34240200385</v>
      </c>
      <c r="I84" s="8" t="s">
        <v>46</v>
      </c>
      <c r="J84" s="8" t="s">
        <v>34</v>
      </c>
      <c r="K84" s="8" t="str">
        <f>_xlfn.CONCAT("")</f>
        <v/>
      </c>
      <c r="L84" s="8" t="str">
        <f>_xlfn.CONCAT("11 11.2 4b")</f>
        <v>11 11.2 4b</v>
      </c>
      <c r="M84" s="8" t="str">
        <f>_xlfn.CONCAT("00947250437")</f>
        <v>00947250437</v>
      </c>
      <c r="N84" s="8" t="s">
        <v>169</v>
      </c>
      <c r="O84" s="8" t="s">
        <v>99</v>
      </c>
      <c r="P84" s="9">
        <v>45329</v>
      </c>
      <c r="Q84" s="8" t="s">
        <v>37</v>
      </c>
      <c r="R84" s="8" t="s">
        <v>38</v>
      </c>
      <c r="S84" s="8" t="s">
        <v>39</v>
      </c>
      <c r="T84" s="8"/>
      <c r="U84" s="8" t="s">
        <v>40</v>
      </c>
      <c r="V84" s="8">
        <v>613.17999999999995</v>
      </c>
      <c r="W84" s="8">
        <v>264.39999999999998</v>
      </c>
      <c r="X84" s="8">
        <v>244.17</v>
      </c>
      <c r="Y84" s="8">
        <v>104.61</v>
      </c>
      <c r="Z84" s="8">
        <v>0</v>
      </c>
    </row>
    <row r="85" spans="1:26" x14ac:dyDescent="0.3">
      <c r="A85" s="8" t="s">
        <v>27</v>
      </c>
      <c r="B85" s="8" t="s">
        <v>59</v>
      </c>
      <c r="C85" s="8" t="s">
        <v>29</v>
      </c>
      <c r="D85" s="8" t="s">
        <v>44</v>
      </c>
      <c r="E85" s="8" t="s">
        <v>49</v>
      </c>
      <c r="F85" s="8" t="s">
        <v>49</v>
      </c>
      <c r="G85" s="8">
        <v>2023</v>
      </c>
      <c r="H85" s="8" t="str">
        <f>_xlfn.CONCAT("34240381847")</f>
        <v>34240381847</v>
      </c>
      <c r="I85" s="8" t="s">
        <v>46</v>
      </c>
      <c r="J85" s="8" t="s">
        <v>34</v>
      </c>
      <c r="K85" s="8" t="str">
        <f>_xlfn.CONCAT("")</f>
        <v/>
      </c>
      <c r="L85" s="8" t="str">
        <f>_xlfn.CONCAT("11 11.2 4b")</f>
        <v>11 11.2 4b</v>
      </c>
      <c r="M85" s="8" t="str">
        <f>_xlfn.CONCAT("FDLSMN82A30H769Q")</f>
        <v>FDLSMN82A30H769Q</v>
      </c>
      <c r="N85" s="8" t="s">
        <v>170</v>
      </c>
      <c r="O85" s="8" t="s">
        <v>99</v>
      </c>
      <c r="P85" s="9">
        <v>45329</v>
      </c>
      <c r="Q85" s="8" t="s">
        <v>37</v>
      </c>
      <c r="R85" s="8" t="s">
        <v>38</v>
      </c>
      <c r="S85" s="8" t="s">
        <v>39</v>
      </c>
      <c r="T85" s="8"/>
      <c r="U85" s="8" t="s">
        <v>40</v>
      </c>
      <c r="V85" s="8">
        <v>618.27</v>
      </c>
      <c r="W85" s="8">
        <v>266.60000000000002</v>
      </c>
      <c r="X85" s="8">
        <v>246.2</v>
      </c>
      <c r="Y85" s="8">
        <v>105.47</v>
      </c>
      <c r="Z85" s="8">
        <v>0</v>
      </c>
    </row>
    <row r="86" spans="1:26" x14ac:dyDescent="0.3">
      <c r="A86" s="8" t="s">
        <v>27</v>
      </c>
      <c r="B86" s="8" t="s">
        <v>59</v>
      </c>
      <c r="C86" s="8" t="s">
        <v>29</v>
      </c>
      <c r="D86" s="8" t="s">
        <v>77</v>
      </c>
      <c r="E86" s="8" t="s">
        <v>41</v>
      </c>
      <c r="F86" s="8" t="s">
        <v>89</v>
      </c>
      <c r="G86" s="8">
        <v>2023</v>
      </c>
      <c r="H86" s="8" t="str">
        <f>_xlfn.CONCAT("34240545284")</f>
        <v>34240545284</v>
      </c>
      <c r="I86" s="8" t="s">
        <v>46</v>
      </c>
      <c r="J86" s="8" t="s">
        <v>34</v>
      </c>
      <c r="K86" s="8" t="str">
        <f>_xlfn.CONCAT("")</f>
        <v/>
      </c>
      <c r="L86" s="8" t="str">
        <f>_xlfn.CONCAT("11 11.2 4b")</f>
        <v>11 11.2 4b</v>
      </c>
      <c r="M86" s="8" t="str">
        <f>_xlfn.CONCAT("PTTDNL76L27E783W")</f>
        <v>PTTDNL76L27E783W</v>
      </c>
      <c r="N86" s="8" t="s">
        <v>171</v>
      </c>
      <c r="O86" s="8" t="s">
        <v>99</v>
      </c>
      <c r="P86" s="9">
        <v>45329</v>
      </c>
      <c r="Q86" s="8" t="s">
        <v>37</v>
      </c>
      <c r="R86" s="8" t="s">
        <v>38</v>
      </c>
      <c r="S86" s="8" t="s">
        <v>39</v>
      </c>
      <c r="T86" s="8"/>
      <c r="U86" s="8" t="s">
        <v>40</v>
      </c>
      <c r="V86" s="8">
        <v>243.13</v>
      </c>
      <c r="W86" s="8">
        <v>104.84</v>
      </c>
      <c r="X86" s="8">
        <v>96.81</v>
      </c>
      <c r="Y86" s="8">
        <v>41.48</v>
      </c>
      <c r="Z86" s="8">
        <v>0</v>
      </c>
    </row>
    <row r="87" spans="1:26" x14ac:dyDescent="0.3">
      <c r="A87" s="8" t="s">
        <v>27</v>
      </c>
      <c r="B87" s="8" t="s">
        <v>59</v>
      </c>
      <c r="C87" s="8" t="s">
        <v>29</v>
      </c>
      <c r="D87" s="8" t="s">
        <v>30</v>
      </c>
      <c r="E87" s="8" t="s">
        <v>31</v>
      </c>
      <c r="F87" s="8" t="s">
        <v>84</v>
      </c>
      <c r="G87" s="8">
        <v>2023</v>
      </c>
      <c r="H87" s="8" t="str">
        <f>_xlfn.CONCAT("34240277409")</f>
        <v>34240277409</v>
      </c>
      <c r="I87" s="8" t="s">
        <v>46</v>
      </c>
      <c r="J87" s="8" t="s">
        <v>34</v>
      </c>
      <c r="K87" s="8" t="str">
        <f>_xlfn.CONCAT("")</f>
        <v/>
      </c>
      <c r="L87" s="8" t="str">
        <f>_xlfn.CONCAT("11 11.2 4b")</f>
        <v>11 11.2 4b</v>
      </c>
      <c r="M87" s="8" t="str">
        <f>_xlfn.CONCAT("GSPSRN95H56I608Y")</f>
        <v>GSPSRN95H56I608Y</v>
      </c>
      <c r="N87" s="8" t="s">
        <v>172</v>
      </c>
      <c r="O87" s="8" t="s">
        <v>99</v>
      </c>
      <c r="P87" s="9">
        <v>45329</v>
      </c>
      <c r="Q87" s="8" t="s">
        <v>37</v>
      </c>
      <c r="R87" s="8" t="s">
        <v>38</v>
      </c>
      <c r="S87" s="8" t="s">
        <v>39</v>
      </c>
      <c r="T87" s="8"/>
      <c r="U87" s="8" t="s">
        <v>40</v>
      </c>
      <c r="V87" s="8">
        <v>97.28</v>
      </c>
      <c r="W87" s="8">
        <v>41.95</v>
      </c>
      <c r="X87" s="8">
        <v>38.74</v>
      </c>
      <c r="Y87" s="8">
        <v>16.59</v>
      </c>
      <c r="Z87" s="8">
        <v>0</v>
      </c>
    </row>
    <row r="88" spans="1:26" x14ac:dyDescent="0.3">
      <c r="A88" s="8" t="s">
        <v>27</v>
      </c>
      <c r="B88" s="8" t="s">
        <v>59</v>
      </c>
      <c r="C88" s="8" t="s">
        <v>29</v>
      </c>
      <c r="D88" s="8" t="s">
        <v>77</v>
      </c>
      <c r="E88" s="8" t="s">
        <v>70</v>
      </c>
      <c r="F88" s="8" t="s">
        <v>119</v>
      </c>
      <c r="G88" s="8">
        <v>2023</v>
      </c>
      <c r="H88" s="8" t="str">
        <f>_xlfn.CONCAT("34240104181")</f>
        <v>34240104181</v>
      </c>
      <c r="I88" s="8" t="s">
        <v>46</v>
      </c>
      <c r="J88" s="8" t="s">
        <v>34</v>
      </c>
      <c r="K88" s="8" t="str">
        <f>_xlfn.CONCAT("")</f>
        <v/>
      </c>
      <c r="L88" s="8" t="str">
        <f>_xlfn.CONCAT("11 11.2 4b")</f>
        <v>11 11.2 4b</v>
      </c>
      <c r="M88" s="8" t="str">
        <f>_xlfn.CONCAT("CCCFRZ48B07F051R")</f>
        <v>CCCFRZ48B07F051R</v>
      </c>
      <c r="N88" s="8" t="s">
        <v>173</v>
      </c>
      <c r="O88" s="8" t="s">
        <v>99</v>
      </c>
      <c r="P88" s="9">
        <v>45329</v>
      </c>
      <c r="Q88" s="8" t="s">
        <v>37</v>
      </c>
      <c r="R88" s="8" t="s">
        <v>38</v>
      </c>
      <c r="S88" s="8" t="s">
        <v>39</v>
      </c>
      <c r="T88" s="8"/>
      <c r="U88" s="8" t="s">
        <v>40</v>
      </c>
      <c r="V88" s="8">
        <v>550.25</v>
      </c>
      <c r="W88" s="8">
        <v>237.27</v>
      </c>
      <c r="X88" s="8">
        <v>219.11</v>
      </c>
      <c r="Y88" s="8">
        <v>93.87</v>
      </c>
      <c r="Z88" s="8">
        <v>0</v>
      </c>
    </row>
    <row r="89" spans="1:26" x14ac:dyDescent="0.3">
      <c r="A89" s="8" t="s">
        <v>27</v>
      </c>
      <c r="B89" s="8" t="s">
        <v>59</v>
      </c>
      <c r="C89" s="8" t="s">
        <v>29</v>
      </c>
      <c r="D89" s="8" t="s">
        <v>77</v>
      </c>
      <c r="E89" s="8" t="s">
        <v>66</v>
      </c>
      <c r="F89" s="8" t="s">
        <v>95</v>
      </c>
      <c r="G89" s="8">
        <v>2023</v>
      </c>
      <c r="H89" s="8" t="str">
        <f>_xlfn.CONCAT("34240301381")</f>
        <v>34240301381</v>
      </c>
      <c r="I89" s="8" t="s">
        <v>46</v>
      </c>
      <c r="J89" s="8" t="s">
        <v>34</v>
      </c>
      <c r="K89" s="8" t="str">
        <f>_xlfn.CONCAT("")</f>
        <v/>
      </c>
      <c r="L89" s="8" t="str">
        <f>_xlfn.CONCAT("11 11.2 4b")</f>
        <v>11 11.2 4b</v>
      </c>
      <c r="M89" s="8" t="str">
        <f>_xlfn.CONCAT("FRSMPL77T52B474M")</f>
        <v>FRSMPL77T52B474M</v>
      </c>
      <c r="N89" s="8" t="s">
        <v>174</v>
      </c>
      <c r="O89" s="8" t="s">
        <v>99</v>
      </c>
      <c r="P89" s="9">
        <v>45329</v>
      </c>
      <c r="Q89" s="8" t="s">
        <v>37</v>
      </c>
      <c r="R89" s="8" t="s">
        <v>38</v>
      </c>
      <c r="S89" s="8" t="s">
        <v>39</v>
      </c>
      <c r="T89" s="8"/>
      <c r="U89" s="8" t="s">
        <v>40</v>
      </c>
      <c r="V89" s="10">
        <v>3084.57</v>
      </c>
      <c r="W89" s="10">
        <v>1330.07</v>
      </c>
      <c r="X89" s="10">
        <v>1228.28</v>
      </c>
      <c r="Y89" s="8">
        <v>526.22</v>
      </c>
      <c r="Z89" s="8">
        <v>0</v>
      </c>
    </row>
    <row r="90" spans="1:26" x14ac:dyDescent="0.3">
      <c r="A90" s="8" t="s">
        <v>27</v>
      </c>
      <c r="B90" s="8" t="s">
        <v>59</v>
      </c>
      <c r="C90" s="8" t="s">
        <v>29</v>
      </c>
      <c r="D90" s="8" t="s">
        <v>30</v>
      </c>
      <c r="E90" s="8" t="s">
        <v>31</v>
      </c>
      <c r="F90" s="8" t="s">
        <v>175</v>
      </c>
      <c r="G90" s="8">
        <v>2023</v>
      </c>
      <c r="H90" s="8" t="str">
        <f>_xlfn.CONCAT("34240342369")</f>
        <v>34240342369</v>
      </c>
      <c r="I90" s="8" t="s">
        <v>46</v>
      </c>
      <c r="J90" s="8" t="s">
        <v>34</v>
      </c>
      <c r="K90" s="8" t="str">
        <f>_xlfn.CONCAT("")</f>
        <v/>
      </c>
      <c r="L90" s="8" t="str">
        <f>_xlfn.CONCAT("11 11.2 4b")</f>
        <v>11 11.2 4b</v>
      </c>
      <c r="M90" s="8" t="str">
        <f>_xlfn.CONCAT("BGNCLD64E27F205B")</f>
        <v>BGNCLD64E27F205B</v>
      </c>
      <c r="N90" s="8" t="s">
        <v>176</v>
      </c>
      <c r="O90" s="8" t="s">
        <v>99</v>
      </c>
      <c r="P90" s="9">
        <v>45329</v>
      </c>
      <c r="Q90" s="8" t="s">
        <v>37</v>
      </c>
      <c r="R90" s="8" t="s">
        <v>38</v>
      </c>
      <c r="S90" s="8" t="s">
        <v>39</v>
      </c>
      <c r="T90" s="8"/>
      <c r="U90" s="8" t="s">
        <v>40</v>
      </c>
      <c r="V90" s="10">
        <v>4024.23</v>
      </c>
      <c r="W90" s="10">
        <v>1735.25</v>
      </c>
      <c r="X90" s="10">
        <v>1602.45</v>
      </c>
      <c r="Y90" s="8">
        <v>686.53</v>
      </c>
      <c r="Z90" s="8">
        <v>0</v>
      </c>
    </row>
    <row r="91" spans="1:26" ht="20.399999999999999" x14ac:dyDescent="0.3">
      <c r="A91" s="8" t="s">
        <v>27</v>
      </c>
      <c r="B91" s="8" t="s">
        <v>28</v>
      </c>
      <c r="C91" s="8" t="s">
        <v>29</v>
      </c>
      <c r="D91" s="8" t="s">
        <v>30</v>
      </c>
      <c r="E91" s="8" t="s">
        <v>49</v>
      </c>
      <c r="F91" s="8" t="s">
        <v>49</v>
      </c>
      <c r="G91" s="8">
        <v>2017</v>
      </c>
      <c r="H91" s="8" t="str">
        <f>_xlfn.CONCAT("34270426496")</f>
        <v>34270426496</v>
      </c>
      <c r="I91" s="8" t="s">
        <v>46</v>
      </c>
      <c r="J91" s="8" t="s">
        <v>34</v>
      </c>
      <c r="K91" s="8" t="str">
        <f>_xlfn.CONCAT("")</f>
        <v/>
      </c>
      <c r="L91" s="8" t="str">
        <f>_xlfn.CONCAT("16 16.1 2a")</f>
        <v>16 16.1 2a</v>
      </c>
      <c r="M91" s="8" t="str">
        <f>_xlfn.CONCAT("93018000427")</f>
        <v>93018000427</v>
      </c>
      <c r="N91" s="8" t="s">
        <v>177</v>
      </c>
      <c r="O91" s="8" t="s">
        <v>178</v>
      </c>
      <c r="P91" s="9">
        <v>45324</v>
      </c>
      <c r="Q91" s="8" t="s">
        <v>37</v>
      </c>
      <c r="R91" s="8" t="s">
        <v>38</v>
      </c>
      <c r="S91" s="8" t="s">
        <v>39</v>
      </c>
      <c r="T91" s="8"/>
      <c r="U91" s="8" t="s">
        <v>40</v>
      </c>
      <c r="V91" s="10">
        <v>217704.78</v>
      </c>
      <c r="W91" s="10">
        <v>93874.3</v>
      </c>
      <c r="X91" s="10">
        <v>86690.04</v>
      </c>
      <c r="Y91" s="10">
        <v>37140.44</v>
      </c>
      <c r="Z91" s="8">
        <v>0</v>
      </c>
    </row>
    <row r="92" spans="1:26" x14ac:dyDescent="0.3">
      <c r="A92" s="8" t="s">
        <v>27</v>
      </c>
      <c r="B92" s="8" t="s">
        <v>59</v>
      </c>
      <c r="C92" s="8" t="s">
        <v>29</v>
      </c>
      <c r="D92" s="8" t="s">
        <v>30</v>
      </c>
      <c r="E92" s="8" t="s">
        <v>31</v>
      </c>
      <c r="F92" s="8" t="s">
        <v>175</v>
      </c>
      <c r="G92" s="8">
        <v>2023</v>
      </c>
      <c r="H92" s="8" t="str">
        <f>_xlfn.CONCAT("34240339837")</f>
        <v>34240339837</v>
      </c>
      <c r="I92" s="8" t="s">
        <v>46</v>
      </c>
      <c r="J92" s="8" t="s">
        <v>34</v>
      </c>
      <c r="K92" s="8" t="str">
        <f>_xlfn.CONCAT("")</f>
        <v/>
      </c>
      <c r="L92" s="8" t="str">
        <f>_xlfn.CONCAT("11 11.2 4b")</f>
        <v>11 11.2 4b</v>
      </c>
      <c r="M92" s="8" t="str">
        <f>_xlfn.CONCAT("BGNCLD64E27F205B")</f>
        <v>BGNCLD64E27F205B</v>
      </c>
      <c r="N92" s="8" t="s">
        <v>176</v>
      </c>
      <c r="O92" s="8" t="s">
        <v>99</v>
      </c>
      <c r="P92" s="9">
        <v>45329</v>
      </c>
      <c r="Q92" s="8" t="s">
        <v>37</v>
      </c>
      <c r="R92" s="8" t="s">
        <v>38</v>
      </c>
      <c r="S92" s="8" t="s">
        <v>39</v>
      </c>
      <c r="T92" s="8"/>
      <c r="U92" s="8" t="s">
        <v>40</v>
      </c>
      <c r="V92" s="8">
        <v>87.91</v>
      </c>
      <c r="W92" s="8">
        <v>37.909999999999997</v>
      </c>
      <c r="X92" s="8">
        <v>35.01</v>
      </c>
      <c r="Y92" s="8">
        <v>14.99</v>
      </c>
      <c r="Z92" s="8">
        <v>0</v>
      </c>
    </row>
    <row r="93" spans="1:26" x14ac:dyDescent="0.3">
      <c r="A93" s="8" t="s">
        <v>27</v>
      </c>
      <c r="B93" s="8" t="s">
        <v>59</v>
      </c>
      <c r="C93" s="8" t="s">
        <v>29</v>
      </c>
      <c r="D93" s="8" t="s">
        <v>30</v>
      </c>
      <c r="E93" s="8" t="s">
        <v>31</v>
      </c>
      <c r="F93" s="8" t="s">
        <v>84</v>
      </c>
      <c r="G93" s="8">
        <v>2023</v>
      </c>
      <c r="H93" s="8" t="str">
        <f>_xlfn.CONCAT("34240183532")</f>
        <v>34240183532</v>
      </c>
      <c r="I93" s="8" t="s">
        <v>46</v>
      </c>
      <c r="J93" s="8" t="s">
        <v>34</v>
      </c>
      <c r="K93" s="8" t="str">
        <f>_xlfn.CONCAT("")</f>
        <v/>
      </c>
      <c r="L93" s="8" t="str">
        <f>_xlfn.CONCAT("11 11.2 4b")</f>
        <v>11 11.2 4b</v>
      </c>
      <c r="M93" s="8" t="str">
        <f>_xlfn.CONCAT("02426390429")</f>
        <v>02426390429</v>
      </c>
      <c r="N93" s="8" t="s">
        <v>162</v>
      </c>
      <c r="O93" s="8" t="s">
        <v>99</v>
      </c>
      <c r="P93" s="9">
        <v>45329</v>
      </c>
      <c r="Q93" s="8" t="s">
        <v>37</v>
      </c>
      <c r="R93" s="8" t="s">
        <v>38</v>
      </c>
      <c r="S93" s="8" t="s">
        <v>39</v>
      </c>
      <c r="T93" s="8"/>
      <c r="U93" s="8" t="s">
        <v>40</v>
      </c>
      <c r="V93" s="10">
        <v>2386.1799999999998</v>
      </c>
      <c r="W93" s="10">
        <v>1028.92</v>
      </c>
      <c r="X93" s="8">
        <v>950.18</v>
      </c>
      <c r="Y93" s="8">
        <v>407.08</v>
      </c>
      <c r="Z93" s="8">
        <v>0</v>
      </c>
    </row>
    <row r="94" spans="1:26" x14ac:dyDescent="0.3">
      <c r="A94" s="8" t="s">
        <v>27</v>
      </c>
      <c r="B94" s="8" t="s">
        <v>59</v>
      </c>
      <c r="C94" s="8" t="s">
        <v>29</v>
      </c>
      <c r="D94" s="8" t="s">
        <v>77</v>
      </c>
      <c r="E94" s="8" t="s">
        <v>66</v>
      </c>
      <c r="F94" s="8" t="s">
        <v>78</v>
      </c>
      <c r="G94" s="8">
        <v>2023</v>
      </c>
      <c r="H94" s="8" t="str">
        <f>_xlfn.CONCAT("34240657667")</f>
        <v>34240657667</v>
      </c>
      <c r="I94" s="8" t="s">
        <v>46</v>
      </c>
      <c r="J94" s="8" t="s">
        <v>34</v>
      </c>
      <c r="K94" s="8" t="str">
        <f>_xlfn.CONCAT("")</f>
        <v/>
      </c>
      <c r="L94" s="8" t="str">
        <f>_xlfn.CONCAT("11 11.2 4b")</f>
        <v>11 11.2 4b</v>
      </c>
      <c r="M94" s="8" t="str">
        <f>_xlfn.CONCAT("01246270431")</f>
        <v>01246270431</v>
      </c>
      <c r="N94" s="8" t="s">
        <v>157</v>
      </c>
      <c r="O94" s="8" t="s">
        <v>99</v>
      </c>
      <c r="P94" s="9">
        <v>45329</v>
      </c>
      <c r="Q94" s="8" t="s">
        <v>37</v>
      </c>
      <c r="R94" s="8" t="s">
        <v>38</v>
      </c>
      <c r="S94" s="8" t="s">
        <v>39</v>
      </c>
      <c r="T94" s="8"/>
      <c r="U94" s="8" t="s">
        <v>40</v>
      </c>
      <c r="V94" s="8">
        <v>128.47</v>
      </c>
      <c r="W94" s="8">
        <v>55.4</v>
      </c>
      <c r="X94" s="8">
        <v>51.16</v>
      </c>
      <c r="Y94" s="8">
        <v>21.91</v>
      </c>
      <c r="Z94" s="8">
        <v>0</v>
      </c>
    </row>
    <row r="95" spans="1:26" x14ac:dyDescent="0.3">
      <c r="A95" s="8" t="s">
        <v>27</v>
      </c>
      <c r="B95" s="8" t="s">
        <v>59</v>
      </c>
      <c r="C95" s="8" t="s">
        <v>29</v>
      </c>
      <c r="D95" s="8" t="s">
        <v>44</v>
      </c>
      <c r="E95" s="8" t="s">
        <v>41</v>
      </c>
      <c r="F95" s="8" t="s">
        <v>179</v>
      </c>
      <c r="G95" s="8">
        <v>2023</v>
      </c>
      <c r="H95" s="8" t="str">
        <f>_xlfn.CONCAT("34240762574")</f>
        <v>34240762574</v>
      </c>
      <c r="I95" s="8" t="s">
        <v>46</v>
      </c>
      <c r="J95" s="8" t="s">
        <v>34</v>
      </c>
      <c r="K95" s="8" t="str">
        <f>_xlfn.CONCAT("")</f>
        <v/>
      </c>
      <c r="L95" s="8" t="str">
        <f>_xlfn.CONCAT("11 11.2 4b")</f>
        <v>11 11.2 4b</v>
      </c>
      <c r="M95" s="8" t="str">
        <f>_xlfn.CONCAT("PLLMRA59M69G005V")</f>
        <v>PLLMRA59M69G005V</v>
      </c>
      <c r="N95" s="8" t="s">
        <v>180</v>
      </c>
      <c r="O95" s="8" t="s">
        <v>99</v>
      </c>
      <c r="P95" s="9">
        <v>45329</v>
      </c>
      <c r="Q95" s="8" t="s">
        <v>37</v>
      </c>
      <c r="R95" s="8" t="s">
        <v>38</v>
      </c>
      <c r="S95" s="8" t="s">
        <v>39</v>
      </c>
      <c r="T95" s="8"/>
      <c r="U95" s="8" t="s">
        <v>40</v>
      </c>
      <c r="V95" s="10">
        <v>19383.75</v>
      </c>
      <c r="W95" s="10">
        <v>8358.27</v>
      </c>
      <c r="X95" s="10">
        <v>7718.61</v>
      </c>
      <c r="Y95" s="10">
        <v>3306.87</v>
      </c>
      <c r="Z95" s="8">
        <v>0</v>
      </c>
    </row>
    <row r="96" spans="1:26" x14ac:dyDescent="0.3">
      <c r="A96" s="8" t="s">
        <v>27</v>
      </c>
      <c r="B96" s="8" t="s">
        <v>59</v>
      </c>
      <c r="C96" s="8" t="s">
        <v>29</v>
      </c>
      <c r="D96" s="8" t="s">
        <v>77</v>
      </c>
      <c r="E96" s="8" t="s">
        <v>31</v>
      </c>
      <c r="F96" s="8" t="s">
        <v>163</v>
      </c>
      <c r="G96" s="8">
        <v>2023</v>
      </c>
      <c r="H96" s="8" t="str">
        <f>_xlfn.CONCAT("34240264449")</f>
        <v>34240264449</v>
      </c>
      <c r="I96" s="8" t="s">
        <v>46</v>
      </c>
      <c r="J96" s="8" t="s">
        <v>34</v>
      </c>
      <c r="K96" s="8" t="str">
        <f>_xlfn.CONCAT("")</f>
        <v/>
      </c>
      <c r="L96" s="8" t="str">
        <f>_xlfn.CONCAT("11 11.2 4b")</f>
        <v>11 11.2 4b</v>
      </c>
      <c r="M96" s="8" t="str">
        <f>_xlfn.CONCAT("01297060434")</f>
        <v>01297060434</v>
      </c>
      <c r="N96" s="8" t="s">
        <v>164</v>
      </c>
      <c r="O96" s="8" t="s">
        <v>99</v>
      </c>
      <c r="P96" s="9">
        <v>45329</v>
      </c>
      <c r="Q96" s="8" t="s">
        <v>37</v>
      </c>
      <c r="R96" s="8" t="s">
        <v>38</v>
      </c>
      <c r="S96" s="8" t="s">
        <v>39</v>
      </c>
      <c r="T96" s="8"/>
      <c r="U96" s="8" t="s">
        <v>40</v>
      </c>
      <c r="V96" s="10">
        <v>1854.62</v>
      </c>
      <c r="W96" s="8">
        <v>799.71</v>
      </c>
      <c r="X96" s="8">
        <v>738.51</v>
      </c>
      <c r="Y96" s="8">
        <v>316.39999999999998</v>
      </c>
      <c r="Z96" s="8">
        <v>0</v>
      </c>
    </row>
    <row r="97" spans="1:26" x14ac:dyDescent="0.3">
      <c r="A97" s="8" t="s">
        <v>27</v>
      </c>
      <c r="B97" s="8" t="s">
        <v>59</v>
      </c>
      <c r="C97" s="8" t="s">
        <v>29</v>
      </c>
      <c r="D97" s="8" t="s">
        <v>77</v>
      </c>
      <c r="E97" s="8" t="s">
        <v>41</v>
      </c>
      <c r="F97" s="8" t="s">
        <v>89</v>
      </c>
      <c r="G97" s="8">
        <v>2023</v>
      </c>
      <c r="H97" s="8" t="str">
        <f>_xlfn.CONCAT("34240565761")</f>
        <v>34240565761</v>
      </c>
      <c r="I97" s="8" t="s">
        <v>46</v>
      </c>
      <c r="J97" s="8" t="s">
        <v>34</v>
      </c>
      <c r="K97" s="8" t="str">
        <f>_xlfn.CONCAT("")</f>
        <v/>
      </c>
      <c r="L97" s="8" t="str">
        <f>_xlfn.CONCAT("11 11.2 4b")</f>
        <v>11 11.2 4b</v>
      </c>
      <c r="M97" s="8" t="str">
        <f>_xlfn.CONCAT("PSRLCU97E28B474T")</f>
        <v>PSRLCU97E28B474T</v>
      </c>
      <c r="N97" s="8" t="s">
        <v>181</v>
      </c>
      <c r="O97" s="8" t="s">
        <v>99</v>
      </c>
      <c r="P97" s="9">
        <v>45329</v>
      </c>
      <c r="Q97" s="8" t="s">
        <v>37</v>
      </c>
      <c r="R97" s="8" t="s">
        <v>38</v>
      </c>
      <c r="S97" s="8" t="s">
        <v>39</v>
      </c>
      <c r="T97" s="8"/>
      <c r="U97" s="8" t="s">
        <v>40</v>
      </c>
      <c r="V97" s="8">
        <v>464.12</v>
      </c>
      <c r="W97" s="8">
        <v>200.13</v>
      </c>
      <c r="X97" s="8">
        <v>184.81</v>
      </c>
      <c r="Y97" s="8">
        <v>79.180000000000007</v>
      </c>
      <c r="Z97" s="8">
        <v>0</v>
      </c>
    </row>
    <row r="98" spans="1:26" x14ac:dyDescent="0.3">
      <c r="A98" s="8" t="s">
        <v>27</v>
      </c>
      <c r="B98" s="8" t="s">
        <v>59</v>
      </c>
      <c r="C98" s="8" t="s">
        <v>29</v>
      </c>
      <c r="D98" s="8" t="s">
        <v>77</v>
      </c>
      <c r="E98" s="8" t="s">
        <v>41</v>
      </c>
      <c r="F98" s="8" t="s">
        <v>89</v>
      </c>
      <c r="G98" s="8">
        <v>2023</v>
      </c>
      <c r="H98" s="8" t="str">
        <f>_xlfn.CONCAT("34240545631")</f>
        <v>34240545631</v>
      </c>
      <c r="I98" s="8" t="s">
        <v>46</v>
      </c>
      <c r="J98" s="8" t="s">
        <v>34</v>
      </c>
      <c r="K98" s="8" t="str">
        <f>_xlfn.CONCAT("")</f>
        <v/>
      </c>
      <c r="L98" s="8" t="str">
        <f>_xlfn.CONCAT("11 11.2 4b")</f>
        <v>11 11.2 4b</v>
      </c>
      <c r="M98" s="8" t="str">
        <f>_xlfn.CONCAT("PTTDNL76L27E783W")</f>
        <v>PTTDNL76L27E783W</v>
      </c>
      <c r="N98" s="8" t="s">
        <v>171</v>
      </c>
      <c r="O98" s="8" t="s">
        <v>99</v>
      </c>
      <c r="P98" s="9">
        <v>45329</v>
      </c>
      <c r="Q98" s="8" t="s">
        <v>37</v>
      </c>
      <c r="R98" s="8" t="s">
        <v>38</v>
      </c>
      <c r="S98" s="8" t="s">
        <v>39</v>
      </c>
      <c r="T98" s="8"/>
      <c r="U98" s="8" t="s">
        <v>40</v>
      </c>
      <c r="V98" s="10">
        <v>1649.5</v>
      </c>
      <c r="W98" s="8">
        <v>711.26</v>
      </c>
      <c r="X98" s="8">
        <v>656.83</v>
      </c>
      <c r="Y98" s="8">
        <v>281.41000000000003</v>
      </c>
      <c r="Z98" s="8">
        <v>0</v>
      </c>
    </row>
    <row r="99" spans="1:26" x14ac:dyDescent="0.3">
      <c r="A99" s="8" t="s">
        <v>27</v>
      </c>
      <c r="B99" s="8" t="s">
        <v>59</v>
      </c>
      <c r="C99" s="8" t="s">
        <v>29</v>
      </c>
      <c r="D99" s="8" t="s">
        <v>44</v>
      </c>
      <c r="E99" s="8" t="s">
        <v>49</v>
      </c>
      <c r="F99" s="8" t="s">
        <v>49</v>
      </c>
      <c r="G99" s="8">
        <v>2023</v>
      </c>
      <c r="H99" s="8" t="str">
        <f>_xlfn.CONCAT("34240660810")</f>
        <v>34240660810</v>
      </c>
      <c r="I99" s="8" t="s">
        <v>46</v>
      </c>
      <c r="J99" s="8" t="s">
        <v>34</v>
      </c>
      <c r="K99" s="8" t="str">
        <f>_xlfn.CONCAT("")</f>
        <v/>
      </c>
      <c r="L99" s="8" t="str">
        <f>_xlfn.CONCAT("11 11.2 4b")</f>
        <v>11 11.2 4b</v>
      </c>
      <c r="M99" s="8" t="str">
        <f>_xlfn.CONCAT("PRNSMN00S03I156H")</f>
        <v>PRNSMN00S03I156H</v>
      </c>
      <c r="N99" s="8" t="s">
        <v>182</v>
      </c>
      <c r="O99" s="8" t="s">
        <v>99</v>
      </c>
      <c r="P99" s="9">
        <v>45329</v>
      </c>
      <c r="Q99" s="8" t="s">
        <v>37</v>
      </c>
      <c r="R99" s="8" t="s">
        <v>38</v>
      </c>
      <c r="S99" s="8" t="s">
        <v>39</v>
      </c>
      <c r="T99" s="8"/>
      <c r="U99" s="8" t="s">
        <v>40</v>
      </c>
      <c r="V99" s="8">
        <v>472.86</v>
      </c>
      <c r="W99" s="8">
        <v>203.9</v>
      </c>
      <c r="X99" s="8">
        <v>188.29</v>
      </c>
      <c r="Y99" s="8">
        <v>80.67</v>
      </c>
      <c r="Z99" s="8">
        <v>0</v>
      </c>
    </row>
    <row r="100" spans="1:26" x14ac:dyDescent="0.3">
      <c r="A100" s="8" t="s">
        <v>27</v>
      </c>
      <c r="B100" s="8" t="s">
        <v>59</v>
      </c>
      <c r="C100" s="8" t="s">
        <v>29</v>
      </c>
      <c r="D100" s="8" t="s">
        <v>77</v>
      </c>
      <c r="E100" s="8" t="s">
        <v>31</v>
      </c>
      <c r="F100" s="8" t="s">
        <v>136</v>
      </c>
      <c r="G100" s="8">
        <v>2023</v>
      </c>
      <c r="H100" s="8" t="str">
        <f>_xlfn.CONCAT("34240604347")</f>
        <v>34240604347</v>
      </c>
      <c r="I100" s="8" t="s">
        <v>46</v>
      </c>
      <c r="J100" s="8" t="s">
        <v>34</v>
      </c>
      <c r="K100" s="8" t="str">
        <f>_xlfn.CONCAT("")</f>
        <v/>
      </c>
      <c r="L100" s="8" t="str">
        <f>_xlfn.CONCAT("11 11.2 4b")</f>
        <v>11 11.2 4b</v>
      </c>
      <c r="M100" s="8" t="str">
        <f>_xlfn.CONCAT("MRBMLL71M55G436T")</f>
        <v>MRBMLL71M55G436T</v>
      </c>
      <c r="N100" s="8" t="s">
        <v>183</v>
      </c>
      <c r="O100" s="8" t="s">
        <v>99</v>
      </c>
      <c r="P100" s="9">
        <v>45329</v>
      </c>
      <c r="Q100" s="8" t="s">
        <v>37</v>
      </c>
      <c r="R100" s="8" t="s">
        <v>38</v>
      </c>
      <c r="S100" s="8" t="s">
        <v>39</v>
      </c>
      <c r="T100" s="8"/>
      <c r="U100" s="8" t="s">
        <v>40</v>
      </c>
      <c r="V100" s="10">
        <v>1398.58</v>
      </c>
      <c r="W100" s="8">
        <v>603.07000000000005</v>
      </c>
      <c r="X100" s="8">
        <v>556.91</v>
      </c>
      <c r="Y100" s="8">
        <v>238.6</v>
      </c>
      <c r="Z100" s="8">
        <v>0</v>
      </c>
    </row>
    <row r="101" spans="1:26" x14ac:dyDescent="0.3">
      <c r="A101" s="8" t="s">
        <v>27</v>
      </c>
      <c r="B101" s="8" t="s">
        <v>59</v>
      </c>
      <c r="C101" s="8" t="s">
        <v>29</v>
      </c>
      <c r="D101" s="8" t="s">
        <v>44</v>
      </c>
      <c r="E101" s="8" t="s">
        <v>31</v>
      </c>
      <c r="F101" s="8" t="s">
        <v>184</v>
      </c>
      <c r="G101" s="8">
        <v>2023</v>
      </c>
      <c r="H101" s="8" t="str">
        <f>_xlfn.CONCAT("34240165224")</f>
        <v>34240165224</v>
      </c>
      <c r="I101" s="8" t="s">
        <v>46</v>
      </c>
      <c r="J101" s="8" t="s">
        <v>34</v>
      </c>
      <c r="K101" s="8" t="str">
        <f>_xlfn.CONCAT("")</f>
        <v/>
      </c>
      <c r="L101" s="8" t="str">
        <f>_xlfn.CONCAT("11 11.2 4b")</f>
        <v>11 11.2 4b</v>
      </c>
      <c r="M101" s="8" t="str">
        <f>_xlfn.CONCAT("GRLMTT81M08D542H")</f>
        <v>GRLMTT81M08D542H</v>
      </c>
      <c r="N101" s="8" t="s">
        <v>185</v>
      </c>
      <c r="O101" s="8" t="s">
        <v>99</v>
      </c>
      <c r="P101" s="9">
        <v>45329</v>
      </c>
      <c r="Q101" s="8" t="s">
        <v>37</v>
      </c>
      <c r="R101" s="8" t="s">
        <v>38</v>
      </c>
      <c r="S101" s="8" t="s">
        <v>39</v>
      </c>
      <c r="T101" s="8"/>
      <c r="U101" s="8" t="s">
        <v>40</v>
      </c>
      <c r="V101" s="8">
        <v>7.49</v>
      </c>
      <c r="W101" s="8">
        <v>3.23</v>
      </c>
      <c r="X101" s="8">
        <v>2.98</v>
      </c>
      <c r="Y101" s="8">
        <v>1.28</v>
      </c>
      <c r="Z101" s="8">
        <v>0</v>
      </c>
    </row>
    <row r="102" spans="1:26" ht="20.399999999999999" x14ac:dyDescent="0.3">
      <c r="A102" s="8" t="s">
        <v>27</v>
      </c>
      <c r="B102" s="8" t="s">
        <v>59</v>
      </c>
      <c r="C102" s="8" t="s">
        <v>29</v>
      </c>
      <c r="D102" s="8" t="s">
        <v>44</v>
      </c>
      <c r="E102" s="8" t="s">
        <v>70</v>
      </c>
      <c r="F102" s="8" t="s">
        <v>71</v>
      </c>
      <c r="G102" s="8">
        <v>2023</v>
      </c>
      <c r="H102" s="8" t="str">
        <f>_xlfn.CONCAT("34240288950")</f>
        <v>34240288950</v>
      </c>
      <c r="I102" s="8" t="s">
        <v>46</v>
      </c>
      <c r="J102" s="8" t="s">
        <v>34</v>
      </c>
      <c r="K102" s="8" t="str">
        <f>_xlfn.CONCAT("")</f>
        <v/>
      </c>
      <c r="L102" s="8" t="str">
        <f>_xlfn.CONCAT("11 11.2 4b")</f>
        <v>11 11.2 4b</v>
      </c>
      <c r="M102" s="8" t="str">
        <f>_xlfn.CONCAT("01804700449")</f>
        <v>01804700449</v>
      </c>
      <c r="N102" s="8" t="s">
        <v>186</v>
      </c>
      <c r="O102" s="8" t="s">
        <v>99</v>
      </c>
      <c r="P102" s="9">
        <v>45329</v>
      </c>
      <c r="Q102" s="8" t="s">
        <v>37</v>
      </c>
      <c r="R102" s="8" t="s">
        <v>38</v>
      </c>
      <c r="S102" s="8" t="s">
        <v>39</v>
      </c>
      <c r="T102" s="8"/>
      <c r="U102" s="8" t="s">
        <v>40</v>
      </c>
      <c r="V102" s="10">
        <v>6212.97</v>
      </c>
      <c r="W102" s="10">
        <v>2679.03</v>
      </c>
      <c r="X102" s="10">
        <v>2474</v>
      </c>
      <c r="Y102" s="10">
        <v>1059.94</v>
      </c>
      <c r="Z102" s="8">
        <v>0</v>
      </c>
    </row>
    <row r="103" spans="1:26" x14ac:dyDescent="0.3">
      <c r="A103" s="8" t="s">
        <v>27</v>
      </c>
      <c r="B103" s="8" t="s">
        <v>59</v>
      </c>
      <c r="C103" s="8" t="s">
        <v>29</v>
      </c>
      <c r="D103" s="8" t="s">
        <v>77</v>
      </c>
      <c r="E103" s="8" t="s">
        <v>41</v>
      </c>
      <c r="F103" s="8" t="s">
        <v>168</v>
      </c>
      <c r="G103" s="8">
        <v>2023</v>
      </c>
      <c r="H103" s="8" t="str">
        <f>_xlfn.CONCAT("34240367101")</f>
        <v>34240367101</v>
      </c>
      <c r="I103" s="8" t="s">
        <v>46</v>
      </c>
      <c r="J103" s="8" t="s">
        <v>34</v>
      </c>
      <c r="K103" s="8" t="str">
        <f>_xlfn.CONCAT("")</f>
        <v/>
      </c>
      <c r="L103" s="8" t="str">
        <f>_xlfn.CONCAT("11 11.2 4b")</f>
        <v>11 11.2 4b</v>
      </c>
      <c r="M103" s="8" t="str">
        <f>_xlfn.CONCAT("01911240438")</f>
        <v>01911240438</v>
      </c>
      <c r="N103" s="8" t="s">
        <v>187</v>
      </c>
      <c r="O103" s="8" t="s">
        <v>99</v>
      </c>
      <c r="P103" s="9">
        <v>45329</v>
      </c>
      <c r="Q103" s="8" t="s">
        <v>37</v>
      </c>
      <c r="R103" s="8" t="s">
        <v>38</v>
      </c>
      <c r="S103" s="8" t="s">
        <v>39</v>
      </c>
      <c r="T103" s="8"/>
      <c r="U103" s="8" t="s">
        <v>40</v>
      </c>
      <c r="V103" s="8">
        <v>136.62</v>
      </c>
      <c r="W103" s="8">
        <v>58.91</v>
      </c>
      <c r="X103" s="8">
        <v>54.4</v>
      </c>
      <c r="Y103" s="8">
        <v>23.31</v>
      </c>
      <c r="Z103" s="8">
        <v>0</v>
      </c>
    </row>
    <row r="104" spans="1:26" x14ac:dyDescent="0.3">
      <c r="A104" s="8" t="s">
        <v>27</v>
      </c>
      <c r="B104" s="8" t="s">
        <v>59</v>
      </c>
      <c r="C104" s="8" t="s">
        <v>29</v>
      </c>
      <c r="D104" s="8" t="s">
        <v>44</v>
      </c>
      <c r="E104" s="8" t="s">
        <v>188</v>
      </c>
      <c r="F104" s="8" t="s">
        <v>189</v>
      </c>
      <c r="G104" s="8">
        <v>2023</v>
      </c>
      <c r="H104" s="8" t="str">
        <f>_xlfn.CONCAT("34240434299")</f>
        <v>34240434299</v>
      </c>
      <c r="I104" s="8" t="s">
        <v>46</v>
      </c>
      <c r="J104" s="8" t="s">
        <v>34</v>
      </c>
      <c r="K104" s="8" t="str">
        <f>_xlfn.CONCAT("")</f>
        <v/>
      </c>
      <c r="L104" s="8" t="str">
        <f>_xlfn.CONCAT("11 11.2 4b")</f>
        <v>11 11.2 4b</v>
      </c>
      <c r="M104" s="8" t="str">
        <f>_xlfn.CONCAT("SMPLNE74M47H769R")</f>
        <v>SMPLNE74M47H769R</v>
      </c>
      <c r="N104" s="8" t="s">
        <v>190</v>
      </c>
      <c r="O104" s="8" t="s">
        <v>99</v>
      </c>
      <c r="P104" s="9">
        <v>45329</v>
      </c>
      <c r="Q104" s="8" t="s">
        <v>37</v>
      </c>
      <c r="R104" s="8" t="s">
        <v>38</v>
      </c>
      <c r="S104" s="8" t="s">
        <v>39</v>
      </c>
      <c r="T104" s="8"/>
      <c r="U104" s="8" t="s">
        <v>40</v>
      </c>
      <c r="V104" s="10">
        <v>1456.86</v>
      </c>
      <c r="W104" s="8">
        <v>628.20000000000005</v>
      </c>
      <c r="X104" s="8">
        <v>580.12</v>
      </c>
      <c r="Y104" s="8">
        <v>248.54</v>
      </c>
      <c r="Z104" s="8">
        <v>0</v>
      </c>
    </row>
    <row r="105" spans="1:26" x14ac:dyDescent="0.3">
      <c r="A105" s="8" t="s">
        <v>27</v>
      </c>
      <c r="B105" s="8" t="s">
        <v>59</v>
      </c>
      <c r="C105" s="8" t="s">
        <v>29</v>
      </c>
      <c r="D105" s="8" t="s">
        <v>30</v>
      </c>
      <c r="E105" s="8" t="s">
        <v>31</v>
      </c>
      <c r="F105" s="8" t="s">
        <v>84</v>
      </c>
      <c r="G105" s="8">
        <v>2023</v>
      </c>
      <c r="H105" s="8" t="str">
        <f>_xlfn.CONCAT("34240128891")</f>
        <v>34240128891</v>
      </c>
      <c r="I105" s="8" t="s">
        <v>46</v>
      </c>
      <c r="J105" s="8" t="s">
        <v>34</v>
      </c>
      <c r="K105" s="8" t="str">
        <f>_xlfn.CONCAT("")</f>
        <v/>
      </c>
      <c r="L105" s="8" t="str">
        <f>_xlfn.CONCAT("11 11.2 4b")</f>
        <v>11 11.2 4b</v>
      </c>
      <c r="M105" s="8" t="str">
        <f>_xlfn.CONCAT("CNGCST98S30D451Y")</f>
        <v>CNGCST98S30D451Y</v>
      </c>
      <c r="N105" s="8" t="s">
        <v>154</v>
      </c>
      <c r="O105" s="8" t="s">
        <v>99</v>
      </c>
      <c r="P105" s="9">
        <v>45329</v>
      </c>
      <c r="Q105" s="8" t="s">
        <v>37</v>
      </c>
      <c r="R105" s="8" t="s">
        <v>38</v>
      </c>
      <c r="S105" s="8" t="s">
        <v>39</v>
      </c>
      <c r="T105" s="8"/>
      <c r="U105" s="8" t="s">
        <v>40</v>
      </c>
      <c r="V105" s="10">
        <v>5308.87</v>
      </c>
      <c r="W105" s="10">
        <v>2289.1799999999998</v>
      </c>
      <c r="X105" s="10">
        <v>2113.9899999999998</v>
      </c>
      <c r="Y105" s="8">
        <v>905.7</v>
      </c>
      <c r="Z105" s="8">
        <v>0</v>
      </c>
    </row>
    <row r="106" spans="1:26" x14ac:dyDescent="0.3">
      <c r="A106" s="8" t="s">
        <v>27</v>
      </c>
      <c r="B106" s="8" t="s">
        <v>59</v>
      </c>
      <c r="C106" s="8" t="s">
        <v>29</v>
      </c>
      <c r="D106" s="8" t="s">
        <v>30</v>
      </c>
      <c r="E106" s="8" t="s">
        <v>41</v>
      </c>
      <c r="F106" s="8" t="s">
        <v>191</v>
      </c>
      <c r="G106" s="8">
        <v>2023</v>
      </c>
      <c r="H106" s="8" t="str">
        <f>_xlfn.CONCAT("34240385848")</f>
        <v>34240385848</v>
      </c>
      <c r="I106" s="8" t="s">
        <v>46</v>
      </c>
      <c r="J106" s="8" t="s">
        <v>34</v>
      </c>
      <c r="K106" s="8" t="str">
        <f>_xlfn.CONCAT("")</f>
        <v/>
      </c>
      <c r="L106" s="8" t="str">
        <f>_xlfn.CONCAT("11 11.2 4b")</f>
        <v>11 11.2 4b</v>
      </c>
      <c r="M106" s="8" t="str">
        <f>_xlfn.CONCAT("GDRPRI54M28E783T")</f>
        <v>GDRPRI54M28E783T</v>
      </c>
      <c r="N106" s="8" t="s">
        <v>192</v>
      </c>
      <c r="O106" s="8" t="s">
        <v>99</v>
      </c>
      <c r="P106" s="9">
        <v>45329</v>
      </c>
      <c r="Q106" s="8" t="s">
        <v>37</v>
      </c>
      <c r="R106" s="8" t="s">
        <v>38</v>
      </c>
      <c r="S106" s="8" t="s">
        <v>39</v>
      </c>
      <c r="T106" s="8"/>
      <c r="U106" s="8" t="s">
        <v>40</v>
      </c>
      <c r="V106" s="10">
        <v>3311.66</v>
      </c>
      <c r="W106" s="10">
        <v>1427.99</v>
      </c>
      <c r="X106" s="10">
        <v>1318.7</v>
      </c>
      <c r="Y106" s="8">
        <v>564.97</v>
      </c>
      <c r="Z106" s="8">
        <v>0</v>
      </c>
    </row>
    <row r="107" spans="1:26" x14ac:dyDescent="0.3">
      <c r="A107" s="8" t="s">
        <v>27</v>
      </c>
      <c r="B107" s="8" t="s">
        <v>59</v>
      </c>
      <c r="C107" s="8" t="s">
        <v>29</v>
      </c>
      <c r="D107" s="8" t="s">
        <v>77</v>
      </c>
      <c r="E107" s="8" t="s">
        <v>70</v>
      </c>
      <c r="F107" s="8" t="s">
        <v>193</v>
      </c>
      <c r="G107" s="8">
        <v>2023</v>
      </c>
      <c r="H107" s="8" t="str">
        <f>_xlfn.CONCAT("34240075191")</f>
        <v>34240075191</v>
      </c>
      <c r="I107" s="8" t="s">
        <v>46</v>
      </c>
      <c r="J107" s="8" t="s">
        <v>34</v>
      </c>
      <c r="K107" s="8" t="str">
        <f>_xlfn.CONCAT("")</f>
        <v/>
      </c>
      <c r="L107" s="8" t="str">
        <f>_xlfn.CONCAT("11 11.2 4b")</f>
        <v>11 11.2 4b</v>
      </c>
      <c r="M107" s="8" t="str">
        <f>_xlfn.CONCAT("01985780434")</f>
        <v>01985780434</v>
      </c>
      <c r="N107" s="8" t="s">
        <v>194</v>
      </c>
      <c r="O107" s="8" t="s">
        <v>99</v>
      </c>
      <c r="P107" s="9">
        <v>45329</v>
      </c>
      <c r="Q107" s="8" t="s">
        <v>37</v>
      </c>
      <c r="R107" s="8" t="s">
        <v>38</v>
      </c>
      <c r="S107" s="8" t="s">
        <v>39</v>
      </c>
      <c r="T107" s="8"/>
      <c r="U107" s="8" t="s">
        <v>40</v>
      </c>
      <c r="V107" s="8">
        <v>960.82</v>
      </c>
      <c r="W107" s="8">
        <v>414.31</v>
      </c>
      <c r="X107" s="8">
        <v>382.6</v>
      </c>
      <c r="Y107" s="8">
        <v>163.91</v>
      </c>
      <c r="Z107" s="8">
        <v>0</v>
      </c>
    </row>
    <row r="108" spans="1:26" x14ac:dyDescent="0.3">
      <c r="A108" s="8" t="s">
        <v>27</v>
      </c>
      <c r="B108" s="8" t="s">
        <v>59</v>
      </c>
      <c r="C108" s="8" t="s">
        <v>29</v>
      </c>
      <c r="D108" s="8" t="s">
        <v>44</v>
      </c>
      <c r="E108" s="8" t="s">
        <v>49</v>
      </c>
      <c r="F108" s="8" t="s">
        <v>49</v>
      </c>
      <c r="G108" s="8">
        <v>2023</v>
      </c>
      <c r="H108" s="8" t="str">
        <f>_xlfn.CONCAT("34240380617")</f>
        <v>34240380617</v>
      </c>
      <c r="I108" s="8" t="s">
        <v>46</v>
      </c>
      <c r="J108" s="8" t="s">
        <v>34</v>
      </c>
      <c r="K108" s="8" t="str">
        <f>_xlfn.CONCAT("")</f>
        <v/>
      </c>
      <c r="L108" s="8" t="str">
        <f>_xlfn.CONCAT("11 11.2 4b")</f>
        <v>11 11.2 4b</v>
      </c>
      <c r="M108" s="8" t="str">
        <f>_xlfn.CONCAT("FDLSMN82A30H769Q")</f>
        <v>FDLSMN82A30H769Q</v>
      </c>
      <c r="N108" s="8" t="s">
        <v>170</v>
      </c>
      <c r="O108" s="8" t="s">
        <v>99</v>
      </c>
      <c r="P108" s="9">
        <v>45329</v>
      </c>
      <c r="Q108" s="8" t="s">
        <v>37</v>
      </c>
      <c r="R108" s="8" t="s">
        <v>38</v>
      </c>
      <c r="S108" s="8" t="s">
        <v>39</v>
      </c>
      <c r="T108" s="8"/>
      <c r="U108" s="8" t="s">
        <v>40</v>
      </c>
      <c r="V108" s="10">
        <v>1590.46</v>
      </c>
      <c r="W108" s="8">
        <v>685.81</v>
      </c>
      <c r="X108" s="8">
        <v>633.32000000000005</v>
      </c>
      <c r="Y108" s="8">
        <v>271.33</v>
      </c>
      <c r="Z108" s="8">
        <v>0</v>
      </c>
    </row>
    <row r="109" spans="1:26" x14ac:dyDescent="0.3">
      <c r="A109" s="8" t="s">
        <v>27</v>
      </c>
      <c r="B109" s="8" t="s">
        <v>59</v>
      </c>
      <c r="C109" s="8" t="s">
        <v>29</v>
      </c>
      <c r="D109" s="8" t="s">
        <v>77</v>
      </c>
      <c r="E109" s="8" t="s">
        <v>41</v>
      </c>
      <c r="F109" s="8" t="s">
        <v>45</v>
      </c>
      <c r="G109" s="8">
        <v>2023</v>
      </c>
      <c r="H109" s="8" t="str">
        <f>_xlfn.CONCAT("34240360940")</f>
        <v>34240360940</v>
      </c>
      <c r="I109" s="8" t="s">
        <v>46</v>
      </c>
      <c r="J109" s="8" t="s">
        <v>34</v>
      </c>
      <c r="K109" s="8" t="str">
        <f>_xlfn.CONCAT("")</f>
        <v/>
      </c>
      <c r="L109" s="8" t="str">
        <f>_xlfn.CONCAT("11 11.2 4b")</f>
        <v>11 11.2 4b</v>
      </c>
      <c r="M109" s="8" t="str">
        <f>_xlfn.CONCAT("02083290433")</f>
        <v>02083290433</v>
      </c>
      <c r="N109" s="8" t="s">
        <v>195</v>
      </c>
      <c r="O109" s="8" t="s">
        <v>99</v>
      </c>
      <c r="P109" s="9">
        <v>45329</v>
      </c>
      <c r="Q109" s="8" t="s">
        <v>37</v>
      </c>
      <c r="R109" s="8" t="s">
        <v>38</v>
      </c>
      <c r="S109" s="8" t="s">
        <v>39</v>
      </c>
      <c r="T109" s="8"/>
      <c r="U109" s="8" t="s">
        <v>40</v>
      </c>
      <c r="V109" s="8">
        <v>122.98</v>
      </c>
      <c r="W109" s="8">
        <v>53.03</v>
      </c>
      <c r="X109" s="8">
        <v>48.97</v>
      </c>
      <c r="Y109" s="8">
        <v>20.98</v>
      </c>
      <c r="Z109" s="8">
        <v>0</v>
      </c>
    </row>
    <row r="110" spans="1:26" x14ac:dyDescent="0.3">
      <c r="A110" s="8" t="s">
        <v>27</v>
      </c>
      <c r="B110" s="8" t="s">
        <v>59</v>
      </c>
      <c r="C110" s="8" t="s">
        <v>29</v>
      </c>
      <c r="D110" s="8" t="s">
        <v>30</v>
      </c>
      <c r="E110" s="8" t="s">
        <v>70</v>
      </c>
      <c r="F110" s="8" t="s">
        <v>119</v>
      </c>
      <c r="G110" s="8">
        <v>2023</v>
      </c>
      <c r="H110" s="8" t="str">
        <f>_xlfn.CONCAT("34240482819")</f>
        <v>34240482819</v>
      </c>
      <c r="I110" s="8" t="s">
        <v>46</v>
      </c>
      <c r="J110" s="8" t="s">
        <v>34</v>
      </c>
      <c r="K110" s="8" t="str">
        <f>_xlfn.CONCAT("")</f>
        <v/>
      </c>
      <c r="L110" s="8" t="str">
        <f>_xlfn.CONCAT("11 11.2 4b")</f>
        <v>11 11.2 4b</v>
      </c>
      <c r="M110" s="8" t="str">
        <f>_xlfn.CONCAT("BGINDR81A08E388K")</f>
        <v>BGINDR81A08E388K</v>
      </c>
      <c r="N110" s="8" t="s">
        <v>196</v>
      </c>
      <c r="O110" s="8" t="s">
        <v>99</v>
      </c>
      <c r="P110" s="9">
        <v>45329</v>
      </c>
      <c r="Q110" s="8" t="s">
        <v>37</v>
      </c>
      <c r="R110" s="8" t="s">
        <v>38</v>
      </c>
      <c r="S110" s="8" t="s">
        <v>39</v>
      </c>
      <c r="T110" s="8"/>
      <c r="U110" s="8" t="s">
        <v>40</v>
      </c>
      <c r="V110" s="8">
        <v>178.08</v>
      </c>
      <c r="W110" s="8">
        <v>76.790000000000006</v>
      </c>
      <c r="X110" s="8">
        <v>70.91</v>
      </c>
      <c r="Y110" s="8">
        <v>30.38</v>
      </c>
      <c r="Z110" s="8">
        <v>0</v>
      </c>
    </row>
    <row r="111" spans="1:26" x14ac:dyDescent="0.3">
      <c r="A111" s="8" t="s">
        <v>27</v>
      </c>
      <c r="B111" s="8" t="s">
        <v>59</v>
      </c>
      <c r="C111" s="8" t="s">
        <v>29</v>
      </c>
      <c r="D111" s="8" t="s">
        <v>77</v>
      </c>
      <c r="E111" s="8" t="s">
        <v>70</v>
      </c>
      <c r="F111" s="8" t="s">
        <v>119</v>
      </c>
      <c r="G111" s="8">
        <v>2023</v>
      </c>
      <c r="H111" s="8" t="str">
        <f>_xlfn.CONCAT("34240238690")</f>
        <v>34240238690</v>
      </c>
      <c r="I111" s="8" t="s">
        <v>46</v>
      </c>
      <c r="J111" s="8" t="s">
        <v>34</v>
      </c>
      <c r="K111" s="8" t="str">
        <f>_xlfn.CONCAT("")</f>
        <v/>
      </c>
      <c r="L111" s="8" t="str">
        <f>_xlfn.CONCAT("11 11.2 4b")</f>
        <v>11 11.2 4b</v>
      </c>
      <c r="M111" s="8" t="str">
        <f>_xlfn.CONCAT("PLMMCL74A71E783V")</f>
        <v>PLMMCL74A71E783V</v>
      </c>
      <c r="N111" s="8" t="s">
        <v>197</v>
      </c>
      <c r="O111" s="8" t="s">
        <v>99</v>
      </c>
      <c r="P111" s="9">
        <v>45329</v>
      </c>
      <c r="Q111" s="8" t="s">
        <v>37</v>
      </c>
      <c r="R111" s="8" t="s">
        <v>38</v>
      </c>
      <c r="S111" s="8" t="s">
        <v>39</v>
      </c>
      <c r="T111" s="8"/>
      <c r="U111" s="8" t="s">
        <v>40</v>
      </c>
      <c r="V111" s="8">
        <v>94.96</v>
      </c>
      <c r="W111" s="8">
        <v>40.950000000000003</v>
      </c>
      <c r="X111" s="8">
        <v>37.81</v>
      </c>
      <c r="Y111" s="8">
        <v>16.2</v>
      </c>
      <c r="Z111" s="8">
        <v>0</v>
      </c>
    </row>
    <row r="112" spans="1:26" x14ac:dyDescent="0.3">
      <c r="A112" s="8" t="s">
        <v>27</v>
      </c>
      <c r="B112" s="8" t="s">
        <v>59</v>
      </c>
      <c r="C112" s="8" t="s">
        <v>29</v>
      </c>
      <c r="D112" s="8" t="s">
        <v>44</v>
      </c>
      <c r="E112" s="8" t="s">
        <v>49</v>
      </c>
      <c r="F112" s="8" t="s">
        <v>49</v>
      </c>
      <c r="G112" s="8">
        <v>2023</v>
      </c>
      <c r="H112" s="8" t="str">
        <f>_xlfn.CONCAT("34240626316")</f>
        <v>34240626316</v>
      </c>
      <c r="I112" s="8" t="s">
        <v>46</v>
      </c>
      <c r="J112" s="8" t="s">
        <v>34</v>
      </c>
      <c r="K112" s="8" t="str">
        <f>_xlfn.CONCAT("")</f>
        <v/>
      </c>
      <c r="L112" s="8" t="str">
        <f>_xlfn.CONCAT("11 11.2 4b")</f>
        <v>11 11.2 4b</v>
      </c>
      <c r="M112" s="8" t="str">
        <f>_xlfn.CONCAT("SLVVNT83M50H769I")</f>
        <v>SLVVNT83M50H769I</v>
      </c>
      <c r="N112" s="8" t="s">
        <v>198</v>
      </c>
      <c r="O112" s="8" t="s">
        <v>99</v>
      </c>
      <c r="P112" s="9">
        <v>45329</v>
      </c>
      <c r="Q112" s="8" t="s">
        <v>37</v>
      </c>
      <c r="R112" s="8" t="s">
        <v>38</v>
      </c>
      <c r="S112" s="8" t="s">
        <v>39</v>
      </c>
      <c r="T112" s="8"/>
      <c r="U112" s="8" t="s">
        <v>40</v>
      </c>
      <c r="V112" s="10">
        <v>3861.08</v>
      </c>
      <c r="W112" s="10">
        <v>1664.9</v>
      </c>
      <c r="X112" s="10">
        <v>1537.48</v>
      </c>
      <c r="Y112" s="8">
        <v>658.7</v>
      </c>
      <c r="Z112" s="8">
        <v>0</v>
      </c>
    </row>
    <row r="113" spans="1:26" x14ac:dyDescent="0.3">
      <c r="A113" s="8" t="s">
        <v>27</v>
      </c>
      <c r="B113" s="8" t="s">
        <v>59</v>
      </c>
      <c r="C113" s="8" t="s">
        <v>29</v>
      </c>
      <c r="D113" s="8" t="s">
        <v>77</v>
      </c>
      <c r="E113" s="8" t="s">
        <v>66</v>
      </c>
      <c r="F113" s="8" t="s">
        <v>138</v>
      </c>
      <c r="G113" s="8">
        <v>2023</v>
      </c>
      <c r="H113" s="8" t="str">
        <f>_xlfn.CONCAT("34240721612")</f>
        <v>34240721612</v>
      </c>
      <c r="I113" s="8" t="s">
        <v>46</v>
      </c>
      <c r="J113" s="8" t="s">
        <v>34</v>
      </c>
      <c r="K113" s="8" t="str">
        <f>_xlfn.CONCAT("")</f>
        <v/>
      </c>
      <c r="L113" s="8" t="str">
        <f>_xlfn.CONCAT("11 11.2 4b")</f>
        <v>11 11.2 4b</v>
      </c>
      <c r="M113" s="8" t="str">
        <f>_xlfn.CONCAT("MCZLCU44A24M078N")</f>
        <v>MCZLCU44A24M078N</v>
      </c>
      <c r="N113" s="8" t="s">
        <v>199</v>
      </c>
      <c r="O113" s="8" t="s">
        <v>99</v>
      </c>
      <c r="P113" s="9">
        <v>45329</v>
      </c>
      <c r="Q113" s="8" t="s">
        <v>37</v>
      </c>
      <c r="R113" s="8" t="s">
        <v>38</v>
      </c>
      <c r="S113" s="8" t="s">
        <v>39</v>
      </c>
      <c r="T113" s="8"/>
      <c r="U113" s="8" t="s">
        <v>40</v>
      </c>
      <c r="V113" s="10">
        <v>13271.48</v>
      </c>
      <c r="W113" s="10">
        <v>5722.66</v>
      </c>
      <c r="X113" s="10">
        <v>5284.7</v>
      </c>
      <c r="Y113" s="10">
        <v>2264.12</v>
      </c>
      <c r="Z113" s="8">
        <v>0</v>
      </c>
    </row>
    <row r="114" spans="1:26" x14ac:dyDescent="0.3">
      <c r="A114" s="8" t="s">
        <v>27</v>
      </c>
      <c r="B114" s="8" t="s">
        <v>59</v>
      </c>
      <c r="C114" s="8" t="s">
        <v>29</v>
      </c>
      <c r="D114" s="8" t="s">
        <v>44</v>
      </c>
      <c r="E114" s="8" t="s">
        <v>31</v>
      </c>
      <c r="F114" s="8" t="s">
        <v>128</v>
      </c>
      <c r="G114" s="8">
        <v>2023</v>
      </c>
      <c r="H114" s="8" t="str">
        <f>_xlfn.CONCAT("34240248277")</f>
        <v>34240248277</v>
      </c>
      <c r="I114" s="8" t="s">
        <v>46</v>
      </c>
      <c r="J114" s="8" t="s">
        <v>34</v>
      </c>
      <c r="K114" s="8" t="str">
        <f>_xlfn.CONCAT("")</f>
        <v/>
      </c>
      <c r="L114" s="8" t="str">
        <f>_xlfn.CONCAT("11 11.2 4b")</f>
        <v>11 11.2 4b</v>
      </c>
      <c r="M114" s="8" t="str">
        <f>_xlfn.CONCAT("01687620441")</f>
        <v>01687620441</v>
      </c>
      <c r="N114" s="8" t="s">
        <v>200</v>
      </c>
      <c r="O114" s="8" t="s">
        <v>99</v>
      </c>
      <c r="P114" s="9">
        <v>45329</v>
      </c>
      <c r="Q114" s="8" t="s">
        <v>37</v>
      </c>
      <c r="R114" s="8" t="s">
        <v>38</v>
      </c>
      <c r="S114" s="8" t="s">
        <v>39</v>
      </c>
      <c r="T114" s="8"/>
      <c r="U114" s="8" t="s">
        <v>40</v>
      </c>
      <c r="V114" s="8">
        <v>389.87</v>
      </c>
      <c r="W114" s="8">
        <v>168.11</v>
      </c>
      <c r="X114" s="8">
        <v>155.25</v>
      </c>
      <c r="Y114" s="8">
        <v>66.510000000000005</v>
      </c>
      <c r="Z114" s="8">
        <v>0</v>
      </c>
    </row>
    <row r="115" spans="1:26" x14ac:dyDescent="0.3">
      <c r="A115" s="8" t="s">
        <v>27</v>
      </c>
      <c r="B115" s="8" t="s">
        <v>59</v>
      </c>
      <c r="C115" s="8" t="s">
        <v>29</v>
      </c>
      <c r="D115" s="8" t="s">
        <v>44</v>
      </c>
      <c r="E115" s="8" t="s">
        <v>41</v>
      </c>
      <c r="F115" s="8" t="s">
        <v>201</v>
      </c>
      <c r="G115" s="8">
        <v>2023</v>
      </c>
      <c r="H115" s="8" t="str">
        <f>_xlfn.CONCAT("34240322395")</f>
        <v>34240322395</v>
      </c>
      <c r="I115" s="8" t="s">
        <v>46</v>
      </c>
      <c r="J115" s="8" t="s">
        <v>34</v>
      </c>
      <c r="K115" s="8" t="str">
        <f>_xlfn.CONCAT("")</f>
        <v/>
      </c>
      <c r="L115" s="8" t="str">
        <f>_xlfn.CONCAT("11 11.2 4b")</f>
        <v>11 11.2 4b</v>
      </c>
      <c r="M115" s="8" t="str">
        <f>_xlfn.CONCAT("MRCMNL96A55A462T")</f>
        <v>MRCMNL96A55A462T</v>
      </c>
      <c r="N115" s="8" t="s">
        <v>202</v>
      </c>
      <c r="O115" s="8" t="s">
        <v>99</v>
      </c>
      <c r="P115" s="9">
        <v>45329</v>
      </c>
      <c r="Q115" s="8" t="s">
        <v>37</v>
      </c>
      <c r="R115" s="8" t="s">
        <v>38</v>
      </c>
      <c r="S115" s="8" t="s">
        <v>39</v>
      </c>
      <c r="T115" s="8"/>
      <c r="U115" s="8" t="s">
        <v>40</v>
      </c>
      <c r="V115" s="10">
        <v>1095.6500000000001</v>
      </c>
      <c r="W115" s="8">
        <v>472.44</v>
      </c>
      <c r="X115" s="8">
        <v>436.29</v>
      </c>
      <c r="Y115" s="8">
        <v>186.92</v>
      </c>
      <c r="Z115" s="8">
        <v>0</v>
      </c>
    </row>
    <row r="116" spans="1:26" x14ac:dyDescent="0.3">
      <c r="A116" s="8" t="s">
        <v>27</v>
      </c>
      <c r="B116" s="8" t="s">
        <v>59</v>
      </c>
      <c r="C116" s="8" t="s">
        <v>29</v>
      </c>
      <c r="D116" s="8" t="s">
        <v>77</v>
      </c>
      <c r="E116" s="8" t="s">
        <v>41</v>
      </c>
      <c r="F116" s="8" t="s">
        <v>89</v>
      </c>
      <c r="G116" s="8">
        <v>2023</v>
      </c>
      <c r="H116" s="8" t="str">
        <f>_xlfn.CONCAT("34240247428")</f>
        <v>34240247428</v>
      </c>
      <c r="I116" s="8" t="s">
        <v>46</v>
      </c>
      <c r="J116" s="8" t="s">
        <v>34</v>
      </c>
      <c r="K116" s="8" t="str">
        <f>_xlfn.CONCAT("")</f>
        <v/>
      </c>
      <c r="L116" s="8" t="str">
        <f>_xlfn.CONCAT("11 11.2 4b")</f>
        <v>11 11.2 4b</v>
      </c>
      <c r="M116" s="8" t="str">
        <f>_xlfn.CONCAT("MCHMRA64S14G436B")</f>
        <v>MCHMRA64S14G436B</v>
      </c>
      <c r="N116" s="8" t="s">
        <v>203</v>
      </c>
      <c r="O116" s="8" t="s">
        <v>99</v>
      </c>
      <c r="P116" s="9">
        <v>45329</v>
      </c>
      <c r="Q116" s="8" t="s">
        <v>37</v>
      </c>
      <c r="R116" s="8" t="s">
        <v>38</v>
      </c>
      <c r="S116" s="8" t="s">
        <v>39</v>
      </c>
      <c r="T116" s="8"/>
      <c r="U116" s="8" t="s">
        <v>40</v>
      </c>
      <c r="V116" s="10">
        <v>1033.33</v>
      </c>
      <c r="W116" s="8">
        <v>445.57</v>
      </c>
      <c r="X116" s="8">
        <v>411.47</v>
      </c>
      <c r="Y116" s="8">
        <v>176.29</v>
      </c>
      <c r="Z116" s="8">
        <v>0</v>
      </c>
    </row>
    <row r="117" spans="1:26" x14ac:dyDescent="0.3">
      <c r="A117" s="8" t="s">
        <v>27</v>
      </c>
      <c r="B117" s="8" t="s">
        <v>59</v>
      </c>
      <c r="C117" s="8" t="s">
        <v>29</v>
      </c>
      <c r="D117" s="8" t="s">
        <v>77</v>
      </c>
      <c r="E117" s="8" t="s">
        <v>66</v>
      </c>
      <c r="F117" s="8" t="s">
        <v>67</v>
      </c>
      <c r="G117" s="8">
        <v>2023</v>
      </c>
      <c r="H117" s="8" t="str">
        <f>_xlfn.CONCAT("34240193101")</f>
        <v>34240193101</v>
      </c>
      <c r="I117" s="8" t="s">
        <v>46</v>
      </c>
      <c r="J117" s="8" t="s">
        <v>34</v>
      </c>
      <c r="K117" s="8" t="str">
        <f>_xlfn.CONCAT("")</f>
        <v/>
      </c>
      <c r="L117" s="8" t="str">
        <f>_xlfn.CONCAT("11 11.2 4b")</f>
        <v>11 11.2 4b</v>
      </c>
      <c r="M117" s="8" t="str">
        <f>_xlfn.CONCAT("00898770433")</f>
        <v>00898770433</v>
      </c>
      <c r="N117" s="8" t="s">
        <v>204</v>
      </c>
      <c r="O117" s="8" t="s">
        <v>99</v>
      </c>
      <c r="P117" s="9">
        <v>45329</v>
      </c>
      <c r="Q117" s="8" t="s">
        <v>37</v>
      </c>
      <c r="R117" s="8" t="s">
        <v>38</v>
      </c>
      <c r="S117" s="8" t="s">
        <v>39</v>
      </c>
      <c r="T117" s="8"/>
      <c r="U117" s="8" t="s">
        <v>40</v>
      </c>
      <c r="V117" s="10">
        <v>3231.07</v>
      </c>
      <c r="W117" s="10">
        <v>1393.24</v>
      </c>
      <c r="X117" s="10">
        <v>1286.6099999999999</v>
      </c>
      <c r="Y117" s="8">
        <v>551.22</v>
      </c>
      <c r="Z117" s="8">
        <v>0</v>
      </c>
    </row>
    <row r="118" spans="1:26" x14ac:dyDescent="0.3">
      <c r="A118" s="8" t="s">
        <v>27</v>
      </c>
      <c r="B118" s="8" t="s">
        <v>59</v>
      </c>
      <c r="C118" s="8" t="s">
        <v>29</v>
      </c>
      <c r="D118" s="8" t="s">
        <v>77</v>
      </c>
      <c r="E118" s="8" t="s">
        <v>41</v>
      </c>
      <c r="F118" s="8" t="s">
        <v>205</v>
      </c>
      <c r="G118" s="8">
        <v>2023</v>
      </c>
      <c r="H118" s="8" t="str">
        <f>_xlfn.CONCAT("34240385657")</f>
        <v>34240385657</v>
      </c>
      <c r="I118" s="8" t="s">
        <v>46</v>
      </c>
      <c r="J118" s="8" t="s">
        <v>34</v>
      </c>
      <c r="K118" s="8" t="str">
        <f>_xlfn.CONCAT("")</f>
        <v/>
      </c>
      <c r="L118" s="8" t="str">
        <f>_xlfn.CONCAT("11 11.2 4b")</f>
        <v>11 11.2 4b</v>
      </c>
      <c r="M118" s="8" t="str">
        <f>_xlfn.CONCAT("01963850431")</f>
        <v>01963850431</v>
      </c>
      <c r="N118" s="8" t="s">
        <v>206</v>
      </c>
      <c r="O118" s="8" t="s">
        <v>99</v>
      </c>
      <c r="P118" s="9">
        <v>45329</v>
      </c>
      <c r="Q118" s="8" t="s">
        <v>37</v>
      </c>
      <c r="R118" s="8" t="s">
        <v>38</v>
      </c>
      <c r="S118" s="8" t="s">
        <v>39</v>
      </c>
      <c r="T118" s="8"/>
      <c r="U118" s="8" t="s">
        <v>40</v>
      </c>
      <c r="V118" s="8">
        <v>541.33000000000004</v>
      </c>
      <c r="W118" s="8">
        <v>233.42</v>
      </c>
      <c r="X118" s="8">
        <v>215.56</v>
      </c>
      <c r="Y118" s="8">
        <v>92.35</v>
      </c>
      <c r="Z118" s="8">
        <v>0</v>
      </c>
    </row>
    <row r="119" spans="1:26" x14ac:dyDescent="0.3">
      <c r="A119" s="8" t="s">
        <v>27</v>
      </c>
      <c r="B119" s="8" t="s">
        <v>59</v>
      </c>
      <c r="C119" s="8" t="s">
        <v>29</v>
      </c>
      <c r="D119" s="8" t="s">
        <v>44</v>
      </c>
      <c r="E119" s="8" t="s">
        <v>49</v>
      </c>
      <c r="F119" s="8" t="s">
        <v>49</v>
      </c>
      <c r="G119" s="8">
        <v>2023</v>
      </c>
      <c r="H119" s="8" t="str">
        <f>_xlfn.CONCAT("34240211374")</f>
        <v>34240211374</v>
      </c>
      <c r="I119" s="8" t="s">
        <v>46</v>
      </c>
      <c r="J119" s="8" t="s">
        <v>34</v>
      </c>
      <c r="K119" s="8" t="str">
        <f>_xlfn.CONCAT("")</f>
        <v/>
      </c>
      <c r="L119" s="8" t="str">
        <f>_xlfn.CONCAT("11 11.2 4b")</f>
        <v>11 11.2 4b</v>
      </c>
      <c r="M119" s="8" t="str">
        <f>_xlfn.CONCAT("CMLFLL56L43E207X")</f>
        <v>CMLFLL56L43E207X</v>
      </c>
      <c r="N119" s="8" t="s">
        <v>207</v>
      </c>
      <c r="O119" s="8" t="s">
        <v>99</v>
      </c>
      <c r="P119" s="9">
        <v>45329</v>
      </c>
      <c r="Q119" s="8" t="s">
        <v>37</v>
      </c>
      <c r="R119" s="8" t="s">
        <v>38</v>
      </c>
      <c r="S119" s="8" t="s">
        <v>39</v>
      </c>
      <c r="T119" s="8"/>
      <c r="U119" s="8" t="s">
        <v>40</v>
      </c>
      <c r="V119" s="10">
        <v>1322.44</v>
      </c>
      <c r="W119" s="8">
        <v>570.24</v>
      </c>
      <c r="X119" s="8">
        <v>526.6</v>
      </c>
      <c r="Y119" s="8">
        <v>225.6</v>
      </c>
      <c r="Z119" s="8">
        <v>0</v>
      </c>
    </row>
    <row r="120" spans="1:26" x14ac:dyDescent="0.3">
      <c r="A120" s="8" t="s">
        <v>27</v>
      </c>
      <c r="B120" s="8" t="s">
        <v>59</v>
      </c>
      <c r="C120" s="8" t="s">
        <v>29</v>
      </c>
      <c r="D120" s="8" t="s">
        <v>77</v>
      </c>
      <c r="E120" s="8" t="s">
        <v>41</v>
      </c>
      <c r="F120" s="8" t="s">
        <v>45</v>
      </c>
      <c r="G120" s="8">
        <v>2023</v>
      </c>
      <c r="H120" s="8" t="str">
        <f>_xlfn.CONCAT("34240218445")</f>
        <v>34240218445</v>
      </c>
      <c r="I120" s="8" t="s">
        <v>46</v>
      </c>
      <c r="J120" s="8" t="s">
        <v>34</v>
      </c>
      <c r="K120" s="8" t="str">
        <f>_xlfn.CONCAT("")</f>
        <v/>
      </c>
      <c r="L120" s="8" t="str">
        <f>_xlfn.CONCAT("11 11.2 4b")</f>
        <v>11 11.2 4b</v>
      </c>
      <c r="M120" s="8" t="str">
        <f>_xlfn.CONCAT("BNDGRL80B04F051G")</f>
        <v>BNDGRL80B04F051G</v>
      </c>
      <c r="N120" s="8" t="s">
        <v>208</v>
      </c>
      <c r="O120" s="8" t="s">
        <v>99</v>
      </c>
      <c r="P120" s="9">
        <v>45329</v>
      </c>
      <c r="Q120" s="8" t="s">
        <v>37</v>
      </c>
      <c r="R120" s="8" t="s">
        <v>38</v>
      </c>
      <c r="S120" s="8" t="s">
        <v>39</v>
      </c>
      <c r="T120" s="8"/>
      <c r="U120" s="8" t="s">
        <v>40</v>
      </c>
      <c r="V120" s="8">
        <v>124.17</v>
      </c>
      <c r="W120" s="8">
        <v>53.54</v>
      </c>
      <c r="X120" s="8">
        <v>49.44</v>
      </c>
      <c r="Y120" s="8">
        <v>21.19</v>
      </c>
      <c r="Z120" s="8">
        <v>0</v>
      </c>
    </row>
    <row r="121" spans="1:26" x14ac:dyDescent="0.3">
      <c r="A121" s="8" t="s">
        <v>27</v>
      </c>
      <c r="B121" s="8" t="s">
        <v>59</v>
      </c>
      <c r="C121" s="8" t="s">
        <v>29</v>
      </c>
      <c r="D121" s="8" t="s">
        <v>77</v>
      </c>
      <c r="E121" s="8" t="s">
        <v>41</v>
      </c>
      <c r="F121" s="8" t="s">
        <v>45</v>
      </c>
      <c r="G121" s="8">
        <v>2023</v>
      </c>
      <c r="H121" s="8" t="str">
        <f>_xlfn.CONCAT("34240219088")</f>
        <v>34240219088</v>
      </c>
      <c r="I121" s="8" t="s">
        <v>46</v>
      </c>
      <c r="J121" s="8" t="s">
        <v>34</v>
      </c>
      <c r="K121" s="8" t="str">
        <f>_xlfn.CONCAT("")</f>
        <v/>
      </c>
      <c r="L121" s="8" t="str">
        <f>_xlfn.CONCAT("11 11.2 4b")</f>
        <v>11 11.2 4b</v>
      </c>
      <c r="M121" s="8" t="str">
        <f>_xlfn.CONCAT("BNDGRL80B04F051G")</f>
        <v>BNDGRL80B04F051G</v>
      </c>
      <c r="N121" s="8" t="s">
        <v>208</v>
      </c>
      <c r="O121" s="8" t="s">
        <v>99</v>
      </c>
      <c r="P121" s="9">
        <v>45329</v>
      </c>
      <c r="Q121" s="8" t="s">
        <v>37</v>
      </c>
      <c r="R121" s="8" t="s">
        <v>38</v>
      </c>
      <c r="S121" s="8" t="s">
        <v>39</v>
      </c>
      <c r="T121" s="8"/>
      <c r="U121" s="8" t="s">
        <v>40</v>
      </c>
      <c r="V121" s="8">
        <v>449.51</v>
      </c>
      <c r="W121" s="8">
        <v>193.83</v>
      </c>
      <c r="X121" s="8">
        <v>178.99</v>
      </c>
      <c r="Y121" s="8">
        <v>76.69</v>
      </c>
      <c r="Z121" s="8">
        <v>0</v>
      </c>
    </row>
    <row r="122" spans="1:26" x14ac:dyDescent="0.3">
      <c r="A122" s="8" t="s">
        <v>27</v>
      </c>
      <c r="B122" s="8" t="s">
        <v>59</v>
      </c>
      <c r="C122" s="8" t="s">
        <v>29</v>
      </c>
      <c r="D122" s="8" t="s">
        <v>77</v>
      </c>
      <c r="E122" s="8" t="s">
        <v>41</v>
      </c>
      <c r="F122" s="8" t="s">
        <v>168</v>
      </c>
      <c r="G122" s="8">
        <v>2023</v>
      </c>
      <c r="H122" s="8" t="str">
        <f>_xlfn.CONCAT("34240294107")</f>
        <v>34240294107</v>
      </c>
      <c r="I122" s="8" t="s">
        <v>46</v>
      </c>
      <c r="J122" s="8" t="s">
        <v>34</v>
      </c>
      <c r="K122" s="8" t="str">
        <f>_xlfn.CONCAT("")</f>
        <v/>
      </c>
      <c r="L122" s="8" t="str">
        <f>_xlfn.CONCAT("11 11.2 4b")</f>
        <v>11 11.2 4b</v>
      </c>
      <c r="M122" s="8" t="str">
        <f>_xlfn.CONCAT("GSIFLV76C71E783X")</f>
        <v>GSIFLV76C71E783X</v>
      </c>
      <c r="N122" s="8" t="s">
        <v>209</v>
      </c>
      <c r="O122" s="8" t="s">
        <v>99</v>
      </c>
      <c r="P122" s="9">
        <v>45329</v>
      </c>
      <c r="Q122" s="8" t="s">
        <v>37</v>
      </c>
      <c r="R122" s="8" t="s">
        <v>38</v>
      </c>
      <c r="S122" s="8" t="s">
        <v>39</v>
      </c>
      <c r="T122" s="8"/>
      <c r="U122" s="8" t="s">
        <v>40</v>
      </c>
      <c r="V122" s="8">
        <v>369.41</v>
      </c>
      <c r="W122" s="8">
        <v>159.29</v>
      </c>
      <c r="X122" s="8">
        <v>147.1</v>
      </c>
      <c r="Y122" s="8">
        <v>63.02</v>
      </c>
      <c r="Z122" s="8">
        <v>0</v>
      </c>
    </row>
    <row r="123" spans="1:26" x14ac:dyDescent="0.3">
      <c r="A123" s="8" t="s">
        <v>27</v>
      </c>
      <c r="B123" s="8" t="s">
        <v>59</v>
      </c>
      <c r="C123" s="8" t="s">
        <v>29</v>
      </c>
      <c r="D123" s="8" t="s">
        <v>77</v>
      </c>
      <c r="E123" s="8" t="s">
        <v>66</v>
      </c>
      <c r="F123" s="8" t="s">
        <v>95</v>
      </c>
      <c r="G123" s="8">
        <v>2023</v>
      </c>
      <c r="H123" s="8" t="str">
        <f>_xlfn.CONCAT("34240301191")</f>
        <v>34240301191</v>
      </c>
      <c r="I123" s="8" t="s">
        <v>46</v>
      </c>
      <c r="J123" s="8" t="s">
        <v>34</v>
      </c>
      <c r="K123" s="8" t="str">
        <f>_xlfn.CONCAT("")</f>
        <v/>
      </c>
      <c r="L123" s="8" t="str">
        <f>_xlfn.CONCAT("11 11.2 4b")</f>
        <v>11 11.2 4b</v>
      </c>
      <c r="M123" s="8" t="str">
        <f>_xlfn.CONCAT("FRSGVS47H08D628L")</f>
        <v>FRSGVS47H08D628L</v>
      </c>
      <c r="N123" s="8" t="s">
        <v>210</v>
      </c>
      <c r="O123" s="8" t="s">
        <v>99</v>
      </c>
      <c r="P123" s="9">
        <v>45329</v>
      </c>
      <c r="Q123" s="8" t="s">
        <v>37</v>
      </c>
      <c r="R123" s="8" t="s">
        <v>38</v>
      </c>
      <c r="S123" s="8" t="s">
        <v>39</v>
      </c>
      <c r="T123" s="8"/>
      <c r="U123" s="8" t="s">
        <v>40</v>
      </c>
      <c r="V123" s="10">
        <v>11173.49</v>
      </c>
      <c r="W123" s="10">
        <v>4818.01</v>
      </c>
      <c r="X123" s="10">
        <v>4449.28</v>
      </c>
      <c r="Y123" s="10">
        <v>1906.2</v>
      </c>
      <c r="Z123" s="8">
        <v>0</v>
      </c>
    </row>
    <row r="124" spans="1:26" ht="20.399999999999999" x14ac:dyDescent="0.3">
      <c r="A124" s="8" t="s">
        <v>27</v>
      </c>
      <c r="B124" s="8" t="s">
        <v>59</v>
      </c>
      <c r="C124" s="8" t="s">
        <v>29</v>
      </c>
      <c r="D124" s="8" t="s">
        <v>30</v>
      </c>
      <c r="E124" s="8" t="s">
        <v>31</v>
      </c>
      <c r="F124" s="8" t="s">
        <v>32</v>
      </c>
      <c r="G124" s="8">
        <v>2023</v>
      </c>
      <c r="H124" s="8" t="str">
        <f>_xlfn.CONCAT("34240021377")</f>
        <v>34240021377</v>
      </c>
      <c r="I124" s="8" t="s">
        <v>46</v>
      </c>
      <c r="J124" s="8" t="s">
        <v>34</v>
      </c>
      <c r="K124" s="8" t="str">
        <f>_xlfn.CONCAT("")</f>
        <v/>
      </c>
      <c r="L124" s="8" t="str">
        <f>_xlfn.CONCAT("11 11.2 4b")</f>
        <v>11 11.2 4b</v>
      </c>
      <c r="M124" s="8" t="str">
        <f>_xlfn.CONCAT("02803630421")</f>
        <v>02803630421</v>
      </c>
      <c r="N124" s="8" t="s">
        <v>211</v>
      </c>
      <c r="O124" s="8" t="s">
        <v>99</v>
      </c>
      <c r="P124" s="9">
        <v>45329</v>
      </c>
      <c r="Q124" s="8" t="s">
        <v>37</v>
      </c>
      <c r="R124" s="8" t="s">
        <v>38</v>
      </c>
      <c r="S124" s="8" t="s">
        <v>39</v>
      </c>
      <c r="T124" s="8"/>
      <c r="U124" s="8" t="s">
        <v>40</v>
      </c>
      <c r="V124" s="8">
        <v>337.26</v>
      </c>
      <c r="W124" s="8">
        <v>145.43</v>
      </c>
      <c r="X124" s="8">
        <v>134.30000000000001</v>
      </c>
      <c r="Y124" s="8">
        <v>57.53</v>
      </c>
      <c r="Z124" s="8">
        <v>0</v>
      </c>
    </row>
    <row r="125" spans="1:26" x14ac:dyDescent="0.3">
      <c r="A125" s="8" t="s">
        <v>27</v>
      </c>
      <c r="B125" s="8" t="s">
        <v>59</v>
      </c>
      <c r="C125" s="8" t="s">
        <v>29</v>
      </c>
      <c r="D125" s="8" t="s">
        <v>30</v>
      </c>
      <c r="E125" s="8" t="s">
        <v>31</v>
      </c>
      <c r="F125" s="8" t="s">
        <v>84</v>
      </c>
      <c r="G125" s="8">
        <v>2023</v>
      </c>
      <c r="H125" s="8" t="str">
        <f>_xlfn.CONCAT("34240280858")</f>
        <v>34240280858</v>
      </c>
      <c r="I125" s="8" t="s">
        <v>46</v>
      </c>
      <c r="J125" s="8" t="s">
        <v>34</v>
      </c>
      <c r="K125" s="8" t="str">
        <f>_xlfn.CONCAT("")</f>
        <v/>
      </c>
      <c r="L125" s="8" t="str">
        <f>_xlfn.CONCAT("11 11.2 4b")</f>
        <v>11 11.2 4b</v>
      </c>
      <c r="M125" s="8" t="str">
        <f>_xlfn.CONCAT("SNTMRA55A58B474Y")</f>
        <v>SNTMRA55A58B474Y</v>
      </c>
      <c r="N125" s="8" t="s">
        <v>212</v>
      </c>
      <c r="O125" s="8" t="s">
        <v>99</v>
      </c>
      <c r="P125" s="9">
        <v>45329</v>
      </c>
      <c r="Q125" s="8" t="s">
        <v>37</v>
      </c>
      <c r="R125" s="8" t="s">
        <v>38</v>
      </c>
      <c r="S125" s="8" t="s">
        <v>39</v>
      </c>
      <c r="T125" s="8"/>
      <c r="U125" s="8" t="s">
        <v>40</v>
      </c>
      <c r="V125" s="10">
        <v>1599.15</v>
      </c>
      <c r="W125" s="8">
        <v>689.55</v>
      </c>
      <c r="X125" s="8">
        <v>636.78</v>
      </c>
      <c r="Y125" s="8">
        <v>272.82</v>
      </c>
      <c r="Z125" s="8">
        <v>0</v>
      </c>
    </row>
    <row r="126" spans="1:26" x14ac:dyDescent="0.3">
      <c r="A126" s="8" t="s">
        <v>27</v>
      </c>
      <c r="B126" s="8" t="s">
        <v>59</v>
      </c>
      <c r="C126" s="8" t="s">
        <v>29</v>
      </c>
      <c r="D126" s="8" t="s">
        <v>77</v>
      </c>
      <c r="E126" s="8" t="s">
        <v>66</v>
      </c>
      <c r="F126" s="8" t="s">
        <v>78</v>
      </c>
      <c r="G126" s="8">
        <v>2023</v>
      </c>
      <c r="H126" s="8" t="str">
        <f>_xlfn.CONCAT("34240487263")</f>
        <v>34240487263</v>
      </c>
      <c r="I126" s="8" t="s">
        <v>46</v>
      </c>
      <c r="J126" s="8" t="s">
        <v>34</v>
      </c>
      <c r="K126" s="8" t="str">
        <f>_xlfn.CONCAT("")</f>
        <v/>
      </c>
      <c r="L126" s="8" t="str">
        <f>_xlfn.CONCAT("11 11.2 4b")</f>
        <v>11 11.2 4b</v>
      </c>
      <c r="M126" s="8" t="str">
        <f>_xlfn.CONCAT("00986980431")</f>
        <v>00986980431</v>
      </c>
      <c r="N126" s="8" t="s">
        <v>213</v>
      </c>
      <c r="O126" s="8" t="s">
        <v>99</v>
      </c>
      <c r="P126" s="9">
        <v>45329</v>
      </c>
      <c r="Q126" s="8" t="s">
        <v>37</v>
      </c>
      <c r="R126" s="8" t="s">
        <v>38</v>
      </c>
      <c r="S126" s="8" t="s">
        <v>39</v>
      </c>
      <c r="T126" s="8"/>
      <c r="U126" s="8" t="s">
        <v>40</v>
      </c>
      <c r="V126" s="8">
        <v>243.03</v>
      </c>
      <c r="W126" s="8">
        <v>104.79</v>
      </c>
      <c r="X126" s="8">
        <v>96.77</v>
      </c>
      <c r="Y126" s="8">
        <v>41.47</v>
      </c>
      <c r="Z126" s="8">
        <v>0</v>
      </c>
    </row>
    <row r="127" spans="1:26" x14ac:dyDescent="0.3">
      <c r="A127" s="8" t="s">
        <v>27</v>
      </c>
      <c r="B127" s="8" t="s">
        <v>59</v>
      </c>
      <c r="C127" s="8" t="s">
        <v>29</v>
      </c>
      <c r="D127" s="8" t="s">
        <v>77</v>
      </c>
      <c r="E127" s="8" t="s">
        <v>66</v>
      </c>
      <c r="F127" s="8" t="s">
        <v>97</v>
      </c>
      <c r="G127" s="8">
        <v>2016</v>
      </c>
      <c r="H127" s="8" t="str">
        <f>_xlfn.CONCAT("64240641767")</f>
        <v>64240641767</v>
      </c>
      <c r="I127" s="8" t="s">
        <v>46</v>
      </c>
      <c r="J127" s="8" t="s">
        <v>34</v>
      </c>
      <c r="K127" s="8" t="str">
        <f>_xlfn.CONCAT("")</f>
        <v/>
      </c>
      <c r="L127" s="8" t="str">
        <f>_xlfn.CONCAT("11 11.2 4b")</f>
        <v>11 11.2 4b</v>
      </c>
      <c r="M127" s="8" t="str">
        <f>_xlfn.CONCAT("GBRCRN64T58F496M")</f>
        <v>GBRCRN64T58F496M</v>
      </c>
      <c r="N127" s="8" t="s">
        <v>214</v>
      </c>
      <c r="O127" s="8" t="s">
        <v>99</v>
      </c>
      <c r="P127" s="9">
        <v>45329</v>
      </c>
      <c r="Q127" s="8" t="s">
        <v>37</v>
      </c>
      <c r="R127" s="8" t="s">
        <v>38</v>
      </c>
      <c r="S127" s="8" t="s">
        <v>39</v>
      </c>
      <c r="T127" s="8"/>
      <c r="U127" s="8" t="s">
        <v>40</v>
      </c>
      <c r="V127" s="10">
        <v>6507.32</v>
      </c>
      <c r="W127" s="10">
        <v>2805.96</v>
      </c>
      <c r="X127" s="10">
        <v>2591.21</v>
      </c>
      <c r="Y127" s="10">
        <v>1110.1500000000001</v>
      </c>
      <c r="Z127" s="8">
        <v>0</v>
      </c>
    </row>
    <row r="128" spans="1:26" x14ac:dyDescent="0.3">
      <c r="A128" s="8" t="s">
        <v>27</v>
      </c>
      <c r="B128" s="8" t="s">
        <v>59</v>
      </c>
      <c r="C128" s="8" t="s">
        <v>29</v>
      </c>
      <c r="D128" s="8" t="s">
        <v>77</v>
      </c>
      <c r="E128" s="8" t="s">
        <v>66</v>
      </c>
      <c r="F128" s="8" t="s">
        <v>138</v>
      </c>
      <c r="G128" s="8">
        <v>2023</v>
      </c>
      <c r="H128" s="8" t="str">
        <f>_xlfn.CONCAT("34240237429")</f>
        <v>34240237429</v>
      </c>
      <c r="I128" s="8" t="s">
        <v>46</v>
      </c>
      <c r="J128" s="8" t="s">
        <v>34</v>
      </c>
      <c r="K128" s="8" t="str">
        <f>_xlfn.CONCAT("")</f>
        <v/>
      </c>
      <c r="L128" s="8" t="str">
        <f>_xlfn.CONCAT("11 11.2 4b")</f>
        <v>11 11.2 4b</v>
      </c>
      <c r="M128" s="8" t="str">
        <f>_xlfn.CONCAT("PNCNTN61C29C886T")</f>
        <v>PNCNTN61C29C886T</v>
      </c>
      <c r="N128" s="8" t="s">
        <v>215</v>
      </c>
      <c r="O128" s="8" t="s">
        <v>99</v>
      </c>
      <c r="P128" s="9">
        <v>45329</v>
      </c>
      <c r="Q128" s="8" t="s">
        <v>37</v>
      </c>
      <c r="R128" s="8" t="s">
        <v>38</v>
      </c>
      <c r="S128" s="8" t="s">
        <v>39</v>
      </c>
      <c r="T128" s="8"/>
      <c r="U128" s="8" t="s">
        <v>40</v>
      </c>
      <c r="V128" s="10">
        <v>1725.34</v>
      </c>
      <c r="W128" s="8">
        <v>743.97</v>
      </c>
      <c r="X128" s="8">
        <v>687.03</v>
      </c>
      <c r="Y128" s="8">
        <v>294.33999999999997</v>
      </c>
      <c r="Z128" s="8">
        <v>0</v>
      </c>
    </row>
    <row r="129" spans="1:26" x14ac:dyDescent="0.3">
      <c r="A129" s="8" t="s">
        <v>27</v>
      </c>
      <c r="B129" s="8" t="s">
        <v>59</v>
      </c>
      <c r="C129" s="8" t="s">
        <v>29</v>
      </c>
      <c r="D129" s="8" t="s">
        <v>30</v>
      </c>
      <c r="E129" s="8" t="s">
        <v>81</v>
      </c>
      <c r="F129" s="8" t="s">
        <v>216</v>
      </c>
      <c r="G129" s="8">
        <v>2023</v>
      </c>
      <c r="H129" s="8" t="str">
        <f>_xlfn.CONCAT("34240293760")</f>
        <v>34240293760</v>
      </c>
      <c r="I129" s="8" t="s">
        <v>46</v>
      </c>
      <c r="J129" s="8" t="s">
        <v>34</v>
      </c>
      <c r="K129" s="8" t="str">
        <f>_xlfn.CONCAT("")</f>
        <v/>
      </c>
      <c r="L129" s="8" t="str">
        <f>_xlfn.CONCAT("11 11.2 4b")</f>
        <v>11 11.2 4b</v>
      </c>
      <c r="M129" s="8" t="str">
        <f>_xlfn.CONCAT("BLGMSM63R31A271Z")</f>
        <v>BLGMSM63R31A271Z</v>
      </c>
      <c r="N129" s="8" t="s">
        <v>217</v>
      </c>
      <c r="O129" s="8" t="s">
        <v>99</v>
      </c>
      <c r="P129" s="9">
        <v>45329</v>
      </c>
      <c r="Q129" s="8" t="s">
        <v>37</v>
      </c>
      <c r="R129" s="8" t="s">
        <v>38</v>
      </c>
      <c r="S129" s="8" t="s">
        <v>39</v>
      </c>
      <c r="T129" s="8"/>
      <c r="U129" s="8" t="s">
        <v>40</v>
      </c>
      <c r="V129" s="10">
        <v>4861.54</v>
      </c>
      <c r="W129" s="10">
        <v>2096.3000000000002</v>
      </c>
      <c r="X129" s="10">
        <v>1935.87</v>
      </c>
      <c r="Y129" s="8">
        <v>829.37</v>
      </c>
      <c r="Z129" s="8">
        <v>0</v>
      </c>
    </row>
    <row r="130" spans="1:26" x14ac:dyDescent="0.3">
      <c r="A130" s="8" t="s">
        <v>27</v>
      </c>
      <c r="B130" s="8" t="s">
        <v>59</v>
      </c>
      <c r="C130" s="8" t="s">
        <v>29</v>
      </c>
      <c r="D130" s="8" t="s">
        <v>77</v>
      </c>
      <c r="E130" s="8" t="s">
        <v>66</v>
      </c>
      <c r="F130" s="8" t="s">
        <v>78</v>
      </c>
      <c r="G130" s="8">
        <v>2023</v>
      </c>
      <c r="H130" s="8" t="str">
        <f>_xlfn.CONCAT("34240381037")</f>
        <v>34240381037</v>
      </c>
      <c r="I130" s="8" t="s">
        <v>46</v>
      </c>
      <c r="J130" s="8" t="s">
        <v>34</v>
      </c>
      <c r="K130" s="8" t="str">
        <f>_xlfn.CONCAT("")</f>
        <v/>
      </c>
      <c r="L130" s="8" t="str">
        <f>_xlfn.CONCAT("11 11.2 4b")</f>
        <v>11 11.2 4b</v>
      </c>
      <c r="M130" s="8" t="str">
        <f>_xlfn.CONCAT("BDRDYV62P64Z103W")</f>
        <v>BDRDYV62P64Z103W</v>
      </c>
      <c r="N130" s="8" t="s">
        <v>218</v>
      </c>
      <c r="O130" s="8" t="s">
        <v>99</v>
      </c>
      <c r="P130" s="9">
        <v>45329</v>
      </c>
      <c r="Q130" s="8" t="s">
        <v>37</v>
      </c>
      <c r="R130" s="8" t="s">
        <v>38</v>
      </c>
      <c r="S130" s="8" t="s">
        <v>39</v>
      </c>
      <c r="T130" s="8"/>
      <c r="U130" s="8" t="s">
        <v>40</v>
      </c>
      <c r="V130" s="8">
        <v>372.52</v>
      </c>
      <c r="W130" s="8">
        <v>160.63</v>
      </c>
      <c r="X130" s="8">
        <v>148.34</v>
      </c>
      <c r="Y130" s="8">
        <v>63.55</v>
      </c>
      <c r="Z130" s="8">
        <v>0</v>
      </c>
    </row>
    <row r="131" spans="1:26" x14ac:dyDescent="0.3">
      <c r="A131" s="8" t="s">
        <v>27</v>
      </c>
      <c r="B131" s="8" t="s">
        <v>59</v>
      </c>
      <c r="C131" s="8" t="s">
        <v>29</v>
      </c>
      <c r="D131" s="8" t="s">
        <v>77</v>
      </c>
      <c r="E131" s="8" t="s">
        <v>41</v>
      </c>
      <c r="F131" s="8" t="s">
        <v>89</v>
      </c>
      <c r="G131" s="8">
        <v>2023</v>
      </c>
      <c r="H131" s="8" t="str">
        <f>_xlfn.CONCAT("34240142926")</f>
        <v>34240142926</v>
      </c>
      <c r="I131" s="8" t="s">
        <v>46</v>
      </c>
      <c r="J131" s="8" t="s">
        <v>34</v>
      </c>
      <c r="K131" s="8" t="str">
        <f>_xlfn.CONCAT("")</f>
        <v/>
      </c>
      <c r="L131" s="8" t="str">
        <f>_xlfn.CONCAT("11 11.2 4b")</f>
        <v>11 11.2 4b</v>
      </c>
      <c r="M131" s="8" t="str">
        <f>_xlfn.CONCAT("RPSSFN85T27L366T")</f>
        <v>RPSSFN85T27L366T</v>
      </c>
      <c r="N131" s="8" t="s">
        <v>219</v>
      </c>
      <c r="O131" s="8" t="s">
        <v>99</v>
      </c>
      <c r="P131" s="9">
        <v>45329</v>
      </c>
      <c r="Q131" s="8" t="s">
        <v>37</v>
      </c>
      <c r="R131" s="8" t="s">
        <v>38</v>
      </c>
      <c r="S131" s="8" t="s">
        <v>39</v>
      </c>
      <c r="T131" s="8"/>
      <c r="U131" s="8" t="s">
        <v>40</v>
      </c>
      <c r="V131" s="10">
        <v>2721.45</v>
      </c>
      <c r="W131" s="10">
        <v>1173.49</v>
      </c>
      <c r="X131" s="10">
        <v>1083.68</v>
      </c>
      <c r="Y131" s="8">
        <v>464.28</v>
      </c>
      <c r="Z131" s="8">
        <v>0</v>
      </c>
    </row>
    <row r="132" spans="1:26" x14ac:dyDescent="0.3">
      <c r="A132" s="8" t="s">
        <v>27</v>
      </c>
      <c r="B132" s="8" t="s">
        <v>59</v>
      </c>
      <c r="C132" s="8" t="s">
        <v>29</v>
      </c>
      <c r="D132" s="8" t="s">
        <v>77</v>
      </c>
      <c r="E132" s="8" t="s">
        <v>41</v>
      </c>
      <c r="F132" s="8" t="s">
        <v>45</v>
      </c>
      <c r="G132" s="8">
        <v>2023</v>
      </c>
      <c r="H132" s="8" t="str">
        <f>_xlfn.CONCAT("34240150739")</f>
        <v>34240150739</v>
      </c>
      <c r="I132" s="8" t="s">
        <v>46</v>
      </c>
      <c r="J132" s="8" t="s">
        <v>34</v>
      </c>
      <c r="K132" s="8" t="str">
        <f>_xlfn.CONCAT("")</f>
        <v/>
      </c>
      <c r="L132" s="8" t="str">
        <f>_xlfn.CONCAT("11 11.2 4b")</f>
        <v>11 11.2 4b</v>
      </c>
      <c r="M132" s="8" t="str">
        <f>_xlfn.CONCAT("SBRNDR01P03I156U")</f>
        <v>SBRNDR01P03I156U</v>
      </c>
      <c r="N132" s="8" t="s">
        <v>220</v>
      </c>
      <c r="O132" s="8" t="s">
        <v>99</v>
      </c>
      <c r="P132" s="9">
        <v>45329</v>
      </c>
      <c r="Q132" s="8" t="s">
        <v>37</v>
      </c>
      <c r="R132" s="8" t="s">
        <v>38</v>
      </c>
      <c r="S132" s="8" t="s">
        <v>39</v>
      </c>
      <c r="T132" s="8"/>
      <c r="U132" s="8" t="s">
        <v>40</v>
      </c>
      <c r="V132" s="10">
        <v>1960.59</v>
      </c>
      <c r="W132" s="8">
        <v>845.41</v>
      </c>
      <c r="X132" s="8">
        <v>780.71</v>
      </c>
      <c r="Y132" s="8">
        <v>334.47</v>
      </c>
      <c r="Z132" s="8">
        <v>0</v>
      </c>
    </row>
    <row r="133" spans="1:26" x14ac:dyDescent="0.3">
      <c r="A133" s="8" t="s">
        <v>27</v>
      </c>
      <c r="B133" s="8" t="s">
        <v>59</v>
      </c>
      <c r="C133" s="8" t="s">
        <v>29</v>
      </c>
      <c r="D133" s="8" t="s">
        <v>77</v>
      </c>
      <c r="E133" s="8" t="s">
        <v>41</v>
      </c>
      <c r="F133" s="8" t="s">
        <v>45</v>
      </c>
      <c r="G133" s="8">
        <v>2023</v>
      </c>
      <c r="H133" s="8" t="str">
        <f>_xlfn.CONCAT("34240305028")</f>
        <v>34240305028</v>
      </c>
      <c r="I133" s="8" t="s">
        <v>46</v>
      </c>
      <c r="J133" s="8" t="s">
        <v>34</v>
      </c>
      <c r="K133" s="8" t="str">
        <f>_xlfn.CONCAT("")</f>
        <v/>
      </c>
      <c r="L133" s="8" t="str">
        <f>_xlfn.CONCAT("11 11.2 4b")</f>
        <v>11 11.2 4b</v>
      </c>
      <c r="M133" s="8" t="str">
        <f>_xlfn.CONCAT("MNTNGL57C25F051F")</f>
        <v>MNTNGL57C25F051F</v>
      </c>
      <c r="N133" s="8" t="s">
        <v>221</v>
      </c>
      <c r="O133" s="8" t="s">
        <v>99</v>
      </c>
      <c r="P133" s="9">
        <v>45329</v>
      </c>
      <c r="Q133" s="8" t="s">
        <v>37</v>
      </c>
      <c r="R133" s="8" t="s">
        <v>38</v>
      </c>
      <c r="S133" s="8" t="s">
        <v>39</v>
      </c>
      <c r="T133" s="8"/>
      <c r="U133" s="8" t="s">
        <v>40</v>
      </c>
      <c r="V133" s="10">
        <v>4882.51</v>
      </c>
      <c r="W133" s="10">
        <v>2105.34</v>
      </c>
      <c r="X133" s="10">
        <v>1944.22</v>
      </c>
      <c r="Y133" s="8">
        <v>832.95</v>
      </c>
      <c r="Z133" s="8">
        <v>0</v>
      </c>
    </row>
    <row r="134" spans="1:26" x14ac:dyDescent="0.3">
      <c r="A134" s="8" t="s">
        <v>27</v>
      </c>
      <c r="B134" s="8" t="s">
        <v>59</v>
      </c>
      <c r="C134" s="8" t="s">
        <v>29</v>
      </c>
      <c r="D134" s="8" t="s">
        <v>77</v>
      </c>
      <c r="E134" s="8" t="s">
        <v>41</v>
      </c>
      <c r="F134" s="8" t="s">
        <v>89</v>
      </c>
      <c r="G134" s="8">
        <v>2023</v>
      </c>
      <c r="H134" s="8" t="str">
        <f>_xlfn.CONCAT("34240484732")</f>
        <v>34240484732</v>
      </c>
      <c r="I134" s="8" t="s">
        <v>46</v>
      </c>
      <c r="J134" s="8" t="s">
        <v>34</v>
      </c>
      <c r="K134" s="8" t="str">
        <f>_xlfn.CONCAT("")</f>
        <v/>
      </c>
      <c r="L134" s="8" t="str">
        <f>_xlfn.CONCAT("11 11.2 4b")</f>
        <v>11 11.2 4b</v>
      </c>
      <c r="M134" s="8" t="str">
        <f>_xlfn.CONCAT("BGLCLL69A59B474A")</f>
        <v>BGLCLL69A59B474A</v>
      </c>
      <c r="N134" s="8" t="s">
        <v>222</v>
      </c>
      <c r="O134" s="8" t="s">
        <v>99</v>
      </c>
      <c r="P134" s="9">
        <v>45329</v>
      </c>
      <c r="Q134" s="8" t="s">
        <v>37</v>
      </c>
      <c r="R134" s="8" t="s">
        <v>38</v>
      </c>
      <c r="S134" s="8" t="s">
        <v>39</v>
      </c>
      <c r="T134" s="8"/>
      <c r="U134" s="8" t="s">
        <v>40</v>
      </c>
      <c r="V134" s="10">
        <v>1058.3499999999999</v>
      </c>
      <c r="W134" s="8">
        <v>456.36</v>
      </c>
      <c r="X134" s="8">
        <v>421.43</v>
      </c>
      <c r="Y134" s="8">
        <v>180.56</v>
      </c>
      <c r="Z134" s="8">
        <v>0</v>
      </c>
    </row>
    <row r="135" spans="1:26" x14ac:dyDescent="0.3">
      <c r="A135" s="8" t="s">
        <v>27</v>
      </c>
      <c r="B135" s="8" t="s">
        <v>59</v>
      </c>
      <c r="C135" s="8" t="s">
        <v>29</v>
      </c>
      <c r="D135" s="8" t="s">
        <v>30</v>
      </c>
      <c r="E135" s="8" t="s">
        <v>31</v>
      </c>
      <c r="F135" s="8" t="s">
        <v>32</v>
      </c>
      <c r="G135" s="8">
        <v>2023</v>
      </c>
      <c r="H135" s="8" t="str">
        <f>_xlfn.CONCAT("34240020932")</f>
        <v>34240020932</v>
      </c>
      <c r="I135" s="8" t="s">
        <v>46</v>
      </c>
      <c r="J135" s="8" t="s">
        <v>34</v>
      </c>
      <c r="K135" s="8" t="str">
        <f>_xlfn.CONCAT("")</f>
        <v/>
      </c>
      <c r="L135" s="8" t="str">
        <f>_xlfn.CONCAT("11 11.2 4b")</f>
        <v>11 11.2 4b</v>
      </c>
      <c r="M135" s="8" t="str">
        <f>_xlfn.CONCAT("CNDCRL63E17F634T")</f>
        <v>CNDCRL63E17F634T</v>
      </c>
      <c r="N135" s="8" t="s">
        <v>223</v>
      </c>
      <c r="O135" s="8" t="s">
        <v>99</v>
      </c>
      <c r="P135" s="9">
        <v>45329</v>
      </c>
      <c r="Q135" s="8" t="s">
        <v>37</v>
      </c>
      <c r="R135" s="8" t="s">
        <v>38</v>
      </c>
      <c r="S135" s="8" t="s">
        <v>39</v>
      </c>
      <c r="T135" s="8"/>
      <c r="U135" s="8" t="s">
        <v>40</v>
      </c>
      <c r="V135" s="8">
        <v>205.4</v>
      </c>
      <c r="W135" s="8">
        <v>88.57</v>
      </c>
      <c r="X135" s="8">
        <v>81.790000000000006</v>
      </c>
      <c r="Y135" s="8">
        <v>35.04</v>
      </c>
      <c r="Z135" s="8">
        <v>0</v>
      </c>
    </row>
    <row r="136" spans="1:26" x14ac:dyDescent="0.3">
      <c r="A136" s="8" t="s">
        <v>27</v>
      </c>
      <c r="B136" s="8" t="s">
        <v>59</v>
      </c>
      <c r="C136" s="8" t="s">
        <v>29</v>
      </c>
      <c r="D136" s="8" t="s">
        <v>77</v>
      </c>
      <c r="E136" s="8" t="s">
        <v>81</v>
      </c>
      <c r="F136" s="8" t="s">
        <v>82</v>
      </c>
      <c r="G136" s="8">
        <v>2023</v>
      </c>
      <c r="H136" s="8" t="str">
        <f>_xlfn.CONCAT("34240484773")</f>
        <v>34240484773</v>
      </c>
      <c r="I136" s="8" t="s">
        <v>46</v>
      </c>
      <c r="J136" s="8" t="s">
        <v>34</v>
      </c>
      <c r="K136" s="8" t="str">
        <f>_xlfn.CONCAT("")</f>
        <v/>
      </c>
      <c r="L136" s="8" t="str">
        <f>_xlfn.CONCAT("11 11.2 4b")</f>
        <v>11 11.2 4b</v>
      </c>
      <c r="M136" s="8" t="str">
        <f>_xlfn.CONCAT("02070860438")</f>
        <v>02070860438</v>
      </c>
      <c r="N136" s="8" t="s">
        <v>224</v>
      </c>
      <c r="O136" s="8" t="s">
        <v>99</v>
      </c>
      <c r="P136" s="9">
        <v>45329</v>
      </c>
      <c r="Q136" s="8" t="s">
        <v>37</v>
      </c>
      <c r="R136" s="8" t="s">
        <v>38</v>
      </c>
      <c r="S136" s="8" t="s">
        <v>39</v>
      </c>
      <c r="T136" s="8"/>
      <c r="U136" s="8" t="s">
        <v>40</v>
      </c>
      <c r="V136" s="8">
        <v>151.19</v>
      </c>
      <c r="W136" s="8">
        <v>65.19</v>
      </c>
      <c r="X136" s="8">
        <v>60.2</v>
      </c>
      <c r="Y136" s="8">
        <v>25.8</v>
      </c>
      <c r="Z136" s="8">
        <v>0</v>
      </c>
    </row>
    <row r="137" spans="1:26" x14ac:dyDescent="0.3">
      <c r="A137" s="8" t="s">
        <v>27</v>
      </c>
      <c r="B137" s="8" t="s">
        <v>59</v>
      </c>
      <c r="C137" s="8" t="s">
        <v>29</v>
      </c>
      <c r="D137" s="8" t="s">
        <v>77</v>
      </c>
      <c r="E137" s="8" t="s">
        <v>66</v>
      </c>
      <c r="F137" s="8" t="s">
        <v>138</v>
      </c>
      <c r="G137" s="8">
        <v>2023</v>
      </c>
      <c r="H137" s="8" t="str">
        <f>_xlfn.CONCAT("34240640036")</f>
        <v>34240640036</v>
      </c>
      <c r="I137" s="8" t="s">
        <v>46</v>
      </c>
      <c r="J137" s="8" t="s">
        <v>34</v>
      </c>
      <c r="K137" s="8" t="str">
        <f>_xlfn.CONCAT("")</f>
        <v/>
      </c>
      <c r="L137" s="8" t="str">
        <f>_xlfn.CONCAT("11 11.2 4b")</f>
        <v>11 11.2 4b</v>
      </c>
      <c r="M137" s="8" t="str">
        <f>_xlfn.CONCAT("02777830429")</f>
        <v>02777830429</v>
      </c>
      <c r="N137" s="8" t="s">
        <v>225</v>
      </c>
      <c r="O137" s="8" t="s">
        <v>99</v>
      </c>
      <c r="P137" s="9">
        <v>45329</v>
      </c>
      <c r="Q137" s="8" t="s">
        <v>37</v>
      </c>
      <c r="R137" s="8" t="s">
        <v>38</v>
      </c>
      <c r="S137" s="8" t="s">
        <v>39</v>
      </c>
      <c r="T137" s="8"/>
      <c r="U137" s="8" t="s">
        <v>40</v>
      </c>
      <c r="V137" s="8">
        <v>139.57</v>
      </c>
      <c r="W137" s="8">
        <v>60.18</v>
      </c>
      <c r="X137" s="8">
        <v>55.58</v>
      </c>
      <c r="Y137" s="8">
        <v>23.81</v>
      </c>
      <c r="Z137" s="8">
        <v>0</v>
      </c>
    </row>
    <row r="138" spans="1:26" x14ac:dyDescent="0.3">
      <c r="A138" s="8" t="s">
        <v>27</v>
      </c>
      <c r="B138" s="8" t="s">
        <v>59</v>
      </c>
      <c r="C138" s="8" t="s">
        <v>29</v>
      </c>
      <c r="D138" s="8" t="s">
        <v>77</v>
      </c>
      <c r="E138" s="8" t="s">
        <v>66</v>
      </c>
      <c r="F138" s="8" t="s">
        <v>138</v>
      </c>
      <c r="G138" s="8">
        <v>2023</v>
      </c>
      <c r="H138" s="8" t="str">
        <f>_xlfn.CONCAT("34240639921")</f>
        <v>34240639921</v>
      </c>
      <c r="I138" s="8" t="s">
        <v>46</v>
      </c>
      <c r="J138" s="8" t="s">
        <v>34</v>
      </c>
      <c r="K138" s="8" t="str">
        <f>_xlfn.CONCAT("")</f>
        <v/>
      </c>
      <c r="L138" s="8" t="str">
        <f>_xlfn.CONCAT("11 11.2 4b")</f>
        <v>11 11.2 4b</v>
      </c>
      <c r="M138" s="8" t="str">
        <f>_xlfn.CONCAT("02777830429")</f>
        <v>02777830429</v>
      </c>
      <c r="N138" s="8" t="s">
        <v>225</v>
      </c>
      <c r="O138" s="8" t="s">
        <v>99</v>
      </c>
      <c r="P138" s="9">
        <v>45329</v>
      </c>
      <c r="Q138" s="8" t="s">
        <v>37</v>
      </c>
      <c r="R138" s="8" t="s">
        <v>38</v>
      </c>
      <c r="S138" s="8" t="s">
        <v>39</v>
      </c>
      <c r="T138" s="8"/>
      <c r="U138" s="8" t="s">
        <v>40</v>
      </c>
      <c r="V138" s="8">
        <v>142.19</v>
      </c>
      <c r="W138" s="8">
        <v>61.31</v>
      </c>
      <c r="X138" s="8">
        <v>56.62</v>
      </c>
      <c r="Y138" s="8">
        <v>24.26</v>
      </c>
      <c r="Z138" s="8">
        <v>0</v>
      </c>
    </row>
    <row r="139" spans="1:26" x14ac:dyDescent="0.3">
      <c r="A139" s="8" t="s">
        <v>27</v>
      </c>
      <c r="B139" s="8" t="s">
        <v>59</v>
      </c>
      <c r="C139" s="8" t="s">
        <v>29</v>
      </c>
      <c r="D139" s="8" t="s">
        <v>44</v>
      </c>
      <c r="E139" s="8" t="s">
        <v>41</v>
      </c>
      <c r="F139" s="8" t="s">
        <v>226</v>
      </c>
      <c r="G139" s="8">
        <v>2023</v>
      </c>
      <c r="H139" s="8" t="str">
        <f>_xlfn.CONCAT("34240472091")</f>
        <v>34240472091</v>
      </c>
      <c r="I139" s="8" t="s">
        <v>46</v>
      </c>
      <c r="J139" s="8" t="s">
        <v>34</v>
      </c>
      <c r="K139" s="8" t="str">
        <f>_xlfn.CONCAT("")</f>
        <v/>
      </c>
      <c r="L139" s="8" t="str">
        <f>_xlfn.CONCAT("11 11.2 4b")</f>
        <v>11 11.2 4b</v>
      </c>
      <c r="M139" s="8" t="str">
        <f>_xlfn.CONCAT("CCCPLA57C55G920A")</f>
        <v>CCCPLA57C55G920A</v>
      </c>
      <c r="N139" s="8" t="s">
        <v>227</v>
      </c>
      <c r="O139" s="8" t="s">
        <v>99</v>
      </c>
      <c r="P139" s="9">
        <v>45329</v>
      </c>
      <c r="Q139" s="8" t="s">
        <v>37</v>
      </c>
      <c r="R139" s="8" t="s">
        <v>38</v>
      </c>
      <c r="S139" s="8" t="s">
        <v>39</v>
      </c>
      <c r="T139" s="8"/>
      <c r="U139" s="8" t="s">
        <v>40</v>
      </c>
      <c r="V139" s="8">
        <v>248.84</v>
      </c>
      <c r="W139" s="8">
        <v>107.3</v>
      </c>
      <c r="X139" s="8">
        <v>99.09</v>
      </c>
      <c r="Y139" s="8">
        <v>42.45</v>
      </c>
      <c r="Z139" s="8">
        <v>0</v>
      </c>
    </row>
    <row r="140" spans="1:26" x14ac:dyDescent="0.3">
      <c r="A140" s="8" t="s">
        <v>27</v>
      </c>
      <c r="B140" s="8" t="s">
        <v>59</v>
      </c>
      <c r="C140" s="8" t="s">
        <v>29</v>
      </c>
      <c r="D140" s="8" t="s">
        <v>77</v>
      </c>
      <c r="E140" s="8" t="s">
        <v>70</v>
      </c>
      <c r="F140" s="8" t="s">
        <v>119</v>
      </c>
      <c r="G140" s="8">
        <v>2023</v>
      </c>
      <c r="H140" s="8" t="str">
        <f>_xlfn.CONCAT("34240285626")</f>
        <v>34240285626</v>
      </c>
      <c r="I140" s="8" t="s">
        <v>46</v>
      </c>
      <c r="J140" s="8" t="s">
        <v>34</v>
      </c>
      <c r="K140" s="8" t="str">
        <f>_xlfn.CONCAT("")</f>
        <v/>
      </c>
      <c r="L140" s="8" t="str">
        <f>_xlfn.CONCAT("11 11.2 4b")</f>
        <v>11 11.2 4b</v>
      </c>
      <c r="M140" s="8" t="str">
        <f>_xlfn.CONCAT("01906200439")</f>
        <v>01906200439</v>
      </c>
      <c r="N140" s="8" t="s">
        <v>228</v>
      </c>
      <c r="O140" s="8" t="s">
        <v>99</v>
      </c>
      <c r="P140" s="9">
        <v>45329</v>
      </c>
      <c r="Q140" s="8" t="s">
        <v>37</v>
      </c>
      <c r="R140" s="8" t="s">
        <v>38</v>
      </c>
      <c r="S140" s="8" t="s">
        <v>39</v>
      </c>
      <c r="T140" s="8"/>
      <c r="U140" s="8" t="s">
        <v>40</v>
      </c>
      <c r="V140" s="10">
        <v>2356.27</v>
      </c>
      <c r="W140" s="10">
        <v>1016.02</v>
      </c>
      <c r="X140" s="8">
        <v>938.27</v>
      </c>
      <c r="Y140" s="8">
        <v>401.98</v>
      </c>
      <c r="Z140" s="8">
        <v>0</v>
      </c>
    </row>
    <row r="141" spans="1:26" x14ac:dyDescent="0.3">
      <c r="A141" s="8" t="s">
        <v>27</v>
      </c>
      <c r="B141" s="8" t="s">
        <v>59</v>
      </c>
      <c r="C141" s="8" t="s">
        <v>29</v>
      </c>
      <c r="D141" s="8" t="s">
        <v>44</v>
      </c>
      <c r="E141" s="8" t="s">
        <v>70</v>
      </c>
      <c r="F141" s="8" t="s">
        <v>71</v>
      </c>
      <c r="G141" s="8">
        <v>2023</v>
      </c>
      <c r="H141" s="8" t="str">
        <f>_xlfn.CONCAT("34240094556")</f>
        <v>34240094556</v>
      </c>
      <c r="I141" s="8" t="s">
        <v>46</v>
      </c>
      <c r="J141" s="8" t="s">
        <v>34</v>
      </c>
      <c r="K141" s="8" t="str">
        <f>_xlfn.CONCAT("")</f>
        <v/>
      </c>
      <c r="L141" s="8" t="str">
        <f>_xlfn.CONCAT("11 11.2 4b")</f>
        <v>11 11.2 4b</v>
      </c>
      <c r="M141" s="8" t="str">
        <f>_xlfn.CONCAT("SCRFRA49L66F415C")</f>
        <v>SCRFRA49L66F415C</v>
      </c>
      <c r="N141" s="8" t="s">
        <v>229</v>
      </c>
      <c r="O141" s="8" t="s">
        <v>99</v>
      </c>
      <c r="P141" s="9">
        <v>45329</v>
      </c>
      <c r="Q141" s="8" t="s">
        <v>37</v>
      </c>
      <c r="R141" s="8" t="s">
        <v>38</v>
      </c>
      <c r="S141" s="8" t="s">
        <v>39</v>
      </c>
      <c r="T141" s="8"/>
      <c r="U141" s="8" t="s">
        <v>40</v>
      </c>
      <c r="V141" s="8">
        <v>288.97000000000003</v>
      </c>
      <c r="W141" s="8">
        <v>124.6</v>
      </c>
      <c r="X141" s="8">
        <v>115.07</v>
      </c>
      <c r="Y141" s="8">
        <v>49.3</v>
      </c>
      <c r="Z141" s="8">
        <v>0</v>
      </c>
    </row>
    <row r="142" spans="1:26" x14ac:dyDescent="0.3">
      <c r="A142" s="8" t="s">
        <v>27</v>
      </c>
      <c r="B142" s="8" t="s">
        <v>59</v>
      </c>
      <c r="C142" s="8" t="s">
        <v>29</v>
      </c>
      <c r="D142" s="8" t="s">
        <v>44</v>
      </c>
      <c r="E142" s="8" t="s">
        <v>31</v>
      </c>
      <c r="F142" s="8" t="s">
        <v>230</v>
      </c>
      <c r="G142" s="8">
        <v>2023</v>
      </c>
      <c r="H142" s="8" t="str">
        <f>_xlfn.CONCAT("34240073279")</f>
        <v>34240073279</v>
      </c>
      <c r="I142" s="8" t="s">
        <v>46</v>
      </c>
      <c r="J142" s="8" t="s">
        <v>34</v>
      </c>
      <c r="K142" s="8" t="str">
        <f>_xlfn.CONCAT("")</f>
        <v/>
      </c>
      <c r="L142" s="8" t="str">
        <f>_xlfn.CONCAT("11 11.2 4b")</f>
        <v>11 11.2 4b</v>
      </c>
      <c r="M142" s="8" t="str">
        <f>_xlfn.CONCAT("CNLNRE54L17G005C")</f>
        <v>CNLNRE54L17G005C</v>
      </c>
      <c r="N142" s="8" t="s">
        <v>231</v>
      </c>
      <c r="O142" s="8" t="s">
        <v>99</v>
      </c>
      <c r="P142" s="9">
        <v>45329</v>
      </c>
      <c r="Q142" s="8" t="s">
        <v>37</v>
      </c>
      <c r="R142" s="8" t="s">
        <v>38</v>
      </c>
      <c r="S142" s="8" t="s">
        <v>39</v>
      </c>
      <c r="T142" s="8"/>
      <c r="U142" s="8" t="s">
        <v>40</v>
      </c>
      <c r="V142" s="10">
        <v>1069.18</v>
      </c>
      <c r="W142" s="8">
        <v>461.03</v>
      </c>
      <c r="X142" s="8">
        <v>425.75</v>
      </c>
      <c r="Y142" s="8">
        <v>182.4</v>
      </c>
      <c r="Z142" s="8">
        <v>0</v>
      </c>
    </row>
    <row r="143" spans="1:26" x14ac:dyDescent="0.3">
      <c r="A143" s="8" t="s">
        <v>27</v>
      </c>
      <c r="B143" s="8" t="s">
        <v>59</v>
      </c>
      <c r="C143" s="8" t="s">
        <v>29</v>
      </c>
      <c r="D143" s="8" t="s">
        <v>44</v>
      </c>
      <c r="E143" s="8" t="s">
        <v>49</v>
      </c>
      <c r="F143" s="8" t="s">
        <v>49</v>
      </c>
      <c r="G143" s="8">
        <v>2023</v>
      </c>
      <c r="H143" s="8" t="str">
        <f>_xlfn.CONCAT("34240170158")</f>
        <v>34240170158</v>
      </c>
      <c r="I143" s="8" t="s">
        <v>46</v>
      </c>
      <c r="J143" s="8" t="s">
        <v>34</v>
      </c>
      <c r="K143" s="8" t="str">
        <f>_xlfn.CONCAT("")</f>
        <v/>
      </c>
      <c r="L143" s="8" t="str">
        <f>_xlfn.CONCAT("11 11.2 4b")</f>
        <v>11 11.2 4b</v>
      </c>
      <c r="M143" s="8" t="str">
        <f>_xlfn.CONCAT("00327850442")</f>
        <v>00327850442</v>
      </c>
      <c r="N143" s="8" t="s">
        <v>232</v>
      </c>
      <c r="O143" s="8" t="s">
        <v>99</v>
      </c>
      <c r="P143" s="9">
        <v>45329</v>
      </c>
      <c r="Q143" s="8" t="s">
        <v>37</v>
      </c>
      <c r="R143" s="8" t="s">
        <v>38</v>
      </c>
      <c r="S143" s="8" t="s">
        <v>39</v>
      </c>
      <c r="T143" s="8"/>
      <c r="U143" s="8" t="s">
        <v>40</v>
      </c>
      <c r="V143" s="8">
        <v>472.46</v>
      </c>
      <c r="W143" s="8">
        <v>203.72</v>
      </c>
      <c r="X143" s="8">
        <v>188.13</v>
      </c>
      <c r="Y143" s="8">
        <v>80.61</v>
      </c>
      <c r="Z143" s="8">
        <v>0</v>
      </c>
    </row>
    <row r="144" spans="1:26" x14ac:dyDescent="0.3">
      <c r="A144" s="8" t="s">
        <v>27</v>
      </c>
      <c r="B144" s="8" t="s">
        <v>59</v>
      </c>
      <c r="C144" s="8" t="s">
        <v>29</v>
      </c>
      <c r="D144" s="8" t="s">
        <v>44</v>
      </c>
      <c r="E144" s="8" t="s">
        <v>41</v>
      </c>
      <c r="F144" s="8" t="s">
        <v>179</v>
      </c>
      <c r="G144" s="8">
        <v>2023</v>
      </c>
      <c r="H144" s="8" t="str">
        <f>_xlfn.CONCAT("34240720390")</f>
        <v>34240720390</v>
      </c>
      <c r="I144" s="8" t="s">
        <v>46</v>
      </c>
      <c r="J144" s="8" t="s">
        <v>34</v>
      </c>
      <c r="K144" s="8" t="str">
        <f>_xlfn.CONCAT("")</f>
        <v/>
      </c>
      <c r="L144" s="8" t="str">
        <f>_xlfn.CONCAT("11 11.2 4b")</f>
        <v>11 11.2 4b</v>
      </c>
      <c r="M144" s="8" t="str">
        <f>_xlfn.CONCAT("CNCGLN51B64C901U")</f>
        <v>CNCGLN51B64C901U</v>
      </c>
      <c r="N144" s="8" t="s">
        <v>233</v>
      </c>
      <c r="O144" s="8" t="s">
        <v>99</v>
      </c>
      <c r="P144" s="9">
        <v>45329</v>
      </c>
      <c r="Q144" s="8" t="s">
        <v>37</v>
      </c>
      <c r="R144" s="8" t="s">
        <v>38</v>
      </c>
      <c r="S144" s="8" t="s">
        <v>39</v>
      </c>
      <c r="T144" s="8"/>
      <c r="U144" s="8" t="s">
        <v>40</v>
      </c>
      <c r="V144" s="10">
        <v>1031.1400000000001</v>
      </c>
      <c r="W144" s="8">
        <v>444.63</v>
      </c>
      <c r="X144" s="8">
        <v>410.6</v>
      </c>
      <c r="Y144" s="8">
        <v>175.91</v>
      </c>
      <c r="Z144" s="8">
        <v>0</v>
      </c>
    </row>
    <row r="145" spans="1:26" ht="20.399999999999999" x14ac:dyDescent="0.3">
      <c r="A145" s="8" t="s">
        <v>27</v>
      </c>
      <c r="B145" s="8" t="s">
        <v>59</v>
      </c>
      <c r="C145" s="8" t="s">
        <v>29</v>
      </c>
      <c r="D145" s="8" t="s">
        <v>77</v>
      </c>
      <c r="E145" s="8" t="s">
        <v>66</v>
      </c>
      <c r="F145" s="8" t="s">
        <v>97</v>
      </c>
      <c r="G145" s="8">
        <v>2023</v>
      </c>
      <c r="H145" s="8" t="str">
        <f>_xlfn.CONCAT("34240208412")</f>
        <v>34240208412</v>
      </c>
      <c r="I145" s="8" t="s">
        <v>46</v>
      </c>
      <c r="J145" s="8" t="s">
        <v>34</v>
      </c>
      <c r="K145" s="8" t="str">
        <f>_xlfn.CONCAT("")</f>
        <v/>
      </c>
      <c r="L145" s="8" t="str">
        <f>_xlfn.CONCAT("11 11.2 4b")</f>
        <v>11 11.2 4b</v>
      </c>
      <c r="M145" s="8" t="str">
        <f>_xlfn.CONCAT("01899080434")</f>
        <v>01899080434</v>
      </c>
      <c r="N145" s="8" t="s">
        <v>234</v>
      </c>
      <c r="O145" s="8" t="s">
        <v>99</v>
      </c>
      <c r="P145" s="9">
        <v>45329</v>
      </c>
      <c r="Q145" s="8" t="s">
        <v>37</v>
      </c>
      <c r="R145" s="8" t="s">
        <v>38</v>
      </c>
      <c r="S145" s="8" t="s">
        <v>39</v>
      </c>
      <c r="T145" s="8"/>
      <c r="U145" s="8" t="s">
        <v>40</v>
      </c>
      <c r="V145" s="8">
        <v>213.24</v>
      </c>
      <c r="W145" s="8">
        <v>91.95</v>
      </c>
      <c r="X145" s="8">
        <v>84.91</v>
      </c>
      <c r="Y145" s="8">
        <v>36.380000000000003</v>
      </c>
      <c r="Z145" s="8">
        <v>0</v>
      </c>
    </row>
    <row r="146" spans="1:26" x14ac:dyDescent="0.3">
      <c r="A146" s="8" t="s">
        <v>27</v>
      </c>
      <c r="B146" s="8" t="s">
        <v>59</v>
      </c>
      <c r="C146" s="8" t="s">
        <v>29</v>
      </c>
      <c r="D146" s="8" t="s">
        <v>30</v>
      </c>
      <c r="E146" s="8" t="s">
        <v>31</v>
      </c>
      <c r="F146" s="8" t="s">
        <v>175</v>
      </c>
      <c r="G146" s="8">
        <v>2023</v>
      </c>
      <c r="H146" s="8" t="str">
        <f>_xlfn.CONCAT("34240330471")</f>
        <v>34240330471</v>
      </c>
      <c r="I146" s="8" t="s">
        <v>46</v>
      </c>
      <c r="J146" s="8" t="s">
        <v>34</v>
      </c>
      <c r="K146" s="8" t="str">
        <f>_xlfn.CONCAT("")</f>
        <v/>
      </c>
      <c r="L146" s="8" t="str">
        <f>_xlfn.CONCAT("11 11.2 4b")</f>
        <v>11 11.2 4b</v>
      </c>
      <c r="M146" s="8" t="str">
        <f>_xlfn.CONCAT("02578620425")</f>
        <v>02578620425</v>
      </c>
      <c r="N146" s="8" t="s">
        <v>235</v>
      </c>
      <c r="O146" s="8" t="s">
        <v>99</v>
      </c>
      <c r="P146" s="9">
        <v>45329</v>
      </c>
      <c r="Q146" s="8" t="s">
        <v>37</v>
      </c>
      <c r="R146" s="8" t="s">
        <v>38</v>
      </c>
      <c r="S146" s="8" t="s">
        <v>39</v>
      </c>
      <c r="T146" s="8"/>
      <c r="U146" s="8" t="s">
        <v>40</v>
      </c>
      <c r="V146" s="10">
        <v>2323.8200000000002</v>
      </c>
      <c r="W146" s="10">
        <v>1002.03</v>
      </c>
      <c r="X146" s="8">
        <v>925.35</v>
      </c>
      <c r="Y146" s="8">
        <v>396.44</v>
      </c>
      <c r="Z146" s="8">
        <v>0</v>
      </c>
    </row>
    <row r="147" spans="1:26" x14ac:dyDescent="0.3">
      <c r="A147" s="8" t="s">
        <v>27</v>
      </c>
      <c r="B147" s="8" t="s">
        <v>59</v>
      </c>
      <c r="C147" s="8" t="s">
        <v>29</v>
      </c>
      <c r="D147" s="8" t="s">
        <v>30</v>
      </c>
      <c r="E147" s="8" t="s">
        <v>31</v>
      </c>
      <c r="F147" s="8" t="s">
        <v>87</v>
      </c>
      <c r="G147" s="8">
        <v>2023</v>
      </c>
      <c r="H147" s="8" t="str">
        <f>_xlfn.CONCAT("34240173467")</f>
        <v>34240173467</v>
      </c>
      <c r="I147" s="8" t="s">
        <v>46</v>
      </c>
      <c r="J147" s="8" t="s">
        <v>34</v>
      </c>
      <c r="K147" s="8" t="str">
        <f>_xlfn.CONCAT("")</f>
        <v/>
      </c>
      <c r="L147" s="8" t="str">
        <f>_xlfn.CONCAT("11 11.2 4b")</f>
        <v>11 11.2 4b</v>
      </c>
      <c r="M147" s="8" t="str">
        <f>_xlfn.CONCAT("MNCBRC71B67Z133T")</f>
        <v>MNCBRC71B67Z133T</v>
      </c>
      <c r="N147" s="8" t="s">
        <v>236</v>
      </c>
      <c r="O147" s="8" t="s">
        <v>99</v>
      </c>
      <c r="P147" s="9">
        <v>45329</v>
      </c>
      <c r="Q147" s="8" t="s">
        <v>37</v>
      </c>
      <c r="R147" s="8" t="s">
        <v>38</v>
      </c>
      <c r="S147" s="8" t="s">
        <v>39</v>
      </c>
      <c r="T147" s="8"/>
      <c r="U147" s="8" t="s">
        <v>40</v>
      </c>
      <c r="V147" s="8">
        <v>666.3</v>
      </c>
      <c r="W147" s="8">
        <v>287.31</v>
      </c>
      <c r="X147" s="8">
        <v>265.32</v>
      </c>
      <c r="Y147" s="8">
        <v>113.67</v>
      </c>
      <c r="Z147" s="8">
        <v>0</v>
      </c>
    </row>
    <row r="148" spans="1:26" x14ac:dyDescent="0.3">
      <c r="A148" s="8" t="s">
        <v>27</v>
      </c>
      <c r="B148" s="8" t="s">
        <v>59</v>
      </c>
      <c r="C148" s="8" t="s">
        <v>29</v>
      </c>
      <c r="D148" s="8" t="s">
        <v>77</v>
      </c>
      <c r="E148" s="8" t="s">
        <v>41</v>
      </c>
      <c r="F148" s="8" t="s">
        <v>45</v>
      </c>
      <c r="G148" s="8">
        <v>2023</v>
      </c>
      <c r="H148" s="8" t="str">
        <f>_xlfn.CONCAT("34240240621")</f>
        <v>34240240621</v>
      </c>
      <c r="I148" s="8" t="s">
        <v>46</v>
      </c>
      <c r="J148" s="8" t="s">
        <v>34</v>
      </c>
      <c r="K148" s="8" t="str">
        <f>_xlfn.CONCAT("")</f>
        <v/>
      </c>
      <c r="L148" s="8" t="str">
        <f>_xlfn.CONCAT("11 11.2 4b")</f>
        <v>11 11.2 4b</v>
      </c>
      <c r="M148" s="8" t="str">
        <f>_xlfn.CONCAT("CRSRND69S02D429U")</f>
        <v>CRSRND69S02D429U</v>
      </c>
      <c r="N148" s="8" t="s">
        <v>237</v>
      </c>
      <c r="O148" s="8" t="s">
        <v>99</v>
      </c>
      <c r="P148" s="9">
        <v>45329</v>
      </c>
      <c r="Q148" s="8" t="s">
        <v>37</v>
      </c>
      <c r="R148" s="8" t="s">
        <v>38</v>
      </c>
      <c r="S148" s="8" t="s">
        <v>39</v>
      </c>
      <c r="T148" s="8"/>
      <c r="U148" s="8" t="s">
        <v>40</v>
      </c>
      <c r="V148" s="8">
        <v>129.85</v>
      </c>
      <c r="W148" s="8">
        <v>55.99</v>
      </c>
      <c r="X148" s="8">
        <v>51.71</v>
      </c>
      <c r="Y148" s="8">
        <v>22.15</v>
      </c>
      <c r="Z148" s="8">
        <v>0</v>
      </c>
    </row>
    <row r="149" spans="1:26" x14ac:dyDescent="0.3">
      <c r="A149" s="8" t="s">
        <v>27</v>
      </c>
      <c r="B149" s="8" t="s">
        <v>59</v>
      </c>
      <c r="C149" s="8" t="s">
        <v>29</v>
      </c>
      <c r="D149" s="8" t="s">
        <v>30</v>
      </c>
      <c r="E149" s="8" t="s">
        <v>31</v>
      </c>
      <c r="F149" s="8" t="s">
        <v>84</v>
      </c>
      <c r="G149" s="8">
        <v>2023</v>
      </c>
      <c r="H149" s="8" t="str">
        <f>_xlfn.CONCAT("34240411677")</f>
        <v>34240411677</v>
      </c>
      <c r="I149" s="8" t="s">
        <v>46</v>
      </c>
      <c r="J149" s="8" t="s">
        <v>34</v>
      </c>
      <c r="K149" s="8" t="str">
        <f>_xlfn.CONCAT("")</f>
        <v/>
      </c>
      <c r="L149" s="8" t="str">
        <f>_xlfn.CONCAT("11 11.2 4b")</f>
        <v>11 11.2 4b</v>
      </c>
      <c r="M149" s="8" t="str">
        <f>_xlfn.CONCAT("MNCVBR60D02I461U")</f>
        <v>MNCVBR60D02I461U</v>
      </c>
      <c r="N149" s="8" t="s">
        <v>238</v>
      </c>
      <c r="O149" s="8" t="s">
        <v>99</v>
      </c>
      <c r="P149" s="9">
        <v>45329</v>
      </c>
      <c r="Q149" s="8" t="s">
        <v>37</v>
      </c>
      <c r="R149" s="8" t="s">
        <v>38</v>
      </c>
      <c r="S149" s="8" t="s">
        <v>39</v>
      </c>
      <c r="T149" s="8"/>
      <c r="U149" s="8" t="s">
        <v>40</v>
      </c>
      <c r="V149" s="10">
        <v>9065.52</v>
      </c>
      <c r="W149" s="10">
        <v>3909.05</v>
      </c>
      <c r="X149" s="10">
        <v>3609.89</v>
      </c>
      <c r="Y149" s="10">
        <v>1546.58</v>
      </c>
      <c r="Z149" s="8">
        <v>0</v>
      </c>
    </row>
    <row r="150" spans="1:26" x14ac:dyDescent="0.3">
      <c r="A150" s="8" t="s">
        <v>27</v>
      </c>
      <c r="B150" s="8" t="s">
        <v>59</v>
      </c>
      <c r="C150" s="8" t="s">
        <v>29</v>
      </c>
      <c r="D150" s="8" t="s">
        <v>44</v>
      </c>
      <c r="E150" s="8" t="s">
        <v>70</v>
      </c>
      <c r="F150" s="8" t="s">
        <v>71</v>
      </c>
      <c r="G150" s="8">
        <v>2023</v>
      </c>
      <c r="H150" s="8" t="str">
        <f>_xlfn.CONCAT("34240196260")</f>
        <v>34240196260</v>
      </c>
      <c r="I150" s="8" t="s">
        <v>46</v>
      </c>
      <c r="J150" s="8" t="s">
        <v>34</v>
      </c>
      <c r="K150" s="8" t="str">
        <f>_xlfn.CONCAT("")</f>
        <v/>
      </c>
      <c r="L150" s="8" t="str">
        <f>_xlfn.CONCAT("11 11.2 4b")</f>
        <v>11 11.2 4b</v>
      </c>
      <c r="M150" s="8" t="str">
        <f>_xlfn.CONCAT("CNLSRN59T45C093D")</f>
        <v>CNLSRN59T45C093D</v>
      </c>
      <c r="N150" s="8" t="s">
        <v>239</v>
      </c>
      <c r="O150" s="8" t="s">
        <v>99</v>
      </c>
      <c r="P150" s="9">
        <v>45329</v>
      </c>
      <c r="Q150" s="8" t="s">
        <v>37</v>
      </c>
      <c r="R150" s="8" t="s">
        <v>38</v>
      </c>
      <c r="S150" s="8" t="s">
        <v>39</v>
      </c>
      <c r="T150" s="8"/>
      <c r="U150" s="8" t="s">
        <v>40</v>
      </c>
      <c r="V150" s="8">
        <v>722.98</v>
      </c>
      <c r="W150" s="8">
        <v>311.75</v>
      </c>
      <c r="X150" s="8">
        <v>287.89</v>
      </c>
      <c r="Y150" s="8">
        <v>123.34</v>
      </c>
      <c r="Z150" s="8">
        <v>0</v>
      </c>
    </row>
    <row r="151" spans="1:26" ht="20.399999999999999" x14ac:dyDescent="0.3">
      <c r="A151" s="8" t="s">
        <v>27</v>
      </c>
      <c r="B151" s="8" t="s">
        <v>59</v>
      </c>
      <c r="C151" s="8" t="s">
        <v>29</v>
      </c>
      <c r="D151" s="8" t="s">
        <v>44</v>
      </c>
      <c r="E151" s="8" t="s">
        <v>70</v>
      </c>
      <c r="F151" s="8" t="s">
        <v>71</v>
      </c>
      <c r="G151" s="8">
        <v>2023</v>
      </c>
      <c r="H151" s="8" t="str">
        <f>_xlfn.CONCAT("34240286129")</f>
        <v>34240286129</v>
      </c>
      <c r="I151" s="8" t="s">
        <v>46</v>
      </c>
      <c r="J151" s="8" t="s">
        <v>34</v>
      </c>
      <c r="K151" s="8" t="str">
        <f>_xlfn.CONCAT("")</f>
        <v/>
      </c>
      <c r="L151" s="8" t="str">
        <f>_xlfn.CONCAT("11 11.2 4b")</f>
        <v>11 11.2 4b</v>
      </c>
      <c r="M151" s="8" t="str">
        <f>_xlfn.CONCAT("02239800440")</f>
        <v>02239800440</v>
      </c>
      <c r="N151" s="8" t="s">
        <v>240</v>
      </c>
      <c r="O151" s="8" t="s">
        <v>99</v>
      </c>
      <c r="P151" s="9">
        <v>45329</v>
      </c>
      <c r="Q151" s="8" t="s">
        <v>37</v>
      </c>
      <c r="R151" s="8" t="s">
        <v>38</v>
      </c>
      <c r="S151" s="8" t="s">
        <v>39</v>
      </c>
      <c r="T151" s="8"/>
      <c r="U151" s="8" t="s">
        <v>40</v>
      </c>
      <c r="V151" s="10">
        <v>2012.76</v>
      </c>
      <c r="W151" s="8">
        <v>867.9</v>
      </c>
      <c r="X151" s="8">
        <v>801.48</v>
      </c>
      <c r="Y151" s="8">
        <v>343.38</v>
      </c>
      <c r="Z151" s="8">
        <v>0</v>
      </c>
    </row>
    <row r="152" spans="1:26" x14ac:dyDescent="0.3">
      <c r="A152" s="8" t="s">
        <v>27</v>
      </c>
      <c r="B152" s="8" t="s">
        <v>59</v>
      </c>
      <c r="C152" s="8" t="s">
        <v>29</v>
      </c>
      <c r="D152" s="8" t="s">
        <v>44</v>
      </c>
      <c r="E152" s="8" t="s">
        <v>49</v>
      </c>
      <c r="F152" s="8" t="s">
        <v>49</v>
      </c>
      <c r="G152" s="8">
        <v>2023</v>
      </c>
      <c r="H152" s="8" t="str">
        <f>_xlfn.CONCAT("34240027713")</f>
        <v>34240027713</v>
      </c>
      <c r="I152" s="8" t="s">
        <v>46</v>
      </c>
      <c r="J152" s="8" t="s">
        <v>34</v>
      </c>
      <c r="K152" s="8" t="str">
        <f>_xlfn.CONCAT("")</f>
        <v/>
      </c>
      <c r="L152" s="8" t="str">
        <f>_xlfn.CONCAT("11 11.2 4b")</f>
        <v>11 11.2 4b</v>
      </c>
      <c r="M152" s="8" t="str">
        <f>_xlfn.CONCAT("PSQGNN78D52G005Y")</f>
        <v>PSQGNN78D52G005Y</v>
      </c>
      <c r="N152" s="8" t="s">
        <v>241</v>
      </c>
      <c r="O152" s="8" t="s">
        <v>99</v>
      </c>
      <c r="P152" s="9">
        <v>45329</v>
      </c>
      <c r="Q152" s="8" t="s">
        <v>37</v>
      </c>
      <c r="R152" s="8" t="s">
        <v>38</v>
      </c>
      <c r="S152" s="8" t="s">
        <v>39</v>
      </c>
      <c r="T152" s="8"/>
      <c r="U152" s="8" t="s">
        <v>40</v>
      </c>
      <c r="V152" s="8">
        <v>439.5</v>
      </c>
      <c r="W152" s="8">
        <v>189.51</v>
      </c>
      <c r="X152" s="8">
        <v>175.01</v>
      </c>
      <c r="Y152" s="8">
        <v>74.98</v>
      </c>
      <c r="Z152" s="8">
        <v>0</v>
      </c>
    </row>
    <row r="153" spans="1:26" x14ac:dyDescent="0.3">
      <c r="A153" s="8" t="s">
        <v>27</v>
      </c>
      <c r="B153" s="8" t="s">
        <v>59</v>
      </c>
      <c r="C153" s="8" t="s">
        <v>29</v>
      </c>
      <c r="D153" s="8" t="s">
        <v>44</v>
      </c>
      <c r="E153" s="8" t="s">
        <v>49</v>
      </c>
      <c r="F153" s="8" t="s">
        <v>49</v>
      </c>
      <c r="G153" s="8">
        <v>2023</v>
      </c>
      <c r="H153" s="8" t="str">
        <f>_xlfn.CONCAT("34240298892")</f>
        <v>34240298892</v>
      </c>
      <c r="I153" s="8" t="s">
        <v>46</v>
      </c>
      <c r="J153" s="8" t="s">
        <v>34</v>
      </c>
      <c r="K153" s="8" t="str">
        <f>_xlfn.CONCAT("")</f>
        <v/>
      </c>
      <c r="L153" s="8" t="str">
        <f>_xlfn.CONCAT("11 11.2 4b")</f>
        <v>11 11.2 4b</v>
      </c>
      <c r="M153" s="8" t="str">
        <f>_xlfn.CONCAT("CRLCMN03C12A271I")</f>
        <v>CRLCMN03C12A271I</v>
      </c>
      <c r="N153" s="8" t="s">
        <v>242</v>
      </c>
      <c r="O153" s="8" t="s">
        <v>99</v>
      </c>
      <c r="P153" s="9">
        <v>45329</v>
      </c>
      <c r="Q153" s="8" t="s">
        <v>37</v>
      </c>
      <c r="R153" s="8" t="s">
        <v>38</v>
      </c>
      <c r="S153" s="8" t="s">
        <v>39</v>
      </c>
      <c r="T153" s="8"/>
      <c r="U153" s="8" t="s">
        <v>40</v>
      </c>
      <c r="V153" s="8">
        <v>359.36</v>
      </c>
      <c r="W153" s="8">
        <v>154.96</v>
      </c>
      <c r="X153" s="8">
        <v>143.1</v>
      </c>
      <c r="Y153" s="8">
        <v>61.3</v>
      </c>
      <c r="Z153" s="8">
        <v>0</v>
      </c>
    </row>
    <row r="154" spans="1:26" x14ac:dyDescent="0.3">
      <c r="A154" s="8" t="s">
        <v>27</v>
      </c>
      <c r="B154" s="8" t="s">
        <v>59</v>
      </c>
      <c r="C154" s="8" t="s">
        <v>29</v>
      </c>
      <c r="D154" s="8" t="s">
        <v>44</v>
      </c>
      <c r="E154" s="8" t="s">
        <v>243</v>
      </c>
      <c r="F154" s="8" t="s">
        <v>244</v>
      </c>
      <c r="G154" s="8">
        <v>2023</v>
      </c>
      <c r="H154" s="8" t="str">
        <f>_xlfn.CONCAT("34240048776")</f>
        <v>34240048776</v>
      </c>
      <c r="I154" s="8" t="s">
        <v>46</v>
      </c>
      <c r="J154" s="8" t="s">
        <v>34</v>
      </c>
      <c r="K154" s="8" t="str">
        <f>_xlfn.CONCAT("")</f>
        <v/>
      </c>
      <c r="L154" s="8" t="str">
        <f>_xlfn.CONCAT("11 11.2 4b")</f>
        <v>11 11.2 4b</v>
      </c>
      <c r="M154" s="8" t="str">
        <f>_xlfn.CONCAT("CCCGRL60E25H588T")</f>
        <v>CCCGRL60E25H588T</v>
      </c>
      <c r="N154" s="8" t="s">
        <v>245</v>
      </c>
      <c r="O154" s="8" t="s">
        <v>99</v>
      </c>
      <c r="P154" s="9">
        <v>45329</v>
      </c>
      <c r="Q154" s="8" t="s">
        <v>37</v>
      </c>
      <c r="R154" s="8" t="s">
        <v>38</v>
      </c>
      <c r="S154" s="8" t="s">
        <v>39</v>
      </c>
      <c r="T154" s="8"/>
      <c r="U154" s="8" t="s">
        <v>40</v>
      </c>
      <c r="V154" s="10">
        <v>6273.76</v>
      </c>
      <c r="W154" s="10">
        <v>2705.25</v>
      </c>
      <c r="X154" s="10">
        <v>2498.21</v>
      </c>
      <c r="Y154" s="10">
        <v>1070.3</v>
      </c>
      <c r="Z154" s="8">
        <v>0</v>
      </c>
    </row>
    <row r="155" spans="1:26" x14ac:dyDescent="0.3">
      <c r="A155" s="8" t="s">
        <v>27</v>
      </c>
      <c r="B155" s="8" t="s">
        <v>59</v>
      </c>
      <c r="C155" s="8" t="s">
        <v>29</v>
      </c>
      <c r="D155" s="8" t="s">
        <v>77</v>
      </c>
      <c r="E155" s="8" t="s">
        <v>66</v>
      </c>
      <c r="F155" s="8" t="s">
        <v>78</v>
      </c>
      <c r="G155" s="8">
        <v>2023</v>
      </c>
      <c r="H155" s="8" t="str">
        <f>_xlfn.CONCAT("34240577089")</f>
        <v>34240577089</v>
      </c>
      <c r="I155" s="8" t="s">
        <v>46</v>
      </c>
      <c r="J155" s="8" t="s">
        <v>34</v>
      </c>
      <c r="K155" s="8" t="str">
        <f>_xlfn.CONCAT("")</f>
        <v/>
      </c>
      <c r="L155" s="8" t="str">
        <f>_xlfn.CONCAT("11 11.2 4b")</f>
        <v>11 11.2 4b</v>
      </c>
      <c r="M155" s="8" t="str">
        <f>_xlfn.CONCAT("NTNLSN92S13I156K")</f>
        <v>NTNLSN92S13I156K</v>
      </c>
      <c r="N155" s="8" t="s">
        <v>246</v>
      </c>
      <c r="O155" s="8" t="s">
        <v>99</v>
      </c>
      <c r="P155" s="9">
        <v>45329</v>
      </c>
      <c r="Q155" s="8" t="s">
        <v>37</v>
      </c>
      <c r="R155" s="8" t="s">
        <v>38</v>
      </c>
      <c r="S155" s="8" t="s">
        <v>39</v>
      </c>
      <c r="T155" s="8"/>
      <c r="U155" s="8" t="s">
        <v>40</v>
      </c>
      <c r="V155" s="8">
        <v>774.89</v>
      </c>
      <c r="W155" s="8">
        <v>334.13</v>
      </c>
      <c r="X155" s="8">
        <v>308.56</v>
      </c>
      <c r="Y155" s="8">
        <v>132.19999999999999</v>
      </c>
      <c r="Z155" s="8">
        <v>0</v>
      </c>
    </row>
    <row r="156" spans="1:26" x14ac:dyDescent="0.3">
      <c r="A156" s="8" t="s">
        <v>27</v>
      </c>
      <c r="B156" s="8" t="s">
        <v>59</v>
      </c>
      <c r="C156" s="8" t="s">
        <v>29</v>
      </c>
      <c r="D156" s="8" t="s">
        <v>44</v>
      </c>
      <c r="E156" s="8" t="s">
        <v>31</v>
      </c>
      <c r="F156" s="8" t="s">
        <v>128</v>
      </c>
      <c r="G156" s="8">
        <v>2023</v>
      </c>
      <c r="H156" s="8" t="str">
        <f>_xlfn.CONCAT("34240712827")</f>
        <v>34240712827</v>
      </c>
      <c r="I156" s="8" t="s">
        <v>46</v>
      </c>
      <c r="J156" s="8" t="s">
        <v>34</v>
      </c>
      <c r="K156" s="8" t="str">
        <f>_xlfn.CONCAT("")</f>
        <v/>
      </c>
      <c r="L156" s="8" t="str">
        <f>_xlfn.CONCAT("11 11.2 4b")</f>
        <v>11 11.2 4b</v>
      </c>
      <c r="M156" s="8" t="str">
        <f>_xlfn.CONCAT("CRRMNL60B55D210M")</f>
        <v>CRRMNL60B55D210M</v>
      </c>
      <c r="N156" s="8" t="s">
        <v>247</v>
      </c>
      <c r="O156" s="8" t="s">
        <v>99</v>
      </c>
      <c r="P156" s="9">
        <v>45329</v>
      </c>
      <c r="Q156" s="8" t="s">
        <v>37</v>
      </c>
      <c r="R156" s="8" t="s">
        <v>38</v>
      </c>
      <c r="S156" s="8" t="s">
        <v>39</v>
      </c>
      <c r="T156" s="8"/>
      <c r="U156" s="8" t="s">
        <v>40</v>
      </c>
      <c r="V156" s="8">
        <v>267.98</v>
      </c>
      <c r="W156" s="8">
        <v>115.55</v>
      </c>
      <c r="X156" s="8">
        <v>106.71</v>
      </c>
      <c r="Y156" s="8">
        <v>45.72</v>
      </c>
      <c r="Z156" s="8">
        <v>0</v>
      </c>
    </row>
    <row r="157" spans="1:26" x14ac:dyDescent="0.3">
      <c r="A157" s="8" t="s">
        <v>27</v>
      </c>
      <c r="B157" s="8" t="s">
        <v>59</v>
      </c>
      <c r="C157" s="8" t="s">
        <v>29</v>
      </c>
      <c r="D157" s="8" t="s">
        <v>77</v>
      </c>
      <c r="E157" s="8" t="s">
        <v>66</v>
      </c>
      <c r="F157" s="8" t="s">
        <v>95</v>
      </c>
      <c r="G157" s="8">
        <v>2023</v>
      </c>
      <c r="H157" s="8" t="str">
        <f>_xlfn.CONCAT("34240299171")</f>
        <v>34240299171</v>
      </c>
      <c r="I157" s="8" t="s">
        <v>46</v>
      </c>
      <c r="J157" s="8" t="s">
        <v>34</v>
      </c>
      <c r="K157" s="8" t="str">
        <f>_xlfn.CONCAT("")</f>
        <v/>
      </c>
      <c r="L157" s="8" t="str">
        <f>_xlfn.CONCAT("11 11.2 4b")</f>
        <v>11 11.2 4b</v>
      </c>
      <c r="M157" s="8" t="str">
        <f>_xlfn.CONCAT("02928910427")</f>
        <v>02928910427</v>
      </c>
      <c r="N157" s="8" t="s">
        <v>248</v>
      </c>
      <c r="O157" s="8" t="s">
        <v>99</v>
      </c>
      <c r="P157" s="9">
        <v>45329</v>
      </c>
      <c r="Q157" s="8" t="s">
        <v>37</v>
      </c>
      <c r="R157" s="8" t="s">
        <v>38</v>
      </c>
      <c r="S157" s="8" t="s">
        <v>39</v>
      </c>
      <c r="T157" s="8"/>
      <c r="U157" s="8" t="s">
        <v>40</v>
      </c>
      <c r="V157" s="8">
        <v>248.94</v>
      </c>
      <c r="W157" s="8">
        <v>107.34</v>
      </c>
      <c r="X157" s="8">
        <v>99.13</v>
      </c>
      <c r="Y157" s="8">
        <v>42.47</v>
      </c>
      <c r="Z157" s="8">
        <v>0</v>
      </c>
    </row>
    <row r="158" spans="1:26" x14ac:dyDescent="0.3">
      <c r="A158" s="8" t="s">
        <v>27</v>
      </c>
      <c r="B158" s="8" t="s">
        <v>28</v>
      </c>
      <c r="C158" s="8" t="s">
        <v>29</v>
      </c>
      <c r="D158" s="8" t="s">
        <v>77</v>
      </c>
      <c r="E158" s="8" t="s">
        <v>31</v>
      </c>
      <c r="F158" s="8" t="s">
        <v>249</v>
      </c>
      <c r="G158" s="8">
        <v>2017</v>
      </c>
      <c r="H158" s="8" t="str">
        <f>_xlfn.CONCAT("34270426546")</f>
        <v>34270426546</v>
      </c>
      <c r="I158" s="8" t="s">
        <v>46</v>
      </c>
      <c r="J158" s="8" t="s">
        <v>34</v>
      </c>
      <c r="K158" s="8" t="str">
        <f>_xlfn.CONCAT("")</f>
        <v/>
      </c>
      <c r="L158" s="8" t="str">
        <f>_xlfn.CONCAT("4 4.3 2a")</f>
        <v>4 4.3 2a</v>
      </c>
      <c r="M158" s="8" t="str">
        <f>_xlfn.CONCAT("00284570439")</f>
        <v>00284570439</v>
      </c>
      <c r="N158" s="8" t="s">
        <v>250</v>
      </c>
      <c r="O158" s="8" t="s">
        <v>251</v>
      </c>
      <c r="P158" s="9">
        <v>45324</v>
      </c>
      <c r="Q158" s="8" t="s">
        <v>37</v>
      </c>
      <c r="R158" s="8" t="s">
        <v>38</v>
      </c>
      <c r="S158" s="8" t="s">
        <v>39</v>
      </c>
      <c r="T158" s="8"/>
      <c r="U158" s="8" t="s">
        <v>40</v>
      </c>
      <c r="V158" s="10">
        <v>21769.79</v>
      </c>
      <c r="W158" s="10">
        <v>9387.1299999999992</v>
      </c>
      <c r="X158" s="10">
        <v>8668.73</v>
      </c>
      <c r="Y158" s="10">
        <v>3713.93</v>
      </c>
      <c r="Z158" s="8">
        <v>0</v>
      </c>
    </row>
    <row r="159" spans="1:26" x14ac:dyDescent="0.3">
      <c r="A159" s="8" t="s">
        <v>27</v>
      </c>
      <c r="B159" s="8" t="s">
        <v>28</v>
      </c>
      <c r="C159" s="8" t="s">
        <v>29</v>
      </c>
      <c r="D159" s="8" t="s">
        <v>77</v>
      </c>
      <c r="E159" s="8" t="s">
        <v>31</v>
      </c>
      <c r="F159" s="8" t="s">
        <v>249</v>
      </c>
      <c r="G159" s="8">
        <v>2017</v>
      </c>
      <c r="H159" s="8" t="str">
        <f>_xlfn.CONCAT("34270426538")</f>
        <v>34270426538</v>
      </c>
      <c r="I159" s="8" t="s">
        <v>46</v>
      </c>
      <c r="J159" s="8" t="s">
        <v>34</v>
      </c>
      <c r="K159" s="8" t="str">
        <f>_xlfn.CONCAT("")</f>
        <v/>
      </c>
      <c r="L159" s="8" t="str">
        <f>_xlfn.CONCAT("4 4.3 2a")</f>
        <v>4 4.3 2a</v>
      </c>
      <c r="M159" s="8" t="str">
        <f>_xlfn.CONCAT("00284570439")</f>
        <v>00284570439</v>
      </c>
      <c r="N159" s="8" t="s">
        <v>250</v>
      </c>
      <c r="O159" s="8" t="s">
        <v>251</v>
      </c>
      <c r="P159" s="9">
        <v>45324</v>
      </c>
      <c r="Q159" s="8" t="s">
        <v>37</v>
      </c>
      <c r="R159" s="8" t="s">
        <v>38</v>
      </c>
      <c r="S159" s="8" t="s">
        <v>39</v>
      </c>
      <c r="T159" s="8"/>
      <c r="U159" s="8" t="s">
        <v>40</v>
      </c>
      <c r="V159" s="10">
        <v>10792.31</v>
      </c>
      <c r="W159" s="10">
        <v>4653.6400000000003</v>
      </c>
      <c r="X159" s="10">
        <v>4297.5</v>
      </c>
      <c r="Y159" s="10">
        <v>1841.17</v>
      </c>
      <c r="Z159" s="8">
        <v>0</v>
      </c>
    </row>
    <row r="160" spans="1:26" x14ac:dyDescent="0.3">
      <c r="A160" s="8" t="s">
        <v>27</v>
      </c>
      <c r="B160" s="8" t="s">
        <v>28</v>
      </c>
      <c r="C160" s="8" t="s">
        <v>29</v>
      </c>
      <c r="D160" s="8" t="s">
        <v>44</v>
      </c>
      <c r="E160" s="8" t="s">
        <v>188</v>
      </c>
      <c r="F160" s="8" t="s">
        <v>189</v>
      </c>
      <c r="G160" s="8">
        <v>2017</v>
      </c>
      <c r="H160" s="8" t="str">
        <f>_xlfn.CONCAT("34270426470")</f>
        <v>34270426470</v>
      </c>
      <c r="I160" s="8" t="s">
        <v>46</v>
      </c>
      <c r="J160" s="8" t="s">
        <v>34</v>
      </c>
      <c r="K160" s="8" t="str">
        <f>_xlfn.CONCAT("")</f>
        <v/>
      </c>
      <c r="L160" s="8" t="str">
        <f>_xlfn.CONCAT("4 4.1 2a")</f>
        <v>4 4.1 2a</v>
      </c>
      <c r="M160" s="8" t="str">
        <f>_xlfn.CONCAT("02051090443")</f>
        <v>02051090443</v>
      </c>
      <c r="N160" s="8" t="s">
        <v>252</v>
      </c>
      <c r="O160" s="8" t="s">
        <v>253</v>
      </c>
      <c r="P160" s="9">
        <v>45324</v>
      </c>
      <c r="Q160" s="8" t="s">
        <v>37</v>
      </c>
      <c r="R160" s="8" t="s">
        <v>254</v>
      </c>
      <c r="S160" s="8" t="s">
        <v>39</v>
      </c>
      <c r="T160" s="8"/>
      <c r="U160" s="8" t="s">
        <v>40</v>
      </c>
      <c r="V160" s="10">
        <v>18593.439999999999</v>
      </c>
      <c r="W160" s="10">
        <v>8017.49</v>
      </c>
      <c r="X160" s="10">
        <v>7403.91</v>
      </c>
      <c r="Y160" s="10">
        <v>3172.04</v>
      </c>
      <c r="Z160" s="8">
        <v>0</v>
      </c>
    </row>
    <row r="161" spans="1:26" x14ac:dyDescent="0.3">
      <c r="A161" s="8" t="s">
        <v>27</v>
      </c>
      <c r="B161" s="8" t="s">
        <v>59</v>
      </c>
      <c r="C161" s="8" t="s">
        <v>29</v>
      </c>
      <c r="D161" s="8" t="s">
        <v>77</v>
      </c>
      <c r="E161" s="8" t="s">
        <v>66</v>
      </c>
      <c r="F161" s="8" t="s">
        <v>67</v>
      </c>
      <c r="G161" s="8">
        <v>2023</v>
      </c>
      <c r="H161" s="8" t="str">
        <f>_xlfn.CONCAT("34240192988")</f>
        <v>34240192988</v>
      </c>
      <c r="I161" s="8" t="s">
        <v>46</v>
      </c>
      <c r="J161" s="8" t="s">
        <v>34</v>
      </c>
      <c r="K161" s="8" t="str">
        <f>_xlfn.CONCAT("")</f>
        <v/>
      </c>
      <c r="L161" s="8" t="str">
        <f>_xlfn.CONCAT("10 10.1 4a")</f>
        <v>10 10.1 4a</v>
      </c>
      <c r="M161" s="8" t="str">
        <f>_xlfn.CONCAT("00898770433")</f>
        <v>00898770433</v>
      </c>
      <c r="N161" s="8" t="s">
        <v>204</v>
      </c>
      <c r="O161" s="8" t="s">
        <v>62</v>
      </c>
      <c r="P161" s="9">
        <v>45329</v>
      </c>
      <c r="Q161" s="8" t="s">
        <v>37</v>
      </c>
      <c r="R161" s="8" t="s">
        <v>38</v>
      </c>
      <c r="S161" s="8" t="s">
        <v>39</v>
      </c>
      <c r="T161" s="8"/>
      <c r="U161" s="8" t="s">
        <v>40</v>
      </c>
      <c r="V161" s="8">
        <v>899.68</v>
      </c>
      <c r="W161" s="8">
        <v>387.94</v>
      </c>
      <c r="X161" s="8">
        <v>358.25</v>
      </c>
      <c r="Y161" s="8">
        <v>153.49</v>
      </c>
      <c r="Z161" s="8">
        <v>0</v>
      </c>
    </row>
    <row r="162" spans="1:26" x14ac:dyDescent="0.3">
      <c r="A162" s="8" t="s">
        <v>27</v>
      </c>
      <c r="B162" s="8" t="s">
        <v>59</v>
      </c>
      <c r="C162" s="8" t="s">
        <v>29</v>
      </c>
      <c r="D162" s="8" t="s">
        <v>30</v>
      </c>
      <c r="E162" s="8" t="s">
        <v>41</v>
      </c>
      <c r="F162" s="8" t="s">
        <v>60</v>
      </c>
      <c r="G162" s="8">
        <v>2023</v>
      </c>
      <c r="H162" s="8" t="str">
        <f>_xlfn.CONCAT("34240237148")</f>
        <v>34240237148</v>
      </c>
      <c r="I162" s="8" t="s">
        <v>46</v>
      </c>
      <c r="J162" s="8" t="s">
        <v>34</v>
      </c>
      <c r="K162" s="8" t="str">
        <f>_xlfn.CONCAT("")</f>
        <v/>
      </c>
      <c r="L162" s="8" t="str">
        <f>_xlfn.CONCAT("11 11.2 4b")</f>
        <v>11 11.2 4b</v>
      </c>
      <c r="M162" s="8" t="str">
        <f>_xlfn.CONCAT("MNCNDA47L53C850L")</f>
        <v>MNCNDA47L53C850L</v>
      </c>
      <c r="N162" s="8" t="s">
        <v>255</v>
      </c>
      <c r="O162" s="8" t="s">
        <v>99</v>
      </c>
      <c r="P162" s="9">
        <v>45329</v>
      </c>
      <c r="Q162" s="8" t="s">
        <v>37</v>
      </c>
      <c r="R162" s="8" t="s">
        <v>38</v>
      </c>
      <c r="S162" s="8" t="s">
        <v>39</v>
      </c>
      <c r="T162" s="8"/>
      <c r="U162" s="8" t="s">
        <v>40</v>
      </c>
      <c r="V162" s="8">
        <v>189.89</v>
      </c>
      <c r="W162" s="8">
        <v>81.88</v>
      </c>
      <c r="X162" s="8">
        <v>75.61</v>
      </c>
      <c r="Y162" s="8">
        <v>32.4</v>
      </c>
      <c r="Z162" s="8">
        <v>0</v>
      </c>
    </row>
    <row r="163" spans="1:26" x14ac:dyDescent="0.3">
      <c r="A163" s="8" t="s">
        <v>27</v>
      </c>
      <c r="B163" s="8" t="s">
        <v>59</v>
      </c>
      <c r="C163" s="8" t="s">
        <v>29</v>
      </c>
      <c r="D163" s="8" t="s">
        <v>77</v>
      </c>
      <c r="E163" s="8" t="s">
        <v>66</v>
      </c>
      <c r="F163" s="8" t="s">
        <v>78</v>
      </c>
      <c r="G163" s="8">
        <v>2023</v>
      </c>
      <c r="H163" s="8" t="str">
        <f>_xlfn.CONCAT("34240279462")</f>
        <v>34240279462</v>
      </c>
      <c r="I163" s="8" t="s">
        <v>46</v>
      </c>
      <c r="J163" s="8" t="s">
        <v>34</v>
      </c>
      <c r="K163" s="8" t="str">
        <f>_xlfn.CONCAT("")</f>
        <v/>
      </c>
      <c r="L163" s="8" t="str">
        <f>_xlfn.CONCAT("11 11.2 4b")</f>
        <v>11 11.2 4b</v>
      </c>
      <c r="M163" s="8" t="str">
        <f>_xlfn.CONCAT("MGLMCL73L22E783T")</f>
        <v>MGLMCL73L22E783T</v>
      </c>
      <c r="N163" s="8" t="s">
        <v>256</v>
      </c>
      <c r="O163" s="8" t="s">
        <v>99</v>
      </c>
      <c r="P163" s="9">
        <v>45329</v>
      </c>
      <c r="Q163" s="8" t="s">
        <v>37</v>
      </c>
      <c r="R163" s="8" t="s">
        <v>38</v>
      </c>
      <c r="S163" s="8" t="s">
        <v>39</v>
      </c>
      <c r="T163" s="8"/>
      <c r="U163" s="8" t="s">
        <v>40</v>
      </c>
      <c r="V163" s="10">
        <v>8005.45</v>
      </c>
      <c r="W163" s="10">
        <v>3451.95</v>
      </c>
      <c r="X163" s="10">
        <v>3187.77</v>
      </c>
      <c r="Y163" s="10">
        <v>1365.73</v>
      </c>
      <c r="Z163" s="8">
        <v>0</v>
      </c>
    </row>
    <row r="164" spans="1:26" x14ac:dyDescent="0.3">
      <c r="A164" s="8" t="s">
        <v>27</v>
      </c>
      <c r="B164" s="8" t="s">
        <v>59</v>
      </c>
      <c r="C164" s="8" t="s">
        <v>29</v>
      </c>
      <c r="D164" s="8" t="s">
        <v>77</v>
      </c>
      <c r="E164" s="8" t="s">
        <v>41</v>
      </c>
      <c r="F164" s="8" t="s">
        <v>168</v>
      </c>
      <c r="G164" s="8">
        <v>2023</v>
      </c>
      <c r="H164" s="8" t="str">
        <f>_xlfn.CONCAT("34240109925")</f>
        <v>34240109925</v>
      </c>
      <c r="I164" s="8" t="s">
        <v>46</v>
      </c>
      <c r="J164" s="8" t="s">
        <v>34</v>
      </c>
      <c r="K164" s="8" t="str">
        <f>_xlfn.CONCAT("")</f>
        <v/>
      </c>
      <c r="L164" s="8" t="str">
        <f>_xlfn.CONCAT("11 11.2 4b")</f>
        <v>11 11.2 4b</v>
      </c>
      <c r="M164" s="8" t="str">
        <f>_xlfn.CONCAT("MRZRRT77T04E783D")</f>
        <v>MRZRRT77T04E783D</v>
      </c>
      <c r="N164" s="8" t="s">
        <v>257</v>
      </c>
      <c r="O164" s="8" t="s">
        <v>99</v>
      </c>
      <c r="P164" s="9">
        <v>45329</v>
      </c>
      <c r="Q164" s="8" t="s">
        <v>37</v>
      </c>
      <c r="R164" s="8" t="s">
        <v>38</v>
      </c>
      <c r="S164" s="8" t="s">
        <v>39</v>
      </c>
      <c r="T164" s="8"/>
      <c r="U164" s="8" t="s">
        <v>40</v>
      </c>
      <c r="V164" s="8">
        <v>98.85</v>
      </c>
      <c r="W164" s="8">
        <v>42.62</v>
      </c>
      <c r="X164" s="8">
        <v>39.36</v>
      </c>
      <c r="Y164" s="8">
        <v>16.87</v>
      </c>
      <c r="Z164" s="8">
        <v>0</v>
      </c>
    </row>
    <row r="165" spans="1:26" x14ac:dyDescent="0.3">
      <c r="A165" s="8" t="s">
        <v>27</v>
      </c>
      <c r="B165" s="8" t="s">
        <v>59</v>
      </c>
      <c r="C165" s="8" t="s">
        <v>29</v>
      </c>
      <c r="D165" s="8" t="s">
        <v>77</v>
      </c>
      <c r="E165" s="8" t="s">
        <v>70</v>
      </c>
      <c r="F165" s="8" t="s">
        <v>119</v>
      </c>
      <c r="G165" s="8">
        <v>2023</v>
      </c>
      <c r="H165" s="8" t="str">
        <f>_xlfn.CONCAT("34240477827")</f>
        <v>34240477827</v>
      </c>
      <c r="I165" s="8" t="s">
        <v>46</v>
      </c>
      <c r="J165" s="8" t="s">
        <v>34</v>
      </c>
      <c r="K165" s="8" t="str">
        <f>_xlfn.CONCAT("")</f>
        <v/>
      </c>
      <c r="L165" s="8" t="str">
        <f>_xlfn.CONCAT("11 11.2 4b")</f>
        <v>11 11.2 4b</v>
      </c>
      <c r="M165" s="8" t="str">
        <f>_xlfn.CONCAT("BNCTTN93C52H211M")</f>
        <v>BNCTTN93C52H211M</v>
      </c>
      <c r="N165" s="8" t="s">
        <v>258</v>
      </c>
      <c r="O165" s="8" t="s">
        <v>99</v>
      </c>
      <c r="P165" s="9">
        <v>45329</v>
      </c>
      <c r="Q165" s="8" t="s">
        <v>37</v>
      </c>
      <c r="R165" s="8" t="s">
        <v>38</v>
      </c>
      <c r="S165" s="8" t="s">
        <v>39</v>
      </c>
      <c r="T165" s="8"/>
      <c r="U165" s="8" t="s">
        <v>40</v>
      </c>
      <c r="V165" s="10">
        <v>60866.82</v>
      </c>
      <c r="W165" s="10">
        <v>26245.77</v>
      </c>
      <c r="X165" s="10">
        <v>24237.17</v>
      </c>
      <c r="Y165" s="10">
        <v>10383.879999999999</v>
      </c>
      <c r="Z165" s="8">
        <v>0</v>
      </c>
    </row>
    <row r="166" spans="1:26" x14ac:dyDescent="0.3">
      <c r="A166" s="8" t="s">
        <v>27</v>
      </c>
      <c r="B166" s="8" t="s">
        <v>59</v>
      </c>
      <c r="C166" s="8" t="s">
        <v>29</v>
      </c>
      <c r="D166" s="8" t="s">
        <v>77</v>
      </c>
      <c r="E166" s="8" t="s">
        <v>41</v>
      </c>
      <c r="F166" s="8" t="s">
        <v>89</v>
      </c>
      <c r="G166" s="8">
        <v>2023</v>
      </c>
      <c r="H166" s="8" t="str">
        <f>_xlfn.CONCAT("34240242791")</f>
        <v>34240242791</v>
      </c>
      <c r="I166" s="8" t="s">
        <v>46</v>
      </c>
      <c r="J166" s="8" t="s">
        <v>34</v>
      </c>
      <c r="K166" s="8" t="str">
        <f>_xlfn.CONCAT("")</f>
        <v/>
      </c>
      <c r="L166" s="8" t="str">
        <f>_xlfn.CONCAT("11 11.2 4b")</f>
        <v>11 11.2 4b</v>
      </c>
      <c r="M166" s="8" t="str">
        <f>_xlfn.CONCAT("01674000433")</f>
        <v>01674000433</v>
      </c>
      <c r="N166" s="8" t="s">
        <v>259</v>
      </c>
      <c r="O166" s="8" t="s">
        <v>99</v>
      </c>
      <c r="P166" s="9">
        <v>45329</v>
      </c>
      <c r="Q166" s="8" t="s">
        <v>37</v>
      </c>
      <c r="R166" s="8" t="s">
        <v>38</v>
      </c>
      <c r="S166" s="8" t="s">
        <v>39</v>
      </c>
      <c r="T166" s="8"/>
      <c r="U166" s="8" t="s">
        <v>40</v>
      </c>
      <c r="V166" s="10">
        <v>2306.31</v>
      </c>
      <c r="W166" s="8">
        <v>994.48</v>
      </c>
      <c r="X166" s="8">
        <v>918.37</v>
      </c>
      <c r="Y166" s="8">
        <v>393.46</v>
      </c>
      <c r="Z166" s="8">
        <v>0</v>
      </c>
    </row>
    <row r="167" spans="1:26" x14ac:dyDescent="0.3">
      <c r="A167" s="8" t="s">
        <v>27</v>
      </c>
      <c r="B167" s="8" t="s">
        <v>59</v>
      </c>
      <c r="C167" s="8" t="s">
        <v>29</v>
      </c>
      <c r="D167" s="8" t="s">
        <v>30</v>
      </c>
      <c r="E167" s="8" t="s">
        <v>31</v>
      </c>
      <c r="F167" s="8" t="s">
        <v>84</v>
      </c>
      <c r="G167" s="8">
        <v>2023</v>
      </c>
      <c r="H167" s="8" t="str">
        <f>_xlfn.CONCAT("34240076447")</f>
        <v>34240076447</v>
      </c>
      <c r="I167" s="8" t="s">
        <v>46</v>
      </c>
      <c r="J167" s="8" t="s">
        <v>34</v>
      </c>
      <c r="K167" s="8" t="str">
        <f>_xlfn.CONCAT("")</f>
        <v/>
      </c>
      <c r="L167" s="8" t="str">
        <f>_xlfn.CONCAT("11 11.2 4b")</f>
        <v>11 11.2 4b</v>
      </c>
      <c r="M167" s="8" t="str">
        <f>_xlfn.CONCAT("CPPMRC77R28A271G")</f>
        <v>CPPMRC77R28A271G</v>
      </c>
      <c r="N167" s="8" t="s">
        <v>260</v>
      </c>
      <c r="O167" s="8" t="s">
        <v>99</v>
      </c>
      <c r="P167" s="9">
        <v>45329</v>
      </c>
      <c r="Q167" s="8" t="s">
        <v>37</v>
      </c>
      <c r="R167" s="8" t="s">
        <v>38</v>
      </c>
      <c r="S167" s="8" t="s">
        <v>39</v>
      </c>
      <c r="T167" s="8"/>
      <c r="U167" s="8" t="s">
        <v>40</v>
      </c>
      <c r="V167" s="10">
        <v>1984.26</v>
      </c>
      <c r="W167" s="8">
        <v>855.61</v>
      </c>
      <c r="X167" s="8">
        <v>790.13</v>
      </c>
      <c r="Y167" s="8">
        <v>338.52</v>
      </c>
      <c r="Z167" s="8">
        <v>0</v>
      </c>
    </row>
    <row r="168" spans="1:26" x14ac:dyDescent="0.3">
      <c r="A168" s="8" t="s">
        <v>27</v>
      </c>
      <c r="B168" s="8" t="s">
        <v>59</v>
      </c>
      <c r="C168" s="8" t="s">
        <v>29</v>
      </c>
      <c r="D168" s="8" t="s">
        <v>44</v>
      </c>
      <c r="E168" s="8" t="s">
        <v>41</v>
      </c>
      <c r="F168" s="8" t="s">
        <v>155</v>
      </c>
      <c r="G168" s="8">
        <v>2023</v>
      </c>
      <c r="H168" s="8" t="str">
        <f>_xlfn.CONCAT("34240143221")</f>
        <v>34240143221</v>
      </c>
      <c r="I168" s="8" t="s">
        <v>46</v>
      </c>
      <c r="J168" s="8" t="s">
        <v>34</v>
      </c>
      <c r="K168" s="8" t="str">
        <f>_xlfn.CONCAT("")</f>
        <v/>
      </c>
      <c r="L168" s="8" t="str">
        <f>_xlfn.CONCAT("11 11.2 4b")</f>
        <v>11 11.2 4b</v>
      </c>
      <c r="M168" s="8" t="str">
        <f>_xlfn.CONCAT("02377020447")</f>
        <v>02377020447</v>
      </c>
      <c r="N168" s="8" t="s">
        <v>261</v>
      </c>
      <c r="O168" s="8" t="s">
        <v>99</v>
      </c>
      <c r="P168" s="9">
        <v>45329</v>
      </c>
      <c r="Q168" s="8" t="s">
        <v>37</v>
      </c>
      <c r="R168" s="8" t="s">
        <v>38</v>
      </c>
      <c r="S168" s="8" t="s">
        <v>39</v>
      </c>
      <c r="T168" s="8"/>
      <c r="U168" s="8" t="s">
        <v>40</v>
      </c>
      <c r="V168" s="8">
        <v>338.27</v>
      </c>
      <c r="W168" s="8">
        <v>145.86000000000001</v>
      </c>
      <c r="X168" s="8">
        <v>134.69999999999999</v>
      </c>
      <c r="Y168" s="8">
        <v>57.71</v>
      </c>
      <c r="Z168" s="8">
        <v>0</v>
      </c>
    </row>
    <row r="169" spans="1:26" x14ac:dyDescent="0.3">
      <c r="A169" s="8" t="s">
        <v>27</v>
      </c>
      <c r="B169" s="8" t="s">
        <v>59</v>
      </c>
      <c r="C169" s="8" t="s">
        <v>29</v>
      </c>
      <c r="D169" s="8" t="s">
        <v>44</v>
      </c>
      <c r="E169" s="8" t="s">
        <v>49</v>
      </c>
      <c r="F169" s="8" t="s">
        <v>49</v>
      </c>
      <c r="G169" s="8">
        <v>2023</v>
      </c>
      <c r="H169" s="8" t="str">
        <f>_xlfn.CONCAT("34240098540")</f>
        <v>34240098540</v>
      </c>
      <c r="I169" s="8" t="s">
        <v>46</v>
      </c>
      <c r="J169" s="8" t="s">
        <v>34</v>
      </c>
      <c r="K169" s="8" t="str">
        <f>_xlfn.CONCAT("")</f>
        <v/>
      </c>
      <c r="L169" s="8" t="str">
        <f>_xlfn.CONCAT("11 11.2 4b")</f>
        <v>11 11.2 4b</v>
      </c>
      <c r="M169" s="8" t="str">
        <f>_xlfn.CONCAT("TLMGRM44A18G005T")</f>
        <v>TLMGRM44A18G005T</v>
      </c>
      <c r="N169" s="8" t="s">
        <v>262</v>
      </c>
      <c r="O169" s="8" t="s">
        <v>99</v>
      </c>
      <c r="P169" s="9">
        <v>45329</v>
      </c>
      <c r="Q169" s="8" t="s">
        <v>37</v>
      </c>
      <c r="R169" s="8" t="s">
        <v>38</v>
      </c>
      <c r="S169" s="8" t="s">
        <v>39</v>
      </c>
      <c r="T169" s="8"/>
      <c r="U169" s="8" t="s">
        <v>40</v>
      </c>
      <c r="V169" s="10">
        <v>2138.38</v>
      </c>
      <c r="W169" s="8">
        <v>922.07</v>
      </c>
      <c r="X169" s="8">
        <v>851.5</v>
      </c>
      <c r="Y169" s="8">
        <v>364.81</v>
      </c>
      <c r="Z169" s="8">
        <v>0</v>
      </c>
    </row>
    <row r="170" spans="1:26" x14ac:dyDescent="0.3">
      <c r="A170" s="8" t="s">
        <v>27</v>
      </c>
      <c r="B170" s="8" t="s">
        <v>59</v>
      </c>
      <c r="C170" s="8" t="s">
        <v>29</v>
      </c>
      <c r="D170" s="8" t="s">
        <v>77</v>
      </c>
      <c r="E170" s="8" t="s">
        <v>41</v>
      </c>
      <c r="F170" s="8" t="s">
        <v>45</v>
      </c>
      <c r="G170" s="8">
        <v>2023</v>
      </c>
      <c r="H170" s="8" t="str">
        <f>_xlfn.CONCAT("34240099266")</f>
        <v>34240099266</v>
      </c>
      <c r="I170" s="8" t="s">
        <v>46</v>
      </c>
      <c r="J170" s="8" t="s">
        <v>34</v>
      </c>
      <c r="K170" s="8" t="str">
        <f>_xlfn.CONCAT("")</f>
        <v/>
      </c>
      <c r="L170" s="8" t="str">
        <f>_xlfn.CONCAT("11 11.2 4b")</f>
        <v>11 11.2 4b</v>
      </c>
      <c r="M170" s="8" t="str">
        <f>_xlfn.CONCAT("PZZLCN51P06H876E")</f>
        <v>PZZLCN51P06H876E</v>
      </c>
      <c r="N170" s="8" t="s">
        <v>263</v>
      </c>
      <c r="O170" s="8" t="s">
        <v>99</v>
      </c>
      <c r="P170" s="9">
        <v>45329</v>
      </c>
      <c r="Q170" s="8" t="s">
        <v>37</v>
      </c>
      <c r="R170" s="8" t="s">
        <v>38</v>
      </c>
      <c r="S170" s="8" t="s">
        <v>39</v>
      </c>
      <c r="T170" s="8"/>
      <c r="U170" s="8" t="s">
        <v>40</v>
      </c>
      <c r="V170" s="8">
        <v>272.29000000000002</v>
      </c>
      <c r="W170" s="8">
        <v>117.41</v>
      </c>
      <c r="X170" s="8">
        <v>108.43</v>
      </c>
      <c r="Y170" s="8">
        <v>46.45</v>
      </c>
      <c r="Z170" s="8">
        <v>0</v>
      </c>
    </row>
    <row r="171" spans="1:26" x14ac:dyDescent="0.3">
      <c r="A171" s="8" t="s">
        <v>27</v>
      </c>
      <c r="B171" s="8" t="s">
        <v>59</v>
      </c>
      <c r="C171" s="8" t="s">
        <v>29</v>
      </c>
      <c r="D171" s="8" t="s">
        <v>44</v>
      </c>
      <c r="E171" s="8" t="s">
        <v>31</v>
      </c>
      <c r="F171" s="8" t="s">
        <v>230</v>
      </c>
      <c r="G171" s="8">
        <v>2023</v>
      </c>
      <c r="H171" s="8" t="str">
        <f>_xlfn.CONCAT("34240206960")</f>
        <v>34240206960</v>
      </c>
      <c r="I171" s="8" t="s">
        <v>46</v>
      </c>
      <c r="J171" s="8" t="s">
        <v>34</v>
      </c>
      <c r="K171" s="8" t="str">
        <f>_xlfn.CONCAT("")</f>
        <v/>
      </c>
      <c r="L171" s="8" t="str">
        <f>_xlfn.CONCAT("11 11.2 4b")</f>
        <v>11 11.2 4b</v>
      </c>
      <c r="M171" s="8" t="str">
        <f>_xlfn.CONCAT("LLLRSN64A42A462G")</f>
        <v>LLLRSN64A42A462G</v>
      </c>
      <c r="N171" s="8" t="s">
        <v>264</v>
      </c>
      <c r="O171" s="8" t="s">
        <v>99</v>
      </c>
      <c r="P171" s="9">
        <v>45329</v>
      </c>
      <c r="Q171" s="8" t="s">
        <v>37</v>
      </c>
      <c r="R171" s="8" t="s">
        <v>38</v>
      </c>
      <c r="S171" s="8" t="s">
        <v>39</v>
      </c>
      <c r="T171" s="8"/>
      <c r="U171" s="8" t="s">
        <v>40</v>
      </c>
      <c r="V171" s="8">
        <v>347.41</v>
      </c>
      <c r="W171" s="8">
        <v>149.80000000000001</v>
      </c>
      <c r="X171" s="8">
        <v>138.34</v>
      </c>
      <c r="Y171" s="8">
        <v>59.27</v>
      </c>
      <c r="Z171" s="8">
        <v>0</v>
      </c>
    </row>
    <row r="172" spans="1:26" x14ac:dyDescent="0.3">
      <c r="A172" s="8" t="s">
        <v>27</v>
      </c>
      <c r="B172" s="8" t="s">
        <v>28</v>
      </c>
      <c r="C172" s="8" t="s">
        <v>29</v>
      </c>
      <c r="D172" s="8" t="s">
        <v>56</v>
      </c>
      <c r="E172" s="8" t="s">
        <v>41</v>
      </c>
      <c r="F172" s="8" t="s">
        <v>265</v>
      </c>
      <c r="G172" s="8">
        <v>2017</v>
      </c>
      <c r="H172" s="8" t="str">
        <f>_xlfn.CONCAT("34270426488")</f>
        <v>34270426488</v>
      </c>
      <c r="I172" s="8" t="s">
        <v>46</v>
      </c>
      <c r="J172" s="8" t="s">
        <v>34</v>
      </c>
      <c r="K172" s="8" t="str">
        <f>_xlfn.CONCAT("")</f>
        <v/>
      </c>
      <c r="L172" s="8" t="str">
        <f>_xlfn.CONCAT("4 4.1 2a")</f>
        <v>4 4.1 2a</v>
      </c>
      <c r="M172" s="8" t="str">
        <f>_xlfn.CONCAT("MSSMRZ81C24F347G")</f>
        <v>MSSMRZ81C24F347G</v>
      </c>
      <c r="N172" s="8" t="s">
        <v>266</v>
      </c>
      <c r="O172" s="8" t="s">
        <v>253</v>
      </c>
      <c r="P172" s="9">
        <v>45324</v>
      </c>
      <c r="Q172" s="8" t="s">
        <v>37</v>
      </c>
      <c r="R172" s="8" t="s">
        <v>38</v>
      </c>
      <c r="S172" s="8" t="s">
        <v>39</v>
      </c>
      <c r="T172" s="8"/>
      <c r="U172" s="8" t="s">
        <v>40</v>
      </c>
      <c r="V172" s="10">
        <v>6132.33</v>
      </c>
      <c r="W172" s="10">
        <v>2644.26</v>
      </c>
      <c r="X172" s="10">
        <v>2441.89</v>
      </c>
      <c r="Y172" s="10">
        <v>1046.18</v>
      </c>
      <c r="Z172" s="8">
        <v>0</v>
      </c>
    </row>
    <row r="173" spans="1:26" x14ac:dyDescent="0.3">
      <c r="A173" s="8" t="s">
        <v>27</v>
      </c>
      <c r="B173" s="8" t="s">
        <v>59</v>
      </c>
      <c r="C173" s="8" t="s">
        <v>29</v>
      </c>
      <c r="D173" s="8" t="s">
        <v>77</v>
      </c>
      <c r="E173" s="8" t="s">
        <v>81</v>
      </c>
      <c r="F173" s="8" t="s">
        <v>267</v>
      </c>
      <c r="G173" s="8">
        <v>2023</v>
      </c>
      <c r="H173" s="8" t="str">
        <f>_xlfn.CONCAT("34240508324")</f>
        <v>34240508324</v>
      </c>
      <c r="I173" s="8" t="s">
        <v>46</v>
      </c>
      <c r="J173" s="8" t="s">
        <v>34</v>
      </c>
      <c r="K173" s="8" t="str">
        <f>_xlfn.CONCAT("")</f>
        <v/>
      </c>
      <c r="L173" s="8" t="str">
        <f>_xlfn.CONCAT("10 10.1 4a")</f>
        <v>10 10.1 4a</v>
      </c>
      <c r="M173" s="8" t="str">
        <f>_xlfn.CONCAT("LCHCMR34C14F268R")</f>
        <v>LCHCMR34C14F268R</v>
      </c>
      <c r="N173" s="8" t="s">
        <v>268</v>
      </c>
      <c r="O173" s="8" t="s">
        <v>62</v>
      </c>
      <c r="P173" s="9">
        <v>45329</v>
      </c>
      <c r="Q173" s="8" t="s">
        <v>37</v>
      </c>
      <c r="R173" s="8" t="s">
        <v>38</v>
      </c>
      <c r="S173" s="8" t="s">
        <v>39</v>
      </c>
      <c r="T173" s="8"/>
      <c r="U173" s="8" t="s">
        <v>40</v>
      </c>
      <c r="V173" s="8">
        <v>556.64</v>
      </c>
      <c r="W173" s="8">
        <v>240.02</v>
      </c>
      <c r="X173" s="8">
        <v>221.65</v>
      </c>
      <c r="Y173" s="8">
        <v>94.97</v>
      </c>
      <c r="Z173" s="8">
        <v>0</v>
      </c>
    </row>
    <row r="174" spans="1:26" x14ac:dyDescent="0.3">
      <c r="A174" s="8" t="s">
        <v>27</v>
      </c>
      <c r="B174" s="8" t="s">
        <v>59</v>
      </c>
      <c r="C174" s="8" t="s">
        <v>29</v>
      </c>
      <c r="D174" s="8" t="s">
        <v>30</v>
      </c>
      <c r="E174" s="8" t="s">
        <v>41</v>
      </c>
      <c r="F174" s="8" t="s">
        <v>60</v>
      </c>
      <c r="G174" s="8">
        <v>2023</v>
      </c>
      <c r="H174" s="8" t="str">
        <f>_xlfn.CONCAT("34240232693")</f>
        <v>34240232693</v>
      </c>
      <c r="I174" s="8" t="s">
        <v>46</v>
      </c>
      <c r="J174" s="8" t="s">
        <v>34</v>
      </c>
      <c r="K174" s="8" t="str">
        <f>_xlfn.CONCAT("")</f>
        <v/>
      </c>
      <c r="L174" s="8" t="str">
        <f>_xlfn.CONCAT("10 10.1 4a")</f>
        <v>10 10.1 4a</v>
      </c>
      <c r="M174" s="8" t="str">
        <f>_xlfn.CONCAT("PCRMTT81S03E388F")</f>
        <v>PCRMTT81S03E388F</v>
      </c>
      <c r="N174" s="8" t="s">
        <v>269</v>
      </c>
      <c r="O174" s="8" t="s">
        <v>62</v>
      </c>
      <c r="P174" s="9">
        <v>45329</v>
      </c>
      <c r="Q174" s="8" t="s">
        <v>37</v>
      </c>
      <c r="R174" s="8" t="s">
        <v>38</v>
      </c>
      <c r="S174" s="8" t="s">
        <v>39</v>
      </c>
      <c r="T174" s="8"/>
      <c r="U174" s="8" t="s">
        <v>40</v>
      </c>
      <c r="V174" s="8">
        <v>308.76</v>
      </c>
      <c r="W174" s="8">
        <v>133.13999999999999</v>
      </c>
      <c r="X174" s="8">
        <v>122.95</v>
      </c>
      <c r="Y174" s="8">
        <v>52.67</v>
      </c>
      <c r="Z174" s="8">
        <v>0</v>
      </c>
    </row>
    <row r="175" spans="1:26" x14ac:dyDescent="0.3">
      <c r="A175" s="8" t="s">
        <v>27</v>
      </c>
      <c r="B175" s="8" t="s">
        <v>59</v>
      </c>
      <c r="C175" s="8" t="s">
        <v>29</v>
      </c>
      <c r="D175" s="8" t="s">
        <v>77</v>
      </c>
      <c r="E175" s="8" t="s">
        <v>31</v>
      </c>
      <c r="F175" s="8" t="s">
        <v>163</v>
      </c>
      <c r="G175" s="8">
        <v>2023</v>
      </c>
      <c r="H175" s="8" t="str">
        <f>_xlfn.CONCAT("34240348994")</f>
        <v>34240348994</v>
      </c>
      <c r="I175" s="8" t="s">
        <v>46</v>
      </c>
      <c r="J175" s="8" t="s">
        <v>34</v>
      </c>
      <c r="K175" s="8" t="str">
        <f>_xlfn.CONCAT("")</f>
        <v/>
      </c>
      <c r="L175" s="8" t="str">
        <f>_xlfn.CONCAT("10 10.1 4a")</f>
        <v>10 10.1 4a</v>
      </c>
      <c r="M175" s="8" t="str">
        <f>_xlfn.CONCAT("01914620438")</f>
        <v>01914620438</v>
      </c>
      <c r="N175" s="8" t="s">
        <v>270</v>
      </c>
      <c r="O175" s="8" t="s">
        <v>62</v>
      </c>
      <c r="P175" s="9">
        <v>45329</v>
      </c>
      <c r="Q175" s="8" t="s">
        <v>37</v>
      </c>
      <c r="R175" s="8" t="s">
        <v>38</v>
      </c>
      <c r="S175" s="8" t="s">
        <v>39</v>
      </c>
      <c r="T175" s="8"/>
      <c r="U175" s="8" t="s">
        <v>40</v>
      </c>
      <c r="V175" s="8">
        <v>199.76</v>
      </c>
      <c r="W175" s="8">
        <v>86.14</v>
      </c>
      <c r="X175" s="8">
        <v>79.540000000000006</v>
      </c>
      <c r="Y175" s="8">
        <v>34.08</v>
      </c>
      <c r="Z175" s="8">
        <v>0</v>
      </c>
    </row>
    <row r="176" spans="1:26" x14ac:dyDescent="0.3">
      <c r="A176" s="8" t="s">
        <v>27</v>
      </c>
      <c r="B176" s="8" t="s">
        <v>59</v>
      </c>
      <c r="C176" s="8" t="s">
        <v>29</v>
      </c>
      <c r="D176" s="8" t="s">
        <v>77</v>
      </c>
      <c r="E176" s="8" t="s">
        <v>41</v>
      </c>
      <c r="F176" s="8" t="s">
        <v>168</v>
      </c>
      <c r="G176" s="8">
        <v>2023</v>
      </c>
      <c r="H176" s="8" t="str">
        <f>_xlfn.CONCAT("34240097302")</f>
        <v>34240097302</v>
      </c>
      <c r="I176" s="8" t="s">
        <v>46</v>
      </c>
      <c r="J176" s="8" t="s">
        <v>34</v>
      </c>
      <c r="K176" s="8" t="str">
        <f>_xlfn.CONCAT("")</f>
        <v/>
      </c>
      <c r="L176" s="8" t="str">
        <f>_xlfn.CONCAT("10 10.1 4a")</f>
        <v>10 10.1 4a</v>
      </c>
      <c r="M176" s="8" t="str">
        <f>_xlfn.CONCAT("PLZGNN59L55A334J")</f>
        <v>PLZGNN59L55A334J</v>
      </c>
      <c r="N176" s="8" t="s">
        <v>271</v>
      </c>
      <c r="O176" s="8" t="s">
        <v>62</v>
      </c>
      <c r="P176" s="9">
        <v>45329</v>
      </c>
      <c r="Q176" s="8" t="s">
        <v>37</v>
      </c>
      <c r="R176" s="8" t="s">
        <v>38</v>
      </c>
      <c r="S176" s="8" t="s">
        <v>39</v>
      </c>
      <c r="T176" s="8"/>
      <c r="U176" s="8" t="s">
        <v>40</v>
      </c>
      <c r="V176" s="8">
        <v>983.84</v>
      </c>
      <c r="W176" s="8">
        <v>424.23</v>
      </c>
      <c r="X176" s="8">
        <v>391.77</v>
      </c>
      <c r="Y176" s="8">
        <v>167.84</v>
      </c>
      <c r="Z176" s="8">
        <v>0</v>
      </c>
    </row>
    <row r="177" spans="1:26" x14ac:dyDescent="0.3">
      <c r="A177" s="8" t="s">
        <v>27</v>
      </c>
      <c r="B177" s="8" t="s">
        <v>59</v>
      </c>
      <c r="C177" s="8" t="s">
        <v>29</v>
      </c>
      <c r="D177" s="8" t="s">
        <v>30</v>
      </c>
      <c r="E177" s="8" t="s">
        <v>81</v>
      </c>
      <c r="F177" s="8" t="s">
        <v>272</v>
      </c>
      <c r="G177" s="8">
        <v>2018</v>
      </c>
      <c r="H177" s="8" t="str">
        <f>_xlfn.CONCAT("84780003624")</f>
        <v>84780003624</v>
      </c>
      <c r="I177" s="8" t="s">
        <v>33</v>
      </c>
      <c r="J177" s="8" t="s">
        <v>273</v>
      </c>
      <c r="K177" s="8" t="str">
        <f>_xlfn.CONCAT("221")</f>
        <v>221</v>
      </c>
      <c r="L177" s="8" t="str">
        <f>_xlfn.CONCAT("8 8.1 5e")</f>
        <v>8 8.1 5e</v>
      </c>
      <c r="M177" s="8" t="str">
        <f>_xlfn.CONCAT("MSCMRA35R70C704N")</f>
        <v>MSCMRA35R70C704N</v>
      </c>
      <c r="N177" s="8" t="s">
        <v>274</v>
      </c>
      <c r="O177" s="8" t="s">
        <v>275</v>
      </c>
      <c r="P177" s="9">
        <v>44340</v>
      </c>
      <c r="Q177" s="8" t="s">
        <v>37</v>
      </c>
      <c r="R177" s="8" t="s">
        <v>38</v>
      </c>
      <c r="S177" s="8" t="s">
        <v>39</v>
      </c>
      <c r="T177" s="8"/>
      <c r="U177" s="8" t="s">
        <v>40</v>
      </c>
      <c r="V177" s="10">
        <v>2124.8000000000002</v>
      </c>
      <c r="W177" s="8">
        <v>916.21</v>
      </c>
      <c r="X177" s="8">
        <v>846.1</v>
      </c>
      <c r="Y177" s="8">
        <v>362.49</v>
      </c>
      <c r="Z177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2024-02-13T13:29:55Z</dcterms:created>
  <dcterms:modified xsi:type="dcterms:W3CDTF">2024-02-13T13:29:55Z</dcterms:modified>
</cp:coreProperties>
</file>