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agov-my.sharepoint.com/personal/gi_greco_agea_gov_it/Documents/Decreti/659/SPACCHETTAMENTO/"/>
    </mc:Choice>
  </mc:AlternateContent>
  <xr:revisionPtr revIDLastSave="0" documentId="8_{F601F8BF-FDB2-4965-9AA7-8651FB319F39}" xr6:coauthVersionLast="45" xr6:coauthVersionMax="45" xr10:uidLastSave="{00000000-0000-0000-0000-000000000000}"/>
  <bookViews>
    <workbookView xWindow="-108" yWindow="-108" windowWidth="23256" windowHeight="12576" xr2:uid="{64034871-778E-4F85-B177-6DE1B816174C}"/>
  </bookViews>
  <sheets>
    <sheet name="MARCH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5" i="1" l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<sst xmlns="http://schemas.openxmlformats.org/spreadsheetml/2006/main" count="1175" uniqueCount="189">
  <si>
    <t>Dettaglio Domande Pagabili Decreto 659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</si>
  <si>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</si>
  <si>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</si>
  <si>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</si>
  <si>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</si>
  <si>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</si>
  <si>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</si>
  <si>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</si>
  <si>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</si>
  <si>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</si>
  <si>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</si>
  <si>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</si>
  <si>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</si>
  <si>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</si>
  <si>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</si>
  <si>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</si>
  <si>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</si>
  <si>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</si>
  <si>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</si>
  <si>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</si>
  <si>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</si>
  <si>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</si>
  <si>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</si>
  <si>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</si>
  <si>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</si>
  <si>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</si>
  <si>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</si>
  <si>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</si>
  <si>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</si>
  <si>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MARCHE</t>
  </si>
  <si>
    <t>IN PROPRIO</t>
  </si>
  <si>
    <t>NO</t>
  </si>
  <si>
    <t>PSR 2014/2022</t>
  </si>
  <si>
    <t>MARCHIGIANDO S.A.S. DI LIEM CARO IZQUIERDO &amp; C.</t>
  </si>
  <si>
    <t>AGEA.ASR.2023.1503457</t>
  </si>
  <si>
    <t>In Liquidazione</t>
  </si>
  <si>
    <t>Saldo</t>
  </si>
  <si>
    <t>Co-Finanziato</t>
  </si>
  <si>
    <t>Ordinario</t>
  </si>
  <si>
    <t>COMUNE DI SAN PAOLO DI JESI</t>
  </si>
  <si>
    <t>AGEA.ASR.2023.1503488</t>
  </si>
  <si>
    <t>Anticipo</t>
  </si>
  <si>
    <t>COMUNE DI CUPRAMONTANA</t>
  </si>
  <si>
    <t>SERV. DEC. AGRICOLTURA E ALIM. -ASCOLI PICENO</t>
  </si>
  <si>
    <t>CAA Coldiretti srl</t>
  </si>
  <si>
    <t>CAA Coldiretti - FERMO - 001</t>
  </si>
  <si>
    <t>GEMINIANI LETIZIA</t>
  </si>
  <si>
    <t>AGEA.ASR.2023.1484908</t>
  </si>
  <si>
    <t>CAA CIA srl</t>
  </si>
  <si>
    <t>CAA CIA - ASCOLI PICENO - 004</t>
  </si>
  <si>
    <t>SI BIO DI PREMICI SILVIA E ALEANDRI VINCENZO SOCIETA' SEMPLICE AGRICOL</t>
  </si>
  <si>
    <t>SERV. DEC. AGRICOLTURA E ALIM. - MACERATA</t>
  </si>
  <si>
    <t>COLLI ESINI SAN VICINO SRL</t>
  </si>
  <si>
    <t>AGEA.ASR.2023.1497454</t>
  </si>
  <si>
    <t>SAL</t>
  </si>
  <si>
    <t>SERV. DEC. AGRICOLTURA E ALIMENTAZIONE - PESARO</t>
  </si>
  <si>
    <t>MONTEFELTRO SVILUPPO SOC. CONS. A R.L.</t>
  </si>
  <si>
    <t>SIBILLA - SOCIETA' CONSORTILE A RESPONSABILITA' LIMITATA</t>
  </si>
  <si>
    <t>SERV. DEC. AGRICOLTURA E ALIMENTAZIONE - ANCONA</t>
  </si>
  <si>
    <t>AGENZIA DI SVILUPPO RURALE S.R.L.</t>
  </si>
  <si>
    <t>AGEA.ASR.2023.1484944</t>
  </si>
  <si>
    <t>ASSOCIAZIONE PRODUTTORI AGROALIMENTARE MARCHE OVVERO FOODBRANDMAR CHE</t>
  </si>
  <si>
    <t>AGEA.ASR.2023.1480992</t>
  </si>
  <si>
    <t>SOC.AGR.COLLECCHIO DI TAMANTI CATERINA, TOSI ILARIA, TAMANTI RENZO, TO</t>
  </si>
  <si>
    <t>AGEA.ASR.2023.1487808</t>
  </si>
  <si>
    <t>SOC.AGR. TRE CASTELLI S.S.</t>
  </si>
  <si>
    <t>AGEA.ASR.2023.1481597</t>
  </si>
  <si>
    <t>CONSORZIO FORMACOOP MARCHE - SOCIETA' COOPERATIVA</t>
  </si>
  <si>
    <t>AGENZIA PER L'INNOVAZIONE NEL SETTORE AGROALIMENTARE E DELLA PESCA "MA</t>
  </si>
  <si>
    <t>AGEA.ASR.2023.1487804</t>
  </si>
  <si>
    <t>SOCIETA' AGRICOLA ROTELLA SRL</t>
  </si>
  <si>
    <t>AGEA.ASR.2023.1484983</t>
  </si>
  <si>
    <t>BOVINMARCHE - ALLEVATORI MARCHIGIANI SOCIETA' COOPERATIVA CONSORTILE A</t>
  </si>
  <si>
    <t>AGEA.ASR.2023.1501302</t>
  </si>
  <si>
    <t>CAA UNICAA srl</t>
  </si>
  <si>
    <t>CAA UNICAA - ASCOLI PICENO - 004</t>
  </si>
  <si>
    <t>CONSORZIO TUTELA VINI PICENI</t>
  </si>
  <si>
    <t>AGEA.ASR.2023.1487104</t>
  </si>
  <si>
    <t>COMUNE DI POLLENZA</t>
  </si>
  <si>
    <t>AGEA.ASR.2023.1502079</t>
  </si>
  <si>
    <t>CAA Coldiretti - ANCONA - 002</t>
  </si>
  <si>
    <t>ALBERTI FABRIZIO</t>
  </si>
  <si>
    <t>AGEA.ASR.2023.1501803</t>
  </si>
  <si>
    <t>DE SANTIS MARIA CANDIDA</t>
  </si>
  <si>
    <t>SI</t>
  </si>
  <si>
    <t>AGEA.ASR.2023.1484928</t>
  </si>
  <si>
    <t>CONFAGRICOLTURA PICENA SERVIZI S.R.L. (IN SIGLA CONFAGRICOLTURA SERVIZ</t>
  </si>
  <si>
    <t>COMUNE DI MAIOLATI SPONTINI</t>
  </si>
  <si>
    <t>AGEA.ASR.2023.1503523</t>
  </si>
  <si>
    <t>CAA LiberiAgricoltori srl già CAA AGCI srl</t>
  </si>
  <si>
    <t>CAA LiberiAgricoltori - MACERATA - 002</t>
  </si>
  <si>
    <t>RICCIONI FILIPPO</t>
  </si>
  <si>
    <t>AGEA.ASR.2023.1481591</t>
  </si>
  <si>
    <t>VENTURA VALERIO VITTORIO</t>
  </si>
  <si>
    <t>AGEA.ASR.2023.1484913</t>
  </si>
  <si>
    <t>IMPRESA VERDE MARCHE S.R.L.</t>
  </si>
  <si>
    <t>AGEA.ASR.2023.1484933</t>
  </si>
  <si>
    <t>CAA Coldiretti - MACERATA - 009</t>
  </si>
  <si>
    <t>CIARLANTINI CLAUDIA</t>
  </si>
  <si>
    <t>Misure a Superficie</t>
  </si>
  <si>
    <t>CAA CIA - ANCONA - 002</t>
  </si>
  <si>
    <t>PATTI VANOCCI LIDIA</t>
  </si>
  <si>
    <t>AGEA.ASR.2023.1462089</t>
  </si>
  <si>
    <t>PAGLIONI CLAUDIO</t>
  </si>
  <si>
    <t>CACCIAMANI EMANUELE</t>
  </si>
  <si>
    <t>CAA Coldiretti - MACERATA - 017</t>
  </si>
  <si>
    <t>SOCIETA' AGRICOLA GRANDONI MAURIZIO E C. S.S.</t>
  </si>
  <si>
    <t>AGEA.ASR.2023.1511977</t>
  </si>
  <si>
    <t>VITIVINICOLA D'ANGELO DI D'ANGELO PASQUALE E PHILIP SOCIETA' SEMPLICE</t>
  </si>
  <si>
    <t>AGEA.ASR.2023.1481601</t>
  </si>
  <si>
    <t>UNIONE MONTANA DEI MONTI AZZURRI</t>
  </si>
  <si>
    <t>AGEA.ASR.2023.1473770</t>
  </si>
  <si>
    <t>AZIENDA AGRICOLA FIENAROLO DI BASSETTI JACOPO E BASSETTI NAZZARENO SOC</t>
  </si>
  <si>
    <t>AGEA.ASR.2023.1496799</t>
  </si>
  <si>
    <t>SOCIETA' AGRICOLA F.LLI AMBROGI S.S.</t>
  </si>
  <si>
    <t>COMUNE DI MONTALTO DELLE MARCHE</t>
  </si>
  <si>
    <t>AGEA.ASR.2023.1473932</t>
  </si>
  <si>
    <t>COMUNE DI MONTE RINALDO</t>
  </si>
  <si>
    <t>AGEA.ASR.2023.1472802</t>
  </si>
  <si>
    <t>COMUNE DI SAN SEVERINO MARCHE</t>
  </si>
  <si>
    <t>AGEA.ASR.2023.1482872</t>
  </si>
  <si>
    <t>IL COLLE DELLE SPIGHE SOCIETA' AGRICOLA SEMPLICE</t>
  </si>
  <si>
    <t>AGEA.ASR.2023.1484907</t>
  </si>
  <si>
    <t>ANGELI LUCA</t>
  </si>
  <si>
    <t>AGEA.ASR.2023.1484914</t>
  </si>
  <si>
    <t>COPPONI LORENZO</t>
  </si>
  <si>
    <t>CAA Coldiretti - PESARO E URBINO - 001</t>
  </si>
  <si>
    <t>SOCIETA' AGRICOLA FRISONI DEL FURLO DI AMANTINI E BUCCHI S.S.</t>
  </si>
  <si>
    <t>AGEA.ASR.2023.1501933</t>
  </si>
  <si>
    <t>AGEA.ASR.2023.1494133</t>
  </si>
  <si>
    <t>CAA UNICAA - ANCONA - 003</t>
  </si>
  <si>
    <t>SPALLACCI MARCO</t>
  </si>
  <si>
    <t>AGEA.ASR.2023.1487603</t>
  </si>
  <si>
    <t>MAZZIERI GIUSEPPE</t>
  </si>
  <si>
    <t>D'ERASMO GIOVANNI</t>
  </si>
  <si>
    <t>AGEA.ASR.2023.1484904</t>
  </si>
  <si>
    <t>CAA Coldiretti - MACERATA - 007</t>
  </si>
  <si>
    <t>IACOZZI MASSIMO</t>
  </si>
  <si>
    <t>PEROZZI NUNZIO</t>
  </si>
  <si>
    <t>SOCIETA' AGRICOLA LA MONACESCA DI COPPONI MASSIMO E C. S.S.</t>
  </si>
  <si>
    <t>SOCIETA' AGRICOLA FRATELLI BECCERICA S.S.</t>
  </si>
  <si>
    <t>AGEA.ASR.2023.1484973</t>
  </si>
  <si>
    <t>LA TENUTA DI MATTIA SOCIETA' SEMPLICE AGROFORESTALE DI FORMENTINI IVAN</t>
  </si>
  <si>
    <t>AGEA.ASR.2023.1487948</t>
  </si>
  <si>
    <t>CATALINI SERGIO</t>
  </si>
  <si>
    <t>AGEA.ASR.2023.1484965</t>
  </si>
  <si>
    <t>SENESI ROBERTO</t>
  </si>
  <si>
    <t>FATTORIE MARCHIGIANE CONSORZIO COOPERATIVO - SOCIETA' AGRICOLA</t>
  </si>
  <si>
    <t>AGEA.ASR.2023.1515416</t>
  </si>
  <si>
    <t>CONSORZIO MARCHE BIOLOGICHE SOC.COOP AGR</t>
  </si>
  <si>
    <t>AGEA.ASR.2023.1482652</t>
  </si>
  <si>
    <t>SINT SOLUZIONI INTEGRATE S.R.L.</t>
  </si>
  <si>
    <t>AGEA.ASR.2023.1484931</t>
  </si>
  <si>
    <t>SOCIETA' AGRICOLA TERRAVIVA S.S</t>
  </si>
  <si>
    <t>AGEA.ASR.2023.1482942</t>
  </si>
  <si>
    <t>CAA CIA - PESARO E URBINO - 002</t>
  </si>
  <si>
    <t>TRIPPETTA GIOVANNI</t>
  </si>
  <si>
    <t>CAA-CAF AGRI S.R.L.</t>
  </si>
  <si>
    <t>CAA CAF AGRI - ANCONA - 224</t>
  </si>
  <si>
    <t>FANCELLO FRANCESCO</t>
  </si>
  <si>
    <t>FANCELLO VINCENZO</t>
  </si>
  <si>
    <t>MAMMA VALENTINA SRLS</t>
  </si>
  <si>
    <t>AGEA.ASR.2023.1436520</t>
  </si>
  <si>
    <t>COMUNE DI COMUNANZA</t>
  </si>
  <si>
    <t>AGEA.ASR.2023.1482864</t>
  </si>
  <si>
    <t>MARCONI PIO</t>
  </si>
  <si>
    <t>AGEA.ASR.2023.1482883</t>
  </si>
  <si>
    <t>LUPI GRAZIANA</t>
  </si>
  <si>
    <t>AGEA.ASR.2023.1512079</t>
  </si>
  <si>
    <t>COMUNE DI TREIA</t>
  </si>
  <si>
    <t>AGEA.ASR.2023.1496850</t>
  </si>
  <si>
    <t>LIPPERA VALERIA</t>
  </si>
  <si>
    <t>AGEA.ASR.2023.1485855</t>
  </si>
  <si>
    <t>CAA Coldiretti - MACERATA - 008</t>
  </si>
  <si>
    <t>MOVIACTIVE SOCIETA' COOPERATIVA</t>
  </si>
  <si>
    <t>COMUNE DI LUNANO</t>
  </si>
  <si>
    <t>AGEA.ASR.2023.1485864</t>
  </si>
  <si>
    <t>CARDELLINI GIORGIO</t>
  </si>
  <si>
    <t>AGEA.ASR.2023.1471483</t>
  </si>
  <si>
    <t>CAA Confagricoltura srl</t>
  </si>
  <si>
    <t>CAA Confagricoltura - ANCONA - 001</t>
  </si>
  <si>
    <t>SOCIETA' AGRICOLA CASTELSANTANGELO SOCIETA' SEMLPICE</t>
  </si>
  <si>
    <t>AGEA.ASR.2023.1478820</t>
  </si>
  <si>
    <t>AGEA.ASR.2023.1501270</t>
  </si>
  <si>
    <t>TURCHI LORENZO</t>
  </si>
  <si>
    <t>CAA LiberiAgricoltori - PESARO E URBINO - 002</t>
  </si>
  <si>
    <t>GRESTINI MARIA LUISA</t>
  </si>
  <si>
    <t>CASAVECCHIA LEONELLO</t>
  </si>
  <si>
    <t>AGEA.ASR.2023.1484954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</si>
</sst>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ABD0B-F6BF-47AA-8FB0-B6E36A7FCC1B}">
  <sheetPr>
    <pageSetUpPr fitToPage="1"/>
  </sheetPr>
  <dimension ref="A1:Z85"/>
  <sheetViews>
    <sheetView tabSelected="1" workbookViewId="0"/>
  </sheetViews>
  <sheetFormatPr defaultRowHeight="14.4" x14ac:dyDescent="0.3"/>
  <cols>
    <col min="1" max="1" width="12" bestFit="1" customWidth="1"/>
    <col min="2" max="2" width="12.5546875" bestFit="1" customWidth="1"/>
    <col min="3" max="3" width="14.21875" bestFit="1" customWidth="1"/>
    <col min="4" max="4" width="34.44140625" bestFit="1" customWidth="1"/>
    <col min="5" max="5" width="25" bestFit="1" customWidth="1"/>
    <col min="6" max="6" width="32" bestFit="1" customWidth="1"/>
    <col min="7" max="7" width="6.5546875" bestFit="1" customWidth="1"/>
    <col min="8" max="8" width="9.88671875" bestFit="1" customWidth="1"/>
    <col min="9" max="9" width="16.33203125" bestFit="1" customWidth="1"/>
    <col min="10" max="10" width="18.33203125" bestFit="1" customWidth="1"/>
    <col min="11" max="11" width="13.21875" bestFit="1" customWidth="1"/>
    <col min="12" max="12" width="22.21875" bestFit="1" customWidth="1"/>
    <col min="13" max="13" width="14" bestFit="1" customWidth="1"/>
    <col min="14" max="14" width="35.5546875" bestFit="1" customWidth="1"/>
    <col min="15" max="15" width="14.5546875" bestFit="1" customWidth="1"/>
    <col min="16" max="16" width="17.77734375" bestFit="1" customWidth="1"/>
    <col min="17" max="17" width="12.5546875" bestFit="1" customWidth="1"/>
    <col min="18" max="18" width="13.77734375" bestFit="1" customWidth="1"/>
    <col min="19" max="19" width="18.21875" bestFit="1" customWidth="1"/>
    <col min="20" max="20" width="3.77734375" bestFit="1" customWidth="1"/>
    <col min="21" max="21" width="19.77734375" bestFit="1" customWidth="1"/>
    <col min="22" max="22" width="14.21875" bestFit="1" customWidth="1"/>
    <col min="23" max="23" width="19" bestFit="1" customWidth="1"/>
    <col min="24" max="25" width="20.88671875" bestFit="1" customWidth="1"/>
    <col min="26" max="26" width="26.109375" bestFit="1" customWidth="1"/>
  </cols>
  <sheetData>
    <row r="1" spans="1:26" ht="28.8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x14ac:dyDescent="0.3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</row>
    <row r="4" spans="1:26" x14ac:dyDescent="0.3">
      <c r="A4" s="8" t="s">
        <v>27</v>
      </c>
      <c r="B4" s="8" t="s">
        <v>28</v>
      </c>
      <c r="C4" s="8" t="s">
        <v>29</v>
      </c>
      <c r="D4" s="8" t="s">
        <v>29</v>
      </c>
      <c r="E4" s="8" t="s">
        <v>30</v>
      </c>
      <c r="F4" s="8" t="s">
        <v>30</v>
      </c>
      <c r="G4" s="8">
        <v>2017</v>
      </c>
      <c r="H4" s="8" t="str">
        <f>_xlfn.CONCAT("34270391831")</f>
        <v>34270391831</v>
      </c>
      <c r="I4" s="8" t="s">
        <v>31</v>
      </c>
      <c r="J4" s="8" t="s">
        <v>32</v>
      </c>
      <c r="K4" s="8" t="str">
        <f t="shared" ref="K4:K67" si="0">_xlfn.CONCAT("")</f>
        <v/>
      </c>
      <c r="L4" s="8" t="str">
        <f>_xlfn.CONCAT("19 19.2 6b")</f>
        <v>19 19.2 6b</v>
      </c>
      <c r="M4" s="8" t="str">
        <f>_xlfn.CONCAT("02803550421")</f>
        <v>02803550421</v>
      </c>
      <c r="N4" s="8" t="s">
        <v>33</v>
      </c>
      <c r="O4" s="8" t="s">
        <v>34</v>
      </c>
      <c r="P4" s="9">
        <v>45271</v>
      </c>
      <c r="Q4" s="8" t="s">
        <v>35</v>
      </c>
      <c r="R4" s="8" t="s">
        <v>36</v>
      </c>
      <c r="S4" s="8" t="s">
        <v>37</v>
      </c>
      <c r="T4" s="8"/>
      <c r="U4" s="8" t="s">
        <v>38</v>
      </c>
      <c r="V4" s="10">
        <v>40000</v>
      </c>
      <c r="W4" s="10">
        <v>17248</v>
      </c>
      <c r="X4" s="10">
        <v>15928</v>
      </c>
      <c r="Y4" s="8">
        <v>0</v>
      </c>
      <c r="Z4" s="10">
        <v>6824</v>
      </c>
    </row>
    <row r="5" spans="1:26" x14ac:dyDescent="0.3">
      <c r="A5" s="8" t="s">
        <v>27</v>
      </c>
      <c r="B5" s="8" t="s">
        <v>28</v>
      </c>
      <c r="C5" s="8" t="s">
        <v>29</v>
      </c>
      <c r="D5" s="8" t="s">
        <v>29</v>
      </c>
      <c r="E5" s="8" t="s">
        <v>30</v>
      </c>
      <c r="F5" s="8" t="s">
        <v>30</v>
      </c>
      <c r="G5" s="8">
        <v>2017</v>
      </c>
      <c r="H5" s="8" t="str">
        <f>_xlfn.CONCAT("34270391856")</f>
        <v>34270391856</v>
      </c>
      <c r="I5" s="8" t="s">
        <v>31</v>
      </c>
      <c r="J5" s="8" t="s">
        <v>32</v>
      </c>
      <c r="K5" s="8" t="str">
        <f t="shared" si="0"/>
        <v/>
      </c>
      <c r="L5" s="8" t="str">
        <f>_xlfn.CONCAT("19 19.2 6b")</f>
        <v>19 19.2 6b</v>
      </c>
      <c r="M5" s="8" t="str">
        <f>_xlfn.CONCAT("82002630422")</f>
        <v>82002630422</v>
      </c>
      <c r="N5" s="8" t="s">
        <v>39</v>
      </c>
      <c r="O5" s="8" t="s">
        <v>40</v>
      </c>
      <c r="P5" s="9">
        <v>45271</v>
      </c>
      <c r="Q5" s="8" t="s">
        <v>35</v>
      </c>
      <c r="R5" s="8" t="s">
        <v>41</v>
      </c>
      <c r="S5" s="8" t="s">
        <v>37</v>
      </c>
      <c r="T5" s="8"/>
      <c r="U5" s="8" t="s">
        <v>38</v>
      </c>
      <c r="V5" s="10">
        <v>67320</v>
      </c>
      <c r="W5" s="10">
        <v>29028.38</v>
      </c>
      <c r="X5" s="10">
        <v>26806.82</v>
      </c>
      <c r="Y5" s="8">
        <v>0</v>
      </c>
      <c r="Z5" s="10">
        <v>11484.8</v>
      </c>
    </row>
    <row r="6" spans="1:26" x14ac:dyDescent="0.3">
      <c r="A6" s="8" t="s">
        <v>27</v>
      </c>
      <c r="B6" s="8" t="s">
        <v>28</v>
      </c>
      <c r="C6" s="8" t="s">
        <v>29</v>
      </c>
      <c r="D6" s="8" t="s">
        <v>29</v>
      </c>
      <c r="E6" s="8" t="s">
        <v>30</v>
      </c>
      <c r="F6" s="8" t="s">
        <v>30</v>
      </c>
      <c r="G6" s="8">
        <v>2017</v>
      </c>
      <c r="H6" s="8" t="str">
        <f>_xlfn.CONCAT("34270391849")</f>
        <v>34270391849</v>
      </c>
      <c r="I6" s="8" t="s">
        <v>31</v>
      </c>
      <c r="J6" s="8" t="s">
        <v>32</v>
      </c>
      <c r="K6" s="8" t="str">
        <f t="shared" si="0"/>
        <v/>
      </c>
      <c r="L6" s="8" t="str">
        <f>_xlfn.CONCAT("19 19.2 6b")</f>
        <v>19 19.2 6b</v>
      </c>
      <c r="M6" s="8" t="str">
        <f>_xlfn.CONCAT("00208390427")</f>
        <v>00208390427</v>
      </c>
      <c r="N6" s="8" t="s">
        <v>42</v>
      </c>
      <c r="O6" s="8" t="s">
        <v>40</v>
      </c>
      <c r="P6" s="9">
        <v>45271</v>
      </c>
      <c r="Q6" s="8" t="s">
        <v>35</v>
      </c>
      <c r="R6" s="8" t="s">
        <v>41</v>
      </c>
      <c r="S6" s="8" t="s">
        <v>37</v>
      </c>
      <c r="T6" s="8"/>
      <c r="U6" s="8" t="s">
        <v>38</v>
      </c>
      <c r="V6" s="10">
        <v>71596.37</v>
      </c>
      <c r="W6" s="10">
        <v>30872.35</v>
      </c>
      <c r="X6" s="10">
        <v>28509.67</v>
      </c>
      <c r="Y6" s="8">
        <v>0</v>
      </c>
      <c r="Z6" s="10">
        <v>12214.35</v>
      </c>
    </row>
    <row r="7" spans="1:26" x14ac:dyDescent="0.3">
      <c r="A7" s="8" t="s">
        <v>27</v>
      </c>
      <c r="B7" s="8" t="s">
        <v>28</v>
      </c>
      <c r="C7" s="8" t="s">
        <v>29</v>
      </c>
      <c r="D7" s="8" t="s">
        <v>43</v>
      </c>
      <c r="E7" s="8" t="s">
        <v>44</v>
      </c>
      <c r="F7" s="8" t="s">
        <v>45</v>
      </c>
      <c r="G7" s="8">
        <v>2017</v>
      </c>
      <c r="H7" s="8" t="str">
        <f>_xlfn.CONCAT("34270394108")</f>
        <v>34270394108</v>
      </c>
      <c r="I7" s="8" t="s">
        <v>31</v>
      </c>
      <c r="J7" s="8" t="s">
        <v>32</v>
      </c>
      <c r="K7" s="8" t="str">
        <f t="shared" si="0"/>
        <v/>
      </c>
      <c r="L7" s="8" t="str">
        <f>_xlfn.CONCAT("4 4.1 2a")</f>
        <v>4 4.1 2a</v>
      </c>
      <c r="M7" s="8" t="str">
        <f>_xlfn.CONCAT("GMNLTZ98H57A271V")</f>
        <v>GMNLTZ98H57A271V</v>
      </c>
      <c r="N7" s="8" t="s">
        <v>46</v>
      </c>
      <c r="O7" s="8" t="s">
        <v>47</v>
      </c>
      <c r="P7" s="9">
        <v>45267</v>
      </c>
      <c r="Q7" s="8" t="s">
        <v>35</v>
      </c>
      <c r="R7" s="8" t="s">
        <v>36</v>
      </c>
      <c r="S7" s="8" t="s">
        <v>37</v>
      </c>
      <c r="T7" s="8"/>
      <c r="U7" s="8" t="s">
        <v>38</v>
      </c>
      <c r="V7" s="10">
        <v>25364.01</v>
      </c>
      <c r="W7" s="10">
        <v>10936.96</v>
      </c>
      <c r="X7" s="10">
        <v>10099.950000000001</v>
      </c>
      <c r="Y7" s="8">
        <v>0</v>
      </c>
      <c r="Z7" s="10">
        <v>4327.1000000000004</v>
      </c>
    </row>
    <row r="8" spans="1:26" ht="20.399999999999999" x14ac:dyDescent="0.3">
      <c r="A8" s="8" t="s">
        <v>27</v>
      </c>
      <c r="B8" s="8" t="s">
        <v>28</v>
      </c>
      <c r="C8" s="8" t="s">
        <v>29</v>
      </c>
      <c r="D8" s="8" t="s">
        <v>43</v>
      </c>
      <c r="E8" s="8" t="s">
        <v>48</v>
      </c>
      <c r="F8" s="8" t="s">
        <v>49</v>
      </c>
      <c r="G8" s="8">
        <v>2017</v>
      </c>
      <c r="H8" s="8" t="str">
        <f>_xlfn.CONCAT("34270394116")</f>
        <v>34270394116</v>
      </c>
      <c r="I8" s="8" t="s">
        <v>31</v>
      </c>
      <c r="J8" s="8" t="s">
        <v>32</v>
      </c>
      <c r="K8" s="8" t="str">
        <f t="shared" si="0"/>
        <v/>
      </c>
      <c r="L8" s="8" t="str">
        <f>_xlfn.CONCAT("4 4.1 2a")</f>
        <v>4 4.1 2a</v>
      </c>
      <c r="M8" s="8" t="str">
        <f>_xlfn.CONCAT("02274900444")</f>
        <v>02274900444</v>
      </c>
      <c r="N8" s="8" t="s">
        <v>50</v>
      </c>
      <c r="O8" s="8" t="s">
        <v>47</v>
      </c>
      <c r="P8" s="9">
        <v>45267</v>
      </c>
      <c r="Q8" s="8" t="s">
        <v>35</v>
      </c>
      <c r="R8" s="8" t="s">
        <v>36</v>
      </c>
      <c r="S8" s="8" t="s">
        <v>37</v>
      </c>
      <c r="T8" s="8"/>
      <c r="U8" s="8" t="s">
        <v>38</v>
      </c>
      <c r="V8" s="10">
        <v>411571.13</v>
      </c>
      <c r="W8" s="10">
        <v>177469.47</v>
      </c>
      <c r="X8" s="10">
        <v>163887.62</v>
      </c>
      <c r="Y8" s="8">
        <v>0</v>
      </c>
      <c r="Z8" s="10">
        <v>70214.039999999994</v>
      </c>
    </row>
    <row r="9" spans="1:26" x14ac:dyDescent="0.3">
      <c r="A9" s="8" t="s">
        <v>27</v>
      </c>
      <c r="B9" s="8" t="s">
        <v>28</v>
      </c>
      <c r="C9" s="8" t="s">
        <v>29</v>
      </c>
      <c r="D9" s="8" t="s">
        <v>51</v>
      </c>
      <c r="E9" s="8" t="s">
        <v>30</v>
      </c>
      <c r="F9" s="8" t="s">
        <v>30</v>
      </c>
      <c r="G9" s="8">
        <v>2017</v>
      </c>
      <c r="H9" s="8" t="str">
        <f>_xlfn.CONCAT("34270396996")</f>
        <v>34270396996</v>
      </c>
      <c r="I9" s="8" t="s">
        <v>31</v>
      </c>
      <c r="J9" s="8" t="s">
        <v>32</v>
      </c>
      <c r="K9" s="8" t="str">
        <f t="shared" si="0"/>
        <v/>
      </c>
      <c r="L9" s="8" t="str">
        <f>_xlfn.CONCAT("19 19.4 6b")</f>
        <v>19 19.4 6b</v>
      </c>
      <c r="M9" s="8" t="str">
        <f>_xlfn.CONCAT("01119560439")</f>
        <v>01119560439</v>
      </c>
      <c r="N9" s="8" t="s">
        <v>52</v>
      </c>
      <c r="O9" s="8" t="s">
        <v>53</v>
      </c>
      <c r="P9" s="9">
        <v>45267</v>
      </c>
      <c r="Q9" s="8" t="s">
        <v>35</v>
      </c>
      <c r="R9" s="8" t="s">
        <v>54</v>
      </c>
      <c r="S9" s="8" t="s">
        <v>37</v>
      </c>
      <c r="T9" s="8"/>
      <c r="U9" s="8" t="s">
        <v>38</v>
      </c>
      <c r="V9" s="10">
        <v>105890.16</v>
      </c>
      <c r="W9" s="10">
        <v>45659.839999999997</v>
      </c>
      <c r="X9" s="10">
        <v>42165.46</v>
      </c>
      <c r="Y9" s="8">
        <v>0</v>
      </c>
      <c r="Z9" s="10">
        <v>18064.86</v>
      </c>
    </row>
    <row r="10" spans="1:26" x14ac:dyDescent="0.3">
      <c r="A10" s="8" t="s">
        <v>27</v>
      </c>
      <c r="B10" s="8" t="s">
        <v>28</v>
      </c>
      <c r="C10" s="8" t="s">
        <v>29</v>
      </c>
      <c r="D10" s="8" t="s">
        <v>55</v>
      </c>
      <c r="E10" s="8" t="s">
        <v>30</v>
      </c>
      <c r="F10" s="8" t="s">
        <v>30</v>
      </c>
      <c r="G10" s="8">
        <v>2017</v>
      </c>
      <c r="H10" s="8" t="str">
        <f>_xlfn.CONCAT("34270397002")</f>
        <v>34270397002</v>
      </c>
      <c r="I10" s="8" t="s">
        <v>31</v>
      </c>
      <c r="J10" s="8" t="s">
        <v>32</v>
      </c>
      <c r="K10" s="8" t="str">
        <f t="shared" si="0"/>
        <v/>
      </c>
      <c r="L10" s="8" t="str">
        <f>_xlfn.CONCAT("19 19.4 6b")</f>
        <v>19 19.4 6b</v>
      </c>
      <c r="M10" s="8" t="str">
        <f>_xlfn.CONCAT("01377860414")</f>
        <v>01377860414</v>
      </c>
      <c r="N10" s="8" t="s">
        <v>56</v>
      </c>
      <c r="O10" s="8" t="s">
        <v>53</v>
      </c>
      <c r="P10" s="9">
        <v>45267</v>
      </c>
      <c r="Q10" s="8" t="s">
        <v>35</v>
      </c>
      <c r="R10" s="8" t="s">
        <v>41</v>
      </c>
      <c r="S10" s="8" t="s">
        <v>37</v>
      </c>
      <c r="T10" s="8"/>
      <c r="U10" s="8" t="s">
        <v>38</v>
      </c>
      <c r="V10" s="10">
        <v>100000</v>
      </c>
      <c r="W10" s="10">
        <v>43120</v>
      </c>
      <c r="X10" s="10">
        <v>39820</v>
      </c>
      <c r="Y10" s="8">
        <v>0</v>
      </c>
      <c r="Z10" s="10">
        <v>17060</v>
      </c>
    </row>
    <row r="11" spans="1:26" ht="20.399999999999999" x14ac:dyDescent="0.3">
      <c r="A11" s="8" t="s">
        <v>27</v>
      </c>
      <c r="B11" s="8" t="s">
        <v>28</v>
      </c>
      <c r="C11" s="8" t="s">
        <v>29</v>
      </c>
      <c r="D11" s="8" t="s">
        <v>51</v>
      </c>
      <c r="E11" s="8" t="s">
        <v>30</v>
      </c>
      <c r="F11" s="8" t="s">
        <v>30</v>
      </c>
      <c r="G11" s="8">
        <v>2017</v>
      </c>
      <c r="H11" s="8" t="str">
        <f>_xlfn.CONCAT("34270397010")</f>
        <v>34270397010</v>
      </c>
      <c r="I11" s="8" t="s">
        <v>31</v>
      </c>
      <c r="J11" s="8" t="s">
        <v>32</v>
      </c>
      <c r="K11" s="8" t="str">
        <f t="shared" si="0"/>
        <v/>
      </c>
      <c r="L11" s="8" t="str">
        <f>_xlfn.CONCAT("19 19.4 6b")</f>
        <v>19 19.4 6b</v>
      </c>
      <c r="M11" s="8" t="str">
        <f>_xlfn.CONCAT("01451540437")</f>
        <v>01451540437</v>
      </c>
      <c r="N11" s="8" t="s">
        <v>57</v>
      </c>
      <c r="O11" s="8" t="s">
        <v>53</v>
      </c>
      <c r="P11" s="9">
        <v>45267</v>
      </c>
      <c r="Q11" s="8" t="s">
        <v>35</v>
      </c>
      <c r="R11" s="8" t="s">
        <v>54</v>
      </c>
      <c r="S11" s="8" t="s">
        <v>37</v>
      </c>
      <c r="T11" s="8"/>
      <c r="U11" s="8" t="s">
        <v>38</v>
      </c>
      <c r="V11" s="10">
        <v>82369.210000000006</v>
      </c>
      <c r="W11" s="10">
        <v>35517.599999999999</v>
      </c>
      <c r="X11" s="10">
        <v>32799.42</v>
      </c>
      <c r="Y11" s="8">
        <v>0</v>
      </c>
      <c r="Z11" s="10">
        <v>14052.19</v>
      </c>
    </row>
    <row r="12" spans="1:26" x14ac:dyDescent="0.3">
      <c r="A12" s="8" t="s">
        <v>27</v>
      </c>
      <c r="B12" s="8" t="s">
        <v>28</v>
      </c>
      <c r="C12" s="8" t="s">
        <v>29</v>
      </c>
      <c r="D12" s="8" t="s">
        <v>58</v>
      </c>
      <c r="E12" s="8" t="s">
        <v>30</v>
      </c>
      <c r="F12" s="8" t="s">
        <v>30</v>
      </c>
      <c r="G12" s="8">
        <v>2017</v>
      </c>
      <c r="H12" s="8" t="str">
        <f>_xlfn.CONCAT("34270394199")</f>
        <v>34270394199</v>
      </c>
      <c r="I12" s="8" t="s">
        <v>31</v>
      </c>
      <c r="J12" s="8" t="s">
        <v>32</v>
      </c>
      <c r="K12" s="8" t="str">
        <f t="shared" si="0"/>
        <v/>
      </c>
      <c r="L12" s="8" t="str">
        <f>_xlfn.CONCAT("1 1.2 2a")</f>
        <v>1 1.2 2a</v>
      </c>
      <c r="M12" s="8" t="str">
        <f>_xlfn.CONCAT("02043720446")</f>
        <v>02043720446</v>
      </c>
      <c r="N12" s="8" t="s">
        <v>59</v>
      </c>
      <c r="O12" s="8" t="s">
        <v>60</v>
      </c>
      <c r="P12" s="9">
        <v>45267</v>
      </c>
      <c r="Q12" s="8" t="s">
        <v>35</v>
      </c>
      <c r="R12" s="8" t="s">
        <v>36</v>
      </c>
      <c r="S12" s="8" t="s">
        <v>37</v>
      </c>
      <c r="T12" s="8"/>
      <c r="U12" s="8" t="s">
        <v>38</v>
      </c>
      <c r="V12" s="10">
        <v>67221</v>
      </c>
      <c r="W12" s="10">
        <v>28985.7</v>
      </c>
      <c r="X12" s="10">
        <v>26767.4</v>
      </c>
      <c r="Y12" s="8">
        <v>0</v>
      </c>
      <c r="Z12" s="10">
        <v>11467.9</v>
      </c>
    </row>
    <row r="13" spans="1:26" ht="20.399999999999999" x14ac:dyDescent="0.3">
      <c r="A13" s="8" t="s">
        <v>27</v>
      </c>
      <c r="B13" s="8" t="s">
        <v>28</v>
      </c>
      <c r="C13" s="8" t="s">
        <v>29</v>
      </c>
      <c r="D13" s="8" t="s">
        <v>58</v>
      </c>
      <c r="E13" s="8" t="s">
        <v>30</v>
      </c>
      <c r="F13" s="8" t="s">
        <v>30</v>
      </c>
      <c r="G13" s="8">
        <v>2017</v>
      </c>
      <c r="H13" s="8" t="str">
        <f>_xlfn.CONCAT("34270380503")</f>
        <v>34270380503</v>
      </c>
      <c r="I13" s="8" t="s">
        <v>31</v>
      </c>
      <c r="J13" s="8" t="s">
        <v>32</v>
      </c>
      <c r="K13" s="8" t="str">
        <f t="shared" si="0"/>
        <v/>
      </c>
      <c r="L13" s="8" t="str">
        <f>_xlfn.CONCAT("3 3.2 3a")</f>
        <v>3 3.2 3a</v>
      </c>
      <c r="M13" s="8" t="str">
        <f>_xlfn.CONCAT("02762320428")</f>
        <v>02762320428</v>
      </c>
      <c r="N13" s="8" t="s">
        <v>61</v>
      </c>
      <c r="O13" s="8" t="s">
        <v>62</v>
      </c>
      <c r="P13" s="9">
        <v>45267</v>
      </c>
      <c r="Q13" s="8" t="s">
        <v>35</v>
      </c>
      <c r="R13" s="8" t="s">
        <v>54</v>
      </c>
      <c r="S13" s="8" t="s">
        <v>37</v>
      </c>
      <c r="T13" s="8"/>
      <c r="U13" s="8" t="s">
        <v>38</v>
      </c>
      <c r="V13" s="10">
        <v>91489.64</v>
      </c>
      <c r="W13" s="10">
        <v>39450.33</v>
      </c>
      <c r="X13" s="10">
        <v>36431.17</v>
      </c>
      <c r="Y13" s="8">
        <v>0</v>
      </c>
      <c r="Z13" s="10">
        <v>15608.14</v>
      </c>
    </row>
    <row r="14" spans="1:26" ht="20.399999999999999" x14ac:dyDescent="0.3">
      <c r="A14" s="8" t="s">
        <v>27</v>
      </c>
      <c r="B14" s="8" t="s">
        <v>28</v>
      </c>
      <c r="C14" s="8" t="s">
        <v>29</v>
      </c>
      <c r="D14" s="8" t="s">
        <v>43</v>
      </c>
      <c r="E14" s="8" t="s">
        <v>30</v>
      </c>
      <c r="F14" s="8" t="s">
        <v>30</v>
      </c>
      <c r="G14" s="8">
        <v>2017</v>
      </c>
      <c r="H14" s="8" t="str">
        <f>_xlfn.CONCAT("34270396111")</f>
        <v>34270396111</v>
      </c>
      <c r="I14" s="8" t="s">
        <v>31</v>
      </c>
      <c r="J14" s="8" t="s">
        <v>32</v>
      </c>
      <c r="K14" s="8" t="str">
        <f t="shared" si="0"/>
        <v/>
      </c>
      <c r="L14" s="8" t="str">
        <f>_xlfn.CONCAT("4 4.1 2a")</f>
        <v>4 4.1 2a</v>
      </c>
      <c r="M14" s="8" t="str">
        <f>_xlfn.CONCAT("02359410442")</f>
        <v>02359410442</v>
      </c>
      <c r="N14" s="8" t="s">
        <v>63</v>
      </c>
      <c r="O14" s="8" t="s">
        <v>64</v>
      </c>
      <c r="P14" s="9">
        <v>45267</v>
      </c>
      <c r="Q14" s="8" t="s">
        <v>35</v>
      </c>
      <c r="R14" s="8" t="s">
        <v>36</v>
      </c>
      <c r="S14" s="8" t="s">
        <v>37</v>
      </c>
      <c r="T14" s="8"/>
      <c r="U14" s="8" t="s">
        <v>38</v>
      </c>
      <c r="V14" s="10">
        <v>375000</v>
      </c>
      <c r="W14" s="10">
        <v>161700</v>
      </c>
      <c r="X14" s="10">
        <v>149325</v>
      </c>
      <c r="Y14" s="8">
        <v>0</v>
      </c>
      <c r="Z14" s="10">
        <v>63975</v>
      </c>
    </row>
    <row r="15" spans="1:26" x14ac:dyDescent="0.3">
      <c r="A15" s="8" t="s">
        <v>27</v>
      </c>
      <c r="B15" s="8" t="s">
        <v>28</v>
      </c>
      <c r="C15" s="8" t="s">
        <v>29</v>
      </c>
      <c r="D15" s="8" t="s">
        <v>58</v>
      </c>
      <c r="E15" s="8" t="s">
        <v>30</v>
      </c>
      <c r="F15" s="8" t="s">
        <v>30</v>
      </c>
      <c r="G15" s="8">
        <v>2017</v>
      </c>
      <c r="H15" s="8" t="str">
        <f>_xlfn.CONCAT("34270391922")</f>
        <v>34270391922</v>
      </c>
      <c r="I15" s="8" t="s">
        <v>31</v>
      </c>
      <c r="J15" s="8" t="s">
        <v>32</v>
      </c>
      <c r="K15" s="8" t="str">
        <f t="shared" si="0"/>
        <v/>
      </c>
      <c r="L15" s="8" t="str">
        <f>_xlfn.CONCAT("4 4.1 2a")</f>
        <v>4 4.1 2a</v>
      </c>
      <c r="M15" s="8" t="str">
        <f>_xlfn.CONCAT("01580170429")</f>
        <v>01580170429</v>
      </c>
      <c r="N15" s="8" t="s">
        <v>65</v>
      </c>
      <c r="O15" s="8" t="s">
        <v>66</v>
      </c>
      <c r="P15" s="9">
        <v>45267</v>
      </c>
      <c r="Q15" s="8" t="s">
        <v>35</v>
      </c>
      <c r="R15" s="8" t="s">
        <v>36</v>
      </c>
      <c r="S15" s="8" t="s">
        <v>37</v>
      </c>
      <c r="T15" s="8"/>
      <c r="U15" s="8" t="s">
        <v>38</v>
      </c>
      <c r="V15" s="10">
        <v>227022.12</v>
      </c>
      <c r="W15" s="10">
        <v>97891.94</v>
      </c>
      <c r="X15" s="10">
        <v>90400.21</v>
      </c>
      <c r="Y15" s="8">
        <v>0</v>
      </c>
      <c r="Z15" s="10">
        <v>38729.97</v>
      </c>
    </row>
    <row r="16" spans="1:26" ht="20.399999999999999" x14ac:dyDescent="0.3">
      <c r="A16" s="8" t="s">
        <v>27</v>
      </c>
      <c r="B16" s="8" t="s">
        <v>28</v>
      </c>
      <c r="C16" s="8" t="s">
        <v>29</v>
      </c>
      <c r="D16" s="8" t="s">
        <v>58</v>
      </c>
      <c r="E16" s="8" t="s">
        <v>30</v>
      </c>
      <c r="F16" s="8" t="s">
        <v>30</v>
      </c>
      <c r="G16" s="8">
        <v>2017</v>
      </c>
      <c r="H16" s="8" t="str">
        <f>_xlfn.CONCAT("34270394173")</f>
        <v>34270394173</v>
      </c>
      <c r="I16" s="8" t="s">
        <v>31</v>
      </c>
      <c r="J16" s="8" t="s">
        <v>32</v>
      </c>
      <c r="K16" s="8" t="str">
        <f t="shared" si="0"/>
        <v/>
      </c>
      <c r="L16" s="8" t="str">
        <f>_xlfn.CONCAT("1 1.2 2a")</f>
        <v>1 1.2 2a</v>
      </c>
      <c r="M16" s="8" t="str">
        <f>_xlfn.CONCAT("01461530436")</f>
        <v>01461530436</v>
      </c>
      <c r="N16" s="8" t="s">
        <v>67</v>
      </c>
      <c r="O16" s="8" t="s">
        <v>60</v>
      </c>
      <c r="P16" s="9">
        <v>45267</v>
      </c>
      <c r="Q16" s="8" t="s">
        <v>35</v>
      </c>
      <c r="R16" s="8" t="s">
        <v>36</v>
      </c>
      <c r="S16" s="8" t="s">
        <v>37</v>
      </c>
      <c r="T16" s="8"/>
      <c r="U16" s="8" t="s">
        <v>38</v>
      </c>
      <c r="V16" s="10">
        <v>26069.96</v>
      </c>
      <c r="W16" s="10">
        <v>11241.37</v>
      </c>
      <c r="X16" s="10">
        <v>10381.06</v>
      </c>
      <c r="Y16" s="8">
        <v>0</v>
      </c>
      <c r="Z16" s="10">
        <v>4447.53</v>
      </c>
    </row>
    <row r="17" spans="1:26" ht="20.399999999999999" x14ac:dyDescent="0.3">
      <c r="A17" s="8" t="s">
        <v>27</v>
      </c>
      <c r="B17" s="8" t="s">
        <v>28</v>
      </c>
      <c r="C17" s="8" t="s">
        <v>29</v>
      </c>
      <c r="D17" s="8" t="s">
        <v>58</v>
      </c>
      <c r="E17" s="8" t="s">
        <v>30</v>
      </c>
      <c r="F17" s="8" t="s">
        <v>30</v>
      </c>
      <c r="G17" s="8">
        <v>2017</v>
      </c>
      <c r="H17" s="8" t="str">
        <f>_xlfn.CONCAT("34270396053")</f>
        <v>34270396053</v>
      </c>
      <c r="I17" s="8" t="s">
        <v>31</v>
      </c>
      <c r="J17" s="8" t="s">
        <v>32</v>
      </c>
      <c r="K17" s="8" t="str">
        <f t="shared" si="0"/>
        <v/>
      </c>
      <c r="L17" s="8" t="str">
        <f>_xlfn.CONCAT("10 10.2 4a")</f>
        <v>10 10.2 4a</v>
      </c>
      <c r="M17" s="8" t="str">
        <f>_xlfn.CONCAT("01491360424")</f>
        <v>01491360424</v>
      </c>
      <c r="N17" s="8" t="s">
        <v>68</v>
      </c>
      <c r="O17" s="8" t="s">
        <v>69</v>
      </c>
      <c r="P17" s="9">
        <v>45267</v>
      </c>
      <c r="Q17" s="8" t="s">
        <v>35</v>
      </c>
      <c r="R17" s="8" t="s">
        <v>36</v>
      </c>
      <c r="S17" s="8" t="s">
        <v>37</v>
      </c>
      <c r="T17" s="8"/>
      <c r="U17" s="8" t="s">
        <v>38</v>
      </c>
      <c r="V17" s="10">
        <v>218198.17</v>
      </c>
      <c r="W17" s="10">
        <v>94087.05</v>
      </c>
      <c r="X17" s="10">
        <v>86886.51</v>
      </c>
      <c r="Y17" s="8">
        <v>0</v>
      </c>
      <c r="Z17" s="10">
        <v>37224.61</v>
      </c>
    </row>
    <row r="18" spans="1:26" x14ac:dyDescent="0.3">
      <c r="A18" s="8" t="s">
        <v>27</v>
      </c>
      <c r="B18" s="8" t="s">
        <v>28</v>
      </c>
      <c r="C18" s="8" t="s">
        <v>29</v>
      </c>
      <c r="D18" s="8" t="s">
        <v>43</v>
      </c>
      <c r="E18" s="8" t="s">
        <v>30</v>
      </c>
      <c r="F18" s="8" t="s">
        <v>30</v>
      </c>
      <c r="G18" s="8">
        <v>2017</v>
      </c>
      <c r="H18" s="8" t="str">
        <f>_xlfn.CONCAT("34270394249")</f>
        <v>34270394249</v>
      </c>
      <c r="I18" s="8" t="s">
        <v>31</v>
      </c>
      <c r="J18" s="8" t="s">
        <v>32</v>
      </c>
      <c r="K18" s="8" t="str">
        <f t="shared" si="0"/>
        <v/>
      </c>
      <c r="L18" s="8" t="str">
        <f>_xlfn.CONCAT("4 4.1 2a")</f>
        <v>4 4.1 2a</v>
      </c>
      <c r="M18" s="8" t="str">
        <f>_xlfn.CONCAT("00356320440")</f>
        <v>00356320440</v>
      </c>
      <c r="N18" s="8" t="s">
        <v>70</v>
      </c>
      <c r="O18" s="8" t="s">
        <v>71</v>
      </c>
      <c r="P18" s="9">
        <v>45267</v>
      </c>
      <c r="Q18" s="8" t="s">
        <v>35</v>
      </c>
      <c r="R18" s="8" t="s">
        <v>36</v>
      </c>
      <c r="S18" s="8" t="s">
        <v>37</v>
      </c>
      <c r="T18" s="8"/>
      <c r="U18" s="8" t="s">
        <v>38</v>
      </c>
      <c r="V18" s="10">
        <v>400000</v>
      </c>
      <c r="W18" s="10">
        <v>172480</v>
      </c>
      <c r="X18" s="10">
        <v>159280</v>
      </c>
      <c r="Y18" s="8">
        <v>0</v>
      </c>
      <c r="Z18" s="10">
        <v>68240</v>
      </c>
    </row>
    <row r="19" spans="1:26" ht="20.399999999999999" x14ac:dyDescent="0.3">
      <c r="A19" s="8" t="s">
        <v>27</v>
      </c>
      <c r="B19" s="8" t="s">
        <v>28</v>
      </c>
      <c r="C19" s="8" t="s">
        <v>29</v>
      </c>
      <c r="D19" s="8" t="s">
        <v>58</v>
      </c>
      <c r="E19" s="8" t="s">
        <v>30</v>
      </c>
      <c r="F19" s="8" t="s">
        <v>30</v>
      </c>
      <c r="G19" s="8">
        <v>2017</v>
      </c>
      <c r="H19" s="8" t="str">
        <f>_xlfn.CONCAT("24270242928")</f>
        <v>24270242928</v>
      </c>
      <c r="I19" s="8" t="s">
        <v>31</v>
      </c>
      <c r="J19" s="8" t="s">
        <v>32</v>
      </c>
      <c r="K19" s="8" t="str">
        <f t="shared" si="0"/>
        <v/>
      </c>
      <c r="L19" s="8" t="str">
        <f>_xlfn.CONCAT("9 9.1 3a")</f>
        <v>9 9.1 3a</v>
      </c>
      <c r="M19" s="8" t="str">
        <f>_xlfn.CONCAT("93018000427")</f>
        <v>93018000427</v>
      </c>
      <c r="N19" s="8" t="s">
        <v>72</v>
      </c>
      <c r="O19" s="8" t="s">
        <v>73</v>
      </c>
      <c r="P19" s="9">
        <v>45267</v>
      </c>
      <c r="Q19" s="8" t="s">
        <v>35</v>
      </c>
      <c r="R19" s="8" t="s">
        <v>54</v>
      </c>
      <c r="S19" s="8" t="s">
        <v>37</v>
      </c>
      <c r="T19" s="8"/>
      <c r="U19" s="8" t="s">
        <v>38</v>
      </c>
      <c r="V19" s="10">
        <v>11372.23</v>
      </c>
      <c r="W19" s="10">
        <v>4903.71</v>
      </c>
      <c r="X19" s="10">
        <v>4528.42</v>
      </c>
      <c r="Y19" s="8">
        <v>0</v>
      </c>
      <c r="Z19" s="10">
        <v>1940.1</v>
      </c>
    </row>
    <row r="20" spans="1:26" x14ac:dyDescent="0.3">
      <c r="A20" s="8" t="s">
        <v>27</v>
      </c>
      <c r="B20" s="8" t="s">
        <v>28</v>
      </c>
      <c r="C20" s="8" t="s">
        <v>29</v>
      </c>
      <c r="D20" s="8" t="s">
        <v>58</v>
      </c>
      <c r="E20" s="8" t="s">
        <v>74</v>
      </c>
      <c r="F20" s="8" t="s">
        <v>75</v>
      </c>
      <c r="G20" s="8">
        <v>2017</v>
      </c>
      <c r="H20" s="8" t="str">
        <f>_xlfn.CONCAT("34270394272")</f>
        <v>34270394272</v>
      </c>
      <c r="I20" s="8" t="s">
        <v>31</v>
      </c>
      <c r="J20" s="8" t="s">
        <v>32</v>
      </c>
      <c r="K20" s="8" t="str">
        <f t="shared" si="0"/>
        <v/>
      </c>
      <c r="L20" s="8" t="str">
        <f>_xlfn.CONCAT("3 3.2 3a")</f>
        <v>3 3.2 3a</v>
      </c>
      <c r="M20" s="8" t="str">
        <f>_xlfn.CONCAT("01717810442")</f>
        <v>01717810442</v>
      </c>
      <c r="N20" s="8" t="s">
        <v>76</v>
      </c>
      <c r="O20" s="8" t="s">
        <v>77</v>
      </c>
      <c r="P20" s="9">
        <v>45267</v>
      </c>
      <c r="Q20" s="8" t="s">
        <v>35</v>
      </c>
      <c r="R20" s="8" t="s">
        <v>36</v>
      </c>
      <c r="S20" s="8" t="s">
        <v>37</v>
      </c>
      <c r="T20" s="8"/>
      <c r="U20" s="8" t="s">
        <v>38</v>
      </c>
      <c r="V20" s="10">
        <v>335459.46000000002</v>
      </c>
      <c r="W20" s="10">
        <v>144650.12</v>
      </c>
      <c r="X20" s="10">
        <v>133579.96</v>
      </c>
      <c r="Y20" s="8">
        <v>0</v>
      </c>
      <c r="Z20" s="10">
        <v>57229.38</v>
      </c>
    </row>
    <row r="21" spans="1:26" x14ac:dyDescent="0.3">
      <c r="A21" s="8" t="s">
        <v>27</v>
      </c>
      <c r="B21" s="8" t="s">
        <v>28</v>
      </c>
      <c r="C21" s="8" t="s">
        <v>29</v>
      </c>
      <c r="D21" s="8" t="s">
        <v>51</v>
      </c>
      <c r="E21" s="8" t="s">
        <v>30</v>
      </c>
      <c r="F21" s="8" t="s">
        <v>30</v>
      </c>
      <c r="G21" s="8">
        <v>2017</v>
      </c>
      <c r="H21" s="8" t="str">
        <f>_xlfn.CONCAT("34270396038")</f>
        <v>34270396038</v>
      </c>
      <c r="I21" s="8" t="s">
        <v>31</v>
      </c>
      <c r="J21" s="8" t="s">
        <v>32</v>
      </c>
      <c r="K21" s="8" t="str">
        <f t="shared" si="0"/>
        <v/>
      </c>
      <c r="L21" s="8" t="str">
        <f>_xlfn.CONCAT("5 5.1 3b")</f>
        <v>5 5.1 3b</v>
      </c>
      <c r="M21" s="8" t="str">
        <f>_xlfn.CONCAT("00224000430")</f>
        <v>00224000430</v>
      </c>
      <c r="N21" s="8" t="s">
        <v>78</v>
      </c>
      <c r="O21" s="8" t="s">
        <v>79</v>
      </c>
      <c r="P21" s="9">
        <v>45271</v>
      </c>
      <c r="Q21" s="8" t="s">
        <v>35</v>
      </c>
      <c r="R21" s="8" t="s">
        <v>41</v>
      </c>
      <c r="S21" s="8" t="s">
        <v>37</v>
      </c>
      <c r="T21" s="8"/>
      <c r="U21" s="8" t="s">
        <v>38</v>
      </c>
      <c r="V21" s="10">
        <v>124845.4</v>
      </c>
      <c r="W21" s="10">
        <v>53833.34</v>
      </c>
      <c r="X21" s="10">
        <v>49713.440000000002</v>
      </c>
      <c r="Y21" s="8">
        <v>0</v>
      </c>
      <c r="Z21" s="10">
        <v>21298.62</v>
      </c>
    </row>
    <row r="22" spans="1:26" x14ac:dyDescent="0.3">
      <c r="A22" s="8" t="s">
        <v>27</v>
      </c>
      <c r="B22" s="8" t="s">
        <v>28</v>
      </c>
      <c r="C22" s="8" t="s">
        <v>29</v>
      </c>
      <c r="D22" s="8" t="s">
        <v>58</v>
      </c>
      <c r="E22" s="8" t="s">
        <v>44</v>
      </c>
      <c r="F22" s="8" t="s">
        <v>80</v>
      </c>
      <c r="G22" s="8">
        <v>2017</v>
      </c>
      <c r="H22" s="8" t="str">
        <f>_xlfn.CONCAT("34270397887")</f>
        <v>34270397887</v>
      </c>
      <c r="I22" s="8" t="s">
        <v>31</v>
      </c>
      <c r="J22" s="8" t="s">
        <v>32</v>
      </c>
      <c r="K22" s="8" t="str">
        <f t="shared" si="0"/>
        <v/>
      </c>
      <c r="L22" s="8" t="str">
        <f>_xlfn.CONCAT("8 8.1 5e")</f>
        <v>8 8.1 5e</v>
      </c>
      <c r="M22" s="8" t="str">
        <f>_xlfn.CONCAT("LBRFRZ78L02D451Y")</f>
        <v>LBRFRZ78L02D451Y</v>
      </c>
      <c r="N22" s="8" t="s">
        <v>81</v>
      </c>
      <c r="O22" s="8" t="s">
        <v>82</v>
      </c>
      <c r="P22" s="9">
        <v>45271</v>
      </c>
      <c r="Q22" s="8" t="s">
        <v>35</v>
      </c>
      <c r="R22" s="8" t="s">
        <v>36</v>
      </c>
      <c r="S22" s="8" t="s">
        <v>37</v>
      </c>
      <c r="T22" s="8"/>
      <c r="U22" s="8" t="s">
        <v>38</v>
      </c>
      <c r="V22" s="10">
        <v>2637.34</v>
      </c>
      <c r="W22" s="10">
        <v>1137.22</v>
      </c>
      <c r="X22" s="10">
        <v>1050.19</v>
      </c>
      <c r="Y22" s="8">
        <v>0</v>
      </c>
      <c r="Z22" s="8">
        <v>449.93</v>
      </c>
    </row>
    <row r="23" spans="1:26" x14ac:dyDescent="0.3">
      <c r="A23" s="8" t="s">
        <v>27</v>
      </c>
      <c r="B23" s="8" t="s">
        <v>28</v>
      </c>
      <c r="C23" s="8" t="s">
        <v>29</v>
      </c>
      <c r="D23" s="8" t="s">
        <v>51</v>
      </c>
      <c r="E23" s="8" t="s">
        <v>30</v>
      </c>
      <c r="F23" s="8" t="s">
        <v>30</v>
      </c>
      <c r="G23" s="8">
        <v>2017</v>
      </c>
      <c r="H23" s="8" t="str">
        <f>_xlfn.CONCAT("34270397895")</f>
        <v>34270397895</v>
      </c>
      <c r="I23" s="8" t="s">
        <v>31</v>
      </c>
      <c r="J23" s="8" t="s">
        <v>32</v>
      </c>
      <c r="K23" s="8" t="str">
        <f t="shared" si="0"/>
        <v/>
      </c>
      <c r="L23" s="8" t="str">
        <f>_xlfn.CONCAT("8 8.1 5e")</f>
        <v>8 8.1 5e</v>
      </c>
      <c r="M23" s="8" t="str">
        <f>_xlfn.CONCAT("DSNMCN64M54H390U")</f>
        <v>DSNMCN64M54H390U</v>
      </c>
      <c r="N23" s="8" t="s">
        <v>83</v>
      </c>
      <c r="O23" s="8" t="s">
        <v>82</v>
      </c>
      <c r="P23" s="9">
        <v>45271</v>
      </c>
      <c r="Q23" s="8" t="s">
        <v>35</v>
      </c>
      <c r="R23" s="8" t="s">
        <v>36</v>
      </c>
      <c r="S23" s="8" t="s">
        <v>37</v>
      </c>
      <c r="T23" s="8"/>
      <c r="U23" s="8" t="s">
        <v>38</v>
      </c>
      <c r="V23" s="10">
        <v>5423.41</v>
      </c>
      <c r="W23" s="10">
        <v>2338.5700000000002</v>
      </c>
      <c r="X23" s="10">
        <v>2159.6</v>
      </c>
      <c r="Y23" s="8">
        <v>0</v>
      </c>
      <c r="Z23" s="8">
        <v>925.24</v>
      </c>
    </row>
    <row r="24" spans="1:26" x14ac:dyDescent="0.3">
      <c r="A24" s="8" t="s">
        <v>27</v>
      </c>
      <c r="B24" s="8" t="s">
        <v>28</v>
      </c>
      <c r="C24" s="8" t="s">
        <v>29</v>
      </c>
      <c r="D24" s="8" t="s">
        <v>43</v>
      </c>
      <c r="E24" s="8" t="s">
        <v>30</v>
      </c>
      <c r="F24" s="8" t="s">
        <v>30</v>
      </c>
      <c r="G24" s="8">
        <v>2017</v>
      </c>
      <c r="H24" s="8" t="str">
        <f>_xlfn.CONCAT("34270394090")</f>
        <v>34270394090</v>
      </c>
      <c r="I24" s="8" t="s">
        <v>84</v>
      </c>
      <c r="J24" s="8" t="s">
        <v>32</v>
      </c>
      <c r="K24" s="8" t="str">
        <f t="shared" si="0"/>
        <v/>
      </c>
      <c r="L24" s="8" t="str">
        <f>_xlfn.CONCAT("1 1.2 2a")</f>
        <v>1 1.2 2a</v>
      </c>
      <c r="M24" s="8" t="str">
        <f>_xlfn.CONCAT("02043720446")</f>
        <v>02043720446</v>
      </c>
      <c r="N24" s="8" t="s">
        <v>59</v>
      </c>
      <c r="O24" s="8" t="s">
        <v>85</v>
      </c>
      <c r="P24" s="9">
        <v>45267</v>
      </c>
      <c r="Q24" s="8" t="s">
        <v>35</v>
      </c>
      <c r="R24" s="8" t="s">
        <v>36</v>
      </c>
      <c r="S24" s="8" t="s">
        <v>37</v>
      </c>
      <c r="T24" s="8"/>
      <c r="U24" s="8" t="s">
        <v>38</v>
      </c>
      <c r="V24" s="10">
        <v>63873.53</v>
      </c>
      <c r="W24" s="10">
        <v>27542.27</v>
      </c>
      <c r="X24" s="10">
        <v>25434.44</v>
      </c>
      <c r="Y24" s="8">
        <v>0</v>
      </c>
      <c r="Z24" s="10">
        <v>10896.82</v>
      </c>
    </row>
    <row r="25" spans="1:26" ht="20.399999999999999" x14ac:dyDescent="0.3">
      <c r="A25" s="8" t="s">
        <v>27</v>
      </c>
      <c r="B25" s="8" t="s">
        <v>28</v>
      </c>
      <c r="C25" s="8" t="s">
        <v>29</v>
      </c>
      <c r="D25" s="8" t="s">
        <v>43</v>
      </c>
      <c r="E25" s="8" t="s">
        <v>30</v>
      </c>
      <c r="F25" s="8" t="s">
        <v>30</v>
      </c>
      <c r="G25" s="8">
        <v>2017</v>
      </c>
      <c r="H25" s="8" t="str">
        <f>_xlfn.CONCAT("34270394082")</f>
        <v>34270394082</v>
      </c>
      <c r="I25" s="8" t="s">
        <v>31</v>
      </c>
      <c r="J25" s="8" t="s">
        <v>32</v>
      </c>
      <c r="K25" s="8" t="str">
        <f t="shared" si="0"/>
        <v/>
      </c>
      <c r="L25" s="8" t="str">
        <f>_xlfn.CONCAT("1 1.2 2a")</f>
        <v>1 1.2 2a</v>
      </c>
      <c r="M25" s="8" t="str">
        <f>_xlfn.CONCAT("01744610443")</f>
        <v>01744610443</v>
      </c>
      <c r="N25" s="8" t="s">
        <v>86</v>
      </c>
      <c r="O25" s="8" t="s">
        <v>85</v>
      </c>
      <c r="P25" s="9">
        <v>45267</v>
      </c>
      <c r="Q25" s="8" t="s">
        <v>35</v>
      </c>
      <c r="R25" s="8" t="s">
        <v>36</v>
      </c>
      <c r="S25" s="8" t="s">
        <v>37</v>
      </c>
      <c r="T25" s="8"/>
      <c r="U25" s="8" t="s">
        <v>38</v>
      </c>
      <c r="V25" s="10">
        <v>40882.370000000003</v>
      </c>
      <c r="W25" s="10">
        <v>17628.48</v>
      </c>
      <c r="X25" s="10">
        <v>16279.36</v>
      </c>
      <c r="Y25" s="8">
        <v>0</v>
      </c>
      <c r="Z25" s="10">
        <v>6974.53</v>
      </c>
    </row>
    <row r="26" spans="1:26" x14ac:dyDescent="0.3">
      <c r="A26" s="8" t="s">
        <v>27</v>
      </c>
      <c r="B26" s="8" t="s">
        <v>28</v>
      </c>
      <c r="C26" s="8" t="s">
        <v>29</v>
      </c>
      <c r="D26" s="8" t="s">
        <v>29</v>
      </c>
      <c r="E26" s="8" t="s">
        <v>30</v>
      </c>
      <c r="F26" s="8" t="s">
        <v>30</v>
      </c>
      <c r="G26" s="8">
        <v>2017</v>
      </c>
      <c r="H26" s="8" t="str">
        <f>_xlfn.CONCAT("34270391864")</f>
        <v>34270391864</v>
      </c>
      <c r="I26" s="8" t="s">
        <v>31</v>
      </c>
      <c r="J26" s="8" t="s">
        <v>32</v>
      </c>
      <c r="K26" s="8" t="str">
        <f t="shared" si="0"/>
        <v/>
      </c>
      <c r="L26" s="8" t="str">
        <f>_xlfn.CONCAT("19 19.2 6b")</f>
        <v>19 19.2 6b</v>
      </c>
      <c r="M26" s="8" t="str">
        <f>_xlfn.CONCAT("00188950422")</f>
        <v>00188950422</v>
      </c>
      <c r="N26" s="8" t="s">
        <v>87</v>
      </c>
      <c r="O26" s="8" t="s">
        <v>88</v>
      </c>
      <c r="P26" s="9">
        <v>45271</v>
      </c>
      <c r="Q26" s="8" t="s">
        <v>35</v>
      </c>
      <c r="R26" s="8" t="s">
        <v>41</v>
      </c>
      <c r="S26" s="8" t="s">
        <v>37</v>
      </c>
      <c r="T26" s="8"/>
      <c r="U26" s="8" t="s">
        <v>38</v>
      </c>
      <c r="V26" s="10">
        <v>16200</v>
      </c>
      <c r="W26" s="10">
        <v>6985.44</v>
      </c>
      <c r="X26" s="10">
        <v>6450.84</v>
      </c>
      <c r="Y26" s="8">
        <v>0</v>
      </c>
      <c r="Z26" s="10">
        <v>2763.72</v>
      </c>
    </row>
    <row r="27" spans="1:26" x14ac:dyDescent="0.3">
      <c r="A27" s="8" t="s">
        <v>27</v>
      </c>
      <c r="B27" s="8" t="s">
        <v>28</v>
      </c>
      <c r="C27" s="8" t="s">
        <v>29</v>
      </c>
      <c r="D27" s="8" t="s">
        <v>51</v>
      </c>
      <c r="E27" s="8" t="s">
        <v>89</v>
      </c>
      <c r="F27" s="8" t="s">
        <v>90</v>
      </c>
      <c r="G27" s="8">
        <v>2017</v>
      </c>
      <c r="H27" s="8" t="str">
        <f>_xlfn.CONCAT("34270391567")</f>
        <v>34270391567</v>
      </c>
      <c r="I27" s="8" t="s">
        <v>31</v>
      </c>
      <c r="J27" s="8" t="s">
        <v>32</v>
      </c>
      <c r="K27" s="8" t="str">
        <f t="shared" si="0"/>
        <v/>
      </c>
      <c r="L27" s="8" t="str">
        <f>_xlfn.CONCAT("4 4.1 2a")</f>
        <v>4 4.1 2a</v>
      </c>
      <c r="M27" s="8" t="str">
        <f>_xlfn.CONCAT("RCCFPP85L01B474O")</f>
        <v>RCCFPP85L01B474O</v>
      </c>
      <c r="N27" s="8" t="s">
        <v>91</v>
      </c>
      <c r="O27" s="8" t="s">
        <v>92</v>
      </c>
      <c r="P27" s="9">
        <v>45267</v>
      </c>
      <c r="Q27" s="8" t="s">
        <v>35</v>
      </c>
      <c r="R27" s="8" t="s">
        <v>36</v>
      </c>
      <c r="S27" s="8" t="s">
        <v>37</v>
      </c>
      <c r="T27" s="8"/>
      <c r="U27" s="8" t="s">
        <v>38</v>
      </c>
      <c r="V27" s="10">
        <v>30257.27</v>
      </c>
      <c r="W27" s="10">
        <v>13046.93</v>
      </c>
      <c r="X27" s="10">
        <v>12048.44</v>
      </c>
      <c r="Y27" s="8">
        <v>0</v>
      </c>
      <c r="Z27" s="10">
        <v>5161.8999999999996</v>
      </c>
    </row>
    <row r="28" spans="1:26" x14ac:dyDescent="0.3">
      <c r="A28" s="8" t="s">
        <v>27</v>
      </c>
      <c r="B28" s="8" t="s">
        <v>28</v>
      </c>
      <c r="C28" s="8" t="s">
        <v>29</v>
      </c>
      <c r="D28" s="8" t="s">
        <v>43</v>
      </c>
      <c r="E28" s="8" t="s">
        <v>30</v>
      </c>
      <c r="F28" s="8" t="s">
        <v>30</v>
      </c>
      <c r="G28" s="8">
        <v>2017</v>
      </c>
      <c r="H28" s="8" t="str">
        <f>_xlfn.CONCAT("34270394074")</f>
        <v>34270394074</v>
      </c>
      <c r="I28" s="8" t="s">
        <v>31</v>
      </c>
      <c r="J28" s="8" t="s">
        <v>32</v>
      </c>
      <c r="K28" s="8" t="str">
        <f t="shared" si="0"/>
        <v/>
      </c>
      <c r="L28" s="8" t="str">
        <f>_xlfn.CONCAT("4 4.1 2a")</f>
        <v>4 4.1 2a</v>
      </c>
      <c r="M28" s="8" t="str">
        <f>_xlfn.CONCAT("VNTVRV90B15H769R")</f>
        <v>VNTVRV90B15H769R</v>
      </c>
      <c r="N28" s="8" t="s">
        <v>93</v>
      </c>
      <c r="O28" s="8" t="s">
        <v>94</v>
      </c>
      <c r="P28" s="9">
        <v>45267</v>
      </c>
      <c r="Q28" s="8" t="s">
        <v>35</v>
      </c>
      <c r="R28" s="8" t="s">
        <v>54</v>
      </c>
      <c r="S28" s="8" t="s">
        <v>37</v>
      </c>
      <c r="T28" s="8"/>
      <c r="U28" s="8" t="s">
        <v>38</v>
      </c>
      <c r="V28" s="10">
        <v>11808.71</v>
      </c>
      <c r="W28" s="10">
        <v>5091.92</v>
      </c>
      <c r="X28" s="10">
        <v>4702.2299999999996</v>
      </c>
      <c r="Y28" s="8">
        <v>0</v>
      </c>
      <c r="Z28" s="10">
        <v>2014.56</v>
      </c>
    </row>
    <row r="29" spans="1:26" x14ac:dyDescent="0.3">
      <c r="A29" s="8" t="s">
        <v>27</v>
      </c>
      <c r="B29" s="8" t="s">
        <v>28</v>
      </c>
      <c r="C29" s="8" t="s">
        <v>29</v>
      </c>
      <c r="D29" s="8" t="s">
        <v>58</v>
      </c>
      <c r="E29" s="8" t="s">
        <v>30</v>
      </c>
      <c r="F29" s="8" t="s">
        <v>30</v>
      </c>
      <c r="G29" s="8">
        <v>2017</v>
      </c>
      <c r="H29" s="8" t="str">
        <f>_xlfn.CONCAT("34270394132")</f>
        <v>34270394132</v>
      </c>
      <c r="I29" s="8" t="s">
        <v>31</v>
      </c>
      <c r="J29" s="8" t="s">
        <v>32</v>
      </c>
      <c r="K29" s="8" t="str">
        <f t="shared" si="0"/>
        <v/>
      </c>
      <c r="L29" s="8" t="str">
        <f>_xlfn.CONCAT("1 1.1 2a")</f>
        <v>1 1.1 2a</v>
      </c>
      <c r="M29" s="8" t="str">
        <f>_xlfn.CONCAT("02051370423")</f>
        <v>02051370423</v>
      </c>
      <c r="N29" s="8" t="s">
        <v>95</v>
      </c>
      <c r="O29" s="8" t="s">
        <v>96</v>
      </c>
      <c r="P29" s="9">
        <v>45267</v>
      </c>
      <c r="Q29" s="8" t="s">
        <v>35</v>
      </c>
      <c r="R29" s="8" t="s">
        <v>36</v>
      </c>
      <c r="S29" s="8" t="s">
        <v>37</v>
      </c>
      <c r="T29" s="8"/>
      <c r="U29" s="8" t="s">
        <v>38</v>
      </c>
      <c r="V29" s="10">
        <v>3872</v>
      </c>
      <c r="W29" s="10">
        <v>1669.61</v>
      </c>
      <c r="X29" s="10">
        <v>1541.83</v>
      </c>
      <c r="Y29" s="8">
        <v>0</v>
      </c>
      <c r="Z29" s="8">
        <v>660.56</v>
      </c>
    </row>
    <row r="30" spans="1:26" x14ac:dyDescent="0.3">
      <c r="A30" s="8" t="s">
        <v>27</v>
      </c>
      <c r="B30" s="8" t="s">
        <v>28</v>
      </c>
      <c r="C30" s="8" t="s">
        <v>29</v>
      </c>
      <c r="D30" s="8" t="s">
        <v>58</v>
      </c>
      <c r="E30" s="8" t="s">
        <v>30</v>
      </c>
      <c r="F30" s="8" t="s">
        <v>30</v>
      </c>
      <c r="G30" s="8">
        <v>2017</v>
      </c>
      <c r="H30" s="8" t="str">
        <f>_xlfn.CONCAT("34270394140")</f>
        <v>34270394140</v>
      </c>
      <c r="I30" s="8" t="s">
        <v>31</v>
      </c>
      <c r="J30" s="8" t="s">
        <v>32</v>
      </c>
      <c r="K30" s="8" t="str">
        <f t="shared" si="0"/>
        <v/>
      </c>
      <c r="L30" s="8" t="str">
        <f>_xlfn.CONCAT("1 1.1 2a")</f>
        <v>1 1.1 2a</v>
      </c>
      <c r="M30" s="8" t="str">
        <f>_xlfn.CONCAT("02051370423")</f>
        <v>02051370423</v>
      </c>
      <c r="N30" s="8" t="s">
        <v>95</v>
      </c>
      <c r="O30" s="8" t="s">
        <v>96</v>
      </c>
      <c r="P30" s="9">
        <v>45267</v>
      </c>
      <c r="Q30" s="8" t="s">
        <v>35</v>
      </c>
      <c r="R30" s="8" t="s">
        <v>36</v>
      </c>
      <c r="S30" s="8" t="s">
        <v>37</v>
      </c>
      <c r="T30" s="8"/>
      <c r="U30" s="8" t="s">
        <v>38</v>
      </c>
      <c r="V30" s="10">
        <v>2640</v>
      </c>
      <c r="W30" s="10">
        <v>1138.3699999999999</v>
      </c>
      <c r="X30" s="10">
        <v>1051.25</v>
      </c>
      <c r="Y30" s="8">
        <v>0</v>
      </c>
      <c r="Z30" s="8">
        <v>450.38</v>
      </c>
    </row>
    <row r="31" spans="1:26" x14ac:dyDescent="0.3">
      <c r="A31" s="8" t="s">
        <v>27</v>
      </c>
      <c r="B31" s="8" t="s">
        <v>28</v>
      </c>
      <c r="C31" s="8" t="s">
        <v>29</v>
      </c>
      <c r="D31" s="8" t="s">
        <v>51</v>
      </c>
      <c r="E31" s="8" t="s">
        <v>44</v>
      </c>
      <c r="F31" s="8" t="s">
        <v>97</v>
      </c>
      <c r="G31" s="8">
        <v>2017</v>
      </c>
      <c r="H31" s="8" t="str">
        <f>_xlfn.CONCAT("34270394264")</f>
        <v>34270394264</v>
      </c>
      <c r="I31" s="8" t="s">
        <v>31</v>
      </c>
      <c r="J31" s="8" t="s">
        <v>32</v>
      </c>
      <c r="K31" s="8" t="str">
        <f t="shared" si="0"/>
        <v/>
      </c>
      <c r="L31" s="8" t="str">
        <f>_xlfn.CONCAT("4 4.1 2a")</f>
        <v>4 4.1 2a</v>
      </c>
      <c r="M31" s="8" t="str">
        <f>_xlfn.CONCAT("CRLCLD60L54B474Q")</f>
        <v>CRLCLD60L54B474Q</v>
      </c>
      <c r="N31" s="8" t="s">
        <v>98</v>
      </c>
      <c r="O31" s="8" t="s">
        <v>71</v>
      </c>
      <c r="P31" s="9">
        <v>45267</v>
      </c>
      <c r="Q31" s="8" t="s">
        <v>35</v>
      </c>
      <c r="R31" s="8" t="s">
        <v>41</v>
      </c>
      <c r="S31" s="8" t="s">
        <v>37</v>
      </c>
      <c r="T31" s="8"/>
      <c r="U31" s="8" t="s">
        <v>38</v>
      </c>
      <c r="V31" s="10">
        <v>10229</v>
      </c>
      <c r="W31" s="10">
        <v>4410.74</v>
      </c>
      <c r="X31" s="10">
        <v>4073.19</v>
      </c>
      <c r="Y31" s="8">
        <v>0</v>
      </c>
      <c r="Z31" s="10">
        <v>1745.07</v>
      </c>
    </row>
    <row r="32" spans="1:26" x14ac:dyDescent="0.3">
      <c r="A32" s="8" t="s">
        <v>27</v>
      </c>
      <c r="B32" s="8" t="s">
        <v>99</v>
      </c>
      <c r="C32" s="8" t="s">
        <v>29</v>
      </c>
      <c r="D32" s="8" t="s">
        <v>58</v>
      </c>
      <c r="E32" s="8" t="s">
        <v>48</v>
      </c>
      <c r="F32" s="8" t="s">
        <v>100</v>
      </c>
      <c r="G32" s="8">
        <v>2021</v>
      </c>
      <c r="H32" s="8" t="str">
        <f>_xlfn.CONCAT("14240785676")</f>
        <v>14240785676</v>
      </c>
      <c r="I32" s="8" t="s">
        <v>31</v>
      </c>
      <c r="J32" s="8" t="s">
        <v>32</v>
      </c>
      <c r="K32" s="8" t="str">
        <f t="shared" si="0"/>
        <v/>
      </c>
      <c r="L32" s="8" t="str">
        <f>_xlfn.CONCAT("11 11.2 4b")</f>
        <v>11 11.2 4b</v>
      </c>
      <c r="M32" s="8" t="str">
        <f>_xlfn.CONCAT("PTTLDI89S49Z110Y")</f>
        <v>PTTLDI89S49Z110Y</v>
      </c>
      <c r="N32" s="8" t="s">
        <v>101</v>
      </c>
      <c r="O32" s="8" t="s">
        <v>102</v>
      </c>
      <c r="P32" s="9">
        <v>45265</v>
      </c>
      <c r="Q32" s="8" t="s">
        <v>35</v>
      </c>
      <c r="R32" s="8" t="s">
        <v>36</v>
      </c>
      <c r="S32" s="8" t="s">
        <v>37</v>
      </c>
      <c r="T32" s="8"/>
      <c r="U32" s="8" t="s">
        <v>38</v>
      </c>
      <c r="V32" s="10">
        <v>3812.04</v>
      </c>
      <c r="W32" s="10">
        <v>1643.75</v>
      </c>
      <c r="X32" s="10">
        <v>1517.95</v>
      </c>
      <c r="Y32" s="8">
        <v>0</v>
      </c>
      <c r="Z32" s="8">
        <v>650.34</v>
      </c>
    </row>
    <row r="33" spans="1:26" x14ac:dyDescent="0.3">
      <c r="A33" s="8" t="s">
        <v>27</v>
      </c>
      <c r="B33" s="8" t="s">
        <v>28</v>
      </c>
      <c r="C33" s="8" t="s">
        <v>29</v>
      </c>
      <c r="D33" s="8" t="s">
        <v>58</v>
      </c>
      <c r="E33" s="8" t="s">
        <v>44</v>
      </c>
      <c r="F33" s="8" t="s">
        <v>80</v>
      </c>
      <c r="G33" s="8">
        <v>2017</v>
      </c>
      <c r="H33" s="8" t="str">
        <f>_xlfn.CONCAT("34270397903")</f>
        <v>34270397903</v>
      </c>
      <c r="I33" s="8" t="s">
        <v>31</v>
      </c>
      <c r="J33" s="8" t="s">
        <v>32</v>
      </c>
      <c r="K33" s="8" t="str">
        <f t="shared" si="0"/>
        <v/>
      </c>
      <c r="L33" s="8" t="str">
        <f>_xlfn.CONCAT("8 8.1 5e")</f>
        <v>8 8.1 5e</v>
      </c>
      <c r="M33" s="8" t="str">
        <f>_xlfn.CONCAT("PGLCLD61T03I653Q")</f>
        <v>PGLCLD61T03I653Q</v>
      </c>
      <c r="N33" s="8" t="s">
        <v>103</v>
      </c>
      <c r="O33" s="8" t="s">
        <v>82</v>
      </c>
      <c r="P33" s="9">
        <v>45271</v>
      </c>
      <c r="Q33" s="8" t="s">
        <v>35</v>
      </c>
      <c r="R33" s="8" t="s">
        <v>36</v>
      </c>
      <c r="S33" s="8" t="s">
        <v>37</v>
      </c>
      <c r="T33" s="8"/>
      <c r="U33" s="8" t="s">
        <v>38</v>
      </c>
      <c r="V33" s="10">
        <v>3896.4</v>
      </c>
      <c r="W33" s="10">
        <v>1680.13</v>
      </c>
      <c r="X33" s="10">
        <v>1551.55</v>
      </c>
      <c r="Y33" s="8">
        <v>0</v>
      </c>
      <c r="Z33" s="8">
        <v>664.72</v>
      </c>
    </row>
    <row r="34" spans="1:26" x14ac:dyDescent="0.3">
      <c r="A34" s="8" t="s">
        <v>27</v>
      </c>
      <c r="B34" s="8" t="s">
        <v>28</v>
      </c>
      <c r="C34" s="8" t="s">
        <v>29</v>
      </c>
      <c r="D34" s="8" t="s">
        <v>58</v>
      </c>
      <c r="E34" s="8" t="s">
        <v>48</v>
      </c>
      <c r="F34" s="8" t="s">
        <v>100</v>
      </c>
      <c r="G34" s="8">
        <v>2017</v>
      </c>
      <c r="H34" s="8" t="str">
        <f>_xlfn.CONCAT("34270391575")</f>
        <v>34270391575</v>
      </c>
      <c r="I34" s="8" t="s">
        <v>31</v>
      </c>
      <c r="J34" s="8" t="s">
        <v>32</v>
      </c>
      <c r="K34" s="8" t="str">
        <f t="shared" si="0"/>
        <v/>
      </c>
      <c r="L34" s="8" t="str">
        <f>_xlfn.CONCAT("4 4.1 2a")</f>
        <v>4 4.1 2a</v>
      </c>
      <c r="M34" s="8" t="str">
        <f>_xlfn.CONCAT("CCCMNL80R22E388X")</f>
        <v>CCCMNL80R22E388X</v>
      </c>
      <c r="N34" s="8" t="s">
        <v>104</v>
      </c>
      <c r="O34" s="8" t="s">
        <v>92</v>
      </c>
      <c r="P34" s="9">
        <v>45267</v>
      </c>
      <c r="Q34" s="8" t="s">
        <v>35</v>
      </c>
      <c r="R34" s="8" t="s">
        <v>36</v>
      </c>
      <c r="S34" s="8" t="s">
        <v>37</v>
      </c>
      <c r="T34" s="8"/>
      <c r="U34" s="8" t="s">
        <v>38</v>
      </c>
      <c r="V34" s="10">
        <v>13122.71</v>
      </c>
      <c r="W34" s="10">
        <v>5658.51</v>
      </c>
      <c r="X34" s="10">
        <v>5225.46</v>
      </c>
      <c r="Y34" s="8">
        <v>0</v>
      </c>
      <c r="Z34" s="10">
        <v>2238.7399999999998</v>
      </c>
    </row>
    <row r="35" spans="1:26" x14ac:dyDescent="0.3">
      <c r="A35" s="8" t="s">
        <v>27</v>
      </c>
      <c r="B35" s="8" t="s">
        <v>28</v>
      </c>
      <c r="C35" s="8" t="s">
        <v>29</v>
      </c>
      <c r="D35" s="8" t="s">
        <v>51</v>
      </c>
      <c r="E35" s="8" t="s">
        <v>44</v>
      </c>
      <c r="F35" s="8" t="s">
        <v>105</v>
      </c>
      <c r="G35" s="8">
        <v>2017</v>
      </c>
      <c r="H35" s="8" t="str">
        <f>_xlfn.CONCAT("34270399032")</f>
        <v>34270399032</v>
      </c>
      <c r="I35" s="8" t="s">
        <v>31</v>
      </c>
      <c r="J35" s="8" t="s">
        <v>32</v>
      </c>
      <c r="K35" s="8" t="str">
        <f t="shared" si="0"/>
        <v/>
      </c>
      <c r="L35" s="8" t="str">
        <f>_xlfn.CONCAT("4 4.1 2a")</f>
        <v>4 4.1 2a</v>
      </c>
      <c r="M35" s="8" t="str">
        <f>_xlfn.CONCAT("01945810438")</f>
        <v>01945810438</v>
      </c>
      <c r="N35" s="8" t="s">
        <v>106</v>
      </c>
      <c r="O35" s="8" t="s">
        <v>107</v>
      </c>
      <c r="P35" s="9">
        <v>45271</v>
      </c>
      <c r="Q35" s="8" t="s">
        <v>35</v>
      </c>
      <c r="R35" s="8" t="s">
        <v>36</v>
      </c>
      <c r="S35" s="8" t="s">
        <v>37</v>
      </c>
      <c r="T35" s="8"/>
      <c r="U35" s="8" t="s">
        <v>38</v>
      </c>
      <c r="V35" s="10">
        <v>27026.23</v>
      </c>
      <c r="W35" s="10">
        <v>11653.71</v>
      </c>
      <c r="X35" s="10">
        <v>10761.84</v>
      </c>
      <c r="Y35" s="8">
        <v>0</v>
      </c>
      <c r="Z35" s="10">
        <v>4610.68</v>
      </c>
    </row>
    <row r="36" spans="1:26" ht="20.399999999999999" x14ac:dyDescent="0.3">
      <c r="A36" s="8" t="s">
        <v>27</v>
      </c>
      <c r="B36" s="8" t="s">
        <v>28</v>
      </c>
      <c r="C36" s="8" t="s">
        <v>29</v>
      </c>
      <c r="D36" s="8" t="s">
        <v>43</v>
      </c>
      <c r="E36" s="8" t="s">
        <v>74</v>
      </c>
      <c r="F36" s="8" t="s">
        <v>75</v>
      </c>
      <c r="G36" s="8">
        <v>2017</v>
      </c>
      <c r="H36" s="8" t="str">
        <f>_xlfn.CONCAT("34270391930")</f>
        <v>34270391930</v>
      </c>
      <c r="I36" s="8" t="s">
        <v>31</v>
      </c>
      <c r="J36" s="8" t="s">
        <v>32</v>
      </c>
      <c r="K36" s="8" t="str">
        <f t="shared" si="0"/>
        <v/>
      </c>
      <c r="L36" s="8" t="str">
        <f>_xlfn.CONCAT("4 4.1 2a")</f>
        <v>4 4.1 2a</v>
      </c>
      <c r="M36" s="8" t="str">
        <f>_xlfn.CONCAT("00435570445")</f>
        <v>00435570445</v>
      </c>
      <c r="N36" s="8" t="s">
        <v>108</v>
      </c>
      <c r="O36" s="8" t="s">
        <v>109</v>
      </c>
      <c r="P36" s="9">
        <v>45267</v>
      </c>
      <c r="Q36" s="8" t="s">
        <v>35</v>
      </c>
      <c r="R36" s="8" t="s">
        <v>36</v>
      </c>
      <c r="S36" s="8" t="s">
        <v>37</v>
      </c>
      <c r="T36" s="8"/>
      <c r="U36" s="8" t="s">
        <v>38</v>
      </c>
      <c r="V36" s="10">
        <v>136047.53</v>
      </c>
      <c r="W36" s="10">
        <v>58663.69</v>
      </c>
      <c r="X36" s="10">
        <v>54174.13</v>
      </c>
      <c r="Y36" s="8">
        <v>0</v>
      </c>
      <c r="Z36" s="10">
        <v>23209.71</v>
      </c>
    </row>
    <row r="37" spans="1:26" x14ac:dyDescent="0.3">
      <c r="A37" s="8" t="s">
        <v>27</v>
      </c>
      <c r="B37" s="8" t="s">
        <v>28</v>
      </c>
      <c r="C37" s="8" t="s">
        <v>29</v>
      </c>
      <c r="D37" s="8" t="s">
        <v>29</v>
      </c>
      <c r="E37" s="8" t="s">
        <v>30</v>
      </c>
      <c r="F37" s="8" t="s">
        <v>30</v>
      </c>
      <c r="G37" s="8">
        <v>2017</v>
      </c>
      <c r="H37" s="8" t="str">
        <f>_xlfn.CONCAT("34270361529")</f>
        <v>34270361529</v>
      </c>
      <c r="I37" s="8" t="s">
        <v>31</v>
      </c>
      <c r="J37" s="8" t="s">
        <v>32</v>
      </c>
      <c r="K37" s="8" t="str">
        <f t="shared" si="0"/>
        <v/>
      </c>
      <c r="L37" s="8" t="str">
        <f>_xlfn.CONCAT("19 19.2 6b")</f>
        <v>19 19.2 6b</v>
      </c>
      <c r="M37" s="8" t="str">
        <f>_xlfn.CONCAT("01874180431")</f>
        <v>01874180431</v>
      </c>
      <c r="N37" s="8" t="s">
        <v>110</v>
      </c>
      <c r="O37" s="8" t="s">
        <v>111</v>
      </c>
      <c r="P37" s="9">
        <v>45259</v>
      </c>
      <c r="Q37" s="8" t="s">
        <v>35</v>
      </c>
      <c r="R37" s="8" t="s">
        <v>41</v>
      </c>
      <c r="S37" s="8" t="s">
        <v>37</v>
      </c>
      <c r="T37" s="8"/>
      <c r="U37" s="8" t="s">
        <v>38</v>
      </c>
      <c r="V37" s="10">
        <v>14577.25</v>
      </c>
      <c r="W37" s="10">
        <v>6285.71</v>
      </c>
      <c r="X37" s="10">
        <v>5804.66</v>
      </c>
      <c r="Y37" s="8">
        <v>0</v>
      </c>
      <c r="Z37" s="10">
        <v>2486.88</v>
      </c>
    </row>
    <row r="38" spans="1:26" ht="20.399999999999999" x14ac:dyDescent="0.3">
      <c r="A38" s="8" t="s">
        <v>27</v>
      </c>
      <c r="B38" s="8" t="s">
        <v>28</v>
      </c>
      <c r="C38" s="8" t="s">
        <v>29</v>
      </c>
      <c r="D38" s="8" t="s">
        <v>43</v>
      </c>
      <c r="E38" s="8" t="s">
        <v>30</v>
      </c>
      <c r="F38" s="8" t="s">
        <v>30</v>
      </c>
      <c r="G38" s="8">
        <v>2017</v>
      </c>
      <c r="H38" s="8" t="str">
        <f>_xlfn.CONCAT("34270392011")</f>
        <v>34270392011</v>
      </c>
      <c r="I38" s="8" t="s">
        <v>31</v>
      </c>
      <c r="J38" s="8" t="s">
        <v>32</v>
      </c>
      <c r="K38" s="8" t="str">
        <f t="shared" si="0"/>
        <v/>
      </c>
      <c r="L38" s="8" t="str">
        <f>_xlfn.CONCAT("4 4.1 2a")</f>
        <v>4 4.1 2a</v>
      </c>
      <c r="M38" s="8" t="str">
        <f>_xlfn.CONCAT("02267520449")</f>
        <v>02267520449</v>
      </c>
      <c r="N38" s="8" t="s">
        <v>112</v>
      </c>
      <c r="O38" s="8" t="s">
        <v>113</v>
      </c>
      <c r="P38" s="9">
        <v>45267</v>
      </c>
      <c r="Q38" s="8" t="s">
        <v>35</v>
      </c>
      <c r="R38" s="8" t="s">
        <v>41</v>
      </c>
      <c r="S38" s="8" t="s">
        <v>37</v>
      </c>
      <c r="T38" s="8"/>
      <c r="U38" s="8" t="s">
        <v>38</v>
      </c>
      <c r="V38" s="10">
        <v>119000</v>
      </c>
      <c r="W38" s="10">
        <v>51312.800000000003</v>
      </c>
      <c r="X38" s="10">
        <v>47385.8</v>
      </c>
      <c r="Y38" s="8">
        <v>0</v>
      </c>
      <c r="Z38" s="10">
        <v>20301.400000000001</v>
      </c>
    </row>
    <row r="39" spans="1:26" x14ac:dyDescent="0.3">
      <c r="A39" s="8" t="s">
        <v>27</v>
      </c>
      <c r="B39" s="8" t="s">
        <v>28</v>
      </c>
      <c r="C39" s="8" t="s">
        <v>29</v>
      </c>
      <c r="D39" s="8" t="s">
        <v>55</v>
      </c>
      <c r="E39" s="8" t="s">
        <v>30</v>
      </c>
      <c r="F39" s="8" t="s">
        <v>30</v>
      </c>
      <c r="G39" s="8">
        <v>2017</v>
      </c>
      <c r="H39" s="8" t="str">
        <f>_xlfn.CONCAT("34270392003")</f>
        <v>34270392003</v>
      </c>
      <c r="I39" s="8" t="s">
        <v>31</v>
      </c>
      <c r="J39" s="8" t="s">
        <v>32</v>
      </c>
      <c r="K39" s="8" t="str">
        <f t="shared" si="0"/>
        <v/>
      </c>
      <c r="L39" s="8" t="str">
        <f>_xlfn.CONCAT("4 4.1 2a")</f>
        <v>4 4.1 2a</v>
      </c>
      <c r="M39" s="8" t="str">
        <f>_xlfn.CONCAT("00452950413")</f>
        <v>00452950413</v>
      </c>
      <c r="N39" s="8" t="s">
        <v>114</v>
      </c>
      <c r="O39" s="8" t="s">
        <v>113</v>
      </c>
      <c r="P39" s="9">
        <v>45267</v>
      </c>
      <c r="Q39" s="8" t="s">
        <v>35</v>
      </c>
      <c r="R39" s="8" t="s">
        <v>36</v>
      </c>
      <c r="S39" s="8" t="s">
        <v>37</v>
      </c>
      <c r="T39" s="8"/>
      <c r="U39" s="8" t="s">
        <v>38</v>
      </c>
      <c r="V39" s="10">
        <v>30811.51</v>
      </c>
      <c r="W39" s="10">
        <v>13285.92</v>
      </c>
      <c r="X39" s="10">
        <v>12269.14</v>
      </c>
      <c r="Y39" s="8">
        <v>0</v>
      </c>
      <c r="Z39" s="10">
        <v>5256.45</v>
      </c>
    </row>
    <row r="40" spans="1:26" x14ac:dyDescent="0.3">
      <c r="A40" s="8" t="s">
        <v>27</v>
      </c>
      <c r="B40" s="8" t="s">
        <v>28</v>
      </c>
      <c r="C40" s="8" t="s">
        <v>29</v>
      </c>
      <c r="D40" s="8" t="s">
        <v>29</v>
      </c>
      <c r="E40" s="8" t="s">
        <v>30</v>
      </c>
      <c r="F40" s="8" t="s">
        <v>30</v>
      </c>
      <c r="G40" s="8">
        <v>2017</v>
      </c>
      <c r="H40" s="8" t="str">
        <f>_xlfn.CONCAT("34270372096")</f>
        <v>34270372096</v>
      </c>
      <c r="I40" s="8" t="s">
        <v>31</v>
      </c>
      <c r="J40" s="8" t="s">
        <v>32</v>
      </c>
      <c r="K40" s="8" t="str">
        <f t="shared" si="0"/>
        <v/>
      </c>
      <c r="L40" s="8" t="str">
        <f>_xlfn.CONCAT("19 19.2 6b")</f>
        <v>19 19.2 6b</v>
      </c>
      <c r="M40" s="8" t="str">
        <f>_xlfn.CONCAT("80000490443")</f>
        <v>80000490443</v>
      </c>
      <c r="N40" s="8" t="s">
        <v>115</v>
      </c>
      <c r="O40" s="8" t="s">
        <v>116</v>
      </c>
      <c r="P40" s="9">
        <v>45259</v>
      </c>
      <c r="Q40" s="8" t="s">
        <v>35</v>
      </c>
      <c r="R40" s="8" t="s">
        <v>41</v>
      </c>
      <c r="S40" s="8" t="s">
        <v>37</v>
      </c>
      <c r="T40" s="8"/>
      <c r="U40" s="8" t="s">
        <v>38</v>
      </c>
      <c r="V40" s="10">
        <v>41571.75</v>
      </c>
      <c r="W40" s="10">
        <v>17925.740000000002</v>
      </c>
      <c r="X40" s="10">
        <v>16553.87</v>
      </c>
      <c r="Y40" s="8">
        <v>0</v>
      </c>
      <c r="Z40" s="10">
        <v>7092.14</v>
      </c>
    </row>
    <row r="41" spans="1:26" x14ac:dyDescent="0.3">
      <c r="A41" s="8" t="s">
        <v>27</v>
      </c>
      <c r="B41" s="8" t="s">
        <v>28</v>
      </c>
      <c r="C41" s="8" t="s">
        <v>29</v>
      </c>
      <c r="D41" s="8" t="s">
        <v>43</v>
      </c>
      <c r="E41" s="8" t="s">
        <v>30</v>
      </c>
      <c r="F41" s="8" t="s">
        <v>30</v>
      </c>
      <c r="G41" s="8">
        <v>2017</v>
      </c>
      <c r="H41" s="8" t="str">
        <f>_xlfn.CONCAT("34270381816")</f>
        <v>34270381816</v>
      </c>
      <c r="I41" s="8" t="s">
        <v>31</v>
      </c>
      <c r="J41" s="8" t="s">
        <v>32</v>
      </c>
      <c r="K41" s="8" t="str">
        <f t="shared" si="0"/>
        <v/>
      </c>
      <c r="L41" s="8" t="str">
        <f>_xlfn.CONCAT("4 4.3 2a")</f>
        <v>4 4.3 2a</v>
      </c>
      <c r="M41" s="8" t="str">
        <f>_xlfn.CONCAT("00396470445")</f>
        <v>00396470445</v>
      </c>
      <c r="N41" s="8" t="s">
        <v>117</v>
      </c>
      <c r="O41" s="8" t="s">
        <v>118</v>
      </c>
      <c r="P41" s="9">
        <v>45259</v>
      </c>
      <c r="Q41" s="8" t="s">
        <v>35</v>
      </c>
      <c r="R41" s="8" t="s">
        <v>41</v>
      </c>
      <c r="S41" s="8" t="s">
        <v>37</v>
      </c>
      <c r="T41" s="8"/>
      <c r="U41" s="8" t="s">
        <v>38</v>
      </c>
      <c r="V41" s="10">
        <v>15673.66</v>
      </c>
      <c r="W41" s="10">
        <v>6758.48</v>
      </c>
      <c r="X41" s="10">
        <v>6241.25</v>
      </c>
      <c r="Y41" s="8">
        <v>0</v>
      </c>
      <c r="Z41" s="10">
        <v>2673.93</v>
      </c>
    </row>
    <row r="42" spans="1:26" x14ac:dyDescent="0.3">
      <c r="A42" s="8" t="s">
        <v>27</v>
      </c>
      <c r="B42" s="8" t="s">
        <v>28</v>
      </c>
      <c r="C42" s="8" t="s">
        <v>29</v>
      </c>
      <c r="D42" s="8" t="s">
        <v>29</v>
      </c>
      <c r="E42" s="8" t="s">
        <v>30</v>
      </c>
      <c r="F42" s="8" t="s">
        <v>30</v>
      </c>
      <c r="G42" s="8">
        <v>2017</v>
      </c>
      <c r="H42" s="8" t="str">
        <f>_xlfn.CONCAT("34270391880")</f>
        <v>34270391880</v>
      </c>
      <c r="I42" s="8" t="s">
        <v>31</v>
      </c>
      <c r="J42" s="8" t="s">
        <v>32</v>
      </c>
      <c r="K42" s="8" t="str">
        <f t="shared" si="0"/>
        <v/>
      </c>
      <c r="L42" s="8" t="str">
        <f>_xlfn.CONCAT("19 19.2 6b")</f>
        <v>19 19.2 6b</v>
      </c>
      <c r="M42" s="8" t="str">
        <f>_xlfn.CONCAT("00119580439")</f>
        <v>00119580439</v>
      </c>
      <c r="N42" s="8" t="s">
        <v>119</v>
      </c>
      <c r="O42" s="8" t="s">
        <v>120</v>
      </c>
      <c r="P42" s="9">
        <v>45267</v>
      </c>
      <c r="Q42" s="8" t="s">
        <v>35</v>
      </c>
      <c r="R42" s="8" t="s">
        <v>41</v>
      </c>
      <c r="S42" s="8" t="s">
        <v>37</v>
      </c>
      <c r="T42" s="8"/>
      <c r="U42" s="8" t="s">
        <v>38</v>
      </c>
      <c r="V42" s="10">
        <v>96456.57</v>
      </c>
      <c r="W42" s="10">
        <v>41592.07</v>
      </c>
      <c r="X42" s="10">
        <v>38409.01</v>
      </c>
      <c r="Y42" s="8">
        <v>0</v>
      </c>
      <c r="Z42" s="10">
        <v>16455.490000000002</v>
      </c>
    </row>
    <row r="43" spans="1:26" x14ac:dyDescent="0.3">
      <c r="A43" s="8" t="s">
        <v>27</v>
      </c>
      <c r="B43" s="8" t="s">
        <v>28</v>
      </c>
      <c r="C43" s="8" t="s">
        <v>29</v>
      </c>
      <c r="D43" s="8" t="s">
        <v>51</v>
      </c>
      <c r="E43" s="8" t="s">
        <v>30</v>
      </c>
      <c r="F43" s="8" t="s">
        <v>30</v>
      </c>
      <c r="G43" s="8">
        <v>2017</v>
      </c>
      <c r="H43" s="8" t="str">
        <f>_xlfn.CONCAT("34270394009")</f>
        <v>34270394009</v>
      </c>
      <c r="I43" s="8" t="s">
        <v>31</v>
      </c>
      <c r="J43" s="8" t="s">
        <v>32</v>
      </c>
      <c r="K43" s="8" t="str">
        <f t="shared" si="0"/>
        <v/>
      </c>
      <c r="L43" s="8" t="str">
        <f>_xlfn.CONCAT("4 4.1 2a")</f>
        <v>4 4.1 2a</v>
      </c>
      <c r="M43" s="8" t="str">
        <f>_xlfn.CONCAT("01781940430")</f>
        <v>01781940430</v>
      </c>
      <c r="N43" s="8" t="s">
        <v>121</v>
      </c>
      <c r="O43" s="8" t="s">
        <v>122</v>
      </c>
      <c r="P43" s="9">
        <v>45267</v>
      </c>
      <c r="Q43" s="8" t="s">
        <v>35</v>
      </c>
      <c r="R43" s="8" t="s">
        <v>36</v>
      </c>
      <c r="S43" s="8" t="s">
        <v>37</v>
      </c>
      <c r="T43" s="8"/>
      <c r="U43" s="8" t="s">
        <v>38</v>
      </c>
      <c r="V43" s="10">
        <v>12852</v>
      </c>
      <c r="W43" s="10">
        <v>5541.78</v>
      </c>
      <c r="X43" s="10">
        <v>5117.67</v>
      </c>
      <c r="Y43" s="8">
        <v>0</v>
      </c>
      <c r="Z43" s="10">
        <v>2192.5500000000002</v>
      </c>
    </row>
    <row r="44" spans="1:26" x14ac:dyDescent="0.3">
      <c r="A44" s="8" t="s">
        <v>27</v>
      </c>
      <c r="B44" s="8" t="s">
        <v>28</v>
      </c>
      <c r="C44" s="8" t="s">
        <v>29</v>
      </c>
      <c r="D44" s="8" t="s">
        <v>58</v>
      </c>
      <c r="E44" s="8" t="s">
        <v>30</v>
      </c>
      <c r="F44" s="8" t="s">
        <v>30</v>
      </c>
      <c r="G44" s="8">
        <v>2017</v>
      </c>
      <c r="H44" s="8" t="str">
        <f>_xlfn.CONCAT("34270392193")</f>
        <v>34270392193</v>
      </c>
      <c r="I44" s="8" t="s">
        <v>31</v>
      </c>
      <c r="J44" s="8" t="s">
        <v>32</v>
      </c>
      <c r="K44" s="8" t="str">
        <f t="shared" si="0"/>
        <v/>
      </c>
      <c r="L44" s="8" t="str">
        <f>_xlfn.CONCAT("4 4.1 2a")</f>
        <v>4 4.1 2a</v>
      </c>
      <c r="M44" s="8" t="str">
        <f>_xlfn.CONCAT("NGLLCU81S09B474P")</f>
        <v>NGLLCU81S09B474P</v>
      </c>
      <c r="N44" s="8" t="s">
        <v>123</v>
      </c>
      <c r="O44" s="8" t="s">
        <v>124</v>
      </c>
      <c r="P44" s="9">
        <v>45267</v>
      </c>
      <c r="Q44" s="8" t="s">
        <v>35</v>
      </c>
      <c r="R44" s="8" t="s">
        <v>36</v>
      </c>
      <c r="S44" s="8" t="s">
        <v>37</v>
      </c>
      <c r="T44" s="8"/>
      <c r="U44" s="8" t="s">
        <v>38</v>
      </c>
      <c r="V44" s="10">
        <v>14969.7</v>
      </c>
      <c r="W44" s="10">
        <v>6454.93</v>
      </c>
      <c r="X44" s="10">
        <v>5960.93</v>
      </c>
      <c r="Y44" s="8">
        <v>0</v>
      </c>
      <c r="Z44" s="10">
        <v>2553.84</v>
      </c>
    </row>
    <row r="45" spans="1:26" x14ac:dyDescent="0.3">
      <c r="A45" s="8" t="s">
        <v>27</v>
      </c>
      <c r="B45" s="8" t="s">
        <v>28</v>
      </c>
      <c r="C45" s="8" t="s">
        <v>29</v>
      </c>
      <c r="D45" s="8" t="s">
        <v>51</v>
      </c>
      <c r="E45" s="8" t="s">
        <v>44</v>
      </c>
      <c r="F45" s="8" t="s">
        <v>105</v>
      </c>
      <c r="G45" s="8">
        <v>2017</v>
      </c>
      <c r="H45" s="8" t="str">
        <f>_xlfn.CONCAT("34270396475")</f>
        <v>34270396475</v>
      </c>
      <c r="I45" s="8" t="s">
        <v>31</v>
      </c>
      <c r="J45" s="8" t="s">
        <v>32</v>
      </c>
      <c r="K45" s="8" t="str">
        <f t="shared" si="0"/>
        <v/>
      </c>
      <c r="L45" s="8" t="str">
        <f>_xlfn.CONCAT("4 4.1 2a")</f>
        <v>4 4.1 2a</v>
      </c>
      <c r="M45" s="8" t="str">
        <f>_xlfn.CONCAT("CPPLNZ48L08B474P")</f>
        <v>CPPLNZ48L08B474P</v>
      </c>
      <c r="N45" s="8" t="s">
        <v>125</v>
      </c>
      <c r="O45" s="8" t="s">
        <v>107</v>
      </c>
      <c r="P45" s="9">
        <v>45271</v>
      </c>
      <c r="Q45" s="8" t="s">
        <v>35</v>
      </c>
      <c r="R45" s="8" t="s">
        <v>41</v>
      </c>
      <c r="S45" s="8" t="s">
        <v>37</v>
      </c>
      <c r="T45" s="8"/>
      <c r="U45" s="8" t="s">
        <v>38</v>
      </c>
      <c r="V45" s="10">
        <v>60110</v>
      </c>
      <c r="W45" s="10">
        <v>25919.43</v>
      </c>
      <c r="X45" s="10">
        <v>23935.8</v>
      </c>
      <c r="Y45" s="8">
        <v>0</v>
      </c>
      <c r="Z45" s="10">
        <v>10254.77</v>
      </c>
    </row>
    <row r="46" spans="1:26" ht="20.399999999999999" x14ac:dyDescent="0.3">
      <c r="A46" s="8" t="s">
        <v>27</v>
      </c>
      <c r="B46" s="8" t="s">
        <v>28</v>
      </c>
      <c r="C46" s="8" t="s">
        <v>29</v>
      </c>
      <c r="D46" s="8" t="s">
        <v>55</v>
      </c>
      <c r="E46" s="8" t="s">
        <v>44</v>
      </c>
      <c r="F46" s="8" t="s">
        <v>126</v>
      </c>
      <c r="G46" s="8">
        <v>2017</v>
      </c>
      <c r="H46" s="8" t="str">
        <f>_xlfn.CONCAT("34270397630")</f>
        <v>34270397630</v>
      </c>
      <c r="I46" s="8" t="s">
        <v>84</v>
      </c>
      <c r="J46" s="8" t="s">
        <v>32</v>
      </c>
      <c r="K46" s="8" t="str">
        <f t="shared" si="0"/>
        <v/>
      </c>
      <c r="L46" s="8" t="str">
        <f>_xlfn.CONCAT("4 4.1 2a")</f>
        <v>4 4.1 2a</v>
      </c>
      <c r="M46" s="8" t="str">
        <f>_xlfn.CONCAT("02444870410")</f>
        <v>02444870410</v>
      </c>
      <c r="N46" s="8" t="s">
        <v>127</v>
      </c>
      <c r="O46" s="8" t="s">
        <v>113</v>
      </c>
      <c r="P46" s="9">
        <v>45267</v>
      </c>
      <c r="Q46" s="8" t="s">
        <v>35</v>
      </c>
      <c r="R46" s="8" t="s">
        <v>36</v>
      </c>
      <c r="S46" s="8" t="s">
        <v>37</v>
      </c>
      <c r="T46" s="8"/>
      <c r="U46" s="8" t="s">
        <v>38</v>
      </c>
      <c r="V46" s="10">
        <v>43511.12</v>
      </c>
      <c r="W46" s="10">
        <v>18761.990000000002</v>
      </c>
      <c r="X46" s="10">
        <v>17326.13</v>
      </c>
      <c r="Y46" s="8">
        <v>0</v>
      </c>
      <c r="Z46" s="10">
        <v>7423</v>
      </c>
    </row>
    <row r="47" spans="1:26" x14ac:dyDescent="0.3">
      <c r="A47" s="8" t="s">
        <v>27</v>
      </c>
      <c r="B47" s="8" t="s">
        <v>28</v>
      </c>
      <c r="C47" s="8" t="s">
        <v>29</v>
      </c>
      <c r="D47" s="8" t="s">
        <v>43</v>
      </c>
      <c r="E47" s="8" t="s">
        <v>30</v>
      </c>
      <c r="F47" s="8" t="s">
        <v>30</v>
      </c>
      <c r="G47" s="8">
        <v>2017</v>
      </c>
      <c r="H47" s="8" t="str">
        <f>_xlfn.CONCAT("34270397861")</f>
        <v>34270397861</v>
      </c>
      <c r="I47" s="8" t="s">
        <v>31</v>
      </c>
      <c r="J47" s="8" t="s">
        <v>32</v>
      </c>
      <c r="K47" s="8" t="str">
        <f t="shared" si="0"/>
        <v/>
      </c>
      <c r="L47" s="8" t="str">
        <f>_xlfn.CONCAT("5 5.1 3b")</f>
        <v>5 5.1 3b</v>
      </c>
      <c r="M47" s="8" t="str">
        <f>_xlfn.CONCAT("80000490443")</f>
        <v>80000490443</v>
      </c>
      <c r="N47" s="8" t="s">
        <v>115</v>
      </c>
      <c r="O47" s="8" t="s">
        <v>128</v>
      </c>
      <c r="P47" s="9">
        <v>45271</v>
      </c>
      <c r="Q47" s="8" t="s">
        <v>35</v>
      </c>
      <c r="R47" s="8" t="s">
        <v>41</v>
      </c>
      <c r="S47" s="8" t="s">
        <v>37</v>
      </c>
      <c r="T47" s="8"/>
      <c r="U47" s="8" t="s">
        <v>38</v>
      </c>
      <c r="V47" s="10">
        <v>82800</v>
      </c>
      <c r="W47" s="10">
        <v>35703.360000000001</v>
      </c>
      <c r="X47" s="10">
        <v>32970.959999999999</v>
      </c>
      <c r="Y47" s="8">
        <v>0</v>
      </c>
      <c r="Z47" s="10">
        <v>14125.68</v>
      </c>
    </row>
    <row r="48" spans="1:26" x14ac:dyDescent="0.3">
      <c r="A48" s="8" t="s">
        <v>27</v>
      </c>
      <c r="B48" s="8" t="s">
        <v>28</v>
      </c>
      <c r="C48" s="8" t="s">
        <v>29</v>
      </c>
      <c r="D48" s="8" t="s">
        <v>58</v>
      </c>
      <c r="E48" s="8" t="s">
        <v>30</v>
      </c>
      <c r="F48" s="8" t="s">
        <v>30</v>
      </c>
      <c r="G48" s="8">
        <v>2017</v>
      </c>
      <c r="H48" s="8" t="str">
        <f>_xlfn.CONCAT("34270394017")</f>
        <v>34270394017</v>
      </c>
      <c r="I48" s="8" t="s">
        <v>31</v>
      </c>
      <c r="J48" s="8" t="s">
        <v>32</v>
      </c>
      <c r="K48" s="8" t="str">
        <f t="shared" si="0"/>
        <v/>
      </c>
      <c r="L48" s="8" t="str">
        <f>_xlfn.CONCAT("1 1.2 4b")</f>
        <v>1 1.2 4b</v>
      </c>
      <c r="M48" s="8" t="str">
        <f>_xlfn.CONCAT("02051370423")</f>
        <v>02051370423</v>
      </c>
      <c r="N48" s="8" t="s">
        <v>95</v>
      </c>
      <c r="O48" s="8" t="s">
        <v>129</v>
      </c>
      <c r="P48" s="9">
        <v>45267</v>
      </c>
      <c r="Q48" s="8" t="s">
        <v>35</v>
      </c>
      <c r="R48" s="8" t="s">
        <v>36</v>
      </c>
      <c r="S48" s="8" t="s">
        <v>37</v>
      </c>
      <c r="T48" s="8"/>
      <c r="U48" s="8" t="s">
        <v>38</v>
      </c>
      <c r="V48" s="10">
        <v>30000</v>
      </c>
      <c r="W48" s="10">
        <v>12936</v>
      </c>
      <c r="X48" s="10">
        <v>11946</v>
      </c>
      <c r="Y48" s="8">
        <v>0</v>
      </c>
      <c r="Z48" s="10">
        <v>5118</v>
      </c>
    </row>
    <row r="49" spans="1:26" x14ac:dyDescent="0.3">
      <c r="A49" s="8" t="s">
        <v>27</v>
      </c>
      <c r="B49" s="8" t="s">
        <v>99</v>
      </c>
      <c r="C49" s="8" t="s">
        <v>29</v>
      </c>
      <c r="D49" s="8" t="s">
        <v>58</v>
      </c>
      <c r="E49" s="8" t="s">
        <v>74</v>
      </c>
      <c r="F49" s="8" t="s">
        <v>130</v>
      </c>
      <c r="G49" s="8">
        <v>2023</v>
      </c>
      <c r="H49" s="8" t="str">
        <f>_xlfn.CONCAT("34240616655")</f>
        <v>34240616655</v>
      </c>
      <c r="I49" s="8" t="s">
        <v>31</v>
      </c>
      <c r="J49" s="8" t="s">
        <v>32</v>
      </c>
      <c r="K49" s="8" t="str">
        <f t="shared" si="0"/>
        <v/>
      </c>
      <c r="L49" s="8" t="str">
        <f>_xlfn.CONCAT("14 14.1 3a")</f>
        <v>14 14.1 3a</v>
      </c>
      <c r="M49" s="8" t="str">
        <f>_xlfn.CONCAT("SPLMRC66H16D488Q")</f>
        <v>SPLMRC66H16D488Q</v>
      </c>
      <c r="N49" s="8" t="s">
        <v>131</v>
      </c>
      <c r="O49" s="8" t="s">
        <v>132</v>
      </c>
      <c r="P49" s="9">
        <v>45271</v>
      </c>
      <c r="Q49" s="8" t="s">
        <v>35</v>
      </c>
      <c r="R49" s="8" t="s">
        <v>36</v>
      </c>
      <c r="S49" s="8" t="s">
        <v>37</v>
      </c>
      <c r="T49" s="8"/>
      <c r="U49" s="8" t="s">
        <v>38</v>
      </c>
      <c r="V49" s="10">
        <v>6960</v>
      </c>
      <c r="W49" s="10">
        <v>3001.15</v>
      </c>
      <c r="X49" s="10">
        <v>2771.47</v>
      </c>
      <c r="Y49" s="8">
        <v>0</v>
      </c>
      <c r="Z49" s="10">
        <v>1187.3800000000001</v>
      </c>
    </row>
    <row r="50" spans="1:26" x14ac:dyDescent="0.3">
      <c r="A50" s="8" t="s">
        <v>27</v>
      </c>
      <c r="B50" s="8" t="s">
        <v>99</v>
      </c>
      <c r="C50" s="8" t="s">
        <v>29</v>
      </c>
      <c r="D50" s="8" t="s">
        <v>58</v>
      </c>
      <c r="E50" s="8" t="s">
        <v>74</v>
      </c>
      <c r="F50" s="8" t="s">
        <v>130</v>
      </c>
      <c r="G50" s="8">
        <v>2023</v>
      </c>
      <c r="H50" s="8" t="str">
        <f>_xlfn.CONCAT("34240539121")</f>
        <v>34240539121</v>
      </c>
      <c r="I50" s="8" t="s">
        <v>31</v>
      </c>
      <c r="J50" s="8" t="s">
        <v>32</v>
      </c>
      <c r="K50" s="8" t="str">
        <f t="shared" si="0"/>
        <v/>
      </c>
      <c r="L50" s="8" t="str">
        <f>_xlfn.CONCAT("14 14.1 3a")</f>
        <v>14 14.1 3a</v>
      </c>
      <c r="M50" s="8" t="str">
        <f>_xlfn.CONCAT("MZZGPP42M29G157O")</f>
        <v>MZZGPP42M29G157O</v>
      </c>
      <c r="N50" s="8" t="s">
        <v>133</v>
      </c>
      <c r="O50" s="8" t="s">
        <v>132</v>
      </c>
      <c r="P50" s="9">
        <v>45271</v>
      </c>
      <c r="Q50" s="8" t="s">
        <v>35</v>
      </c>
      <c r="R50" s="8" t="s">
        <v>36</v>
      </c>
      <c r="S50" s="8" t="s">
        <v>37</v>
      </c>
      <c r="T50" s="8"/>
      <c r="U50" s="8" t="s">
        <v>38</v>
      </c>
      <c r="V50" s="10">
        <v>18560</v>
      </c>
      <c r="W50" s="10">
        <v>8003.07</v>
      </c>
      <c r="X50" s="10">
        <v>7390.59</v>
      </c>
      <c r="Y50" s="8">
        <v>0</v>
      </c>
      <c r="Z50" s="10">
        <v>3166.34</v>
      </c>
    </row>
    <row r="51" spans="1:26" x14ac:dyDescent="0.3">
      <c r="A51" s="8" t="s">
        <v>27</v>
      </c>
      <c r="B51" s="8" t="s">
        <v>28</v>
      </c>
      <c r="C51" s="8" t="s">
        <v>29</v>
      </c>
      <c r="D51" s="8" t="s">
        <v>43</v>
      </c>
      <c r="E51" s="8" t="s">
        <v>74</v>
      </c>
      <c r="F51" s="8" t="s">
        <v>75</v>
      </c>
      <c r="G51" s="8">
        <v>2017</v>
      </c>
      <c r="H51" s="8" t="str">
        <f>_xlfn.CONCAT("34270394025")</f>
        <v>34270394025</v>
      </c>
      <c r="I51" s="8" t="s">
        <v>31</v>
      </c>
      <c r="J51" s="8" t="s">
        <v>32</v>
      </c>
      <c r="K51" s="8" t="str">
        <f t="shared" si="0"/>
        <v/>
      </c>
      <c r="L51" s="8" t="str">
        <f t="shared" ref="L51:L57" si="1">_xlfn.CONCAT("4 4.1 2a")</f>
        <v>4 4.1 2a</v>
      </c>
      <c r="M51" s="8" t="str">
        <f>_xlfn.CONCAT("DRSGNN57T28H321Q")</f>
        <v>DRSGNN57T28H321Q</v>
      </c>
      <c r="N51" s="8" t="s">
        <v>134</v>
      </c>
      <c r="O51" s="8" t="s">
        <v>135</v>
      </c>
      <c r="P51" s="9">
        <v>45267</v>
      </c>
      <c r="Q51" s="8" t="s">
        <v>35</v>
      </c>
      <c r="R51" s="8" t="s">
        <v>36</v>
      </c>
      <c r="S51" s="8" t="s">
        <v>37</v>
      </c>
      <c r="T51" s="8"/>
      <c r="U51" s="8" t="s">
        <v>38</v>
      </c>
      <c r="V51" s="10">
        <v>11444.08</v>
      </c>
      <c r="W51" s="10">
        <v>4934.6899999999996</v>
      </c>
      <c r="X51" s="10">
        <v>4557.03</v>
      </c>
      <c r="Y51" s="8">
        <v>0</v>
      </c>
      <c r="Z51" s="10">
        <v>1952.36</v>
      </c>
    </row>
    <row r="52" spans="1:26" x14ac:dyDescent="0.3">
      <c r="A52" s="8" t="s">
        <v>27</v>
      </c>
      <c r="B52" s="8" t="s">
        <v>28</v>
      </c>
      <c r="C52" s="8" t="s">
        <v>29</v>
      </c>
      <c r="D52" s="8" t="s">
        <v>58</v>
      </c>
      <c r="E52" s="8" t="s">
        <v>44</v>
      </c>
      <c r="F52" s="8" t="s">
        <v>136</v>
      </c>
      <c r="G52" s="8">
        <v>2017</v>
      </c>
      <c r="H52" s="8" t="str">
        <f>_xlfn.CONCAT("34270394280")</f>
        <v>34270394280</v>
      </c>
      <c r="I52" s="8" t="s">
        <v>31</v>
      </c>
      <c r="J52" s="8" t="s">
        <v>32</v>
      </c>
      <c r="K52" s="8" t="str">
        <f t="shared" si="0"/>
        <v/>
      </c>
      <c r="L52" s="8" t="str">
        <f t="shared" si="1"/>
        <v>4 4.1 2a</v>
      </c>
      <c r="M52" s="8" t="str">
        <f>_xlfn.CONCAT("CZZMSM96A04E783G")</f>
        <v>CZZMSM96A04E783G</v>
      </c>
      <c r="N52" s="8" t="s">
        <v>137</v>
      </c>
      <c r="O52" s="8" t="s">
        <v>135</v>
      </c>
      <c r="P52" s="9">
        <v>45267</v>
      </c>
      <c r="Q52" s="8" t="s">
        <v>35</v>
      </c>
      <c r="R52" s="8" t="s">
        <v>36</v>
      </c>
      <c r="S52" s="8" t="s">
        <v>37</v>
      </c>
      <c r="T52" s="8"/>
      <c r="U52" s="8" t="s">
        <v>38</v>
      </c>
      <c r="V52" s="10">
        <v>19500</v>
      </c>
      <c r="W52" s="10">
        <v>8408.4</v>
      </c>
      <c r="X52" s="10">
        <v>7764.9</v>
      </c>
      <c r="Y52" s="8">
        <v>0</v>
      </c>
      <c r="Z52" s="10">
        <v>3326.7</v>
      </c>
    </row>
    <row r="53" spans="1:26" x14ac:dyDescent="0.3">
      <c r="A53" s="8" t="s">
        <v>27</v>
      </c>
      <c r="B53" s="8" t="s">
        <v>28</v>
      </c>
      <c r="C53" s="8" t="s">
        <v>29</v>
      </c>
      <c r="D53" s="8" t="s">
        <v>43</v>
      </c>
      <c r="E53" s="8" t="s">
        <v>30</v>
      </c>
      <c r="F53" s="8" t="s">
        <v>30</v>
      </c>
      <c r="G53" s="8">
        <v>2017</v>
      </c>
      <c r="H53" s="8" t="str">
        <f>_xlfn.CONCAT("34270394033")</f>
        <v>34270394033</v>
      </c>
      <c r="I53" s="8" t="s">
        <v>31</v>
      </c>
      <c r="J53" s="8" t="s">
        <v>32</v>
      </c>
      <c r="K53" s="8" t="str">
        <f t="shared" si="0"/>
        <v/>
      </c>
      <c r="L53" s="8" t="str">
        <f t="shared" si="1"/>
        <v>4 4.1 2a</v>
      </c>
      <c r="M53" s="8" t="str">
        <f>_xlfn.CONCAT("PRZNNZ54B11H321F")</f>
        <v>PRZNNZ54B11H321F</v>
      </c>
      <c r="N53" s="8" t="s">
        <v>138</v>
      </c>
      <c r="O53" s="8" t="s">
        <v>135</v>
      </c>
      <c r="P53" s="9">
        <v>45267</v>
      </c>
      <c r="Q53" s="8" t="s">
        <v>35</v>
      </c>
      <c r="R53" s="8" t="s">
        <v>36</v>
      </c>
      <c r="S53" s="8" t="s">
        <v>37</v>
      </c>
      <c r="T53" s="8"/>
      <c r="U53" s="8" t="s">
        <v>38</v>
      </c>
      <c r="V53" s="10">
        <v>13039.75</v>
      </c>
      <c r="W53" s="10">
        <v>5622.74</v>
      </c>
      <c r="X53" s="10">
        <v>5192.43</v>
      </c>
      <c r="Y53" s="8">
        <v>0</v>
      </c>
      <c r="Z53" s="10">
        <v>2224.58</v>
      </c>
    </row>
    <row r="54" spans="1:26" ht="20.399999999999999" x14ac:dyDescent="0.3">
      <c r="A54" s="8" t="s">
        <v>27</v>
      </c>
      <c r="B54" s="8" t="s">
        <v>28</v>
      </c>
      <c r="C54" s="8" t="s">
        <v>29</v>
      </c>
      <c r="D54" s="8" t="s">
        <v>51</v>
      </c>
      <c r="E54" s="8" t="s">
        <v>89</v>
      </c>
      <c r="F54" s="8" t="s">
        <v>90</v>
      </c>
      <c r="G54" s="8">
        <v>2017</v>
      </c>
      <c r="H54" s="8" t="str">
        <f>_xlfn.CONCAT("34270394066")</f>
        <v>34270394066</v>
      </c>
      <c r="I54" s="8" t="s">
        <v>31</v>
      </c>
      <c r="J54" s="8" t="s">
        <v>32</v>
      </c>
      <c r="K54" s="8" t="str">
        <f t="shared" si="0"/>
        <v/>
      </c>
      <c r="L54" s="8" t="str">
        <f t="shared" si="1"/>
        <v>4 4.1 2a</v>
      </c>
      <c r="M54" s="8" t="str">
        <f>_xlfn.CONCAT("01475940431")</f>
        <v>01475940431</v>
      </c>
      <c r="N54" s="8" t="s">
        <v>139</v>
      </c>
      <c r="O54" s="8" t="s">
        <v>135</v>
      </c>
      <c r="P54" s="9">
        <v>45267</v>
      </c>
      <c r="Q54" s="8" t="s">
        <v>35</v>
      </c>
      <c r="R54" s="8" t="s">
        <v>36</v>
      </c>
      <c r="S54" s="8" t="s">
        <v>37</v>
      </c>
      <c r="T54" s="8"/>
      <c r="U54" s="8" t="s">
        <v>38</v>
      </c>
      <c r="V54" s="10">
        <v>34292.75</v>
      </c>
      <c r="W54" s="10">
        <v>14787.03</v>
      </c>
      <c r="X54" s="10">
        <v>13655.37</v>
      </c>
      <c r="Y54" s="8">
        <v>0</v>
      </c>
      <c r="Z54" s="10">
        <v>5850.35</v>
      </c>
    </row>
    <row r="55" spans="1:26" x14ac:dyDescent="0.3">
      <c r="A55" s="8" t="s">
        <v>27</v>
      </c>
      <c r="B55" s="8" t="s">
        <v>28</v>
      </c>
      <c r="C55" s="8" t="s">
        <v>29</v>
      </c>
      <c r="D55" s="8" t="s">
        <v>43</v>
      </c>
      <c r="E55" s="8" t="s">
        <v>30</v>
      </c>
      <c r="F55" s="8" t="s">
        <v>30</v>
      </c>
      <c r="G55" s="8">
        <v>2017</v>
      </c>
      <c r="H55" s="8" t="str">
        <f>_xlfn.CONCAT("34270394041")</f>
        <v>34270394041</v>
      </c>
      <c r="I55" s="8" t="s">
        <v>31</v>
      </c>
      <c r="J55" s="8" t="s">
        <v>32</v>
      </c>
      <c r="K55" s="8" t="str">
        <f t="shared" si="0"/>
        <v/>
      </c>
      <c r="L55" s="8" t="str">
        <f t="shared" si="1"/>
        <v>4 4.1 2a</v>
      </c>
      <c r="M55" s="8" t="str">
        <f>_xlfn.CONCAT("VNTVRV90B15H769R")</f>
        <v>VNTVRV90B15H769R</v>
      </c>
      <c r="N55" s="8" t="s">
        <v>93</v>
      </c>
      <c r="O55" s="8" t="s">
        <v>135</v>
      </c>
      <c r="P55" s="9">
        <v>45267</v>
      </c>
      <c r="Q55" s="8" t="s">
        <v>35</v>
      </c>
      <c r="R55" s="8" t="s">
        <v>54</v>
      </c>
      <c r="S55" s="8" t="s">
        <v>37</v>
      </c>
      <c r="T55" s="8"/>
      <c r="U55" s="8" t="s">
        <v>38</v>
      </c>
      <c r="V55" s="10">
        <v>7084</v>
      </c>
      <c r="W55" s="10">
        <v>3054.62</v>
      </c>
      <c r="X55" s="10">
        <v>2820.85</v>
      </c>
      <c r="Y55" s="8">
        <v>0</v>
      </c>
      <c r="Z55" s="10">
        <v>1208.53</v>
      </c>
    </row>
    <row r="56" spans="1:26" x14ac:dyDescent="0.3">
      <c r="A56" s="8" t="s">
        <v>27</v>
      </c>
      <c r="B56" s="8" t="s">
        <v>28</v>
      </c>
      <c r="C56" s="8" t="s">
        <v>29</v>
      </c>
      <c r="D56" s="8" t="s">
        <v>55</v>
      </c>
      <c r="E56" s="8" t="s">
        <v>30</v>
      </c>
      <c r="F56" s="8" t="s">
        <v>30</v>
      </c>
      <c r="G56" s="8">
        <v>2017</v>
      </c>
      <c r="H56" s="8" t="str">
        <f>_xlfn.CONCAT("34270394256")</f>
        <v>34270394256</v>
      </c>
      <c r="I56" s="8" t="s">
        <v>31</v>
      </c>
      <c r="J56" s="8" t="s">
        <v>32</v>
      </c>
      <c r="K56" s="8" t="str">
        <f t="shared" si="0"/>
        <v/>
      </c>
      <c r="L56" s="8" t="str">
        <f t="shared" si="1"/>
        <v>4 4.1 2a</v>
      </c>
      <c r="M56" s="8" t="str">
        <f>_xlfn.CONCAT("01746490430")</f>
        <v>01746490430</v>
      </c>
      <c r="N56" s="8" t="s">
        <v>140</v>
      </c>
      <c r="O56" s="8" t="s">
        <v>141</v>
      </c>
      <c r="P56" s="9">
        <v>45267</v>
      </c>
      <c r="Q56" s="8" t="s">
        <v>35</v>
      </c>
      <c r="R56" s="8" t="s">
        <v>36</v>
      </c>
      <c r="S56" s="8" t="s">
        <v>37</v>
      </c>
      <c r="T56" s="8"/>
      <c r="U56" s="8" t="s">
        <v>38</v>
      </c>
      <c r="V56" s="10">
        <v>690466.96</v>
      </c>
      <c r="W56" s="10">
        <v>297729.34999999998</v>
      </c>
      <c r="X56" s="10">
        <v>274943.94</v>
      </c>
      <c r="Y56" s="8">
        <v>0</v>
      </c>
      <c r="Z56" s="10">
        <v>117793.67</v>
      </c>
    </row>
    <row r="57" spans="1:26" ht="20.399999999999999" x14ac:dyDescent="0.3">
      <c r="A57" s="8" t="s">
        <v>27</v>
      </c>
      <c r="B57" s="8" t="s">
        <v>28</v>
      </c>
      <c r="C57" s="8" t="s">
        <v>29</v>
      </c>
      <c r="D57" s="8" t="s">
        <v>43</v>
      </c>
      <c r="E57" s="8" t="s">
        <v>30</v>
      </c>
      <c r="F57" s="8" t="s">
        <v>30</v>
      </c>
      <c r="G57" s="8">
        <v>2017</v>
      </c>
      <c r="H57" s="8" t="str">
        <f>_xlfn.CONCAT("34270396046")</f>
        <v>34270396046</v>
      </c>
      <c r="I57" s="8" t="s">
        <v>31</v>
      </c>
      <c r="J57" s="8" t="s">
        <v>32</v>
      </c>
      <c r="K57" s="8" t="str">
        <f t="shared" si="0"/>
        <v/>
      </c>
      <c r="L57" s="8" t="str">
        <f t="shared" si="1"/>
        <v>4 4.1 2a</v>
      </c>
      <c r="M57" s="8" t="str">
        <f>_xlfn.CONCAT("02164470441")</f>
        <v>02164470441</v>
      </c>
      <c r="N57" s="8" t="s">
        <v>142</v>
      </c>
      <c r="O57" s="8" t="s">
        <v>143</v>
      </c>
      <c r="P57" s="9">
        <v>45267</v>
      </c>
      <c r="Q57" s="8" t="s">
        <v>35</v>
      </c>
      <c r="R57" s="8" t="s">
        <v>41</v>
      </c>
      <c r="S57" s="8" t="s">
        <v>37</v>
      </c>
      <c r="T57" s="8"/>
      <c r="U57" s="8" t="s">
        <v>38</v>
      </c>
      <c r="V57" s="10">
        <v>33220.82</v>
      </c>
      <c r="W57" s="10">
        <v>14324.82</v>
      </c>
      <c r="X57" s="10">
        <v>13228.53</v>
      </c>
      <c r="Y57" s="8">
        <v>0</v>
      </c>
      <c r="Z57" s="10">
        <v>5667.47</v>
      </c>
    </row>
    <row r="58" spans="1:26" x14ac:dyDescent="0.3">
      <c r="A58" s="8" t="s">
        <v>27</v>
      </c>
      <c r="B58" s="8" t="s">
        <v>28</v>
      </c>
      <c r="C58" s="8" t="s">
        <v>29</v>
      </c>
      <c r="D58" s="8" t="s">
        <v>43</v>
      </c>
      <c r="E58" s="8" t="s">
        <v>74</v>
      </c>
      <c r="F58" s="8" t="s">
        <v>75</v>
      </c>
      <c r="G58" s="8">
        <v>2017</v>
      </c>
      <c r="H58" s="8" t="str">
        <f>_xlfn.CONCAT("34270394223")</f>
        <v>34270394223</v>
      </c>
      <c r="I58" s="8" t="s">
        <v>31</v>
      </c>
      <c r="J58" s="8" t="s">
        <v>32</v>
      </c>
      <c r="K58" s="8" t="str">
        <f t="shared" si="0"/>
        <v/>
      </c>
      <c r="L58" s="8" t="str">
        <f>_xlfn.CONCAT("4 4.1 2a")</f>
        <v>4 4.1 2a</v>
      </c>
      <c r="M58" s="8" t="str">
        <f>_xlfn.CONCAT("CTLSRG52M26G137G")</f>
        <v>CTLSRG52M26G137G</v>
      </c>
      <c r="N58" s="8" t="s">
        <v>144</v>
      </c>
      <c r="O58" s="8" t="s">
        <v>145</v>
      </c>
      <c r="P58" s="9">
        <v>45267</v>
      </c>
      <c r="Q58" s="8" t="s">
        <v>35</v>
      </c>
      <c r="R58" s="8" t="s">
        <v>36</v>
      </c>
      <c r="S58" s="8" t="s">
        <v>37</v>
      </c>
      <c r="T58" s="8"/>
      <c r="U58" s="8" t="s">
        <v>38</v>
      </c>
      <c r="V58" s="10">
        <v>7502.64</v>
      </c>
      <c r="W58" s="10">
        <v>3235.14</v>
      </c>
      <c r="X58" s="10">
        <v>2987.55</v>
      </c>
      <c r="Y58" s="8">
        <v>0</v>
      </c>
      <c r="Z58" s="10">
        <v>1279.95</v>
      </c>
    </row>
    <row r="59" spans="1:26" x14ac:dyDescent="0.3">
      <c r="A59" s="8" t="s">
        <v>27</v>
      </c>
      <c r="B59" s="8" t="s">
        <v>28</v>
      </c>
      <c r="C59" s="8" t="s">
        <v>29</v>
      </c>
      <c r="D59" s="8" t="s">
        <v>51</v>
      </c>
      <c r="E59" s="8" t="s">
        <v>30</v>
      </c>
      <c r="F59" s="8" t="s">
        <v>30</v>
      </c>
      <c r="G59" s="8">
        <v>2017</v>
      </c>
      <c r="H59" s="8" t="str">
        <f>_xlfn.CONCAT("34270394215")</f>
        <v>34270394215</v>
      </c>
      <c r="I59" s="8" t="s">
        <v>31</v>
      </c>
      <c r="J59" s="8" t="s">
        <v>32</v>
      </c>
      <c r="K59" s="8" t="str">
        <f t="shared" si="0"/>
        <v/>
      </c>
      <c r="L59" s="8" t="str">
        <f>_xlfn.CONCAT("4 4.1 2a")</f>
        <v>4 4.1 2a</v>
      </c>
      <c r="M59" s="8" t="str">
        <f>_xlfn.CONCAT("SNSRRT68R12E783Y")</f>
        <v>SNSRRT68R12E783Y</v>
      </c>
      <c r="N59" s="8" t="s">
        <v>146</v>
      </c>
      <c r="O59" s="8" t="s">
        <v>145</v>
      </c>
      <c r="P59" s="9">
        <v>45267</v>
      </c>
      <c r="Q59" s="8" t="s">
        <v>35</v>
      </c>
      <c r="R59" s="8" t="s">
        <v>41</v>
      </c>
      <c r="S59" s="8" t="s">
        <v>37</v>
      </c>
      <c r="T59" s="8"/>
      <c r="U59" s="8" t="s">
        <v>38</v>
      </c>
      <c r="V59" s="10">
        <v>99975.3</v>
      </c>
      <c r="W59" s="10">
        <v>43109.35</v>
      </c>
      <c r="X59" s="10">
        <v>39810.160000000003</v>
      </c>
      <c r="Y59" s="8">
        <v>0</v>
      </c>
      <c r="Z59" s="10">
        <v>17055.79</v>
      </c>
    </row>
    <row r="60" spans="1:26" ht="20.399999999999999" x14ac:dyDescent="0.3">
      <c r="A60" s="8" t="s">
        <v>27</v>
      </c>
      <c r="B60" s="8" t="s">
        <v>28</v>
      </c>
      <c r="C60" s="8" t="s">
        <v>29</v>
      </c>
      <c r="D60" s="8" t="s">
        <v>55</v>
      </c>
      <c r="E60" s="8" t="s">
        <v>30</v>
      </c>
      <c r="F60" s="8" t="s">
        <v>30</v>
      </c>
      <c r="G60" s="8">
        <v>2017</v>
      </c>
      <c r="H60" s="8" t="str">
        <f>_xlfn.CONCAT("34270399073")</f>
        <v>34270399073</v>
      </c>
      <c r="I60" s="8" t="s">
        <v>31</v>
      </c>
      <c r="J60" s="8" t="s">
        <v>32</v>
      </c>
      <c r="K60" s="8" t="str">
        <f t="shared" si="0"/>
        <v/>
      </c>
      <c r="L60" s="8" t="str">
        <f>_xlfn.CONCAT("16 16.1 2a")</f>
        <v>16 16.1 2a</v>
      </c>
      <c r="M60" s="8" t="str">
        <f>_xlfn.CONCAT("00433920410")</f>
        <v>00433920410</v>
      </c>
      <c r="N60" s="8" t="s">
        <v>147</v>
      </c>
      <c r="O60" s="8" t="s">
        <v>148</v>
      </c>
      <c r="P60" s="9">
        <v>45271</v>
      </c>
      <c r="Q60" s="8" t="s">
        <v>35</v>
      </c>
      <c r="R60" s="8" t="s">
        <v>36</v>
      </c>
      <c r="S60" s="8" t="s">
        <v>37</v>
      </c>
      <c r="T60" s="8"/>
      <c r="U60" s="8" t="s">
        <v>38</v>
      </c>
      <c r="V60" s="10">
        <v>529938.43000000005</v>
      </c>
      <c r="W60" s="10">
        <v>228509.45</v>
      </c>
      <c r="X60" s="10">
        <v>211021.48</v>
      </c>
      <c r="Y60" s="8">
        <v>0</v>
      </c>
      <c r="Z60" s="10">
        <v>90407.5</v>
      </c>
    </row>
    <row r="61" spans="1:26" x14ac:dyDescent="0.3">
      <c r="A61" s="8" t="s">
        <v>27</v>
      </c>
      <c r="B61" s="8" t="s">
        <v>28</v>
      </c>
      <c r="C61" s="8" t="s">
        <v>29</v>
      </c>
      <c r="D61" s="8" t="s">
        <v>58</v>
      </c>
      <c r="E61" s="8" t="s">
        <v>30</v>
      </c>
      <c r="F61" s="8" t="s">
        <v>30</v>
      </c>
      <c r="G61" s="8">
        <v>2017</v>
      </c>
      <c r="H61" s="8" t="str">
        <f>_xlfn.CONCAT("34270391559")</f>
        <v>34270391559</v>
      </c>
      <c r="I61" s="8" t="s">
        <v>31</v>
      </c>
      <c r="J61" s="8" t="s">
        <v>32</v>
      </c>
      <c r="K61" s="8" t="str">
        <f t="shared" si="0"/>
        <v/>
      </c>
      <c r="L61" s="8" t="str">
        <f>_xlfn.CONCAT("3 3.2 3a")</f>
        <v>3 3.2 3a</v>
      </c>
      <c r="M61" s="8" t="str">
        <f>_xlfn.CONCAT("02464490420")</f>
        <v>02464490420</v>
      </c>
      <c r="N61" s="8" t="s">
        <v>149</v>
      </c>
      <c r="O61" s="8" t="s">
        <v>150</v>
      </c>
      <c r="P61" s="9">
        <v>45267</v>
      </c>
      <c r="Q61" s="8" t="s">
        <v>35</v>
      </c>
      <c r="R61" s="8" t="s">
        <v>36</v>
      </c>
      <c r="S61" s="8" t="s">
        <v>37</v>
      </c>
      <c r="T61" s="8"/>
      <c r="U61" s="8" t="s">
        <v>38</v>
      </c>
      <c r="V61" s="10">
        <v>118566.72</v>
      </c>
      <c r="W61" s="10">
        <v>51125.97</v>
      </c>
      <c r="X61" s="10">
        <v>47213.27</v>
      </c>
      <c r="Y61" s="8">
        <v>0</v>
      </c>
      <c r="Z61" s="10">
        <v>20227.48</v>
      </c>
    </row>
    <row r="62" spans="1:26" x14ac:dyDescent="0.3">
      <c r="A62" s="8" t="s">
        <v>27</v>
      </c>
      <c r="B62" s="8" t="s">
        <v>28</v>
      </c>
      <c r="C62" s="8" t="s">
        <v>29</v>
      </c>
      <c r="D62" s="8" t="s">
        <v>51</v>
      </c>
      <c r="E62" s="8" t="s">
        <v>30</v>
      </c>
      <c r="F62" s="8" t="s">
        <v>30</v>
      </c>
      <c r="G62" s="8">
        <v>2017</v>
      </c>
      <c r="H62" s="8" t="str">
        <f>_xlfn.CONCAT("34270394124")</f>
        <v>34270394124</v>
      </c>
      <c r="I62" s="8" t="s">
        <v>31</v>
      </c>
      <c r="J62" s="8" t="s">
        <v>32</v>
      </c>
      <c r="K62" s="8" t="str">
        <f t="shared" si="0"/>
        <v/>
      </c>
      <c r="L62" s="8" t="str">
        <f>_xlfn.CONCAT("1 1.1 2a")</f>
        <v>1 1.1 2a</v>
      </c>
      <c r="M62" s="8" t="str">
        <f>_xlfn.CONCAT("01493050429")</f>
        <v>01493050429</v>
      </c>
      <c r="N62" s="8" t="s">
        <v>151</v>
      </c>
      <c r="O62" s="8" t="s">
        <v>152</v>
      </c>
      <c r="P62" s="9">
        <v>45267</v>
      </c>
      <c r="Q62" s="8" t="s">
        <v>35</v>
      </c>
      <c r="R62" s="8" t="s">
        <v>36</v>
      </c>
      <c r="S62" s="8" t="s">
        <v>37</v>
      </c>
      <c r="T62" s="8"/>
      <c r="U62" s="8" t="s">
        <v>38</v>
      </c>
      <c r="V62" s="10">
        <v>13356</v>
      </c>
      <c r="W62" s="10">
        <v>5759.11</v>
      </c>
      <c r="X62" s="10">
        <v>5318.36</v>
      </c>
      <c r="Y62" s="8">
        <v>0</v>
      </c>
      <c r="Z62" s="10">
        <v>2278.5300000000002</v>
      </c>
    </row>
    <row r="63" spans="1:26" x14ac:dyDescent="0.3">
      <c r="A63" s="8" t="s">
        <v>27</v>
      </c>
      <c r="B63" s="8" t="s">
        <v>28</v>
      </c>
      <c r="C63" s="8" t="s">
        <v>29</v>
      </c>
      <c r="D63" s="8" t="s">
        <v>51</v>
      </c>
      <c r="E63" s="8" t="s">
        <v>30</v>
      </c>
      <c r="F63" s="8" t="s">
        <v>30</v>
      </c>
      <c r="G63" s="8">
        <v>2017</v>
      </c>
      <c r="H63" s="8" t="str">
        <f>_xlfn.CONCAT("34270392029")</f>
        <v>34270392029</v>
      </c>
      <c r="I63" s="8" t="s">
        <v>31</v>
      </c>
      <c r="J63" s="8" t="s">
        <v>32</v>
      </c>
      <c r="K63" s="8" t="str">
        <f t="shared" si="0"/>
        <v/>
      </c>
      <c r="L63" s="8" t="str">
        <f>_xlfn.CONCAT("6 6.1 2b")</f>
        <v>6 6.1 2b</v>
      </c>
      <c r="M63" s="8" t="str">
        <f>_xlfn.CONCAT("02031400431")</f>
        <v>02031400431</v>
      </c>
      <c r="N63" s="8" t="s">
        <v>153</v>
      </c>
      <c r="O63" s="8" t="s">
        <v>154</v>
      </c>
      <c r="P63" s="9">
        <v>45267</v>
      </c>
      <c r="Q63" s="8" t="s">
        <v>35</v>
      </c>
      <c r="R63" s="8" t="s">
        <v>54</v>
      </c>
      <c r="S63" s="8" t="s">
        <v>37</v>
      </c>
      <c r="T63" s="8"/>
      <c r="U63" s="8" t="s">
        <v>38</v>
      </c>
      <c r="V63" s="10">
        <v>35000</v>
      </c>
      <c r="W63" s="10">
        <v>15092</v>
      </c>
      <c r="X63" s="10">
        <v>13937</v>
      </c>
      <c r="Y63" s="8">
        <v>0</v>
      </c>
      <c r="Z63" s="10">
        <v>5971</v>
      </c>
    </row>
    <row r="64" spans="1:26" x14ac:dyDescent="0.3">
      <c r="A64" s="8" t="s">
        <v>27</v>
      </c>
      <c r="B64" s="8" t="s">
        <v>99</v>
      </c>
      <c r="C64" s="8" t="s">
        <v>29</v>
      </c>
      <c r="D64" s="8" t="s">
        <v>55</v>
      </c>
      <c r="E64" s="8" t="s">
        <v>48</v>
      </c>
      <c r="F64" s="8" t="s">
        <v>155</v>
      </c>
      <c r="G64" s="8">
        <v>2022</v>
      </c>
      <c r="H64" s="8" t="str">
        <f>_xlfn.CONCAT("24240681122")</f>
        <v>24240681122</v>
      </c>
      <c r="I64" s="8" t="s">
        <v>84</v>
      </c>
      <c r="J64" s="8" t="s">
        <v>32</v>
      </c>
      <c r="K64" s="8" t="str">
        <f t="shared" si="0"/>
        <v/>
      </c>
      <c r="L64" s="8" t="str">
        <f>_xlfn.CONCAT("14 14.1 3a")</f>
        <v>14 14.1 3a</v>
      </c>
      <c r="M64" s="8" t="str">
        <f>_xlfn.CONCAT("TRPGNN99H06L500E")</f>
        <v>TRPGNN99H06L500E</v>
      </c>
      <c r="N64" s="8" t="s">
        <v>156</v>
      </c>
      <c r="O64" s="8" t="s">
        <v>132</v>
      </c>
      <c r="P64" s="9">
        <v>45271</v>
      </c>
      <c r="Q64" s="8" t="s">
        <v>35</v>
      </c>
      <c r="R64" s="8" t="s">
        <v>36</v>
      </c>
      <c r="S64" s="8" t="s">
        <v>37</v>
      </c>
      <c r="T64" s="8"/>
      <c r="U64" s="8" t="s">
        <v>38</v>
      </c>
      <c r="V64" s="10">
        <v>14299.2</v>
      </c>
      <c r="W64" s="10">
        <v>6165.82</v>
      </c>
      <c r="X64" s="10">
        <v>5693.94</v>
      </c>
      <c r="Y64" s="8">
        <v>0</v>
      </c>
      <c r="Z64" s="10">
        <v>2439.44</v>
      </c>
    </row>
    <row r="65" spans="1:26" x14ac:dyDescent="0.3">
      <c r="A65" s="8" t="s">
        <v>27</v>
      </c>
      <c r="B65" s="8" t="s">
        <v>99</v>
      </c>
      <c r="C65" s="8" t="s">
        <v>29</v>
      </c>
      <c r="D65" s="8" t="s">
        <v>58</v>
      </c>
      <c r="E65" s="8" t="s">
        <v>157</v>
      </c>
      <c r="F65" s="8" t="s">
        <v>158</v>
      </c>
      <c r="G65" s="8">
        <v>2023</v>
      </c>
      <c r="H65" s="8" t="str">
        <f>_xlfn.CONCAT("34240344456")</f>
        <v>34240344456</v>
      </c>
      <c r="I65" s="8" t="s">
        <v>31</v>
      </c>
      <c r="J65" s="8" t="s">
        <v>32</v>
      </c>
      <c r="K65" s="8" t="str">
        <f t="shared" si="0"/>
        <v/>
      </c>
      <c r="L65" s="8" t="str">
        <f>_xlfn.CONCAT("14 14.1 3a")</f>
        <v>14 14.1 3a</v>
      </c>
      <c r="M65" s="8" t="str">
        <f>_xlfn.CONCAT("FNCFNC70C28D451O")</f>
        <v>FNCFNC70C28D451O</v>
      </c>
      <c r="N65" s="8" t="s">
        <v>159</v>
      </c>
      <c r="O65" s="8" t="s">
        <v>132</v>
      </c>
      <c r="P65" s="9">
        <v>45271</v>
      </c>
      <c r="Q65" s="8" t="s">
        <v>35</v>
      </c>
      <c r="R65" s="8" t="s">
        <v>36</v>
      </c>
      <c r="S65" s="8" t="s">
        <v>37</v>
      </c>
      <c r="T65" s="8"/>
      <c r="U65" s="8" t="s">
        <v>38</v>
      </c>
      <c r="V65" s="10">
        <v>3249</v>
      </c>
      <c r="W65" s="10">
        <v>1400.97</v>
      </c>
      <c r="X65" s="10">
        <v>1293.75</v>
      </c>
      <c r="Y65" s="8">
        <v>0</v>
      </c>
      <c r="Z65" s="8">
        <v>554.28</v>
      </c>
    </row>
    <row r="66" spans="1:26" x14ac:dyDescent="0.3">
      <c r="A66" s="8" t="s">
        <v>27</v>
      </c>
      <c r="B66" s="8" t="s">
        <v>99</v>
      </c>
      <c r="C66" s="8" t="s">
        <v>29</v>
      </c>
      <c r="D66" s="8" t="s">
        <v>58</v>
      </c>
      <c r="E66" s="8" t="s">
        <v>157</v>
      </c>
      <c r="F66" s="8" t="s">
        <v>158</v>
      </c>
      <c r="G66" s="8">
        <v>2023</v>
      </c>
      <c r="H66" s="8" t="str">
        <f>_xlfn.CONCAT("34240271329")</f>
        <v>34240271329</v>
      </c>
      <c r="I66" s="8" t="s">
        <v>31</v>
      </c>
      <c r="J66" s="8" t="s">
        <v>32</v>
      </c>
      <c r="K66" s="8" t="str">
        <f t="shared" si="0"/>
        <v/>
      </c>
      <c r="L66" s="8" t="str">
        <f>_xlfn.CONCAT("14 14.1 3a")</f>
        <v>14 14.1 3a</v>
      </c>
      <c r="M66" s="8" t="str">
        <f>_xlfn.CONCAT("FNCVCN47L19L506V")</f>
        <v>FNCVCN47L19L506V</v>
      </c>
      <c r="N66" s="8" t="s">
        <v>160</v>
      </c>
      <c r="O66" s="8" t="s">
        <v>132</v>
      </c>
      <c r="P66" s="9">
        <v>45271</v>
      </c>
      <c r="Q66" s="8" t="s">
        <v>35</v>
      </c>
      <c r="R66" s="8" t="s">
        <v>36</v>
      </c>
      <c r="S66" s="8" t="s">
        <v>37</v>
      </c>
      <c r="T66" s="8"/>
      <c r="U66" s="8" t="s">
        <v>38</v>
      </c>
      <c r="V66" s="10">
        <v>3420</v>
      </c>
      <c r="W66" s="10">
        <v>1474.7</v>
      </c>
      <c r="X66" s="10">
        <v>1361.84</v>
      </c>
      <c r="Y66" s="8">
        <v>0</v>
      </c>
      <c r="Z66" s="8">
        <v>583.46</v>
      </c>
    </row>
    <row r="67" spans="1:26" x14ac:dyDescent="0.3">
      <c r="A67" s="8" t="s">
        <v>27</v>
      </c>
      <c r="B67" s="8" t="s">
        <v>28</v>
      </c>
      <c r="C67" s="8" t="s">
        <v>29</v>
      </c>
      <c r="D67" s="8" t="s">
        <v>29</v>
      </c>
      <c r="E67" s="8" t="s">
        <v>30</v>
      </c>
      <c r="F67" s="8" t="s">
        <v>30</v>
      </c>
      <c r="G67" s="8">
        <v>2017</v>
      </c>
      <c r="H67" s="8" t="str">
        <f>_xlfn.CONCAT("34270356065")</f>
        <v>34270356065</v>
      </c>
      <c r="I67" s="8" t="s">
        <v>31</v>
      </c>
      <c r="J67" s="8" t="s">
        <v>32</v>
      </c>
      <c r="K67" s="8" t="str">
        <f t="shared" si="0"/>
        <v/>
      </c>
      <c r="L67" s="8" t="str">
        <f>_xlfn.CONCAT("19 19.2 6b")</f>
        <v>19 19.2 6b</v>
      </c>
      <c r="M67" s="8" t="str">
        <f>_xlfn.CONCAT("02767710417")</f>
        <v>02767710417</v>
      </c>
      <c r="N67" s="8" t="s">
        <v>161</v>
      </c>
      <c r="O67" s="8" t="s">
        <v>162</v>
      </c>
      <c r="P67" s="9">
        <v>45267</v>
      </c>
      <c r="Q67" s="8" t="s">
        <v>35</v>
      </c>
      <c r="R67" s="8" t="s">
        <v>36</v>
      </c>
      <c r="S67" s="8" t="s">
        <v>37</v>
      </c>
      <c r="T67" s="8"/>
      <c r="U67" s="8" t="s">
        <v>38</v>
      </c>
      <c r="V67" s="10">
        <v>15000</v>
      </c>
      <c r="W67" s="10">
        <v>6468</v>
      </c>
      <c r="X67" s="10">
        <v>5973</v>
      </c>
      <c r="Y67" s="8">
        <v>0</v>
      </c>
      <c r="Z67" s="10">
        <v>2559</v>
      </c>
    </row>
    <row r="68" spans="1:26" x14ac:dyDescent="0.3">
      <c r="A68" s="8" t="s">
        <v>27</v>
      </c>
      <c r="B68" s="8" t="s">
        <v>28</v>
      </c>
      <c r="C68" s="8" t="s">
        <v>29</v>
      </c>
      <c r="D68" s="8" t="s">
        <v>29</v>
      </c>
      <c r="E68" s="8" t="s">
        <v>30</v>
      </c>
      <c r="F68" s="8" t="s">
        <v>30</v>
      </c>
      <c r="G68" s="8">
        <v>2017</v>
      </c>
      <c r="H68" s="8" t="str">
        <f>_xlfn.CONCAT("34270391906")</f>
        <v>34270391906</v>
      </c>
      <c r="I68" s="8" t="s">
        <v>84</v>
      </c>
      <c r="J68" s="8" t="s">
        <v>32</v>
      </c>
      <c r="K68" s="8" t="str">
        <f t="shared" ref="K68:K82" si="2">_xlfn.CONCAT("")</f>
        <v/>
      </c>
      <c r="L68" s="8" t="str">
        <f>_xlfn.CONCAT("19 19.2 6b")</f>
        <v>19 19.2 6b</v>
      </c>
      <c r="M68" s="8" t="str">
        <f>_xlfn.CONCAT("80001250440")</f>
        <v>80001250440</v>
      </c>
      <c r="N68" s="8" t="s">
        <v>163</v>
      </c>
      <c r="O68" s="8" t="s">
        <v>164</v>
      </c>
      <c r="P68" s="9">
        <v>45267</v>
      </c>
      <c r="Q68" s="8" t="s">
        <v>35</v>
      </c>
      <c r="R68" s="8" t="s">
        <v>36</v>
      </c>
      <c r="S68" s="8" t="s">
        <v>37</v>
      </c>
      <c r="T68" s="8"/>
      <c r="U68" s="8" t="s">
        <v>38</v>
      </c>
      <c r="V68" s="10">
        <v>38500</v>
      </c>
      <c r="W68" s="10">
        <v>16601.2</v>
      </c>
      <c r="X68" s="10">
        <v>15330.7</v>
      </c>
      <c r="Y68" s="8">
        <v>0</v>
      </c>
      <c r="Z68" s="10">
        <v>6568.1</v>
      </c>
    </row>
    <row r="69" spans="1:26" x14ac:dyDescent="0.3">
      <c r="A69" s="8" t="s">
        <v>27</v>
      </c>
      <c r="B69" s="8" t="s">
        <v>28</v>
      </c>
      <c r="C69" s="8" t="s">
        <v>29</v>
      </c>
      <c r="D69" s="8" t="s">
        <v>29</v>
      </c>
      <c r="E69" s="8" t="s">
        <v>30</v>
      </c>
      <c r="F69" s="8" t="s">
        <v>30</v>
      </c>
      <c r="G69" s="8">
        <v>2017</v>
      </c>
      <c r="H69" s="8" t="str">
        <f>_xlfn.CONCAT("34270391948")</f>
        <v>34270391948</v>
      </c>
      <c r="I69" s="8" t="s">
        <v>31</v>
      </c>
      <c r="J69" s="8" t="s">
        <v>32</v>
      </c>
      <c r="K69" s="8" t="str">
        <f t="shared" si="2"/>
        <v/>
      </c>
      <c r="L69" s="8" t="str">
        <f>_xlfn.CONCAT("19 19.2 6b")</f>
        <v>19 19.2 6b</v>
      </c>
      <c r="M69" s="8" t="str">
        <f>_xlfn.CONCAT("MRCPIO65H05G005C")</f>
        <v>MRCPIO65H05G005C</v>
      </c>
      <c r="N69" s="8" t="s">
        <v>165</v>
      </c>
      <c r="O69" s="8" t="s">
        <v>166</v>
      </c>
      <c r="P69" s="9">
        <v>45267</v>
      </c>
      <c r="Q69" s="8" t="s">
        <v>35</v>
      </c>
      <c r="R69" s="8" t="s">
        <v>36</v>
      </c>
      <c r="S69" s="8" t="s">
        <v>37</v>
      </c>
      <c r="T69" s="8"/>
      <c r="U69" s="8" t="s">
        <v>38</v>
      </c>
      <c r="V69" s="10">
        <v>37347.06</v>
      </c>
      <c r="W69" s="10">
        <v>16104.05</v>
      </c>
      <c r="X69" s="10">
        <v>14871.6</v>
      </c>
      <c r="Y69" s="8">
        <v>0</v>
      </c>
      <c r="Z69" s="10">
        <v>6371.41</v>
      </c>
    </row>
    <row r="70" spans="1:26" x14ac:dyDescent="0.3">
      <c r="A70" s="8" t="s">
        <v>27</v>
      </c>
      <c r="B70" s="8" t="s">
        <v>28</v>
      </c>
      <c r="C70" s="8" t="s">
        <v>29</v>
      </c>
      <c r="D70" s="8" t="s">
        <v>43</v>
      </c>
      <c r="E70" s="8" t="s">
        <v>30</v>
      </c>
      <c r="F70" s="8" t="s">
        <v>30</v>
      </c>
      <c r="G70" s="8">
        <v>2017</v>
      </c>
      <c r="H70" s="8" t="str">
        <f>_xlfn.CONCAT("34270397986")</f>
        <v>34270397986</v>
      </c>
      <c r="I70" s="8" t="s">
        <v>31</v>
      </c>
      <c r="J70" s="8" t="s">
        <v>32</v>
      </c>
      <c r="K70" s="8" t="str">
        <f t="shared" si="2"/>
        <v/>
      </c>
      <c r="L70" s="8" t="str">
        <f>_xlfn.CONCAT("4 4.1 2a")</f>
        <v>4 4.1 2a</v>
      </c>
      <c r="M70" s="8" t="str">
        <f>_xlfn.CONCAT("LPUGZN61S45F549J")</f>
        <v>LPUGZN61S45F549J</v>
      </c>
      <c r="N70" s="8" t="s">
        <v>167</v>
      </c>
      <c r="O70" s="8" t="s">
        <v>168</v>
      </c>
      <c r="P70" s="9">
        <v>45271</v>
      </c>
      <c r="Q70" s="8" t="s">
        <v>35</v>
      </c>
      <c r="R70" s="8" t="s">
        <v>36</v>
      </c>
      <c r="S70" s="8" t="s">
        <v>37</v>
      </c>
      <c r="T70" s="8"/>
      <c r="U70" s="8" t="s">
        <v>38</v>
      </c>
      <c r="V70" s="10">
        <v>196692.22</v>
      </c>
      <c r="W70" s="10">
        <v>84813.69</v>
      </c>
      <c r="X70" s="10">
        <v>78322.84</v>
      </c>
      <c r="Y70" s="8">
        <v>0</v>
      </c>
      <c r="Z70" s="10">
        <v>33555.69</v>
      </c>
    </row>
    <row r="71" spans="1:26" x14ac:dyDescent="0.3">
      <c r="A71" s="8" t="s">
        <v>27</v>
      </c>
      <c r="B71" s="8" t="s">
        <v>28</v>
      </c>
      <c r="C71" s="8" t="s">
        <v>29</v>
      </c>
      <c r="D71" s="8" t="s">
        <v>55</v>
      </c>
      <c r="E71" s="8" t="s">
        <v>30</v>
      </c>
      <c r="F71" s="8" t="s">
        <v>30</v>
      </c>
      <c r="G71" s="8">
        <v>2017</v>
      </c>
      <c r="H71" s="8" t="str">
        <f>_xlfn.CONCAT("34270398026")</f>
        <v>34270398026</v>
      </c>
      <c r="I71" s="8" t="s">
        <v>31</v>
      </c>
      <c r="J71" s="8" t="s">
        <v>32</v>
      </c>
      <c r="K71" s="8" t="str">
        <f t="shared" si="2"/>
        <v/>
      </c>
      <c r="L71" s="8" t="str">
        <f>_xlfn.CONCAT("4 4.3 2a")</f>
        <v>4 4.3 2a</v>
      </c>
      <c r="M71" s="8" t="str">
        <f>_xlfn.CONCAT("00138790431")</f>
        <v>00138790431</v>
      </c>
      <c r="N71" s="8" t="s">
        <v>169</v>
      </c>
      <c r="O71" s="8" t="s">
        <v>170</v>
      </c>
      <c r="P71" s="9">
        <v>45267</v>
      </c>
      <c r="Q71" s="8" t="s">
        <v>35</v>
      </c>
      <c r="R71" s="8" t="s">
        <v>36</v>
      </c>
      <c r="S71" s="8" t="s">
        <v>37</v>
      </c>
      <c r="T71" s="8"/>
      <c r="U71" s="8" t="s">
        <v>38</v>
      </c>
      <c r="V71" s="10">
        <v>113726.11</v>
      </c>
      <c r="W71" s="10">
        <v>49038.7</v>
      </c>
      <c r="X71" s="10">
        <v>45285.74</v>
      </c>
      <c r="Y71" s="8">
        <v>0</v>
      </c>
      <c r="Z71" s="10">
        <v>19401.669999999998</v>
      </c>
    </row>
    <row r="72" spans="1:26" x14ac:dyDescent="0.3">
      <c r="A72" s="8" t="s">
        <v>27</v>
      </c>
      <c r="B72" s="8" t="s">
        <v>28</v>
      </c>
      <c r="C72" s="8" t="s">
        <v>29</v>
      </c>
      <c r="D72" s="8" t="s">
        <v>55</v>
      </c>
      <c r="E72" s="8" t="s">
        <v>30</v>
      </c>
      <c r="F72" s="8" t="s">
        <v>30</v>
      </c>
      <c r="G72" s="8">
        <v>2017</v>
      </c>
      <c r="H72" s="8" t="str">
        <f>_xlfn.CONCAT("34270398059")</f>
        <v>34270398059</v>
      </c>
      <c r="I72" s="8" t="s">
        <v>31</v>
      </c>
      <c r="J72" s="8" t="s">
        <v>32</v>
      </c>
      <c r="K72" s="8" t="str">
        <f t="shared" si="2"/>
        <v/>
      </c>
      <c r="L72" s="8" t="str">
        <f>_xlfn.CONCAT("4 4.3 2a")</f>
        <v>4 4.3 2a</v>
      </c>
      <c r="M72" s="8" t="str">
        <f>_xlfn.CONCAT("00138790431")</f>
        <v>00138790431</v>
      </c>
      <c r="N72" s="8" t="s">
        <v>169</v>
      </c>
      <c r="O72" s="8" t="s">
        <v>170</v>
      </c>
      <c r="P72" s="9">
        <v>45267</v>
      </c>
      <c r="Q72" s="8" t="s">
        <v>35</v>
      </c>
      <c r="R72" s="8" t="s">
        <v>36</v>
      </c>
      <c r="S72" s="8" t="s">
        <v>37</v>
      </c>
      <c r="T72" s="8"/>
      <c r="U72" s="8" t="s">
        <v>38</v>
      </c>
      <c r="V72" s="10">
        <v>108346.22</v>
      </c>
      <c r="W72" s="10">
        <v>46718.89</v>
      </c>
      <c r="X72" s="10">
        <v>43143.46</v>
      </c>
      <c r="Y72" s="8">
        <v>0</v>
      </c>
      <c r="Z72" s="10">
        <v>18483.87</v>
      </c>
    </row>
    <row r="73" spans="1:26" x14ac:dyDescent="0.3">
      <c r="A73" s="8" t="s">
        <v>27</v>
      </c>
      <c r="B73" s="8" t="s">
        <v>28</v>
      </c>
      <c r="C73" s="8" t="s">
        <v>29</v>
      </c>
      <c r="D73" s="8" t="s">
        <v>55</v>
      </c>
      <c r="E73" s="8" t="s">
        <v>30</v>
      </c>
      <c r="F73" s="8" t="s">
        <v>30</v>
      </c>
      <c r="G73" s="8">
        <v>2017</v>
      </c>
      <c r="H73" s="8" t="str">
        <f>_xlfn.CONCAT("34270398042")</f>
        <v>34270398042</v>
      </c>
      <c r="I73" s="8" t="s">
        <v>31</v>
      </c>
      <c r="J73" s="8" t="s">
        <v>32</v>
      </c>
      <c r="K73" s="8" t="str">
        <f t="shared" si="2"/>
        <v/>
      </c>
      <c r="L73" s="8" t="str">
        <f>_xlfn.CONCAT("4 4.3 2a")</f>
        <v>4 4.3 2a</v>
      </c>
      <c r="M73" s="8" t="str">
        <f>_xlfn.CONCAT("00138790431")</f>
        <v>00138790431</v>
      </c>
      <c r="N73" s="8" t="s">
        <v>169</v>
      </c>
      <c r="O73" s="8" t="s">
        <v>170</v>
      </c>
      <c r="P73" s="9">
        <v>45267</v>
      </c>
      <c r="Q73" s="8" t="s">
        <v>35</v>
      </c>
      <c r="R73" s="8" t="s">
        <v>36</v>
      </c>
      <c r="S73" s="8" t="s">
        <v>37</v>
      </c>
      <c r="T73" s="8"/>
      <c r="U73" s="8" t="s">
        <v>38</v>
      </c>
      <c r="V73" s="10">
        <v>119644.97</v>
      </c>
      <c r="W73" s="10">
        <v>51590.91</v>
      </c>
      <c r="X73" s="10">
        <v>47642.63</v>
      </c>
      <c r="Y73" s="8">
        <v>0</v>
      </c>
      <c r="Z73" s="10">
        <v>20411.43</v>
      </c>
    </row>
    <row r="74" spans="1:26" x14ac:dyDescent="0.3">
      <c r="A74" s="8" t="s">
        <v>27</v>
      </c>
      <c r="B74" s="8" t="s">
        <v>28</v>
      </c>
      <c r="C74" s="8" t="s">
        <v>29</v>
      </c>
      <c r="D74" s="8" t="s">
        <v>55</v>
      </c>
      <c r="E74" s="8" t="s">
        <v>30</v>
      </c>
      <c r="F74" s="8" t="s">
        <v>30</v>
      </c>
      <c r="G74" s="8">
        <v>2017</v>
      </c>
      <c r="H74" s="8" t="str">
        <f>_xlfn.CONCAT("34270398034")</f>
        <v>34270398034</v>
      </c>
      <c r="I74" s="8" t="s">
        <v>31</v>
      </c>
      <c r="J74" s="8" t="s">
        <v>32</v>
      </c>
      <c r="K74" s="8" t="str">
        <f t="shared" si="2"/>
        <v/>
      </c>
      <c r="L74" s="8" t="str">
        <f>_xlfn.CONCAT("4 4.3 2a")</f>
        <v>4 4.3 2a</v>
      </c>
      <c r="M74" s="8" t="str">
        <f>_xlfn.CONCAT("00138790431")</f>
        <v>00138790431</v>
      </c>
      <c r="N74" s="8" t="s">
        <v>169</v>
      </c>
      <c r="O74" s="8" t="s">
        <v>170</v>
      </c>
      <c r="P74" s="9">
        <v>45267</v>
      </c>
      <c r="Q74" s="8" t="s">
        <v>35</v>
      </c>
      <c r="R74" s="8" t="s">
        <v>36</v>
      </c>
      <c r="S74" s="8" t="s">
        <v>37</v>
      </c>
      <c r="T74" s="8"/>
      <c r="U74" s="8" t="s">
        <v>38</v>
      </c>
      <c r="V74" s="10">
        <v>101116.13</v>
      </c>
      <c r="W74" s="10">
        <v>43601.279999999999</v>
      </c>
      <c r="X74" s="10">
        <v>40264.44</v>
      </c>
      <c r="Y74" s="8">
        <v>0</v>
      </c>
      <c r="Z74" s="10">
        <v>17250.41</v>
      </c>
    </row>
    <row r="75" spans="1:26" x14ac:dyDescent="0.3">
      <c r="A75" s="8" t="s">
        <v>27</v>
      </c>
      <c r="B75" s="8" t="s">
        <v>28</v>
      </c>
      <c r="C75" s="8" t="s">
        <v>29</v>
      </c>
      <c r="D75" s="8" t="s">
        <v>29</v>
      </c>
      <c r="E75" s="8" t="s">
        <v>30</v>
      </c>
      <c r="F75" s="8" t="s">
        <v>30</v>
      </c>
      <c r="G75" s="8">
        <v>2017</v>
      </c>
      <c r="H75" s="8" t="str">
        <f>_xlfn.CONCAT("34270394157")</f>
        <v>34270394157</v>
      </c>
      <c r="I75" s="8" t="s">
        <v>31</v>
      </c>
      <c r="J75" s="8" t="s">
        <v>32</v>
      </c>
      <c r="K75" s="8" t="str">
        <f t="shared" si="2"/>
        <v/>
      </c>
      <c r="L75" s="8" t="str">
        <f>_xlfn.CONCAT("19 19.2 6b")</f>
        <v>19 19.2 6b</v>
      </c>
      <c r="M75" s="8" t="str">
        <f>_xlfn.CONCAT("LPPVLR99L50I156C")</f>
        <v>LPPVLR99L50I156C</v>
      </c>
      <c r="N75" s="8" t="s">
        <v>171</v>
      </c>
      <c r="O75" s="8" t="s">
        <v>172</v>
      </c>
      <c r="P75" s="9">
        <v>45267</v>
      </c>
      <c r="Q75" s="8" t="s">
        <v>35</v>
      </c>
      <c r="R75" s="8" t="s">
        <v>54</v>
      </c>
      <c r="S75" s="8" t="s">
        <v>37</v>
      </c>
      <c r="T75" s="8"/>
      <c r="U75" s="8" t="s">
        <v>38</v>
      </c>
      <c r="V75" s="10">
        <v>20000</v>
      </c>
      <c r="W75" s="10">
        <v>8624</v>
      </c>
      <c r="X75" s="10">
        <v>7964</v>
      </c>
      <c r="Y75" s="8">
        <v>0</v>
      </c>
      <c r="Z75" s="10">
        <v>3412</v>
      </c>
    </row>
    <row r="76" spans="1:26" x14ac:dyDescent="0.3">
      <c r="A76" s="8" t="s">
        <v>27</v>
      </c>
      <c r="B76" s="8" t="s">
        <v>28</v>
      </c>
      <c r="C76" s="8" t="s">
        <v>29</v>
      </c>
      <c r="D76" s="8" t="s">
        <v>29</v>
      </c>
      <c r="E76" s="8" t="s">
        <v>44</v>
      </c>
      <c r="F76" s="8" t="s">
        <v>173</v>
      </c>
      <c r="G76" s="8">
        <v>2017</v>
      </c>
      <c r="H76" s="8" t="str">
        <f>_xlfn.CONCAT("34270394165")</f>
        <v>34270394165</v>
      </c>
      <c r="I76" s="8" t="s">
        <v>31</v>
      </c>
      <c r="J76" s="8" t="s">
        <v>32</v>
      </c>
      <c r="K76" s="8" t="str">
        <f t="shared" si="2"/>
        <v/>
      </c>
      <c r="L76" s="8" t="str">
        <f>_xlfn.CONCAT("19 19.2 6b")</f>
        <v>19 19.2 6b</v>
      </c>
      <c r="M76" s="8" t="str">
        <f>_xlfn.CONCAT("02112710435")</f>
        <v>02112710435</v>
      </c>
      <c r="N76" s="8" t="s">
        <v>174</v>
      </c>
      <c r="O76" s="8" t="s">
        <v>172</v>
      </c>
      <c r="P76" s="9">
        <v>45267</v>
      </c>
      <c r="Q76" s="8" t="s">
        <v>35</v>
      </c>
      <c r="R76" s="8" t="s">
        <v>54</v>
      </c>
      <c r="S76" s="8" t="s">
        <v>37</v>
      </c>
      <c r="T76" s="8"/>
      <c r="U76" s="8" t="s">
        <v>38</v>
      </c>
      <c r="V76" s="10">
        <v>17500</v>
      </c>
      <c r="W76" s="10">
        <v>7546</v>
      </c>
      <c r="X76" s="10">
        <v>6968.5</v>
      </c>
      <c r="Y76" s="8">
        <v>0</v>
      </c>
      <c r="Z76" s="10">
        <v>2985.5</v>
      </c>
    </row>
    <row r="77" spans="1:26" x14ac:dyDescent="0.3">
      <c r="A77" s="8" t="s">
        <v>27</v>
      </c>
      <c r="B77" s="8" t="s">
        <v>28</v>
      </c>
      <c r="C77" s="8" t="s">
        <v>29</v>
      </c>
      <c r="D77" s="8" t="s">
        <v>29</v>
      </c>
      <c r="E77" s="8" t="s">
        <v>30</v>
      </c>
      <c r="F77" s="8" t="s">
        <v>30</v>
      </c>
      <c r="G77" s="8">
        <v>2017</v>
      </c>
      <c r="H77" s="8" t="str">
        <f>_xlfn.CONCAT("34270394181")</f>
        <v>34270394181</v>
      </c>
      <c r="I77" s="8" t="s">
        <v>31</v>
      </c>
      <c r="J77" s="8" t="s">
        <v>32</v>
      </c>
      <c r="K77" s="8" t="str">
        <f t="shared" si="2"/>
        <v/>
      </c>
      <c r="L77" s="8" t="str">
        <f>_xlfn.CONCAT("19 19.2 6b")</f>
        <v>19 19.2 6b</v>
      </c>
      <c r="M77" s="8" t="str">
        <f>_xlfn.CONCAT("82001930419")</f>
        <v>82001930419</v>
      </c>
      <c r="N77" s="8" t="s">
        <v>175</v>
      </c>
      <c r="O77" s="8" t="s">
        <v>176</v>
      </c>
      <c r="P77" s="9">
        <v>45267</v>
      </c>
      <c r="Q77" s="8" t="s">
        <v>35</v>
      </c>
      <c r="R77" s="8" t="s">
        <v>36</v>
      </c>
      <c r="S77" s="8" t="s">
        <v>37</v>
      </c>
      <c r="T77" s="8"/>
      <c r="U77" s="8" t="s">
        <v>38</v>
      </c>
      <c r="V77" s="10">
        <v>40292.75</v>
      </c>
      <c r="W77" s="10">
        <v>17374.23</v>
      </c>
      <c r="X77" s="10">
        <v>16044.57</v>
      </c>
      <c r="Y77" s="8">
        <v>0</v>
      </c>
      <c r="Z77" s="10">
        <v>6873.95</v>
      </c>
    </row>
    <row r="78" spans="1:26" x14ac:dyDescent="0.3">
      <c r="A78" s="8" t="s">
        <v>27</v>
      </c>
      <c r="B78" s="8" t="s">
        <v>28</v>
      </c>
      <c r="C78" s="8" t="s">
        <v>29</v>
      </c>
      <c r="D78" s="8" t="s">
        <v>55</v>
      </c>
      <c r="E78" s="8" t="s">
        <v>30</v>
      </c>
      <c r="F78" s="8" t="s">
        <v>30</v>
      </c>
      <c r="G78" s="8">
        <v>2017</v>
      </c>
      <c r="H78" s="8" t="str">
        <f>_xlfn.CONCAT("34270382277")</f>
        <v>34270382277</v>
      </c>
      <c r="I78" s="8" t="s">
        <v>84</v>
      </c>
      <c r="J78" s="8" t="s">
        <v>32</v>
      </c>
      <c r="K78" s="8" t="str">
        <f t="shared" si="2"/>
        <v/>
      </c>
      <c r="L78" s="8" t="str">
        <f>_xlfn.CONCAT("8 8.6 5c")</f>
        <v>8 8.6 5c</v>
      </c>
      <c r="M78" s="8" t="str">
        <f>_xlfn.CONCAT("CRDGRG59A01F135P")</f>
        <v>CRDGRG59A01F135P</v>
      </c>
      <c r="N78" s="8" t="s">
        <v>177</v>
      </c>
      <c r="O78" s="8" t="s">
        <v>178</v>
      </c>
      <c r="P78" s="9">
        <v>45267</v>
      </c>
      <c r="Q78" s="8" t="s">
        <v>35</v>
      </c>
      <c r="R78" s="8" t="s">
        <v>36</v>
      </c>
      <c r="S78" s="8" t="s">
        <v>37</v>
      </c>
      <c r="T78" s="8"/>
      <c r="U78" s="8" t="s">
        <v>38</v>
      </c>
      <c r="V78" s="10">
        <v>173984.96</v>
      </c>
      <c r="W78" s="10">
        <v>75022.31</v>
      </c>
      <c r="X78" s="10">
        <v>69280.81</v>
      </c>
      <c r="Y78" s="8">
        <v>0</v>
      </c>
      <c r="Z78" s="10">
        <v>29681.84</v>
      </c>
    </row>
    <row r="79" spans="1:26" ht="20.399999999999999" x14ac:dyDescent="0.3">
      <c r="A79" s="8" t="s">
        <v>27</v>
      </c>
      <c r="B79" s="8" t="s">
        <v>99</v>
      </c>
      <c r="C79" s="8" t="s">
        <v>29</v>
      </c>
      <c r="D79" s="8" t="s">
        <v>51</v>
      </c>
      <c r="E79" s="8" t="s">
        <v>179</v>
      </c>
      <c r="F79" s="8" t="s">
        <v>180</v>
      </c>
      <c r="G79" s="8">
        <v>2018</v>
      </c>
      <c r="H79" s="8" t="str">
        <f>_xlfn.CONCAT("84240748966")</f>
        <v>84240748966</v>
      </c>
      <c r="I79" s="8" t="s">
        <v>31</v>
      </c>
      <c r="J79" s="8" t="s">
        <v>32</v>
      </c>
      <c r="K79" s="8" t="str">
        <f t="shared" si="2"/>
        <v/>
      </c>
      <c r="L79" s="8" t="str">
        <f>_xlfn.CONCAT("11 11.1 4b")</f>
        <v>11 11.1 4b</v>
      </c>
      <c r="M79" s="8" t="str">
        <f>_xlfn.CONCAT("01804110433")</f>
        <v>01804110433</v>
      </c>
      <c r="N79" s="8" t="s">
        <v>181</v>
      </c>
      <c r="O79" s="8" t="s">
        <v>182</v>
      </c>
      <c r="P79" s="9">
        <v>45265</v>
      </c>
      <c r="Q79" s="8" t="s">
        <v>35</v>
      </c>
      <c r="R79" s="8" t="s">
        <v>36</v>
      </c>
      <c r="S79" s="8" t="s">
        <v>37</v>
      </c>
      <c r="T79" s="8"/>
      <c r="U79" s="8" t="s">
        <v>38</v>
      </c>
      <c r="V79" s="10">
        <v>34528.269999999997</v>
      </c>
      <c r="W79" s="10">
        <v>14888.59</v>
      </c>
      <c r="X79" s="10">
        <v>13749.16</v>
      </c>
      <c r="Y79" s="8">
        <v>0</v>
      </c>
      <c r="Z79" s="10">
        <v>5890.52</v>
      </c>
    </row>
    <row r="80" spans="1:26" x14ac:dyDescent="0.3">
      <c r="A80" s="8" t="s">
        <v>27</v>
      </c>
      <c r="B80" s="8" t="s">
        <v>28</v>
      </c>
      <c r="C80" s="8" t="s">
        <v>29</v>
      </c>
      <c r="D80" s="8" t="s">
        <v>55</v>
      </c>
      <c r="E80" s="8" t="s">
        <v>30</v>
      </c>
      <c r="F80" s="8" t="s">
        <v>30</v>
      </c>
      <c r="G80" s="8">
        <v>2017</v>
      </c>
      <c r="H80" s="8" t="str">
        <f>_xlfn.CONCAT("34270398000")</f>
        <v>34270398000</v>
      </c>
      <c r="I80" s="8" t="s">
        <v>31</v>
      </c>
      <c r="J80" s="8" t="s">
        <v>32</v>
      </c>
      <c r="K80" s="8" t="str">
        <f t="shared" si="2"/>
        <v/>
      </c>
      <c r="L80" s="8" t="str">
        <f>_xlfn.CONCAT("4 4.3 2a")</f>
        <v>4 4.3 2a</v>
      </c>
      <c r="M80" s="8" t="str">
        <f>_xlfn.CONCAT("00138790431")</f>
        <v>00138790431</v>
      </c>
      <c r="N80" s="8" t="s">
        <v>169</v>
      </c>
      <c r="O80" s="8" t="s">
        <v>183</v>
      </c>
      <c r="P80" s="9">
        <v>45267</v>
      </c>
      <c r="Q80" s="8" t="s">
        <v>35</v>
      </c>
      <c r="R80" s="8" t="s">
        <v>36</v>
      </c>
      <c r="S80" s="8" t="s">
        <v>37</v>
      </c>
      <c r="T80" s="8"/>
      <c r="U80" s="8" t="s">
        <v>38</v>
      </c>
      <c r="V80" s="10">
        <v>79237.95</v>
      </c>
      <c r="W80" s="10">
        <v>34167.4</v>
      </c>
      <c r="X80" s="10">
        <v>31552.55</v>
      </c>
      <c r="Y80" s="8">
        <v>0</v>
      </c>
      <c r="Z80" s="10">
        <v>13518</v>
      </c>
    </row>
    <row r="81" spans="1:26" x14ac:dyDescent="0.3">
      <c r="A81" s="8" t="s">
        <v>27</v>
      </c>
      <c r="B81" s="8" t="s">
        <v>28</v>
      </c>
      <c r="C81" s="8" t="s">
        <v>29</v>
      </c>
      <c r="D81" s="8" t="s">
        <v>55</v>
      </c>
      <c r="E81" s="8" t="s">
        <v>30</v>
      </c>
      <c r="F81" s="8" t="s">
        <v>30</v>
      </c>
      <c r="G81" s="8">
        <v>2017</v>
      </c>
      <c r="H81" s="8" t="str">
        <f>_xlfn.CONCAT("34270397994")</f>
        <v>34270397994</v>
      </c>
      <c r="I81" s="8" t="s">
        <v>31</v>
      </c>
      <c r="J81" s="8" t="s">
        <v>32</v>
      </c>
      <c r="K81" s="8" t="str">
        <f t="shared" si="2"/>
        <v/>
      </c>
      <c r="L81" s="8" t="str">
        <f>_xlfn.CONCAT("4 4.3 2a")</f>
        <v>4 4.3 2a</v>
      </c>
      <c r="M81" s="8" t="str">
        <f>_xlfn.CONCAT("00138790431")</f>
        <v>00138790431</v>
      </c>
      <c r="N81" s="8" t="s">
        <v>169</v>
      </c>
      <c r="O81" s="8" t="s">
        <v>183</v>
      </c>
      <c r="P81" s="9">
        <v>45267</v>
      </c>
      <c r="Q81" s="8" t="s">
        <v>35</v>
      </c>
      <c r="R81" s="8" t="s">
        <v>36</v>
      </c>
      <c r="S81" s="8" t="s">
        <v>37</v>
      </c>
      <c r="T81" s="8"/>
      <c r="U81" s="8" t="s">
        <v>38</v>
      </c>
      <c r="V81" s="10">
        <v>67833.56</v>
      </c>
      <c r="W81" s="10">
        <v>29249.83</v>
      </c>
      <c r="X81" s="10">
        <v>27011.32</v>
      </c>
      <c r="Y81" s="8">
        <v>0</v>
      </c>
      <c r="Z81" s="10">
        <v>11572.41</v>
      </c>
    </row>
    <row r="82" spans="1:26" x14ac:dyDescent="0.3">
      <c r="A82" s="8" t="s">
        <v>27</v>
      </c>
      <c r="B82" s="8" t="s">
        <v>28</v>
      </c>
      <c r="C82" s="8" t="s">
        <v>29</v>
      </c>
      <c r="D82" s="8" t="s">
        <v>55</v>
      </c>
      <c r="E82" s="8" t="s">
        <v>30</v>
      </c>
      <c r="F82" s="8" t="s">
        <v>30</v>
      </c>
      <c r="G82" s="8">
        <v>2017</v>
      </c>
      <c r="H82" s="8" t="str">
        <f>_xlfn.CONCAT("34270398018")</f>
        <v>34270398018</v>
      </c>
      <c r="I82" s="8" t="s">
        <v>31</v>
      </c>
      <c r="J82" s="8" t="s">
        <v>32</v>
      </c>
      <c r="K82" s="8" t="str">
        <f t="shared" si="2"/>
        <v/>
      </c>
      <c r="L82" s="8" t="str">
        <f>_xlfn.CONCAT("4 4.3 2a")</f>
        <v>4 4.3 2a</v>
      </c>
      <c r="M82" s="8" t="str">
        <f>_xlfn.CONCAT("00138790431")</f>
        <v>00138790431</v>
      </c>
      <c r="N82" s="8" t="s">
        <v>169</v>
      </c>
      <c r="O82" s="8" t="s">
        <v>183</v>
      </c>
      <c r="P82" s="9">
        <v>45267</v>
      </c>
      <c r="Q82" s="8" t="s">
        <v>35</v>
      </c>
      <c r="R82" s="8" t="s">
        <v>36</v>
      </c>
      <c r="S82" s="8" t="s">
        <v>37</v>
      </c>
      <c r="T82" s="8"/>
      <c r="U82" s="8" t="s">
        <v>38</v>
      </c>
      <c r="V82" s="10">
        <v>65473.37</v>
      </c>
      <c r="W82" s="10">
        <v>28232.12</v>
      </c>
      <c r="X82" s="10">
        <v>26071.5</v>
      </c>
      <c r="Y82" s="8">
        <v>0</v>
      </c>
      <c r="Z82" s="10">
        <v>11169.75</v>
      </c>
    </row>
    <row r="83" spans="1:26" x14ac:dyDescent="0.3">
      <c r="A83" s="8" t="s">
        <v>27</v>
      </c>
      <c r="B83" s="8" t="s">
        <v>99</v>
      </c>
      <c r="C83" s="8" t="s">
        <v>29</v>
      </c>
      <c r="D83" s="8" t="s">
        <v>51</v>
      </c>
      <c r="E83" s="8" t="s">
        <v>74</v>
      </c>
      <c r="F83" s="8" t="s">
        <v>130</v>
      </c>
      <c r="G83" s="8">
        <v>2022</v>
      </c>
      <c r="H83" s="8" t="str">
        <f>_xlfn.CONCAT("24240094078")</f>
        <v>24240094078</v>
      </c>
      <c r="I83" s="8" t="s">
        <v>31</v>
      </c>
      <c r="J83" s="8" t="s">
        <v>32</v>
      </c>
      <c r="K83" s="8" t="str">
        <f>_xlfn.CONCAT("")</f>
        <v/>
      </c>
      <c r="L83" s="8" t="str">
        <f>_xlfn.CONCAT("11 11.2 4b")</f>
        <v>11 11.2 4b</v>
      </c>
      <c r="M83" s="8" t="str">
        <f>_xlfn.CONCAT("TRCLNZ91C13C615C")</f>
        <v>TRCLNZ91C13C615C</v>
      </c>
      <c r="N83" s="8" t="s">
        <v>184</v>
      </c>
      <c r="O83" s="8" t="s">
        <v>182</v>
      </c>
      <c r="P83" s="9">
        <v>45265</v>
      </c>
      <c r="Q83" s="8" t="s">
        <v>35</v>
      </c>
      <c r="R83" s="8" t="s">
        <v>36</v>
      </c>
      <c r="S83" s="8" t="s">
        <v>37</v>
      </c>
      <c r="T83" s="8"/>
      <c r="U83" s="8" t="s">
        <v>38</v>
      </c>
      <c r="V83" s="8">
        <v>368.22</v>
      </c>
      <c r="W83" s="8">
        <v>158.78</v>
      </c>
      <c r="X83" s="8">
        <v>146.63</v>
      </c>
      <c r="Y83" s="8">
        <v>0</v>
      </c>
      <c r="Z83" s="8">
        <v>62.81</v>
      </c>
    </row>
    <row r="84" spans="1:26" x14ac:dyDescent="0.3">
      <c r="A84" s="8" t="s">
        <v>27</v>
      </c>
      <c r="B84" s="8" t="s">
        <v>99</v>
      </c>
      <c r="C84" s="8" t="s">
        <v>29</v>
      </c>
      <c r="D84" s="8" t="s">
        <v>55</v>
      </c>
      <c r="E84" s="8" t="s">
        <v>89</v>
      </c>
      <c r="F84" s="8" t="s">
        <v>185</v>
      </c>
      <c r="G84" s="8">
        <v>2023</v>
      </c>
      <c r="H84" s="8" t="str">
        <f>_xlfn.CONCAT("34240372481")</f>
        <v>34240372481</v>
      </c>
      <c r="I84" s="8" t="s">
        <v>31</v>
      </c>
      <c r="J84" s="8" t="s">
        <v>32</v>
      </c>
      <c r="K84" s="8" t="str">
        <f>_xlfn.CONCAT("")</f>
        <v/>
      </c>
      <c r="L84" s="8" t="str">
        <f>_xlfn.CONCAT("11 11.2 4b")</f>
        <v>11 11.2 4b</v>
      </c>
      <c r="M84" s="8" t="str">
        <f>_xlfn.CONCAT("GRSMLS53H46E351Q")</f>
        <v>GRSMLS53H46E351Q</v>
      </c>
      <c r="N84" s="8" t="s">
        <v>186</v>
      </c>
      <c r="O84" s="8" t="s">
        <v>182</v>
      </c>
      <c r="P84" s="9">
        <v>45265</v>
      </c>
      <c r="Q84" s="8" t="s">
        <v>35</v>
      </c>
      <c r="R84" s="8" t="s">
        <v>36</v>
      </c>
      <c r="S84" s="8" t="s">
        <v>37</v>
      </c>
      <c r="T84" s="8"/>
      <c r="U84" s="8" t="s">
        <v>38</v>
      </c>
      <c r="V84" s="8">
        <v>835.49</v>
      </c>
      <c r="W84" s="8">
        <v>360.26</v>
      </c>
      <c r="X84" s="8">
        <v>332.69</v>
      </c>
      <c r="Y84" s="8">
        <v>0</v>
      </c>
      <c r="Z84" s="8">
        <v>142.54</v>
      </c>
    </row>
    <row r="85" spans="1:26" x14ac:dyDescent="0.3">
      <c r="A85" s="8" t="s">
        <v>27</v>
      </c>
      <c r="B85" s="8" t="s">
        <v>28</v>
      </c>
      <c r="C85" s="8" t="s">
        <v>29</v>
      </c>
      <c r="D85" s="8" t="s">
        <v>58</v>
      </c>
      <c r="E85" s="8" t="s">
        <v>30</v>
      </c>
      <c r="F85" s="8" t="s">
        <v>30</v>
      </c>
      <c r="G85" s="8">
        <v>2017</v>
      </c>
      <c r="H85" s="8" t="str">
        <f>_xlfn.CONCAT("34270394207")</f>
        <v>34270394207</v>
      </c>
      <c r="I85" s="8" t="s">
        <v>31</v>
      </c>
      <c r="J85" s="8" t="s">
        <v>32</v>
      </c>
      <c r="K85" s="8" t="str">
        <f>_xlfn.CONCAT("")</f>
        <v/>
      </c>
      <c r="L85" s="8" t="str">
        <f>_xlfn.CONCAT("4 4.1 2a")</f>
        <v>4 4.1 2a</v>
      </c>
      <c r="M85" s="8" t="str">
        <f>_xlfn.CONCAT("CSVLLL53C09G453Y")</f>
        <v>CSVLLL53C09G453Y</v>
      </c>
      <c r="N85" s="8" t="s">
        <v>187</v>
      </c>
      <c r="O85" s="8" t="s">
        <v>188</v>
      </c>
      <c r="P85" s="9">
        <v>45267</v>
      </c>
      <c r="Q85" s="8" t="s">
        <v>35</v>
      </c>
      <c r="R85" s="8" t="s">
        <v>36</v>
      </c>
      <c r="S85" s="8" t="s">
        <v>37</v>
      </c>
      <c r="T85" s="8"/>
      <c r="U85" s="8" t="s">
        <v>38</v>
      </c>
      <c r="V85" s="10">
        <v>86549.36</v>
      </c>
      <c r="W85" s="10">
        <v>37320.080000000002</v>
      </c>
      <c r="X85" s="10">
        <v>34463.96</v>
      </c>
      <c r="Y85" s="8">
        <v>0</v>
      </c>
      <c r="Z85" s="10">
        <v>14765.32</v>
      </c>
    </row>
  </sheetData>
  <mergeCells count="1">
    <mergeCell ref="A2:Z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MARCHE</vt:lpstr>
    </vt:vector>
  </TitlesOfParts>
  <Company>AgEA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Greco Giancarlo</dc:creator>
  <cp:lastModifiedBy>Greco Giancarlo</cp:lastModifiedBy>
  <dcterms:created xsi:type="dcterms:W3CDTF">2023-12-18T07:50:10Z</dcterms:created>
  <dcterms:modified xsi:type="dcterms:W3CDTF">2023-12-18T07:50:11Z</dcterms:modified>
</cp:coreProperties>
</file>