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francetti\Desktop\MARIANI\DECRETO 656\"/>
    </mc:Choice>
  </mc:AlternateContent>
  <xr:revisionPtr revIDLastSave="0" documentId="13_ncr:1_{5475D495-7F9C-4E6E-8352-38BCA63C4D24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Dettaglio_Domande_Pagabili_AGEA" sheetId="1" r:id="rId1"/>
  </sheets>
  <definedNames>
    <definedName name="_xlnm._FilterDatabase" localSheetId="0" hidden="1">Dettaglio_Domande_Pagabili_AGEA!$A$3:$Z$63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3" i="1" l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<sst xmlns="http://schemas.openxmlformats.org/spreadsheetml/2006/main" count="867" uniqueCount="142">
  <si>
    <t>Dettaglio Domande Pagabili Decreto 656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</si>
  <si>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</si>
  <si>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</si>
  <si>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</si>
  <si>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</si>
  <si>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</si>
  <si>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</si>
  <si>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</si>
  <si>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</si>
  <si>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</si>
  <si>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</si>
  <si>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</si>
  <si>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</si>
  <si>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</si>
  <si>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</si>
  <si>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</si>
  <si>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</si>
  <si>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</si>
  <si>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</si>
  <si>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</si>
  <si>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</si>
  <si>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</si>
  <si>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</si>
  <si>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</si>
  <si>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</si>
  <si>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</si>
  <si>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</si>
  <si>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</si>
  <si>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</si>
  <si>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PSR 2014/2022</t>
  </si>
  <si>
    <t>In Liquidazione</t>
  </si>
  <si>
    <t>Saldo</t>
  </si>
  <si>
    <t>Co-Finanziato</t>
  </si>
  <si>
    <t>Ordinario</t>
  </si>
  <si>
    <t>CAA Coldiretti srl</t>
  </si>
  <si>
    <t>NO</t>
  </si>
  <si>
    <t>Trascinamenti PSR 2014/2022</t>
  </si>
  <si>
    <t>IN PROPRIO</t>
  </si>
  <si>
    <t>CAA UNICAA srl</t>
  </si>
  <si>
    <t>CAA CIA srl</t>
  </si>
  <si>
    <t>CAA Confagricoltura srl</t>
  </si>
  <si>
    <t>CAA LiberiAgricoltori srl già CAA AGCI srl</t>
  </si>
  <si>
    <t>CAA-CAF AGRI S.R.L.</t>
  </si>
  <si>
    <t>MARCHE</t>
  </si>
  <si>
    <t>SERV. DEC. AGRICOLTURA E ALIM. - MACERATA</t>
  </si>
  <si>
    <t>CAA Coldiretti - MACERATA - 018</t>
  </si>
  <si>
    <t>GIRONELLI LUIGI</t>
  </si>
  <si>
    <t>AGEA.ASR.2023.1452227</t>
  </si>
  <si>
    <t>SOCIETA' AGRICOLA IL RAGGIO DI SOLE DI ORPELLO S.S.</t>
  </si>
  <si>
    <t>CAA Liberi Professionisti srl</t>
  </si>
  <si>
    <t>CAA LiberiAgricoltori - MACERATA - 006</t>
  </si>
  <si>
    <t>SAVORETTI FRANCESCO</t>
  </si>
  <si>
    <t>AGEA.ASR.2023.1438184</t>
  </si>
  <si>
    <t>MORICHETTI MAURO</t>
  </si>
  <si>
    <t>SERV. DEC. AGRICOLTURA E ALIMENTAZIONE - PESARO</t>
  </si>
  <si>
    <t>CAA Coldiretti - PESARO E URBINO - 010</t>
  </si>
  <si>
    <t>POGGIASPALLA CONCETTA</t>
  </si>
  <si>
    <t>CAA CIA - PESARO E URBINO - 008</t>
  </si>
  <si>
    <t>FILANTI NICOLA</t>
  </si>
  <si>
    <t>AGEA.ASR.2023.1460769</t>
  </si>
  <si>
    <t>CAA CIA - PESARO E URBINO - 007</t>
  </si>
  <si>
    <t>FORMICA DAVIDE</t>
  </si>
  <si>
    <t>CAA Coldiretti - PESARO E URBINO - 001</t>
  </si>
  <si>
    <t>PISCIOLINI PAOLO</t>
  </si>
  <si>
    <t>SORIANI MARIO</t>
  </si>
  <si>
    <t>SERV. DEC. AGRICOLTURA E ALIMENTAZIONE - ANCONA</t>
  </si>
  <si>
    <t>CAA CIA - ANCONA - 004</t>
  </si>
  <si>
    <t>GUIDINI GIUSEPPINA</t>
  </si>
  <si>
    <t>CAA LiberiAgricoltori - PESARO E URBINO - 002</t>
  </si>
  <si>
    <t>I PODERI DEL POGGIO SOCIETA' AGRICOLA</t>
  </si>
  <si>
    <t>CAA CIA - PERUGIA - 007</t>
  </si>
  <si>
    <t>BIZZARRI MICHELE</t>
  </si>
  <si>
    <t>CAA Coldiretti - ANCONA - 005</t>
  </si>
  <si>
    <t>TITTONI GIOVANNI</t>
  </si>
  <si>
    <t>PAOLONI EMILIO</t>
  </si>
  <si>
    <t>ROVELLI CLAUDIO</t>
  </si>
  <si>
    <t>BARZOTTI GIORGIO</t>
  </si>
  <si>
    <t>CAA CIA - PESARO E URBINO - 002</t>
  </si>
  <si>
    <t>MARONCELLI FRANCO</t>
  </si>
  <si>
    <t>CAA CAF AGRI - ANCONA - 223</t>
  </si>
  <si>
    <t>LIGI NAZZARENO</t>
  </si>
  <si>
    <t>MARIANELLI LUCIO</t>
  </si>
  <si>
    <t>AGEA.ASR.2023.1442127</t>
  </si>
  <si>
    <t>BENEDETTI IVO</t>
  </si>
  <si>
    <t>FEDUZI ALVARO</t>
  </si>
  <si>
    <t>LUPI LEO</t>
  </si>
  <si>
    <t>PUGLIESE ROSA</t>
  </si>
  <si>
    <t>SERV. DEC. AGRICOLTURA E ALIM. -ASCOLI PICENO</t>
  </si>
  <si>
    <t>CAA CIA - ASCOLI PICENO - 002</t>
  </si>
  <si>
    <t>LA TENUTA DI MATTIA SOCIETA' SEMPLICE AGROFORESTALE DI FORMENTINI IVAN</t>
  </si>
  <si>
    <t>CAA CIA - PESARO E URBINO - 001</t>
  </si>
  <si>
    <t>FILIPPUCCI ANNA MARIA</t>
  </si>
  <si>
    <t>BACCHIOCCHI NADIA</t>
  </si>
  <si>
    <t>CAA Coldiretti - PESARO E URBINO - 004</t>
  </si>
  <si>
    <t>MARTELLI SILVANO</t>
  </si>
  <si>
    <t>TERRE DI BIRILLO SOCIETA' AGRICOLA S.S.</t>
  </si>
  <si>
    <t>CAA Coldiretti - ANCONA - 001</t>
  </si>
  <si>
    <t>BENIGNI GIUSEPPE</t>
  </si>
  <si>
    <t>MANENTI STEFANO</t>
  </si>
  <si>
    <t>CAA Coldiretti - ANCONA - 003</t>
  </si>
  <si>
    <t>CERASA ANNA</t>
  </si>
  <si>
    <t>FALLERI MARIA ANGELA</t>
  </si>
  <si>
    <t>SOCIETA' AGRICOLA MATTEI GIOVANNI E MATTEO S.S.</t>
  </si>
  <si>
    <t>SANTI ROSA</t>
  </si>
  <si>
    <t>GIOVANARDI GIANNI</t>
  </si>
  <si>
    <t>PANTALEONI RITA</t>
  </si>
  <si>
    <t>CAA Coldiretti - PESARO E URBINO - 008</t>
  </si>
  <si>
    <t>VALENTINI ALESSANDRO</t>
  </si>
  <si>
    <t>MAGAGNINI FABRIZIO</t>
  </si>
  <si>
    <t>SOCIETA' SEMPLICE AGRICOLA "LA COLLINA" DI BRACACCINI E CURSI</t>
  </si>
  <si>
    <t>CAA Confagricoltura - ANCONA - 001</t>
  </si>
  <si>
    <t>C.B.M. SOCIETA' AGRICOLA A R.L.</t>
  </si>
  <si>
    <t>CAA CAF AGRI - ANCONA - 225</t>
  </si>
  <si>
    <t>PIERANTONELLI AMALIA</t>
  </si>
  <si>
    <t>CAA CIA - PESARO E URBINO - 005</t>
  </si>
  <si>
    <t>BARTOLUCCI MARIA - PIA</t>
  </si>
  <si>
    <t>CAA UNICAA - PESARO E URBINO - 003</t>
  </si>
  <si>
    <t>BLASI FLORETTA</t>
  </si>
  <si>
    <t>CAA LiberiAgricoltori - PESARO E URBINO - 001</t>
  </si>
  <si>
    <t>PIERFEDERICI TOMMASO</t>
  </si>
  <si>
    <t>BRACCI SONIA</t>
  </si>
  <si>
    <t>BALDISSERRI ANDREA</t>
  </si>
  <si>
    <t>ROMAGNOLI EMILIO</t>
  </si>
  <si>
    <t>BERARDI FABRIZIO</t>
  </si>
  <si>
    <t>SOCIETA' AGRICOLA COLLEVERDE S.S. DI TONTINI FRANCESCO &amp; C.</t>
  </si>
  <si>
    <t>PIERUCCI ROBERTO</t>
  </si>
  <si>
    <t>MAZZOLI ERIKA</t>
  </si>
  <si>
    <t>PANZIRONI SIMONETTA</t>
  </si>
  <si>
    <t>CAA CAF AGRI - MACERATA - 224</t>
  </si>
  <si>
    <t>BIAGGI FRANCO</t>
  </si>
  <si>
    <t>CAA Coldiretti - PESARO E URBINO - 006</t>
  </si>
  <si>
    <t>VENTURINI ANTONIO</t>
  </si>
  <si>
    <t>CAA Liberi Prof.- PESARO E URBINO - 001</t>
  </si>
  <si>
    <t>LEARDINI EUGENIO</t>
  </si>
  <si>
    <t>CAA LiberiAgricoltori - MACERATA - 002</t>
  </si>
  <si>
    <t>BALDONI ANDREA</t>
  </si>
  <si>
    <t>VALENTINI GIANCARLO</t>
  </si>
  <si>
    <t>BENIGNI FRANCESCO</t>
  </si>
  <si>
    <t>CAA Coldiretti - MACERATA - 009</t>
  </si>
  <si>
    <t>ALBERTO QUACQUARINI - SOCIETA' AGRICOLA SEMPLICE</t>
  </si>
  <si>
    <t>CAA Coldiretti - MACERATA - 017</t>
  </si>
  <si>
    <t>DOMINICI NAZZARENO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</si>
</sst>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showGridLines="0" tabSelected="1" workbookViewId="0">
      <selection activeCell="A3" sqref="A3:XFD3"/>
    </sheetView>
  </sheetViews>
  <sheetFormatPr defaultRowHeight="15" x14ac:dyDescent="0.25"/>
  <cols>
    <col min="1" max="1" width="15.5703125" style="1" bestFit="1" customWidth="1"/>
    <col min="2" max="2" width="16.28515625" style="1" bestFit="1" customWidth="1"/>
    <col min="3" max="3" width="18.42578125" style="1" bestFit="1" customWidth="1"/>
    <col min="4" max="4" width="36.5703125" style="1" bestFit="1" customWidth="1"/>
    <col min="5" max="5" width="32.42578125" style="1" bestFit="1" customWidth="1"/>
    <col min="6" max="6" width="36.42578125" style="1" bestFit="1" customWidth="1"/>
    <col min="7" max="7" width="8.42578125" style="1" bestFit="1" customWidth="1"/>
    <col min="8" max="8" width="12.7109375" style="1" bestFit="1" customWidth="1"/>
    <col min="9" max="9" width="21.140625" style="1" bestFit="1" customWidth="1"/>
    <col min="10" max="10" width="23.7109375" style="1" bestFit="1" customWidth="1"/>
    <col min="11" max="12" width="17" style="1" bestFit="1" customWidth="1"/>
    <col min="13" max="13" width="4.42578125" style="1" bestFit="1" customWidth="1"/>
    <col min="14" max="14" width="36.5703125" style="1" bestFit="1" customWidth="1"/>
    <col min="15" max="15" width="18.85546875" style="1" bestFit="1" customWidth="1"/>
    <col min="16" max="16" width="23" style="1" bestFit="1" customWidth="1"/>
    <col min="17" max="17" width="16.28515625" style="1" bestFit="1" customWidth="1"/>
    <col min="18" max="18" width="17.85546875" style="1" bestFit="1" customWidth="1"/>
    <col min="19" max="19" width="20.28515625" style="1" bestFit="1" customWidth="1"/>
    <col min="20" max="20" width="4.85546875" style="1" bestFit="1" customWidth="1"/>
    <col min="21" max="21" width="25.7109375" style="1" bestFit="1" customWidth="1"/>
    <col min="22" max="22" width="18.42578125" style="1" bestFit="1" customWidth="1"/>
    <col min="23" max="23" width="24.5703125" style="1" bestFit="1" customWidth="1"/>
    <col min="24" max="25" width="27.140625" style="1" bestFit="1" customWidth="1"/>
    <col min="26" max="26" width="33.85546875" style="1" bestFit="1" customWidth="1"/>
    <col min="27" max="16384" width="9.140625" style="1"/>
  </cols>
  <sheetData>
    <row r="1" spans="1:26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spans="1:26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</row>
    <row r="4" spans="1:26" ht="60.75" x14ac:dyDescent="0.25">
      <c r="A4" s="3" t="s">
        <v>27</v>
      </c>
      <c r="B4" s="3" t="s">
        <v>28</v>
      </c>
      <c r="C4" s="3" t="s">
        <v>43</v>
      </c>
      <c r="D4" s="3" t="s">
        <v>44</v>
      </c>
      <c r="E4" s="3" t="s">
        <v>34</v>
      </c>
      <c r="F4" s="3" t="s">
        <v>45</v>
      </c>
      <c r="G4" s="3">
        <v>2023</v>
      </c>
      <c r="H4" s="3" t="str">
        <f>CONCATENATE("34240428713")</f>
        <v>34240428713</v>
      </c>
      <c r="I4" s="3" t="s">
        <v>35</v>
      </c>
      <c r="J4" s="3" t="s">
        <v>29</v>
      </c>
      <c r="K4" s="3" t="str">
        <f t="shared" ref="K4:K5" si="0">CONCATENATE("")</f>
        <v/>
      </c>
      <c r="L4" s="3" t="str">
        <f>CONCATENATE("11 11.2 4b")</f>
        <v>11 11.2 4b</v>
      </c>
      <c r="M4" s="3" t="str">
        <f>CONCATENATE("GRNLGU62S29E783E")</f>
        <v>GRNLGU62S29E783E</v>
      </c>
      <c r="N4" s="3" t="s">
        <v>46</v>
      </c>
      <c r="O4" s="3" t="s">
        <v>47</v>
      </c>
      <c r="P4" s="4">
        <v>45245</v>
      </c>
      <c r="Q4" s="3" t="s">
        <v>30</v>
      </c>
      <c r="R4" s="3" t="s">
        <v>31</v>
      </c>
      <c r="S4" s="3" t="s">
        <v>32</v>
      </c>
      <c r="T4" s="3"/>
      <c r="U4" s="3" t="s">
        <v>33</v>
      </c>
      <c r="V4" s="5">
        <v>3044.32</v>
      </c>
      <c r="W4" s="5">
        <v>1312.71</v>
      </c>
      <c r="X4" s="5">
        <v>1212.25</v>
      </c>
      <c r="Y4" s="3">
        <v>0</v>
      </c>
      <c r="Z4" s="3">
        <v>519.36</v>
      </c>
    </row>
    <row r="5" spans="1:26" ht="36.75" x14ac:dyDescent="0.25">
      <c r="A5" s="3" t="s">
        <v>27</v>
      </c>
      <c r="B5" s="3" t="s">
        <v>28</v>
      </c>
      <c r="C5" s="3" t="s">
        <v>43</v>
      </c>
      <c r="D5" s="3" t="s">
        <v>44</v>
      </c>
      <c r="E5" s="3" t="s">
        <v>37</v>
      </c>
      <c r="F5" s="3" t="s">
        <v>37</v>
      </c>
      <c r="G5" s="3">
        <v>2023</v>
      </c>
      <c r="H5" s="3" t="str">
        <f>CONCATENATE("34240648286")</f>
        <v>34240648286</v>
      </c>
      <c r="I5" s="3" t="s">
        <v>35</v>
      </c>
      <c r="J5" s="3" t="s">
        <v>29</v>
      </c>
      <c r="K5" s="3" t="str">
        <f t="shared" si="0"/>
        <v/>
      </c>
      <c r="L5" s="3" t="str">
        <f>CONCATENATE("11 11.2 4b")</f>
        <v>11 11.2 4b</v>
      </c>
      <c r="M5" s="3" t="str">
        <f>CONCATENATE("01990480434")</f>
        <v>01990480434</v>
      </c>
      <c r="N5" s="3" t="s">
        <v>48</v>
      </c>
      <c r="O5" s="3" t="s">
        <v>47</v>
      </c>
      <c r="P5" s="4">
        <v>45245</v>
      </c>
      <c r="Q5" s="3" t="s">
        <v>30</v>
      </c>
      <c r="R5" s="3" t="s">
        <v>31</v>
      </c>
      <c r="S5" s="3" t="s">
        <v>32</v>
      </c>
      <c r="T5" s="3"/>
      <c r="U5" s="3" t="s">
        <v>33</v>
      </c>
      <c r="V5" s="5">
        <v>3818.23</v>
      </c>
      <c r="W5" s="5">
        <v>1646.42</v>
      </c>
      <c r="X5" s="5">
        <v>1520.42</v>
      </c>
      <c r="Y5" s="3">
        <v>0</v>
      </c>
      <c r="Z5" s="3">
        <v>651.39</v>
      </c>
    </row>
    <row r="6" spans="1:26" ht="60.75" x14ac:dyDescent="0.25">
      <c r="A6" s="3" t="s">
        <v>27</v>
      </c>
      <c r="B6" s="3" t="s">
        <v>28</v>
      </c>
      <c r="C6" s="3" t="s">
        <v>43</v>
      </c>
      <c r="D6" s="3" t="s">
        <v>44</v>
      </c>
      <c r="E6" s="3" t="s">
        <v>41</v>
      </c>
      <c r="F6" s="3" t="s">
        <v>50</v>
      </c>
      <c r="G6" s="3">
        <v>2023</v>
      </c>
      <c r="H6" s="3" t="str">
        <f>CONCATENATE("34230000738")</f>
        <v>34230000738</v>
      </c>
      <c r="I6" s="3" t="s">
        <v>35</v>
      </c>
      <c r="J6" s="3" t="s">
        <v>29</v>
      </c>
      <c r="K6" s="3" t="str">
        <f t="shared" ref="K6:K8" si="1">CONCATENATE("")</f>
        <v/>
      </c>
      <c r="L6" s="3" t="str">
        <f>CONCATENATE("8 8.1 5e")</f>
        <v>8 8.1 5e</v>
      </c>
      <c r="M6" s="3" t="str">
        <f>CONCATENATE("SVRFNC43T09H211Y")</f>
        <v>SVRFNC43T09H211Y</v>
      </c>
      <c r="N6" s="3" t="s">
        <v>51</v>
      </c>
      <c r="O6" s="3" t="s">
        <v>52</v>
      </c>
      <c r="P6" s="4">
        <v>45245</v>
      </c>
      <c r="Q6" s="3" t="s">
        <v>30</v>
      </c>
      <c r="R6" s="3" t="s">
        <v>31</v>
      </c>
      <c r="S6" s="3" t="s">
        <v>32</v>
      </c>
      <c r="T6" s="3"/>
      <c r="U6" s="3" t="s">
        <v>33</v>
      </c>
      <c r="V6" s="3">
        <v>633.25</v>
      </c>
      <c r="W6" s="3">
        <v>273.06</v>
      </c>
      <c r="X6" s="3">
        <v>252.16</v>
      </c>
      <c r="Y6" s="3">
        <v>0</v>
      </c>
      <c r="Z6" s="3">
        <v>108.03</v>
      </c>
    </row>
    <row r="7" spans="1:26" ht="60.75" x14ac:dyDescent="0.25">
      <c r="A7" s="3" t="s">
        <v>27</v>
      </c>
      <c r="B7" s="3" t="s">
        <v>28</v>
      </c>
      <c r="C7" s="3" t="s">
        <v>43</v>
      </c>
      <c r="D7" s="3" t="s">
        <v>44</v>
      </c>
      <c r="E7" s="3" t="s">
        <v>34</v>
      </c>
      <c r="F7" s="3" t="s">
        <v>45</v>
      </c>
      <c r="G7" s="3">
        <v>2023</v>
      </c>
      <c r="H7" s="3" t="str">
        <f>CONCATENATE("34230002585")</f>
        <v>34230002585</v>
      </c>
      <c r="I7" s="3" t="s">
        <v>35</v>
      </c>
      <c r="J7" s="3" t="s">
        <v>29</v>
      </c>
      <c r="K7" s="3" t="str">
        <f t="shared" si="1"/>
        <v/>
      </c>
      <c r="L7" s="3" t="str">
        <f>CONCATENATE("8 8.1 5e")</f>
        <v>8 8.1 5e</v>
      </c>
      <c r="M7" s="3" t="str">
        <f>CONCATENATE("MRCMRA76P13E783A")</f>
        <v>MRCMRA76P13E783A</v>
      </c>
      <c r="N7" s="3" t="s">
        <v>53</v>
      </c>
      <c r="O7" s="3" t="s">
        <v>52</v>
      </c>
      <c r="P7" s="4">
        <v>45245</v>
      </c>
      <c r="Q7" s="3" t="s">
        <v>30</v>
      </c>
      <c r="R7" s="3" t="s">
        <v>31</v>
      </c>
      <c r="S7" s="3" t="s">
        <v>32</v>
      </c>
      <c r="T7" s="3"/>
      <c r="U7" s="3" t="s">
        <v>33</v>
      </c>
      <c r="V7" s="5">
        <v>3025</v>
      </c>
      <c r="W7" s="5">
        <v>1304.3800000000001</v>
      </c>
      <c r="X7" s="5">
        <v>1204.56</v>
      </c>
      <c r="Y7" s="3">
        <v>0</v>
      </c>
      <c r="Z7" s="3">
        <v>516.05999999999995</v>
      </c>
    </row>
    <row r="8" spans="1:26" ht="60.75" x14ac:dyDescent="0.25">
      <c r="A8" s="3" t="s">
        <v>27</v>
      </c>
      <c r="B8" s="3" t="s">
        <v>28</v>
      </c>
      <c r="C8" s="3" t="s">
        <v>43</v>
      </c>
      <c r="D8" s="3" t="s">
        <v>54</v>
      </c>
      <c r="E8" s="3" t="s">
        <v>34</v>
      </c>
      <c r="F8" s="3" t="s">
        <v>55</v>
      </c>
      <c r="G8" s="3">
        <v>2023</v>
      </c>
      <c r="H8" s="3" t="str">
        <f>CONCATENATE("34230003484")</f>
        <v>34230003484</v>
      </c>
      <c r="I8" s="3" t="s">
        <v>35</v>
      </c>
      <c r="J8" s="3" t="s">
        <v>29</v>
      </c>
      <c r="K8" s="3" t="str">
        <f t="shared" si="1"/>
        <v/>
      </c>
      <c r="L8" s="3" t="str">
        <f>CONCATENATE("8 8.1 5e")</f>
        <v>8 8.1 5e</v>
      </c>
      <c r="M8" s="3" t="str">
        <f>CONCATENATE("PGGCCT50T47L500T")</f>
        <v>PGGCCT50T47L500T</v>
      </c>
      <c r="N8" s="3" t="s">
        <v>56</v>
      </c>
      <c r="O8" s="3" t="s">
        <v>52</v>
      </c>
      <c r="P8" s="4">
        <v>45245</v>
      </c>
      <c r="Q8" s="3" t="s">
        <v>30</v>
      </c>
      <c r="R8" s="3" t="s">
        <v>31</v>
      </c>
      <c r="S8" s="3" t="s">
        <v>32</v>
      </c>
      <c r="T8" s="3"/>
      <c r="U8" s="3" t="s">
        <v>33</v>
      </c>
      <c r="V8" s="5">
        <v>2085.7199999999998</v>
      </c>
      <c r="W8" s="3">
        <v>899.36</v>
      </c>
      <c r="X8" s="3">
        <v>830.53</v>
      </c>
      <c r="Y8" s="3">
        <v>0</v>
      </c>
      <c r="Z8" s="3">
        <v>355.83</v>
      </c>
    </row>
    <row r="9" spans="1:26" ht="60.75" x14ac:dyDescent="0.25">
      <c r="A9" s="3" t="s">
        <v>27</v>
      </c>
      <c r="B9" s="3" t="s">
        <v>28</v>
      </c>
      <c r="C9" s="3" t="s">
        <v>43</v>
      </c>
      <c r="D9" s="3" t="s">
        <v>54</v>
      </c>
      <c r="E9" s="3" t="s">
        <v>39</v>
      </c>
      <c r="F9" s="3" t="s">
        <v>57</v>
      </c>
      <c r="G9" s="3">
        <v>2023</v>
      </c>
      <c r="H9" s="3" t="str">
        <f>CONCATENATE("34240531847")</f>
        <v>34240531847</v>
      </c>
      <c r="I9" s="3" t="s">
        <v>35</v>
      </c>
      <c r="J9" s="3" t="s">
        <v>29</v>
      </c>
      <c r="K9" s="3" t="str">
        <f t="shared" ref="K9" si="2">CONCATENATE("")</f>
        <v/>
      </c>
      <c r="L9" s="3" t="str">
        <f>CONCATENATE("11 11.2 4b")</f>
        <v>11 11.2 4b</v>
      </c>
      <c r="M9" s="3" t="str">
        <f>CONCATENATE("FLNNCL88S05I459M")</f>
        <v>FLNNCL88S05I459M</v>
      </c>
      <c r="N9" s="3" t="s">
        <v>58</v>
      </c>
      <c r="O9" s="3" t="s">
        <v>59</v>
      </c>
      <c r="P9" s="4">
        <v>45251</v>
      </c>
      <c r="Q9" s="3" t="s">
        <v>30</v>
      </c>
      <c r="R9" s="3" t="s">
        <v>31</v>
      </c>
      <c r="S9" s="3" t="s">
        <v>32</v>
      </c>
      <c r="T9" s="3"/>
      <c r="U9" s="3" t="s">
        <v>33</v>
      </c>
      <c r="V9" s="5">
        <v>10164.52</v>
      </c>
      <c r="W9" s="5">
        <v>4382.9399999999996</v>
      </c>
      <c r="X9" s="5">
        <v>4047.51</v>
      </c>
      <c r="Y9" s="3">
        <v>0</v>
      </c>
      <c r="Z9" s="5">
        <v>1734.07</v>
      </c>
    </row>
    <row r="10" spans="1:26" ht="60.75" x14ac:dyDescent="0.25">
      <c r="A10" s="3" t="s">
        <v>27</v>
      </c>
      <c r="B10" s="3" t="s">
        <v>28</v>
      </c>
      <c r="C10" s="3" t="s">
        <v>43</v>
      </c>
      <c r="D10" s="3" t="s">
        <v>54</v>
      </c>
      <c r="E10" s="3" t="s">
        <v>39</v>
      </c>
      <c r="F10" s="3" t="s">
        <v>60</v>
      </c>
      <c r="G10" s="3">
        <v>2023</v>
      </c>
      <c r="H10" s="3" t="str">
        <f>CONCATENATE("34230000787")</f>
        <v>34230000787</v>
      </c>
      <c r="I10" s="3" t="s">
        <v>35</v>
      </c>
      <c r="J10" s="3" t="s">
        <v>29</v>
      </c>
      <c r="K10" s="3" t="str">
        <f t="shared" ref="K10:K14" si="3">CONCATENATE("")</f>
        <v/>
      </c>
      <c r="L10" s="3" t="str">
        <f t="shared" ref="L10:L21" si="4">CONCATENATE("8 8.1 5e")</f>
        <v>8 8.1 5e</v>
      </c>
      <c r="M10" s="3" t="str">
        <f>CONCATENATE("FRMDVD83A22L500P")</f>
        <v>FRMDVD83A22L500P</v>
      </c>
      <c r="N10" s="3" t="s">
        <v>61</v>
      </c>
      <c r="O10" s="3" t="s">
        <v>52</v>
      </c>
      <c r="P10" s="4">
        <v>45245</v>
      </c>
      <c r="Q10" s="3" t="s">
        <v>30</v>
      </c>
      <c r="R10" s="3" t="s">
        <v>31</v>
      </c>
      <c r="S10" s="3" t="s">
        <v>32</v>
      </c>
      <c r="T10" s="3"/>
      <c r="U10" s="3" t="s">
        <v>33</v>
      </c>
      <c r="V10" s="5">
        <v>1240</v>
      </c>
      <c r="W10" s="3">
        <v>534.69000000000005</v>
      </c>
      <c r="X10" s="3">
        <v>493.77</v>
      </c>
      <c r="Y10" s="3">
        <v>0</v>
      </c>
      <c r="Z10" s="3">
        <v>211.54</v>
      </c>
    </row>
    <row r="11" spans="1:26" ht="60.75" x14ac:dyDescent="0.25">
      <c r="A11" s="3" t="s">
        <v>27</v>
      </c>
      <c r="B11" s="3" t="s">
        <v>28</v>
      </c>
      <c r="C11" s="3" t="s">
        <v>43</v>
      </c>
      <c r="D11" s="3" t="s">
        <v>54</v>
      </c>
      <c r="E11" s="3" t="s">
        <v>34</v>
      </c>
      <c r="F11" s="3" t="s">
        <v>62</v>
      </c>
      <c r="G11" s="3">
        <v>2023</v>
      </c>
      <c r="H11" s="3" t="str">
        <f>CONCATENATE("34230002452")</f>
        <v>34230002452</v>
      </c>
      <c r="I11" s="3" t="s">
        <v>35</v>
      </c>
      <c r="J11" s="3" t="s">
        <v>29</v>
      </c>
      <c r="K11" s="3" t="str">
        <f t="shared" si="3"/>
        <v/>
      </c>
      <c r="L11" s="3" t="str">
        <f t="shared" si="4"/>
        <v>8 8.1 5e</v>
      </c>
      <c r="M11" s="3" t="str">
        <f>CONCATENATE("PSCPLA91M09L500B")</f>
        <v>PSCPLA91M09L500B</v>
      </c>
      <c r="N11" s="3" t="s">
        <v>63</v>
      </c>
      <c r="O11" s="3" t="s">
        <v>52</v>
      </c>
      <c r="P11" s="4">
        <v>45245</v>
      </c>
      <c r="Q11" s="3" t="s">
        <v>30</v>
      </c>
      <c r="R11" s="3" t="s">
        <v>31</v>
      </c>
      <c r="S11" s="3" t="s">
        <v>32</v>
      </c>
      <c r="T11" s="3"/>
      <c r="U11" s="3" t="s">
        <v>33</v>
      </c>
      <c r="V11" s="5">
        <v>3488.01</v>
      </c>
      <c r="W11" s="5">
        <v>1504.03</v>
      </c>
      <c r="X11" s="5">
        <v>1388.93</v>
      </c>
      <c r="Y11" s="3">
        <v>0</v>
      </c>
      <c r="Z11" s="3">
        <v>595.04999999999995</v>
      </c>
    </row>
    <row r="12" spans="1:26" ht="72.75" x14ac:dyDescent="0.25">
      <c r="A12" s="3" t="s">
        <v>27</v>
      </c>
      <c r="B12" s="3" t="s">
        <v>28</v>
      </c>
      <c r="C12" s="3" t="s">
        <v>43</v>
      </c>
      <c r="D12" s="3" t="s">
        <v>54</v>
      </c>
      <c r="E12" s="3" t="s">
        <v>39</v>
      </c>
      <c r="F12" s="3" t="s">
        <v>60</v>
      </c>
      <c r="G12" s="3">
        <v>2023</v>
      </c>
      <c r="H12" s="3" t="str">
        <f>CONCATENATE("34230001397")</f>
        <v>34230001397</v>
      </c>
      <c r="I12" s="3" t="s">
        <v>35</v>
      </c>
      <c r="J12" s="3" t="s">
        <v>29</v>
      </c>
      <c r="K12" s="3" t="str">
        <f t="shared" si="3"/>
        <v/>
      </c>
      <c r="L12" s="3" t="str">
        <f t="shared" si="4"/>
        <v>8 8.1 5e</v>
      </c>
      <c r="M12" s="3" t="str">
        <f>CONCATENATE("SRNMRA52H16B636V")</f>
        <v>SRNMRA52H16B636V</v>
      </c>
      <c r="N12" s="3" t="s">
        <v>64</v>
      </c>
      <c r="O12" s="3" t="s">
        <v>52</v>
      </c>
      <c r="P12" s="4">
        <v>45245</v>
      </c>
      <c r="Q12" s="3" t="s">
        <v>30</v>
      </c>
      <c r="R12" s="3" t="s">
        <v>31</v>
      </c>
      <c r="S12" s="3" t="s">
        <v>32</v>
      </c>
      <c r="T12" s="3"/>
      <c r="U12" s="3" t="s">
        <v>33</v>
      </c>
      <c r="V12" s="3">
        <v>954.86</v>
      </c>
      <c r="W12" s="3">
        <v>411.74</v>
      </c>
      <c r="X12" s="3">
        <v>380.23</v>
      </c>
      <c r="Y12" s="3">
        <v>0</v>
      </c>
      <c r="Z12" s="3">
        <v>162.88999999999999</v>
      </c>
    </row>
    <row r="13" spans="1:26" ht="60.75" x14ac:dyDescent="0.25">
      <c r="A13" s="3" t="s">
        <v>27</v>
      </c>
      <c r="B13" s="3" t="s">
        <v>28</v>
      </c>
      <c r="C13" s="3" t="s">
        <v>43</v>
      </c>
      <c r="D13" s="3" t="s">
        <v>65</v>
      </c>
      <c r="E13" s="3" t="s">
        <v>39</v>
      </c>
      <c r="F13" s="3" t="s">
        <v>66</v>
      </c>
      <c r="G13" s="3">
        <v>2023</v>
      </c>
      <c r="H13" s="3" t="str">
        <f>CONCATENATE("34230001538")</f>
        <v>34230001538</v>
      </c>
      <c r="I13" s="3" t="s">
        <v>35</v>
      </c>
      <c r="J13" s="3" t="s">
        <v>29</v>
      </c>
      <c r="K13" s="3" t="str">
        <f t="shared" si="3"/>
        <v/>
      </c>
      <c r="L13" s="3" t="str">
        <f t="shared" si="4"/>
        <v>8 8.1 5e</v>
      </c>
      <c r="M13" s="3" t="str">
        <f>CONCATENATE("GDNGPP62T45I608W")</f>
        <v>GDNGPP62T45I608W</v>
      </c>
      <c r="N13" s="3" t="s">
        <v>67</v>
      </c>
      <c r="O13" s="3" t="s">
        <v>52</v>
      </c>
      <c r="P13" s="4">
        <v>45245</v>
      </c>
      <c r="Q13" s="3" t="s">
        <v>30</v>
      </c>
      <c r="R13" s="3" t="s">
        <v>31</v>
      </c>
      <c r="S13" s="3" t="s">
        <v>32</v>
      </c>
      <c r="T13" s="3"/>
      <c r="U13" s="3" t="s">
        <v>33</v>
      </c>
      <c r="V13" s="5">
        <v>2646.08</v>
      </c>
      <c r="W13" s="5">
        <v>1140.99</v>
      </c>
      <c r="X13" s="5">
        <v>1053.67</v>
      </c>
      <c r="Y13" s="3">
        <v>0</v>
      </c>
      <c r="Z13" s="3">
        <v>451.42</v>
      </c>
    </row>
    <row r="14" spans="1:26" ht="36.75" x14ac:dyDescent="0.25">
      <c r="A14" s="3" t="s">
        <v>27</v>
      </c>
      <c r="B14" s="3" t="s">
        <v>28</v>
      </c>
      <c r="C14" s="3" t="s">
        <v>43</v>
      </c>
      <c r="D14" s="3" t="s">
        <v>54</v>
      </c>
      <c r="E14" s="3" t="s">
        <v>41</v>
      </c>
      <c r="F14" s="3" t="s">
        <v>68</v>
      </c>
      <c r="G14" s="3">
        <v>2023</v>
      </c>
      <c r="H14" s="3" t="str">
        <f>CONCATENATE("34230001553")</f>
        <v>34230001553</v>
      </c>
      <c r="I14" s="3" t="s">
        <v>35</v>
      </c>
      <c r="J14" s="3" t="s">
        <v>29</v>
      </c>
      <c r="K14" s="3" t="str">
        <f t="shared" si="3"/>
        <v/>
      </c>
      <c r="L14" s="3" t="str">
        <f t="shared" si="4"/>
        <v>8 8.1 5e</v>
      </c>
      <c r="M14" s="3" t="str">
        <f>CONCATENATE("02461270411")</f>
        <v>02461270411</v>
      </c>
      <c r="N14" s="3" t="s">
        <v>69</v>
      </c>
      <c r="O14" s="3" t="s">
        <v>52</v>
      </c>
      <c r="P14" s="4">
        <v>45245</v>
      </c>
      <c r="Q14" s="3" t="s">
        <v>30</v>
      </c>
      <c r="R14" s="3" t="s">
        <v>31</v>
      </c>
      <c r="S14" s="3" t="s">
        <v>32</v>
      </c>
      <c r="T14" s="3"/>
      <c r="U14" s="3" t="s">
        <v>33</v>
      </c>
      <c r="V14" s="5">
        <v>3059.41</v>
      </c>
      <c r="W14" s="5">
        <v>1319.22</v>
      </c>
      <c r="X14" s="5">
        <v>1218.26</v>
      </c>
      <c r="Y14" s="3">
        <v>0</v>
      </c>
      <c r="Z14" s="3">
        <v>521.92999999999995</v>
      </c>
    </row>
    <row r="15" spans="1:26" ht="60.75" x14ac:dyDescent="0.25">
      <c r="A15" s="3" t="s">
        <v>27</v>
      </c>
      <c r="B15" s="3" t="s">
        <v>28</v>
      </c>
      <c r="C15" s="3" t="s">
        <v>43</v>
      </c>
      <c r="D15" s="3" t="s">
        <v>44</v>
      </c>
      <c r="E15" s="3" t="s">
        <v>39</v>
      </c>
      <c r="F15" s="3" t="s">
        <v>70</v>
      </c>
      <c r="G15" s="3">
        <v>2023</v>
      </c>
      <c r="H15" s="3" t="str">
        <f>CONCATENATE("34230002684")</f>
        <v>34230002684</v>
      </c>
      <c r="I15" s="3" t="s">
        <v>35</v>
      </c>
      <c r="J15" s="3" t="s">
        <v>29</v>
      </c>
      <c r="K15" s="3" t="str">
        <f t="shared" ref="K15:K21" si="5">CONCATENATE("")</f>
        <v/>
      </c>
      <c r="L15" s="3" t="str">
        <f t="shared" si="4"/>
        <v>8 8.1 5e</v>
      </c>
      <c r="M15" s="3" t="str">
        <f>CONCATENATE("BZZMHL88D10D653Y")</f>
        <v>BZZMHL88D10D653Y</v>
      </c>
      <c r="N15" s="3" t="s">
        <v>71</v>
      </c>
      <c r="O15" s="3" t="s">
        <v>52</v>
      </c>
      <c r="P15" s="4">
        <v>45245</v>
      </c>
      <c r="Q15" s="3" t="s">
        <v>30</v>
      </c>
      <c r="R15" s="3" t="s">
        <v>31</v>
      </c>
      <c r="S15" s="3" t="s">
        <v>32</v>
      </c>
      <c r="T15" s="3"/>
      <c r="U15" s="3" t="s">
        <v>33</v>
      </c>
      <c r="V15" s="5">
        <v>1764</v>
      </c>
      <c r="W15" s="3">
        <v>760.64</v>
      </c>
      <c r="X15" s="3">
        <v>702.42</v>
      </c>
      <c r="Y15" s="3">
        <v>0</v>
      </c>
      <c r="Z15" s="3">
        <v>300.94</v>
      </c>
    </row>
    <row r="16" spans="1:26" ht="60.75" x14ac:dyDescent="0.25">
      <c r="A16" s="3" t="s">
        <v>27</v>
      </c>
      <c r="B16" s="3" t="s">
        <v>28</v>
      </c>
      <c r="C16" s="3" t="s">
        <v>43</v>
      </c>
      <c r="D16" s="3" t="s">
        <v>65</v>
      </c>
      <c r="E16" s="3" t="s">
        <v>34</v>
      </c>
      <c r="F16" s="3" t="s">
        <v>72</v>
      </c>
      <c r="G16" s="3">
        <v>2023</v>
      </c>
      <c r="H16" s="3" t="str">
        <f>CONCATENATE("34230001231")</f>
        <v>34230001231</v>
      </c>
      <c r="I16" s="3" t="s">
        <v>35</v>
      </c>
      <c r="J16" s="3" t="s">
        <v>29</v>
      </c>
      <c r="K16" s="3" t="str">
        <f t="shared" si="5"/>
        <v/>
      </c>
      <c r="L16" s="3" t="str">
        <f t="shared" si="4"/>
        <v>8 8.1 5e</v>
      </c>
      <c r="M16" s="3" t="str">
        <f>CONCATENATE("TTTGNN61H01I461M")</f>
        <v>TTTGNN61H01I461M</v>
      </c>
      <c r="N16" s="3" t="s">
        <v>73</v>
      </c>
      <c r="O16" s="3" t="s">
        <v>52</v>
      </c>
      <c r="P16" s="4">
        <v>45245</v>
      </c>
      <c r="Q16" s="3" t="s">
        <v>30</v>
      </c>
      <c r="R16" s="3" t="s">
        <v>31</v>
      </c>
      <c r="S16" s="3" t="s">
        <v>32</v>
      </c>
      <c r="T16" s="3"/>
      <c r="U16" s="3" t="s">
        <v>33</v>
      </c>
      <c r="V16" s="5">
        <v>2001.22</v>
      </c>
      <c r="W16" s="3">
        <v>862.93</v>
      </c>
      <c r="X16" s="3">
        <v>796.89</v>
      </c>
      <c r="Y16" s="3">
        <v>0</v>
      </c>
      <c r="Z16" s="3">
        <v>341.4</v>
      </c>
    </row>
    <row r="17" spans="1:26" ht="60.75" x14ac:dyDescent="0.25">
      <c r="A17" s="3" t="s">
        <v>27</v>
      </c>
      <c r="B17" s="3" t="s">
        <v>28</v>
      </c>
      <c r="C17" s="3" t="s">
        <v>43</v>
      </c>
      <c r="D17" s="3" t="s">
        <v>54</v>
      </c>
      <c r="E17" s="3" t="s">
        <v>39</v>
      </c>
      <c r="F17" s="3" t="s">
        <v>60</v>
      </c>
      <c r="G17" s="3">
        <v>2023</v>
      </c>
      <c r="H17" s="3" t="str">
        <f>CONCATENATE("34230000803")</f>
        <v>34230000803</v>
      </c>
      <c r="I17" s="3" t="s">
        <v>35</v>
      </c>
      <c r="J17" s="3" t="s">
        <v>29</v>
      </c>
      <c r="K17" s="3" t="str">
        <f t="shared" si="5"/>
        <v/>
      </c>
      <c r="L17" s="3" t="str">
        <f t="shared" si="4"/>
        <v>8 8.1 5e</v>
      </c>
      <c r="M17" s="3" t="str">
        <f>CONCATENATE("PLNMLE44M20B352C")</f>
        <v>PLNMLE44M20B352C</v>
      </c>
      <c r="N17" s="3" t="s">
        <v>74</v>
      </c>
      <c r="O17" s="3" t="s">
        <v>52</v>
      </c>
      <c r="P17" s="4">
        <v>45245</v>
      </c>
      <c r="Q17" s="3" t="s">
        <v>30</v>
      </c>
      <c r="R17" s="3" t="s">
        <v>31</v>
      </c>
      <c r="S17" s="3" t="s">
        <v>32</v>
      </c>
      <c r="T17" s="3"/>
      <c r="U17" s="3" t="s">
        <v>33</v>
      </c>
      <c r="V17" s="5">
        <v>1086.83</v>
      </c>
      <c r="W17" s="3">
        <v>468.64</v>
      </c>
      <c r="X17" s="3">
        <v>432.78</v>
      </c>
      <c r="Y17" s="3">
        <v>0</v>
      </c>
      <c r="Z17" s="3">
        <v>185.41</v>
      </c>
    </row>
    <row r="18" spans="1:26" ht="60.75" x14ac:dyDescent="0.25">
      <c r="A18" s="3" t="s">
        <v>27</v>
      </c>
      <c r="B18" s="3" t="s">
        <v>28</v>
      </c>
      <c r="C18" s="3" t="s">
        <v>43</v>
      </c>
      <c r="D18" s="3" t="s">
        <v>54</v>
      </c>
      <c r="E18" s="3" t="s">
        <v>39</v>
      </c>
      <c r="F18" s="3" t="s">
        <v>60</v>
      </c>
      <c r="G18" s="3">
        <v>2023</v>
      </c>
      <c r="H18" s="3" t="str">
        <f>CONCATENATE("34230000779")</f>
        <v>34230000779</v>
      </c>
      <c r="I18" s="3" t="s">
        <v>35</v>
      </c>
      <c r="J18" s="3" t="s">
        <v>29</v>
      </c>
      <c r="K18" s="3" t="str">
        <f t="shared" si="5"/>
        <v/>
      </c>
      <c r="L18" s="3" t="str">
        <f t="shared" si="4"/>
        <v>8 8.1 5e</v>
      </c>
      <c r="M18" s="3" t="str">
        <f>CONCATENATE("RVLCLD79T23G453O")</f>
        <v>RVLCLD79T23G453O</v>
      </c>
      <c r="N18" s="3" t="s">
        <v>75</v>
      </c>
      <c r="O18" s="3" t="s">
        <v>52</v>
      </c>
      <c r="P18" s="4">
        <v>45245</v>
      </c>
      <c r="Q18" s="3" t="s">
        <v>30</v>
      </c>
      <c r="R18" s="3" t="s">
        <v>31</v>
      </c>
      <c r="S18" s="3" t="s">
        <v>32</v>
      </c>
      <c r="T18" s="3"/>
      <c r="U18" s="3" t="s">
        <v>33</v>
      </c>
      <c r="V18" s="5">
        <v>3278.31</v>
      </c>
      <c r="W18" s="5">
        <v>1413.61</v>
      </c>
      <c r="X18" s="5">
        <v>1305.42</v>
      </c>
      <c r="Y18" s="3">
        <v>0</v>
      </c>
      <c r="Z18" s="3">
        <v>559.28</v>
      </c>
    </row>
    <row r="19" spans="1:26" ht="72.75" x14ac:dyDescent="0.25">
      <c r="A19" s="3" t="s">
        <v>27</v>
      </c>
      <c r="B19" s="3" t="s">
        <v>28</v>
      </c>
      <c r="C19" s="3" t="s">
        <v>43</v>
      </c>
      <c r="D19" s="3" t="s">
        <v>54</v>
      </c>
      <c r="E19" s="3" t="s">
        <v>34</v>
      </c>
      <c r="F19" s="3" t="s">
        <v>62</v>
      </c>
      <c r="G19" s="3">
        <v>2023</v>
      </c>
      <c r="H19" s="3" t="str">
        <f>CONCATENATE("34230002437")</f>
        <v>34230002437</v>
      </c>
      <c r="I19" s="3" t="s">
        <v>35</v>
      </c>
      <c r="J19" s="3" t="s">
        <v>29</v>
      </c>
      <c r="K19" s="3" t="str">
        <f t="shared" si="5"/>
        <v/>
      </c>
      <c r="L19" s="3" t="str">
        <f t="shared" si="4"/>
        <v>8 8.1 5e</v>
      </c>
      <c r="M19" s="3" t="str">
        <f>CONCATENATE("BRZGRG51H23B352O")</f>
        <v>BRZGRG51H23B352O</v>
      </c>
      <c r="N19" s="3" t="s">
        <v>76</v>
      </c>
      <c r="O19" s="3" t="s">
        <v>52</v>
      </c>
      <c r="P19" s="4">
        <v>45245</v>
      </c>
      <c r="Q19" s="3" t="s">
        <v>30</v>
      </c>
      <c r="R19" s="3" t="s">
        <v>31</v>
      </c>
      <c r="S19" s="3" t="s">
        <v>32</v>
      </c>
      <c r="T19" s="3"/>
      <c r="U19" s="3" t="s">
        <v>33</v>
      </c>
      <c r="V19" s="5">
        <v>1950.29</v>
      </c>
      <c r="W19" s="3">
        <v>840.97</v>
      </c>
      <c r="X19" s="3">
        <v>776.61</v>
      </c>
      <c r="Y19" s="3">
        <v>0</v>
      </c>
      <c r="Z19" s="3">
        <v>332.71</v>
      </c>
    </row>
    <row r="20" spans="1:26" ht="60.75" x14ac:dyDescent="0.25">
      <c r="A20" s="3" t="s">
        <v>27</v>
      </c>
      <c r="B20" s="3" t="s">
        <v>28</v>
      </c>
      <c r="C20" s="3" t="s">
        <v>43</v>
      </c>
      <c r="D20" s="3" t="s">
        <v>54</v>
      </c>
      <c r="E20" s="3" t="s">
        <v>39</v>
      </c>
      <c r="F20" s="3" t="s">
        <v>77</v>
      </c>
      <c r="G20" s="3">
        <v>2023</v>
      </c>
      <c r="H20" s="3" t="str">
        <f>CONCATENATE("34230000951")</f>
        <v>34230000951</v>
      </c>
      <c r="I20" s="3" t="s">
        <v>35</v>
      </c>
      <c r="J20" s="3" t="s">
        <v>29</v>
      </c>
      <c r="K20" s="3" t="str">
        <f t="shared" si="5"/>
        <v/>
      </c>
      <c r="L20" s="3" t="str">
        <f t="shared" si="4"/>
        <v>8 8.1 5e</v>
      </c>
      <c r="M20" s="3" t="str">
        <f>CONCATENATE("MRNFNC46L05I287W")</f>
        <v>MRNFNC46L05I287W</v>
      </c>
      <c r="N20" s="3" t="s">
        <v>78</v>
      </c>
      <c r="O20" s="3" t="s">
        <v>52</v>
      </c>
      <c r="P20" s="4">
        <v>45245</v>
      </c>
      <c r="Q20" s="3" t="s">
        <v>30</v>
      </c>
      <c r="R20" s="3" t="s">
        <v>31</v>
      </c>
      <c r="S20" s="3" t="s">
        <v>32</v>
      </c>
      <c r="T20" s="3"/>
      <c r="U20" s="3" t="s">
        <v>33</v>
      </c>
      <c r="V20" s="5">
        <v>3368.56</v>
      </c>
      <c r="W20" s="5">
        <v>1452.52</v>
      </c>
      <c r="X20" s="5">
        <v>1341.36</v>
      </c>
      <c r="Y20" s="3">
        <v>0</v>
      </c>
      <c r="Z20" s="3">
        <v>574.67999999999995</v>
      </c>
    </row>
    <row r="21" spans="1:26" ht="60.75" x14ac:dyDescent="0.25">
      <c r="A21" s="3" t="s">
        <v>27</v>
      </c>
      <c r="B21" s="3" t="s">
        <v>28</v>
      </c>
      <c r="C21" s="3" t="s">
        <v>43</v>
      </c>
      <c r="D21" s="3" t="s">
        <v>54</v>
      </c>
      <c r="E21" s="3" t="s">
        <v>42</v>
      </c>
      <c r="F21" s="3" t="s">
        <v>79</v>
      </c>
      <c r="G21" s="3">
        <v>2023</v>
      </c>
      <c r="H21" s="3" t="str">
        <f>CONCATENATE("34230003369")</f>
        <v>34230003369</v>
      </c>
      <c r="I21" s="3" t="s">
        <v>35</v>
      </c>
      <c r="J21" s="3" t="s">
        <v>29</v>
      </c>
      <c r="K21" s="3" t="str">
        <f t="shared" si="5"/>
        <v/>
      </c>
      <c r="L21" s="3" t="str">
        <f t="shared" si="4"/>
        <v>8 8.1 5e</v>
      </c>
      <c r="M21" s="3" t="str">
        <f>CONCATENATE("LGINZR41M11G551F")</f>
        <v>LGINZR41M11G551F</v>
      </c>
      <c r="N21" s="3" t="s">
        <v>80</v>
      </c>
      <c r="O21" s="3" t="s">
        <v>52</v>
      </c>
      <c r="P21" s="4">
        <v>45245</v>
      </c>
      <c r="Q21" s="3" t="s">
        <v>30</v>
      </c>
      <c r="R21" s="3" t="s">
        <v>31</v>
      </c>
      <c r="S21" s="3" t="s">
        <v>32</v>
      </c>
      <c r="T21" s="3"/>
      <c r="U21" s="3" t="s">
        <v>33</v>
      </c>
      <c r="V21" s="5">
        <v>1420.38</v>
      </c>
      <c r="W21" s="3">
        <v>612.47</v>
      </c>
      <c r="X21" s="3">
        <v>565.6</v>
      </c>
      <c r="Y21" s="3">
        <v>0</v>
      </c>
      <c r="Z21" s="3">
        <v>242.31</v>
      </c>
    </row>
    <row r="22" spans="1:26" ht="72.75" x14ac:dyDescent="0.25">
      <c r="A22" s="3" t="s">
        <v>27</v>
      </c>
      <c r="B22" s="3" t="s">
        <v>28</v>
      </c>
      <c r="C22" s="3" t="s">
        <v>43</v>
      </c>
      <c r="D22" s="3" t="s">
        <v>54</v>
      </c>
      <c r="E22" s="3" t="s">
        <v>39</v>
      </c>
      <c r="F22" s="3" t="s">
        <v>60</v>
      </c>
      <c r="G22" s="3">
        <v>2023</v>
      </c>
      <c r="H22" s="3" t="str">
        <f>CONCATENATE("34780003546")</f>
        <v>34780003546</v>
      </c>
      <c r="I22" s="3" t="s">
        <v>35</v>
      </c>
      <c r="J22" s="3" t="s">
        <v>36</v>
      </c>
      <c r="K22" s="3" t="str">
        <f>CONCATENATE("221")</f>
        <v>221</v>
      </c>
      <c r="L22" s="3" t="str">
        <f>CONCATENATE("8 8.1 5e")</f>
        <v>8 8.1 5e</v>
      </c>
      <c r="M22" s="3" t="str">
        <f>CONCATENATE("MRNLCU66D04D488L")</f>
        <v>MRNLCU66D04D488L</v>
      </c>
      <c r="N22" s="3" t="s">
        <v>81</v>
      </c>
      <c r="O22" s="3" t="s">
        <v>82</v>
      </c>
      <c r="P22" s="4">
        <v>45264</v>
      </c>
      <c r="Q22" s="3" t="s">
        <v>30</v>
      </c>
      <c r="R22" s="3" t="s">
        <v>31</v>
      </c>
      <c r="S22" s="3" t="s">
        <v>32</v>
      </c>
      <c r="T22" s="3"/>
      <c r="U22" s="3" t="s">
        <v>33</v>
      </c>
      <c r="V22" s="3">
        <v>549</v>
      </c>
      <c r="W22" s="3">
        <v>236.73</v>
      </c>
      <c r="X22" s="3">
        <v>218.61</v>
      </c>
      <c r="Y22" s="3">
        <v>0</v>
      </c>
      <c r="Z22" s="3">
        <v>93.66</v>
      </c>
    </row>
    <row r="23" spans="1:26" ht="60.75" x14ac:dyDescent="0.25">
      <c r="A23" s="3" t="s">
        <v>27</v>
      </c>
      <c r="B23" s="3" t="s">
        <v>28</v>
      </c>
      <c r="C23" s="3" t="s">
        <v>43</v>
      </c>
      <c r="D23" s="3" t="s">
        <v>65</v>
      </c>
      <c r="E23" s="3" t="s">
        <v>34</v>
      </c>
      <c r="F23" s="3" t="s">
        <v>72</v>
      </c>
      <c r="G23" s="3">
        <v>2023</v>
      </c>
      <c r="H23" s="3" t="str">
        <f>CONCATENATE("34230001207")</f>
        <v>34230001207</v>
      </c>
      <c r="I23" s="3" t="s">
        <v>35</v>
      </c>
      <c r="J23" s="3" t="s">
        <v>29</v>
      </c>
      <c r="K23" s="3" t="str">
        <f t="shared" ref="K23:K27" si="6">CONCATENATE("")</f>
        <v/>
      </c>
      <c r="L23" s="3" t="str">
        <f>CONCATENATE("8 8.1 5e")</f>
        <v>8 8.1 5e</v>
      </c>
      <c r="M23" s="3" t="str">
        <f>CONCATENATE("BNDVIO66L20E256B")</f>
        <v>BNDVIO66L20E256B</v>
      </c>
      <c r="N23" s="3" t="s">
        <v>83</v>
      </c>
      <c r="O23" s="3" t="s">
        <v>52</v>
      </c>
      <c r="P23" s="4">
        <v>45245</v>
      </c>
      <c r="Q23" s="3" t="s">
        <v>30</v>
      </c>
      <c r="R23" s="3" t="s">
        <v>31</v>
      </c>
      <c r="S23" s="3" t="s">
        <v>32</v>
      </c>
      <c r="T23" s="3"/>
      <c r="U23" s="3" t="s">
        <v>33</v>
      </c>
      <c r="V23" s="3">
        <v>602.16</v>
      </c>
      <c r="W23" s="3">
        <v>259.64999999999998</v>
      </c>
      <c r="X23" s="3">
        <v>239.78</v>
      </c>
      <c r="Y23" s="3">
        <v>0</v>
      </c>
      <c r="Z23" s="3">
        <v>102.73</v>
      </c>
    </row>
    <row r="24" spans="1:26" ht="60.75" x14ac:dyDescent="0.25">
      <c r="A24" s="3" t="s">
        <v>27</v>
      </c>
      <c r="B24" s="3" t="s">
        <v>28</v>
      </c>
      <c r="C24" s="3" t="s">
        <v>43</v>
      </c>
      <c r="D24" s="3" t="s">
        <v>54</v>
      </c>
      <c r="E24" s="3" t="s">
        <v>39</v>
      </c>
      <c r="F24" s="3" t="s">
        <v>60</v>
      </c>
      <c r="G24" s="3">
        <v>2023</v>
      </c>
      <c r="H24" s="3" t="str">
        <f>CONCATENATE("34230000811")</f>
        <v>34230000811</v>
      </c>
      <c r="I24" s="3" t="s">
        <v>35</v>
      </c>
      <c r="J24" s="3" t="s">
        <v>29</v>
      </c>
      <c r="K24" s="3" t="str">
        <f t="shared" si="6"/>
        <v/>
      </c>
      <c r="L24" s="3" t="str">
        <f>CONCATENATE("8 8.1 5e")</f>
        <v>8 8.1 5e</v>
      </c>
      <c r="M24" s="3" t="str">
        <f>CONCATENATE("FDZLVR42B20G089X")</f>
        <v>FDZLVR42B20G089X</v>
      </c>
      <c r="N24" s="3" t="s">
        <v>84</v>
      </c>
      <c r="O24" s="3" t="s">
        <v>52</v>
      </c>
      <c r="P24" s="4">
        <v>45245</v>
      </c>
      <c r="Q24" s="3" t="s">
        <v>30</v>
      </c>
      <c r="R24" s="3" t="s">
        <v>31</v>
      </c>
      <c r="S24" s="3" t="s">
        <v>32</v>
      </c>
      <c r="T24" s="3"/>
      <c r="U24" s="3" t="s">
        <v>33</v>
      </c>
      <c r="V24" s="3">
        <v>785.13</v>
      </c>
      <c r="W24" s="3">
        <v>338.55</v>
      </c>
      <c r="X24" s="3">
        <v>312.64</v>
      </c>
      <c r="Y24" s="3">
        <v>0</v>
      </c>
      <c r="Z24" s="3">
        <v>133.94</v>
      </c>
    </row>
    <row r="25" spans="1:26" ht="60.75" x14ac:dyDescent="0.25">
      <c r="A25" s="3" t="s">
        <v>27</v>
      </c>
      <c r="B25" s="3" t="s">
        <v>28</v>
      </c>
      <c r="C25" s="3" t="s">
        <v>43</v>
      </c>
      <c r="D25" s="3" t="s">
        <v>54</v>
      </c>
      <c r="E25" s="3" t="s">
        <v>39</v>
      </c>
      <c r="F25" s="3" t="s">
        <v>77</v>
      </c>
      <c r="G25" s="3">
        <v>2023</v>
      </c>
      <c r="H25" s="3" t="str">
        <f>CONCATENATE("34230001017")</f>
        <v>34230001017</v>
      </c>
      <c r="I25" s="3" t="s">
        <v>35</v>
      </c>
      <c r="J25" s="3" t="s">
        <v>29</v>
      </c>
      <c r="K25" s="3" t="str">
        <f t="shared" si="6"/>
        <v/>
      </c>
      <c r="L25" s="3" t="str">
        <f>CONCATENATE("8 8.1 5e")</f>
        <v>8 8.1 5e</v>
      </c>
      <c r="M25" s="3" t="str">
        <f>CONCATENATE("LPULEO56R23L500A")</f>
        <v>LPULEO56R23L500A</v>
      </c>
      <c r="N25" s="3" t="s">
        <v>85</v>
      </c>
      <c r="O25" s="3" t="s">
        <v>52</v>
      </c>
      <c r="P25" s="4">
        <v>45245</v>
      </c>
      <c r="Q25" s="3" t="s">
        <v>30</v>
      </c>
      <c r="R25" s="3" t="s">
        <v>31</v>
      </c>
      <c r="S25" s="3" t="s">
        <v>32</v>
      </c>
      <c r="T25" s="3"/>
      <c r="U25" s="3" t="s">
        <v>33</v>
      </c>
      <c r="V25" s="5">
        <v>1975.74</v>
      </c>
      <c r="W25" s="3">
        <v>851.94</v>
      </c>
      <c r="X25" s="3">
        <v>786.74</v>
      </c>
      <c r="Y25" s="3">
        <v>0</v>
      </c>
      <c r="Z25" s="3">
        <v>337.06</v>
      </c>
    </row>
    <row r="26" spans="1:26" ht="60.75" x14ac:dyDescent="0.25">
      <c r="A26" s="3" t="s">
        <v>27</v>
      </c>
      <c r="B26" s="3" t="s">
        <v>28</v>
      </c>
      <c r="C26" s="3" t="s">
        <v>43</v>
      </c>
      <c r="D26" s="3" t="s">
        <v>54</v>
      </c>
      <c r="E26" s="3" t="s">
        <v>39</v>
      </c>
      <c r="F26" s="3" t="s">
        <v>60</v>
      </c>
      <c r="G26" s="3">
        <v>2023</v>
      </c>
      <c r="H26" s="3" t="str">
        <f>CONCATENATE("34230000795")</f>
        <v>34230000795</v>
      </c>
      <c r="I26" s="3" t="s">
        <v>35</v>
      </c>
      <c r="J26" s="3" t="s">
        <v>29</v>
      </c>
      <c r="K26" s="3" t="str">
        <f t="shared" si="6"/>
        <v/>
      </c>
      <c r="L26" s="3" t="str">
        <f>CONCATENATE("8 8.1 5e")</f>
        <v>8 8.1 5e</v>
      </c>
      <c r="M26" s="3" t="str">
        <f>CONCATENATE("PGLRSO56M58C352G")</f>
        <v>PGLRSO56M58C352G</v>
      </c>
      <c r="N26" s="3" t="s">
        <v>86</v>
      </c>
      <c r="O26" s="3" t="s">
        <v>52</v>
      </c>
      <c r="P26" s="4">
        <v>45245</v>
      </c>
      <c r="Q26" s="3" t="s">
        <v>30</v>
      </c>
      <c r="R26" s="3" t="s">
        <v>31</v>
      </c>
      <c r="S26" s="3" t="s">
        <v>32</v>
      </c>
      <c r="T26" s="3"/>
      <c r="U26" s="3" t="s">
        <v>33</v>
      </c>
      <c r="V26" s="5">
        <v>3647.11</v>
      </c>
      <c r="W26" s="5">
        <v>1572.63</v>
      </c>
      <c r="X26" s="5">
        <v>1452.28</v>
      </c>
      <c r="Y26" s="3">
        <v>0</v>
      </c>
      <c r="Z26" s="3">
        <v>622.20000000000005</v>
      </c>
    </row>
    <row r="27" spans="1:26" ht="36.75" x14ac:dyDescent="0.25">
      <c r="A27" s="3" t="s">
        <v>27</v>
      </c>
      <c r="B27" s="3" t="s">
        <v>28</v>
      </c>
      <c r="C27" s="3" t="s">
        <v>43</v>
      </c>
      <c r="D27" s="3" t="s">
        <v>87</v>
      </c>
      <c r="E27" s="3" t="s">
        <v>39</v>
      </c>
      <c r="F27" s="3" t="s">
        <v>88</v>
      </c>
      <c r="G27" s="3">
        <v>2023</v>
      </c>
      <c r="H27" s="3" t="str">
        <f>CONCATENATE("34230000555")</f>
        <v>34230000555</v>
      </c>
      <c r="I27" s="3" t="s">
        <v>35</v>
      </c>
      <c r="J27" s="3" t="s">
        <v>29</v>
      </c>
      <c r="K27" s="3" t="str">
        <f t="shared" si="6"/>
        <v/>
      </c>
      <c r="L27" s="3" t="str">
        <f>CONCATENATE("8 8.1 5e")</f>
        <v>8 8.1 5e</v>
      </c>
      <c r="M27" s="3" t="str">
        <f>CONCATENATE("02164470441")</f>
        <v>02164470441</v>
      </c>
      <c r="N27" s="3" t="s">
        <v>89</v>
      </c>
      <c r="O27" s="3" t="s">
        <v>52</v>
      </c>
      <c r="P27" s="4">
        <v>45245</v>
      </c>
      <c r="Q27" s="3" t="s">
        <v>30</v>
      </c>
      <c r="R27" s="3" t="s">
        <v>31</v>
      </c>
      <c r="S27" s="3" t="s">
        <v>32</v>
      </c>
      <c r="T27" s="3"/>
      <c r="U27" s="3" t="s">
        <v>33</v>
      </c>
      <c r="V27" s="5">
        <v>10681.42</v>
      </c>
      <c r="W27" s="5">
        <v>4605.83</v>
      </c>
      <c r="X27" s="5">
        <v>4253.34</v>
      </c>
      <c r="Y27" s="3">
        <v>0</v>
      </c>
      <c r="Z27" s="5">
        <v>1822.25</v>
      </c>
    </row>
    <row r="28" spans="1:26" ht="72.75" x14ac:dyDescent="0.25">
      <c r="A28" s="3" t="s">
        <v>27</v>
      </c>
      <c r="B28" s="3" t="s">
        <v>28</v>
      </c>
      <c r="C28" s="3" t="s">
        <v>43</v>
      </c>
      <c r="D28" s="3" t="s">
        <v>54</v>
      </c>
      <c r="E28" s="3" t="s">
        <v>39</v>
      </c>
      <c r="F28" s="3" t="s">
        <v>90</v>
      </c>
      <c r="G28" s="3">
        <v>2023</v>
      </c>
      <c r="H28" s="3" t="str">
        <f>CONCATENATE("34780009717")</f>
        <v>34780009717</v>
      </c>
      <c r="I28" s="3" t="s">
        <v>35</v>
      </c>
      <c r="J28" s="3" t="s">
        <v>36</v>
      </c>
      <c r="K28" s="3" t="str">
        <f t="shared" ref="K28:K46" si="7">CONCATENATE("221")</f>
        <v>221</v>
      </c>
      <c r="L28" s="3" t="str">
        <f t="shared" ref="L28:L46" si="8">CONCATENATE("8 8.1 5e")</f>
        <v>8 8.1 5e</v>
      </c>
      <c r="M28" s="3" t="str">
        <f>CONCATENATE("FLPNMR46M51G479A")</f>
        <v>FLPNMR46M51G479A</v>
      </c>
      <c r="N28" s="3" t="s">
        <v>91</v>
      </c>
      <c r="O28" s="3" t="s">
        <v>82</v>
      </c>
      <c r="P28" s="4">
        <v>45264</v>
      </c>
      <c r="Q28" s="3" t="s">
        <v>30</v>
      </c>
      <c r="R28" s="3" t="s">
        <v>31</v>
      </c>
      <c r="S28" s="3" t="s">
        <v>32</v>
      </c>
      <c r="T28" s="3"/>
      <c r="U28" s="3" t="s">
        <v>33</v>
      </c>
      <c r="V28" s="3">
        <v>106.5</v>
      </c>
      <c r="W28" s="3">
        <v>45.92</v>
      </c>
      <c r="X28" s="3">
        <v>42.41</v>
      </c>
      <c r="Y28" s="3">
        <v>0</v>
      </c>
      <c r="Z28" s="3">
        <v>18.170000000000002</v>
      </c>
    </row>
    <row r="29" spans="1:26" ht="60.75" x14ac:dyDescent="0.25">
      <c r="A29" s="3" t="s">
        <v>27</v>
      </c>
      <c r="B29" s="3" t="s">
        <v>28</v>
      </c>
      <c r="C29" s="3" t="s">
        <v>43</v>
      </c>
      <c r="D29" s="3" t="s">
        <v>54</v>
      </c>
      <c r="E29" s="3" t="s">
        <v>34</v>
      </c>
      <c r="F29" s="3" t="s">
        <v>62</v>
      </c>
      <c r="G29" s="3">
        <v>2023</v>
      </c>
      <c r="H29" s="3" t="str">
        <f>CONCATENATE("34780014311")</f>
        <v>34780014311</v>
      </c>
      <c r="I29" s="3" t="s">
        <v>35</v>
      </c>
      <c r="J29" s="3" t="s">
        <v>36</v>
      </c>
      <c r="K29" s="3" t="str">
        <f t="shared" si="7"/>
        <v>221</v>
      </c>
      <c r="L29" s="3" t="str">
        <f t="shared" si="8"/>
        <v>8 8.1 5e</v>
      </c>
      <c r="M29" s="3" t="str">
        <f>CONCATENATE("BCCNDA53L53D488U")</f>
        <v>BCCNDA53L53D488U</v>
      </c>
      <c r="N29" s="3" t="s">
        <v>92</v>
      </c>
      <c r="O29" s="3" t="s">
        <v>82</v>
      </c>
      <c r="P29" s="4">
        <v>45264</v>
      </c>
      <c r="Q29" s="3" t="s">
        <v>30</v>
      </c>
      <c r="R29" s="3" t="s">
        <v>31</v>
      </c>
      <c r="S29" s="3" t="s">
        <v>32</v>
      </c>
      <c r="T29" s="3"/>
      <c r="U29" s="3" t="s">
        <v>33</v>
      </c>
      <c r="V29" s="3">
        <v>974.3</v>
      </c>
      <c r="W29" s="3">
        <v>420.12</v>
      </c>
      <c r="X29" s="3">
        <v>387.97</v>
      </c>
      <c r="Y29" s="3">
        <v>0</v>
      </c>
      <c r="Z29" s="3">
        <v>166.21</v>
      </c>
    </row>
    <row r="30" spans="1:26" ht="60.75" x14ac:dyDescent="0.25">
      <c r="A30" s="3" t="s">
        <v>27</v>
      </c>
      <c r="B30" s="3" t="s">
        <v>28</v>
      </c>
      <c r="C30" s="3" t="s">
        <v>43</v>
      </c>
      <c r="D30" s="3" t="s">
        <v>54</v>
      </c>
      <c r="E30" s="3" t="s">
        <v>34</v>
      </c>
      <c r="F30" s="3" t="s">
        <v>93</v>
      </c>
      <c r="G30" s="3">
        <v>2023</v>
      </c>
      <c r="H30" s="3" t="str">
        <f>CONCATENATE("34780001516")</f>
        <v>34780001516</v>
      </c>
      <c r="I30" s="3" t="s">
        <v>35</v>
      </c>
      <c r="J30" s="3" t="s">
        <v>36</v>
      </c>
      <c r="K30" s="3" t="str">
        <f t="shared" si="7"/>
        <v>221</v>
      </c>
      <c r="L30" s="3" t="str">
        <f t="shared" si="8"/>
        <v>8 8.1 5e</v>
      </c>
      <c r="M30" s="3" t="str">
        <f>CONCATENATE("MRTSVN63R23I459M")</f>
        <v>MRTSVN63R23I459M</v>
      </c>
      <c r="N30" s="3" t="s">
        <v>94</v>
      </c>
      <c r="O30" s="3" t="s">
        <v>82</v>
      </c>
      <c r="P30" s="4">
        <v>45264</v>
      </c>
      <c r="Q30" s="3" t="s">
        <v>30</v>
      </c>
      <c r="R30" s="3" t="s">
        <v>31</v>
      </c>
      <c r="S30" s="3" t="s">
        <v>32</v>
      </c>
      <c r="T30" s="3"/>
      <c r="U30" s="3" t="s">
        <v>33</v>
      </c>
      <c r="V30" s="3">
        <v>228.88</v>
      </c>
      <c r="W30" s="3">
        <v>98.69</v>
      </c>
      <c r="X30" s="3">
        <v>91.14</v>
      </c>
      <c r="Y30" s="3">
        <v>0</v>
      </c>
      <c r="Z30" s="3">
        <v>39.049999999999997</v>
      </c>
    </row>
    <row r="31" spans="1:26" ht="36.75" x14ac:dyDescent="0.25">
      <c r="A31" s="3" t="s">
        <v>27</v>
      </c>
      <c r="B31" s="3" t="s">
        <v>28</v>
      </c>
      <c r="C31" s="3" t="s">
        <v>43</v>
      </c>
      <c r="D31" s="3" t="s">
        <v>54</v>
      </c>
      <c r="E31" s="3" t="s">
        <v>41</v>
      </c>
      <c r="F31" s="3" t="s">
        <v>68</v>
      </c>
      <c r="G31" s="3">
        <v>2023</v>
      </c>
      <c r="H31" s="3" t="str">
        <f>CONCATENATE("34780010780")</f>
        <v>34780010780</v>
      </c>
      <c r="I31" s="3" t="s">
        <v>35</v>
      </c>
      <c r="J31" s="3" t="s">
        <v>36</v>
      </c>
      <c r="K31" s="3" t="str">
        <f t="shared" si="7"/>
        <v>221</v>
      </c>
      <c r="L31" s="3" t="str">
        <f t="shared" si="8"/>
        <v>8 8.1 5e</v>
      </c>
      <c r="M31" s="3" t="str">
        <f>CONCATENATE("02799760414")</f>
        <v>02799760414</v>
      </c>
      <c r="N31" s="3" t="s">
        <v>95</v>
      </c>
      <c r="O31" s="3" t="s">
        <v>82</v>
      </c>
      <c r="P31" s="4">
        <v>45264</v>
      </c>
      <c r="Q31" s="3" t="s">
        <v>30</v>
      </c>
      <c r="R31" s="3" t="s">
        <v>31</v>
      </c>
      <c r="S31" s="3" t="s">
        <v>32</v>
      </c>
      <c r="T31" s="3"/>
      <c r="U31" s="3" t="s">
        <v>33</v>
      </c>
      <c r="V31" s="3">
        <v>555</v>
      </c>
      <c r="W31" s="3">
        <v>239.32</v>
      </c>
      <c r="X31" s="3">
        <v>221</v>
      </c>
      <c r="Y31" s="3">
        <v>0</v>
      </c>
      <c r="Z31" s="3">
        <v>94.68</v>
      </c>
    </row>
    <row r="32" spans="1:26" ht="72.75" x14ac:dyDescent="0.25">
      <c r="A32" s="3" t="s">
        <v>27</v>
      </c>
      <c r="B32" s="3" t="s">
        <v>28</v>
      </c>
      <c r="C32" s="3" t="s">
        <v>43</v>
      </c>
      <c r="D32" s="3" t="s">
        <v>65</v>
      </c>
      <c r="E32" s="3" t="s">
        <v>34</v>
      </c>
      <c r="F32" s="3" t="s">
        <v>96</v>
      </c>
      <c r="G32" s="3">
        <v>2023</v>
      </c>
      <c r="H32" s="3" t="str">
        <f>CONCATENATE("34780008362")</f>
        <v>34780008362</v>
      </c>
      <c r="I32" s="3" t="s">
        <v>35</v>
      </c>
      <c r="J32" s="3" t="s">
        <v>36</v>
      </c>
      <c r="K32" s="3" t="str">
        <f t="shared" si="7"/>
        <v>221</v>
      </c>
      <c r="L32" s="3" t="str">
        <f t="shared" si="8"/>
        <v>8 8.1 5e</v>
      </c>
      <c r="M32" s="3" t="str">
        <f>CONCATENATE("BNGGPP48D05G157N")</f>
        <v>BNGGPP48D05G157N</v>
      </c>
      <c r="N32" s="3" t="s">
        <v>97</v>
      </c>
      <c r="O32" s="3" t="s">
        <v>82</v>
      </c>
      <c r="P32" s="4">
        <v>45264</v>
      </c>
      <c r="Q32" s="3" t="s">
        <v>30</v>
      </c>
      <c r="R32" s="3" t="s">
        <v>31</v>
      </c>
      <c r="S32" s="3" t="s">
        <v>32</v>
      </c>
      <c r="T32" s="3"/>
      <c r="U32" s="3" t="s">
        <v>33</v>
      </c>
      <c r="V32" s="3">
        <v>222</v>
      </c>
      <c r="W32" s="3">
        <v>95.73</v>
      </c>
      <c r="X32" s="3">
        <v>88.4</v>
      </c>
      <c r="Y32" s="3">
        <v>0</v>
      </c>
      <c r="Z32" s="3">
        <v>37.869999999999997</v>
      </c>
    </row>
    <row r="33" spans="1:26" ht="60.75" x14ac:dyDescent="0.25">
      <c r="A33" s="3" t="s">
        <v>27</v>
      </c>
      <c r="B33" s="3" t="s">
        <v>28</v>
      </c>
      <c r="C33" s="3" t="s">
        <v>43</v>
      </c>
      <c r="D33" s="3" t="s">
        <v>54</v>
      </c>
      <c r="E33" s="3" t="s">
        <v>34</v>
      </c>
      <c r="F33" s="3" t="s">
        <v>93</v>
      </c>
      <c r="G33" s="3">
        <v>2023</v>
      </c>
      <c r="H33" s="3" t="str">
        <f>CONCATENATE("34780001284")</f>
        <v>34780001284</v>
      </c>
      <c r="I33" s="3" t="s">
        <v>35</v>
      </c>
      <c r="J33" s="3" t="s">
        <v>36</v>
      </c>
      <c r="K33" s="3" t="str">
        <f t="shared" si="7"/>
        <v>221</v>
      </c>
      <c r="L33" s="3" t="str">
        <f t="shared" si="8"/>
        <v>8 8.1 5e</v>
      </c>
      <c r="M33" s="3" t="str">
        <f>CONCATENATE("MNNSFN65S14I459Y")</f>
        <v>MNNSFN65S14I459Y</v>
      </c>
      <c r="N33" s="3" t="s">
        <v>98</v>
      </c>
      <c r="O33" s="3" t="s">
        <v>82</v>
      </c>
      <c r="P33" s="4">
        <v>45264</v>
      </c>
      <c r="Q33" s="3" t="s">
        <v>30</v>
      </c>
      <c r="R33" s="3" t="s">
        <v>31</v>
      </c>
      <c r="S33" s="3" t="s">
        <v>32</v>
      </c>
      <c r="T33" s="3"/>
      <c r="U33" s="3" t="s">
        <v>33</v>
      </c>
      <c r="V33" s="3">
        <v>400.5</v>
      </c>
      <c r="W33" s="3">
        <v>172.7</v>
      </c>
      <c r="X33" s="3">
        <v>159.47999999999999</v>
      </c>
      <c r="Y33" s="3">
        <v>0</v>
      </c>
      <c r="Z33" s="3">
        <v>68.319999999999993</v>
      </c>
    </row>
    <row r="34" spans="1:26" ht="60.75" x14ac:dyDescent="0.25">
      <c r="A34" s="3" t="s">
        <v>27</v>
      </c>
      <c r="B34" s="3" t="s">
        <v>28</v>
      </c>
      <c r="C34" s="3" t="s">
        <v>43</v>
      </c>
      <c r="D34" s="3" t="s">
        <v>65</v>
      </c>
      <c r="E34" s="3" t="s">
        <v>34</v>
      </c>
      <c r="F34" s="3" t="s">
        <v>99</v>
      </c>
      <c r="G34" s="3">
        <v>2023</v>
      </c>
      <c r="H34" s="3" t="str">
        <f>CONCATENATE("34780018064")</f>
        <v>34780018064</v>
      </c>
      <c r="I34" s="3" t="s">
        <v>35</v>
      </c>
      <c r="J34" s="3" t="s">
        <v>36</v>
      </c>
      <c r="K34" s="3" t="str">
        <f t="shared" si="7"/>
        <v>221</v>
      </c>
      <c r="L34" s="3" t="str">
        <f t="shared" si="8"/>
        <v>8 8.1 5e</v>
      </c>
      <c r="M34" s="3" t="str">
        <f>CONCATENATE("CRSNNA48E42E388K")</f>
        <v>CRSNNA48E42E388K</v>
      </c>
      <c r="N34" s="3" t="s">
        <v>100</v>
      </c>
      <c r="O34" s="3" t="s">
        <v>82</v>
      </c>
      <c r="P34" s="4">
        <v>45264</v>
      </c>
      <c r="Q34" s="3" t="s">
        <v>30</v>
      </c>
      <c r="R34" s="3" t="s">
        <v>31</v>
      </c>
      <c r="S34" s="3" t="s">
        <v>32</v>
      </c>
      <c r="T34" s="3"/>
      <c r="U34" s="3" t="s">
        <v>33</v>
      </c>
      <c r="V34" s="3">
        <v>397.44</v>
      </c>
      <c r="W34" s="3">
        <v>171.38</v>
      </c>
      <c r="X34" s="3">
        <v>158.26</v>
      </c>
      <c r="Y34" s="3">
        <v>0</v>
      </c>
      <c r="Z34" s="3">
        <v>67.8</v>
      </c>
    </row>
    <row r="35" spans="1:26" ht="72.75" x14ac:dyDescent="0.25">
      <c r="A35" s="3" t="s">
        <v>27</v>
      </c>
      <c r="B35" s="3" t="s">
        <v>28</v>
      </c>
      <c r="C35" s="3" t="s">
        <v>43</v>
      </c>
      <c r="D35" s="3" t="s">
        <v>54</v>
      </c>
      <c r="E35" s="3" t="s">
        <v>34</v>
      </c>
      <c r="F35" s="3" t="s">
        <v>55</v>
      </c>
      <c r="G35" s="3">
        <v>2023</v>
      </c>
      <c r="H35" s="3" t="str">
        <f>CONCATENATE("34780017041")</f>
        <v>34780017041</v>
      </c>
      <c r="I35" s="3" t="s">
        <v>35</v>
      </c>
      <c r="J35" s="3" t="s">
        <v>36</v>
      </c>
      <c r="K35" s="3" t="str">
        <f t="shared" si="7"/>
        <v>221</v>
      </c>
      <c r="L35" s="3" t="str">
        <f t="shared" si="8"/>
        <v>8 8.1 5e</v>
      </c>
      <c r="M35" s="3" t="str">
        <f>CONCATENATE("FLLMNG55H60A327E")</f>
        <v>FLLMNG55H60A327E</v>
      </c>
      <c r="N35" s="3" t="s">
        <v>101</v>
      </c>
      <c r="O35" s="3" t="s">
        <v>82</v>
      </c>
      <c r="P35" s="4">
        <v>45264</v>
      </c>
      <c r="Q35" s="3" t="s">
        <v>30</v>
      </c>
      <c r="R35" s="3" t="s">
        <v>31</v>
      </c>
      <c r="S35" s="3" t="s">
        <v>32</v>
      </c>
      <c r="T35" s="3"/>
      <c r="U35" s="3" t="s">
        <v>33</v>
      </c>
      <c r="V35" s="3">
        <v>351.5</v>
      </c>
      <c r="W35" s="3">
        <v>151.57</v>
      </c>
      <c r="X35" s="3">
        <v>139.97</v>
      </c>
      <c r="Y35" s="3">
        <v>0</v>
      </c>
      <c r="Z35" s="3">
        <v>59.96</v>
      </c>
    </row>
    <row r="36" spans="1:26" ht="36.75" x14ac:dyDescent="0.25">
      <c r="A36" s="3" t="s">
        <v>27</v>
      </c>
      <c r="B36" s="3" t="s">
        <v>28</v>
      </c>
      <c r="C36" s="3" t="s">
        <v>43</v>
      </c>
      <c r="D36" s="3" t="s">
        <v>54</v>
      </c>
      <c r="E36" s="3" t="s">
        <v>34</v>
      </c>
      <c r="F36" s="3" t="s">
        <v>93</v>
      </c>
      <c r="G36" s="3">
        <v>2023</v>
      </c>
      <c r="H36" s="3" t="str">
        <f>CONCATENATE("34780006572")</f>
        <v>34780006572</v>
      </c>
      <c r="I36" s="3" t="s">
        <v>35</v>
      </c>
      <c r="J36" s="3" t="s">
        <v>36</v>
      </c>
      <c r="K36" s="3" t="str">
        <f t="shared" si="7"/>
        <v>221</v>
      </c>
      <c r="L36" s="3" t="str">
        <f t="shared" si="8"/>
        <v>8 8.1 5e</v>
      </c>
      <c r="M36" s="3" t="str">
        <f>CONCATENATE("00360710412")</f>
        <v>00360710412</v>
      </c>
      <c r="N36" s="3" t="s">
        <v>102</v>
      </c>
      <c r="O36" s="3" t="s">
        <v>82</v>
      </c>
      <c r="P36" s="4">
        <v>45264</v>
      </c>
      <c r="Q36" s="3" t="s">
        <v>30</v>
      </c>
      <c r="R36" s="3" t="s">
        <v>31</v>
      </c>
      <c r="S36" s="3" t="s">
        <v>32</v>
      </c>
      <c r="T36" s="3"/>
      <c r="U36" s="3" t="s">
        <v>33</v>
      </c>
      <c r="V36" s="5">
        <v>1602</v>
      </c>
      <c r="W36" s="3">
        <v>690.78</v>
      </c>
      <c r="X36" s="3">
        <v>637.91999999999996</v>
      </c>
      <c r="Y36" s="3">
        <v>0</v>
      </c>
      <c r="Z36" s="3">
        <v>273.3</v>
      </c>
    </row>
    <row r="37" spans="1:26" ht="60.75" x14ac:dyDescent="0.25">
      <c r="A37" s="3" t="s">
        <v>27</v>
      </c>
      <c r="B37" s="3" t="s">
        <v>28</v>
      </c>
      <c r="C37" s="3" t="s">
        <v>43</v>
      </c>
      <c r="D37" s="3" t="s">
        <v>54</v>
      </c>
      <c r="E37" s="3" t="s">
        <v>39</v>
      </c>
      <c r="F37" s="3" t="s">
        <v>60</v>
      </c>
      <c r="G37" s="3">
        <v>2023</v>
      </c>
      <c r="H37" s="3" t="str">
        <f>CONCATENATE("34780002480")</f>
        <v>34780002480</v>
      </c>
      <c r="I37" s="3" t="s">
        <v>35</v>
      </c>
      <c r="J37" s="3" t="s">
        <v>36</v>
      </c>
      <c r="K37" s="3" t="str">
        <f t="shared" si="7"/>
        <v>221</v>
      </c>
      <c r="L37" s="3" t="str">
        <f t="shared" si="8"/>
        <v>8 8.1 5e</v>
      </c>
      <c r="M37" s="3" t="str">
        <f>CONCATENATE("SNTRSO54T49I654T")</f>
        <v>SNTRSO54T49I654T</v>
      </c>
      <c r="N37" s="3" t="s">
        <v>103</v>
      </c>
      <c r="O37" s="3" t="s">
        <v>82</v>
      </c>
      <c r="P37" s="4">
        <v>45264</v>
      </c>
      <c r="Q37" s="3" t="s">
        <v>30</v>
      </c>
      <c r="R37" s="3" t="s">
        <v>31</v>
      </c>
      <c r="S37" s="3" t="s">
        <v>32</v>
      </c>
      <c r="T37" s="3"/>
      <c r="U37" s="3" t="s">
        <v>33</v>
      </c>
      <c r="V37" s="3">
        <v>75</v>
      </c>
      <c r="W37" s="3">
        <v>32.340000000000003</v>
      </c>
      <c r="X37" s="3">
        <v>29.87</v>
      </c>
      <c r="Y37" s="3">
        <v>0</v>
      </c>
      <c r="Z37" s="3">
        <v>12.79</v>
      </c>
    </row>
    <row r="38" spans="1:26" ht="60.75" x14ac:dyDescent="0.25">
      <c r="A38" s="3" t="s">
        <v>27</v>
      </c>
      <c r="B38" s="3" t="s">
        <v>28</v>
      </c>
      <c r="C38" s="3" t="s">
        <v>43</v>
      </c>
      <c r="D38" s="3" t="s">
        <v>65</v>
      </c>
      <c r="E38" s="3" t="s">
        <v>34</v>
      </c>
      <c r="F38" s="3" t="s">
        <v>99</v>
      </c>
      <c r="G38" s="3">
        <v>2023</v>
      </c>
      <c r="H38" s="3" t="str">
        <f>CONCATENATE("34780014253")</f>
        <v>34780014253</v>
      </c>
      <c r="I38" s="3" t="s">
        <v>35</v>
      </c>
      <c r="J38" s="3" t="s">
        <v>36</v>
      </c>
      <c r="K38" s="3" t="str">
        <f t="shared" si="7"/>
        <v>221</v>
      </c>
      <c r="L38" s="3" t="str">
        <f t="shared" si="8"/>
        <v>8 8.1 5e</v>
      </c>
      <c r="M38" s="3" t="str">
        <f>CONCATENATE("GVNGNN35M21A944F")</f>
        <v>GVNGNN35M21A944F</v>
      </c>
      <c r="N38" s="3" t="s">
        <v>104</v>
      </c>
      <c r="O38" s="3" t="s">
        <v>82</v>
      </c>
      <c r="P38" s="4">
        <v>45264</v>
      </c>
      <c r="Q38" s="3" t="s">
        <v>30</v>
      </c>
      <c r="R38" s="3" t="s">
        <v>31</v>
      </c>
      <c r="S38" s="3" t="s">
        <v>32</v>
      </c>
      <c r="T38" s="3"/>
      <c r="U38" s="3" t="s">
        <v>33</v>
      </c>
      <c r="V38" s="3">
        <v>300</v>
      </c>
      <c r="W38" s="3">
        <v>129.36000000000001</v>
      </c>
      <c r="X38" s="3">
        <v>119.46</v>
      </c>
      <c r="Y38" s="3">
        <v>0</v>
      </c>
      <c r="Z38" s="3">
        <v>51.18</v>
      </c>
    </row>
    <row r="39" spans="1:26" ht="60.75" x14ac:dyDescent="0.25">
      <c r="A39" s="3" t="s">
        <v>27</v>
      </c>
      <c r="B39" s="3" t="s">
        <v>28</v>
      </c>
      <c r="C39" s="3" t="s">
        <v>43</v>
      </c>
      <c r="D39" s="3" t="s">
        <v>54</v>
      </c>
      <c r="E39" s="3" t="s">
        <v>39</v>
      </c>
      <c r="F39" s="3" t="s">
        <v>90</v>
      </c>
      <c r="G39" s="3">
        <v>2023</v>
      </c>
      <c r="H39" s="3" t="str">
        <f>CONCATENATE("34780009709")</f>
        <v>34780009709</v>
      </c>
      <c r="I39" s="3" t="s">
        <v>35</v>
      </c>
      <c r="J39" s="3" t="s">
        <v>36</v>
      </c>
      <c r="K39" s="3" t="str">
        <f t="shared" si="7"/>
        <v>221</v>
      </c>
      <c r="L39" s="3" t="str">
        <f t="shared" si="8"/>
        <v>8 8.1 5e</v>
      </c>
      <c r="M39" s="3" t="str">
        <f>CONCATENATE("PNTRTI58M69H501Z")</f>
        <v>PNTRTI58M69H501Z</v>
      </c>
      <c r="N39" s="3" t="s">
        <v>105</v>
      </c>
      <c r="O39" s="3" t="s">
        <v>82</v>
      </c>
      <c r="P39" s="4">
        <v>45264</v>
      </c>
      <c r="Q39" s="3" t="s">
        <v>30</v>
      </c>
      <c r="R39" s="3" t="s">
        <v>31</v>
      </c>
      <c r="S39" s="3" t="s">
        <v>32</v>
      </c>
      <c r="T39" s="3"/>
      <c r="U39" s="3" t="s">
        <v>33</v>
      </c>
      <c r="V39" s="3">
        <v>77.7</v>
      </c>
      <c r="W39" s="3">
        <v>33.5</v>
      </c>
      <c r="X39" s="3">
        <v>30.94</v>
      </c>
      <c r="Y39" s="3">
        <v>0</v>
      </c>
      <c r="Z39" s="3">
        <v>13.26</v>
      </c>
    </row>
    <row r="40" spans="1:26" ht="60.75" x14ac:dyDescent="0.25">
      <c r="A40" s="3" t="s">
        <v>27</v>
      </c>
      <c r="B40" s="3" t="s">
        <v>28</v>
      </c>
      <c r="C40" s="3" t="s">
        <v>43</v>
      </c>
      <c r="D40" s="3" t="s">
        <v>54</v>
      </c>
      <c r="E40" s="3" t="s">
        <v>34</v>
      </c>
      <c r="F40" s="3" t="s">
        <v>106</v>
      </c>
      <c r="G40" s="3">
        <v>2023</v>
      </c>
      <c r="H40" s="3" t="str">
        <f>CONCATENATE("34780017843")</f>
        <v>34780017843</v>
      </c>
      <c r="I40" s="3" t="s">
        <v>35</v>
      </c>
      <c r="J40" s="3" t="s">
        <v>36</v>
      </c>
      <c r="K40" s="3" t="str">
        <f t="shared" si="7"/>
        <v>221</v>
      </c>
      <c r="L40" s="3" t="str">
        <f t="shared" si="8"/>
        <v>8 8.1 5e</v>
      </c>
      <c r="M40" s="3" t="str">
        <f>CONCATENATE("VLNLSN65L29L500T")</f>
        <v>VLNLSN65L29L500T</v>
      </c>
      <c r="N40" s="3" t="s">
        <v>107</v>
      </c>
      <c r="O40" s="3" t="s">
        <v>82</v>
      </c>
      <c r="P40" s="4">
        <v>45264</v>
      </c>
      <c r="Q40" s="3" t="s">
        <v>30</v>
      </c>
      <c r="R40" s="3" t="s">
        <v>31</v>
      </c>
      <c r="S40" s="3" t="s">
        <v>32</v>
      </c>
      <c r="T40" s="3"/>
      <c r="U40" s="3" t="s">
        <v>33</v>
      </c>
      <c r="V40" s="3">
        <v>379.75</v>
      </c>
      <c r="W40" s="3">
        <v>163.75</v>
      </c>
      <c r="X40" s="3">
        <v>151.22</v>
      </c>
      <c r="Y40" s="3">
        <v>0</v>
      </c>
      <c r="Z40" s="3">
        <v>64.78</v>
      </c>
    </row>
    <row r="41" spans="1:26" ht="60.75" x14ac:dyDescent="0.25">
      <c r="A41" s="3" t="s">
        <v>27</v>
      </c>
      <c r="B41" s="3" t="s">
        <v>28</v>
      </c>
      <c r="C41" s="3" t="s">
        <v>43</v>
      </c>
      <c r="D41" s="3" t="s">
        <v>65</v>
      </c>
      <c r="E41" s="3" t="s">
        <v>34</v>
      </c>
      <c r="F41" s="3" t="s">
        <v>72</v>
      </c>
      <c r="G41" s="3">
        <v>2023</v>
      </c>
      <c r="H41" s="3" t="str">
        <f>CONCATENATE("34780004304")</f>
        <v>34780004304</v>
      </c>
      <c r="I41" s="3" t="s">
        <v>35</v>
      </c>
      <c r="J41" s="3" t="s">
        <v>36</v>
      </c>
      <c r="K41" s="3" t="str">
        <f t="shared" si="7"/>
        <v>221</v>
      </c>
      <c r="L41" s="3" t="str">
        <f t="shared" si="8"/>
        <v>8 8.1 5e</v>
      </c>
      <c r="M41" s="3" t="str">
        <f>CONCATENATE("MGGFRZ72H26I461X")</f>
        <v>MGGFRZ72H26I461X</v>
      </c>
      <c r="N41" s="3" t="s">
        <v>108</v>
      </c>
      <c r="O41" s="3" t="s">
        <v>82</v>
      </c>
      <c r="P41" s="4">
        <v>45264</v>
      </c>
      <c r="Q41" s="3" t="s">
        <v>30</v>
      </c>
      <c r="R41" s="3" t="s">
        <v>31</v>
      </c>
      <c r="S41" s="3" t="s">
        <v>32</v>
      </c>
      <c r="T41" s="3"/>
      <c r="U41" s="3" t="s">
        <v>33</v>
      </c>
      <c r="V41" s="3">
        <v>90</v>
      </c>
      <c r="W41" s="3">
        <v>38.81</v>
      </c>
      <c r="X41" s="3">
        <v>35.840000000000003</v>
      </c>
      <c r="Y41" s="3">
        <v>0</v>
      </c>
      <c r="Z41" s="3">
        <v>15.35</v>
      </c>
    </row>
    <row r="42" spans="1:26" ht="36.75" x14ac:dyDescent="0.25">
      <c r="A42" s="3" t="s">
        <v>27</v>
      </c>
      <c r="B42" s="3" t="s">
        <v>28</v>
      </c>
      <c r="C42" s="3" t="s">
        <v>43</v>
      </c>
      <c r="D42" s="3" t="s">
        <v>65</v>
      </c>
      <c r="E42" s="3" t="s">
        <v>34</v>
      </c>
      <c r="F42" s="3" t="s">
        <v>99</v>
      </c>
      <c r="G42" s="3">
        <v>2023</v>
      </c>
      <c r="H42" s="3" t="str">
        <f>CONCATENATE("34780014303")</f>
        <v>34780014303</v>
      </c>
      <c r="I42" s="3" t="s">
        <v>35</v>
      </c>
      <c r="J42" s="3" t="s">
        <v>36</v>
      </c>
      <c r="K42" s="3" t="str">
        <f t="shared" si="7"/>
        <v>221</v>
      </c>
      <c r="L42" s="3" t="str">
        <f t="shared" si="8"/>
        <v>8 8.1 5e</v>
      </c>
      <c r="M42" s="3" t="str">
        <f>CONCATENATE("02372530424")</f>
        <v>02372530424</v>
      </c>
      <c r="N42" s="3" t="s">
        <v>109</v>
      </c>
      <c r="O42" s="3" t="s">
        <v>82</v>
      </c>
      <c r="P42" s="4">
        <v>45264</v>
      </c>
      <c r="Q42" s="3" t="s">
        <v>30</v>
      </c>
      <c r="R42" s="3" t="s">
        <v>31</v>
      </c>
      <c r="S42" s="3" t="s">
        <v>32</v>
      </c>
      <c r="T42" s="3"/>
      <c r="U42" s="3" t="s">
        <v>33</v>
      </c>
      <c r="V42" s="3">
        <v>922.5</v>
      </c>
      <c r="W42" s="3">
        <v>397.78</v>
      </c>
      <c r="X42" s="3">
        <v>367.34</v>
      </c>
      <c r="Y42" s="3">
        <v>0</v>
      </c>
      <c r="Z42" s="3">
        <v>157.38</v>
      </c>
    </row>
    <row r="43" spans="1:26" ht="36.75" x14ac:dyDescent="0.25">
      <c r="A43" s="3" t="s">
        <v>27</v>
      </c>
      <c r="B43" s="3" t="s">
        <v>28</v>
      </c>
      <c r="C43" s="3" t="s">
        <v>43</v>
      </c>
      <c r="D43" s="3" t="s">
        <v>65</v>
      </c>
      <c r="E43" s="3" t="s">
        <v>40</v>
      </c>
      <c r="F43" s="3" t="s">
        <v>110</v>
      </c>
      <c r="G43" s="3">
        <v>2023</v>
      </c>
      <c r="H43" s="3" t="str">
        <f>CONCATENATE("34780004106")</f>
        <v>34780004106</v>
      </c>
      <c r="I43" s="3" t="s">
        <v>35</v>
      </c>
      <c r="J43" s="3" t="s">
        <v>36</v>
      </c>
      <c r="K43" s="3" t="str">
        <f t="shared" si="7"/>
        <v>221</v>
      </c>
      <c r="L43" s="3" t="str">
        <f t="shared" si="8"/>
        <v>8 8.1 5e</v>
      </c>
      <c r="M43" s="3" t="str">
        <f>CONCATENATE("01332400421")</f>
        <v>01332400421</v>
      </c>
      <c r="N43" s="3" t="s">
        <v>111</v>
      </c>
      <c r="O43" s="3" t="s">
        <v>82</v>
      </c>
      <c r="P43" s="4">
        <v>45264</v>
      </c>
      <c r="Q43" s="3" t="s">
        <v>30</v>
      </c>
      <c r="R43" s="3" t="s">
        <v>31</v>
      </c>
      <c r="S43" s="3" t="s">
        <v>32</v>
      </c>
      <c r="T43" s="3"/>
      <c r="U43" s="3" t="s">
        <v>33</v>
      </c>
      <c r="V43" s="5">
        <v>2187.9</v>
      </c>
      <c r="W43" s="3">
        <v>943.42</v>
      </c>
      <c r="X43" s="3">
        <v>871.22</v>
      </c>
      <c r="Y43" s="3">
        <v>0</v>
      </c>
      <c r="Z43" s="3">
        <v>373.26</v>
      </c>
    </row>
    <row r="44" spans="1:26" ht="60.75" x14ac:dyDescent="0.25">
      <c r="A44" s="3" t="s">
        <v>27</v>
      </c>
      <c r="B44" s="3" t="s">
        <v>28</v>
      </c>
      <c r="C44" s="3" t="s">
        <v>43</v>
      </c>
      <c r="D44" s="3" t="s">
        <v>44</v>
      </c>
      <c r="E44" s="3" t="s">
        <v>42</v>
      </c>
      <c r="F44" s="3" t="s">
        <v>112</v>
      </c>
      <c r="G44" s="3">
        <v>2023</v>
      </c>
      <c r="H44" s="3" t="str">
        <f>CONCATENATE("34780017025")</f>
        <v>34780017025</v>
      </c>
      <c r="I44" s="3" t="s">
        <v>35</v>
      </c>
      <c r="J44" s="3" t="s">
        <v>36</v>
      </c>
      <c r="K44" s="3" t="str">
        <f t="shared" si="7"/>
        <v>221</v>
      </c>
      <c r="L44" s="3" t="str">
        <f t="shared" si="8"/>
        <v>8 8.1 5e</v>
      </c>
      <c r="M44" s="3" t="str">
        <f>CONCATENATE("PRNMLA35P60C704C")</f>
        <v>PRNMLA35P60C704C</v>
      </c>
      <c r="N44" s="3" t="s">
        <v>113</v>
      </c>
      <c r="O44" s="3" t="s">
        <v>82</v>
      </c>
      <c r="P44" s="4">
        <v>45264</v>
      </c>
      <c r="Q44" s="3" t="s">
        <v>30</v>
      </c>
      <c r="R44" s="3" t="s">
        <v>31</v>
      </c>
      <c r="S44" s="3" t="s">
        <v>32</v>
      </c>
      <c r="T44" s="3"/>
      <c r="U44" s="3" t="s">
        <v>33</v>
      </c>
      <c r="V44" s="3">
        <v>300</v>
      </c>
      <c r="W44" s="3">
        <v>129.36000000000001</v>
      </c>
      <c r="X44" s="3">
        <v>119.46</v>
      </c>
      <c r="Y44" s="3">
        <v>0</v>
      </c>
      <c r="Z44" s="3">
        <v>51.18</v>
      </c>
    </row>
    <row r="45" spans="1:26" ht="60.75" x14ac:dyDescent="0.25">
      <c r="A45" s="3" t="s">
        <v>27</v>
      </c>
      <c r="B45" s="3" t="s">
        <v>28</v>
      </c>
      <c r="C45" s="3" t="s">
        <v>43</v>
      </c>
      <c r="D45" s="3" t="s">
        <v>54</v>
      </c>
      <c r="E45" s="3" t="s">
        <v>39</v>
      </c>
      <c r="F45" s="3" t="s">
        <v>114</v>
      </c>
      <c r="G45" s="3">
        <v>2023</v>
      </c>
      <c r="H45" s="3" t="str">
        <f>CONCATENATE("34780011895")</f>
        <v>34780011895</v>
      </c>
      <c r="I45" s="3" t="s">
        <v>35</v>
      </c>
      <c r="J45" s="3" t="s">
        <v>36</v>
      </c>
      <c r="K45" s="3" t="str">
        <f t="shared" si="7"/>
        <v>221</v>
      </c>
      <c r="L45" s="3" t="str">
        <f t="shared" si="8"/>
        <v>8 8.1 5e</v>
      </c>
      <c r="M45" s="3" t="str">
        <f>CONCATENATE("BRTMRP53A53D749K")</f>
        <v>BRTMRP53A53D749K</v>
      </c>
      <c r="N45" s="3" t="s">
        <v>115</v>
      </c>
      <c r="O45" s="3" t="s">
        <v>82</v>
      </c>
      <c r="P45" s="4">
        <v>45264</v>
      </c>
      <c r="Q45" s="3" t="s">
        <v>30</v>
      </c>
      <c r="R45" s="3" t="s">
        <v>31</v>
      </c>
      <c r="S45" s="3" t="s">
        <v>32</v>
      </c>
      <c r="T45" s="3"/>
      <c r="U45" s="3" t="s">
        <v>33</v>
      </c>
      <c r="V45" s="3">
        <v>88.89</v>
      </c>
      <c r="W45" s="3">
        <v>38.33</v>
      </c>
      <c r="X45" s="3">
        <v>35.4</v>
      </c>
      <c r="Y45" s="3">
        <v>0</v>
      </c>
      <c r="Z45" s="3">
        <v>15.16</v>
      </c>
    </row>
    <row r="46" spans="1:26" ht="60.75" x14ac:dyDescent="0.25">
      <c r="A46" s="3" t="s">
        <v>27</v>
      </c>
      <c r="B46" s="3" t="s">
        <v>28</v>
      </c>
      <c r="C46" s="3" t="s">
        <v>43</v>
      </c>
      <c r="D46" s="3" t="s">
        <v>54</v>
      </c>
      <c r="E46" s="3" t="s">
        <v>38</v>
      </c>
      <c r="F46" s="3" t="s">
        <v>116</v>
      </c>
      <c r="G46" s="3">
        <v>2023</v>
      </c>
      <c r="H46" s="3" t="str">
        <f>CONCATENATE("34780013412")</f>
        <v>34780013412</v>
      </c>
      <c r="I46" s="3" t="s">
        <v>35</v>
      </c>
      <c r="J46" s="3" t="s">
        <v>36</v>
      </c>
      <c r="K46" s="3" t="str">
        <f t="shared" si="7"/>
        <v>221</v>
      </c>
      <c r="L46" s="3" t="str">
        <f t="shared" si="8"/>
        <v>8 8.1 5e</v>
      </c>
      <c r="M46" s="3" t="str">
        <f>CONCATENATE("BLSFRT67C53H199B")</f>
        <v>BLSFRT67C53H199B</v>
      </c>
      <c r="N46" s="3" t="s">
        <v>117</v>
      </c>
      <c r="O46" s="3" t="s">
        <v>82</v>
      </c>
      <c r="P46" s="4">
        <v>45264</v>
      </c>
      <c r="Q46" s="3" t="s">
        <v>30</v>
      </c>
      <c r="R46" s="3" t="s">
        <v>31</v>
      </c>
      <c r="S46" s="3" t="s">
        <v>32</v>
      </c>
      <c r="T46" s="3"/>
      <c r="U46" s="3" t="s">
        <v>33</v>
      </c>
      <c r="V46" s="3">
        <v>132.16999999999999</v>
      </c>
      <c r="W46" s="3">
        <v>56.99</v>
      </c>
      <c r="X46" s="3">
        <v>52.63</v>
      </c>
      <c r="Y46" s="3">
        <v>0</v>
      </c>
      <c r="Z46" s="3">
        <v>22.55</v>
      </c>
    </row>
    <row r="47" spans="1:26" ht="60.75" x14ac:dyDescent="0.25">
      <c r="A47" s="3" t="s">
        <v>27</v>
      </c>
      <c r="B47" s="3" t="s">
        <v>28</v>
      </c>
      <c r="C47" s="3" t="s">
        <v>43</v>
      </c>
      <c r="D47" s="3" t="s">
        <v>54</v>
      </c>
      <c r="E47" s="3" t="s">
        <v>41</v>
      </c>
      <c r="F47" s="3" t="s">
        <v>118</v>
      </c>
      <c r="G47" s="3">
        <v>2023</v>
      </c>
      <c r="H47" s="3" t="str">
        <f>CONCATENATE("34780005467")</f>
        <v>34780005467</v>
      </c>
      <c r="I47" s="3" t="s">
        <v>35</v>
      </c>
      <c r="J47" s="3" t="s">
        <v>36</v>
      </c>
      <c r="K47" s="3" t="str">
        <f>CONCATENATE("221")</f>
        <v>221</v>
      </c>
      <c r="L47" s="3" t="str">
        <f>CONCATENATE("8 8.1 5e")</f>
        <v>8 8.1 5e</v>
      </c>
      <c r="M47" s="3" t="str">
        <f>CONCATENATE("PRFTMS58H27F347W")</f>
        <v>PRFTMS58H27F347W</v>
      </c>
      <c r="N47" s="3" t="s">
        <v>119</v>
      </c>
      <c r="O47" s="3" t="s">
        <v>82</v>
      </c>
      <c r="P47" s="4">
        <v>45264</v>
      </c>
      <c r="Q47" s="3" t="s">
        <v>30</v>
      </c>
      <c r="R47" s="3" t="s">
        <v>31</v>
      </c>
      <c r="S47" s="3" t="s">
        <v>32</v>
      </c>
      <c r="T47" s="3"/>
      <c r="U47" s="3" t="s">
        <v>33</v>
      </c>
      <c r="V47" s="3">
        <v>300.57</v>
      </c>
      <c r="W47" s="3">
        <v>129.61000000000001</v>
      </c>
      <c r="X47" s="3">
        <v>119.69</v>
      </c>
      <c r="Y47" s="3">
        <v>0</v>
      </c>
      <c r="Z47" s="3">
        <v>51.27</v>
      </c>
    </row>
    <row r="48" spans="1:26" ht="60.75" x14ac:dyDescent="0.25">
      <c r="A48" s="3" t="s">
        <v>27</v>
      </c>
      <c r="B48" s="3" t="s">
        <v>28</v>
      </c>
      <c r="C48" s="3" t="s">
        <v>43</v>
      </c>
      <c r="D48" s="3" t="s">
        <v>54</v>
      </c>
      <c r="E48" s="3" t="s">
        <v>34</v>
      </c>
      <c r="F48" s="3" t="s">
        <v>93</v>
      </c>
      <c r="G48" s="3">
        <v>2023</v>
      </c>
      <c r="H48" s="3" t="str">
        <f>CONCATENATE("34780001920")</f>
        <v>34780001920</v>
      </c>
      <c r="I48" s="3" t="s">
        <v>35</v>
      </c>
      <c r="J48" s="3" t="s">
        <v>36</v>
      </c>
      <c r="K48" s="3" t="str">
        <f>CONCATENATE("221")</f>
        <v>221</v>
      </c>
      <c r="L48" s="3" t="str">
        <f>CONCATENATE("8 8.1 5e")</f>
        <v>8 8.1 5e</v>
      </c>
      <c r="M48" s="3" t="str">
        <f>CONCATENATE("BRCSNO69T55G479R")</f>
        <v>BRCSNO69T55G479R</v>
      </c>
      <c r="N48" s="3" t="s">
        <v>120</v>
      </c>
      <c r="O48" s="3" t="s">
        <v>82</v>
      </c>
      <c r="P48" s="4">
        <v>45264</v>
      </c>
      <c r="Q48" s="3" t="s">
        <v>30</v>
      </c>
      <c r="R48" s="3" t="s">
        <v>31</v>
      </c>
      <c r="S48" s="3" t="s">
        <v>32</v>
      </c>
      <c r="T48" s="3"/>
      <c r="U48" s="3" t="s">
        <v>33</v>
      </c>
      <c r="V48" s="3">
        <v>125.6</v>
      </c>
      <c r="W48" s="3">
        <v>54.16</v>
      </c>
      <c r="X48" s="3">
        <v>50.01</v>
      </c>
      <c r="Y48" s="3">
        <v>0</v>
      </c>
      <c r="Z48" s="3">
        <v>21.43</v>
      </c>
    </row>
    <row r="49" spans="1:26" ht="60.75" x14ac:dyDescent="0.25">
      <c r="A49" s="3" t="s">
        <v>27</v>
      </c>
      <c r="B49" s="3" t="s">
        <v>28</v>
      </c>
      <c r="C49" s="3" t="s">
        <v>43</v>
      </c>
      <c r="D49" s="3" t="s">
        <v>54</v>
      </c>
      <c r="E49" s="3" t="s">
        <v>39</v>
      </c>
      <c r="F49" s="3" t="s">
        <v>57</v>
      </c>
      <c r="G49" s="3">
        <v>2023</v>
      </c>
      <c r="H49" s="3" t="str">
        <f>CONCATENATE("34780010335")</f>
        <v>34780010335</v>
      </c>
      <c r="I49" s="3" t="s">
        <v>35</v>
      </c>
      <c r="J49" s="3" t="s">
        <v>36</v>
      </c>
      <c r="K49" s="3" t="str">
        <f t="shared" ref="K49:K63" si="9">CONCATENATE("221")</f>
        <v>221</v>
      </c>
      <c r="L49" s="3" t="str">
        <f t="shared" ref="L49:L63" si="10">CONCATENATE("8 8.1 5e")</f>
        <v>8 8.1 5e</v>
      </c>
      <c r="M49" s="3" t="str">
        <f>CONCATENATE("BLDNDR51M21G551J")</f>
        <v>BLDNDR51M21G551J</v>
      </c>
      <c r="N49" s="3" t="s">
        <v>121</v>
      </c>
      <c r="O49" s="3" t="s">
        <v>82</v>
      </c>
      <c r="P49" s="4">
        <v>45264</v>
      </c>
      <c r="Q49" s="3" t="s">
        <v>30</v>
      </c>
      <c r="R49" s="3" t="s">
        <v>31</v>
      </c>
      <c r="S49" s="3" t="s">
        <v>32</v>
      </c>
      <c r="T49" s="3"/>
      <c r="U49" s="3" t="s">
        <v>33</v>
      </c>
      <c r="V49" s="3">
        <v>261</v>
      </c>
      <c r="W49" s="3">
        <v>112.54</v>
      </c>
      <c r="X49" s="3">
        <v>103.93</v>
      </c>
      <c r="Y49" s="3">
        <v>0</v>
      </c>
      <c r="Z49" s="3">
        <v>44.53</v>
      </c>
    </row>
    <row r="50" spans="1:26" ht="72.75" x14ac:dyDescent="0.25">
      <c r="A50" s="3" t="s">
        <v>27</v>
      </c>
      <c r="B50" s="3" t="s">
        <v>28</v>
      </c>
      <c r="C50" s="3" t="s">
        <v>43</v>
      </c>
      <c r="D50" s="3" t="s">
        <v>54</v>
      </c>
      <c r="E50" s="3" t="s">
        <v>34</v>
      </c>
      <c r="F50" s="3" t="s">
        <v>106</v>
      </c>
      <c r="G50" s="3">
        <v>2023</v>
      </c>
      <c r="H50" s="3" t="str">
        <f>CONCATENATE("34780018155")</f>
        <v>34780018155</v>
      </c>
      <c r="I50" s="3" t="s">
        <v>35</v>
      </c>
      <c r="J50" s="3" t="s">
        <v>36</v>
      </c>
      <c r="K50" s="3" t="str">
        <f t="shared" si="9"/>
        <v>221</v>
      </c>
      <c r="L50" s="3" t="str">
        <f t="shared" si="10"/>
        <v>8 8.1 5e</v>
      </c>
      <c r="M50" s="3" t="str">
        <f>CONCATENATE("RMGMLE63H25L500A")</f>
        <v>RMGMLE63H25L500A</v>
      </c>
      <c r="N50" s="3" t="s">
        <v>122</v>
      </c>
      <c r="O50" s="3" t="s">
        <v>82</v>
      </c>
      <c r="P50" s="4">
        <v>45264</v>
      </c>
      <c r="Q50" s="3" t="s">
        <v>30</v>
      </c>
      <c r="R50" s="3" t="s">
        <v>31</v>
      </c>
      <c r="S50" s="3" t="s">
        <v>32</v>
      </c>
      <c r="T50" s="3"/>
      <c r="U50" s="3" t="s">
        <v>33</v>
      </c>
      <c r="V50" s="5">
        <v>1965.6</v>
      </c>
      <c r="W50" s="3">
        <v>847.57</v>
      </c>
      <c r="X50" s="3">
        <v>782.7</v>
      </c>
      <c r="Y50" s="3">
        <v>0</v>
      </c>
      <c r="Z50" s="3">
        <v>335.33</v>
      </c>
    </row>
    <row r="51" spans="1:26" ht="60.75" x14ac:dyDescent="0.25">
      <c r="A51" s="3" t="s">
        <v>27</v>
      </c>
      <c r="B51" s="3" t="s">
        <v>28</v>
      </c>
      <c r="C51" s="3" t="s">
        <v>43</v>
      </c>
      <c r="D51" s="3" t="s">
        <v>54</v>
      </c>
      <c r="E51" s="3" t="s">
        <v>39</v>
      </c>
      <c r="F51" s="3" t="s">
        <v>57</v>
      </c>
      <c r="G51" s="3">
        <v>2023</v>
      </c>
      <c r="H51" s="3" t="str">
        <f>CONCATENATE("34780014543")</f>
        <v>34780014543</v>
      </c>
      <c r="I51" s="3" t="s">
        <v>35</v>
      </c>
      <c r="J51" s="3" t="s">
        <v>36</v>
      </c>
      <c r="K51" s="3" t="str">
        <f t="shared" si="9"/>
        <v>221</v>
      </c>
      <c r="L51" s="3" t="str">
        <f t="shared" si="10"/>
        <v>8 8.1 5e</v>
      </c>
      <c r="M51" s="3" t="str">
        <f>CONCATENATE("BRRFRZ64E10E785F")</f>
        <v>BRRFRZ64E10E785F</v>
      </c>
      <c r="N51" s="3" t="s">
        <v>123</v>
      </c>
      <c r="O51" s="3" t="s">
        <v>82</v>
      </c>
      <c r="P51" s="4">
        <v>45264</v>
      </c>
      <c r="Q51" s="3" t="s">
        <v>30</v>
      </c>
      <c r="R51" s="3" t="s">
        <v>31</v>
      </c>
      <c r="S51" s="3" t="s">
        <v>32</v>
      </c>
      <c r="T51" s="3"/>
      <c r="U51" s="3" t="s">
        <v>33</v>
      </c>
      <c r="V51" s="3">
        <v>423</v>
      </c>
      <c r="W51" s="3">
        <v>182.4</v>
      </c>
      <c r="X51" s="3">
        <v>168.44</v>
      </c>
      <c r="Y51" s="3">
        <v>0</v>
      </c>
      <c r="Z51" s="3">
        <v>72.16</v>
      </c>
    </row>
    <row r="52" spans="1:26" ht="36.75" x14ac:dyDescent="0.25">
      <c r="A52" s="3" t="s">
        <v>27</v>
      </c>
      <c r="B52" s="3" t="s">
        <v>28</v>
      </c>
      <c r="C52" s="3" t="s">
        <v>43</v>
      </c>
      <c r="D52" s="3" t="s">
        <v>54</v>
      </c>
      <c r="E52" s="3" t="s">
        <v>41</v>
      </c>
      <c r="F52" s="3" t="s">
        <v>68</v>
      </c>
      <c r="G52" s="3">
        <v>2023</v>
      </c>
      <c r="H52" s="3" t="str">
        <f>CONCATENATE("34780010806")</f>
        <v>34780010806</v>
      </c>
      <c r="I52" s="3" t="s">
        <v>35</v>
      </c>
      <c r="J52" s="3" t="s">
        <v>36</v>
      </c>
      <c r="K52" s="3" t="str">
        <f t="shared" si="9"/>
        <v>221</v>
      </c>
      <c r="L52" s="3" t="str">
        <f t="shared" si="10"/>
        <v>8 8.1 5e</v>
      </c>
      <c r="M52" s="3" t="str">
        <f>CONCATENATE("02177760416")</f>
        <v>02177760416</v>
      </c>
      <c r="N52" s="3" t="s">
        <v>124</v>
      </c>
      <c r="O52" s="3" t="s">
        <v>82</v>
      </c>
      <c r="P52" s="4">
        <v>45264</v>
      </c>
      <c r="Q52" s="3" t="s">
        <v>30</v>
      </c>
      <c r="R52" s="3" t="s">
        <v>31</v>
      </c>
      <c r="S52" s="3" t="s">
        <v>32</v>
      </c>
      <c r="T52" s="3"/>
      <c r="U52" s="3" t="s">
        <v>33</v>
      </c>
      <c r="V52" s="5">
        <v>1215</v>
      </c>
      <c r="W52" s="3">
        <v>523.91</v>
      </c>
      <c r="X52" s="3">
        <v>483.81</v>
      </c>
      <c r="Y52" s="3">
        <v>0</v>
      </c>
      <c r="Z52" s="3">
        <v>207.28</v>
      </c>
    </row>
    <row r="53" spans="1:26" ht="60.75" x14ac:dyDescent="0.25">
      <c r="A53" s="3" t="s">
        <v>27</v>
      </c>
      <c r="B53" s="3" t="s">
        <v>28</v>
      </c>
      <c r="C53" s="3" t="s">
        <v>43</v>
      </c>
      <c r="D53" s="3" t="s">
        <v>54</v>
      </c>
      <c r="E53" s="3" t="s">
        <v>34</v>
      </c>
      <c r="F53" s="3" t="s">
        <v>93</v>
      </c>
      <c r="G53" s="3">
        <v>2023</v>
      </c>
      <c r="H53" s="3" t="str">
        <f>CONCATENATE("34780000401")</f>
        <v>34780000401</v>
      </c>
      <c r="I53" s="3" t="s">
        <v>35</v>
      </c>
      <c r="J53" s="3" t="s">
        <v>36</v>
      </c>
      <c r="K53" s="3" t="str">
        <f t="shared" si="9"/>
        <v>221</v>
      </c>
      <c r="L53" s="3" t="str">
        <f t="shared" si="10"/>
        <v>8 8.1 5e</v>
      </c>
      <c r="M53" s="3" t="str">
        <f>CONCATENATE("PRCRRT62E25I459X")</f>
        <v>PRCRRT62E25I459X</v>
      </c>
      <c r="N53" s="3" t="s">
        <v>125</v>
      </c>
      <c r="O53" s="3" t="s">
        <v>82</v>
      </c>
      <c r="P53" s="4">
        <v>45264</v>
      </c>
      <c r="Q53" s="3" t="s">
        <v>30</v>
      </c>
      <c r="R53" s="3" t="s">
        <v>31</v>
      </c>
      <c r="S53" s="3" t="s">
        <v>32</v>
      </c>
      <c r="T53" s="3"/>
      <c r="U53" s="3" t="s">
        <v>33</v>
      </c>
      <c r="V53" s="3">
        <v>163.5</v>
      </c>
      <c r="W53" s="3">
        <v>70.5</v>
      </c>
      <c r="X53" s="3">
        <v>65.11</v>
      </c>
      <c r="Y53" s="3">
        <v>0</v>
      </c>
      <c r="Z53" s="3">
        <v>27.89</v>
      </c>
    </row>
    <row r="54" spans="1:26" ht="60.75" x14ac:dyDescent="0.25">
      <c r="A54" s="3" t="s">
        <v>27</v>
      </c>
      <c r="B54" s="3" t="s">
        <v>28</v>
      </c>
      <c r="C54" s="3" t="s">
        <v>43</v>
      </c>
      <c r="D54" s="3" t="s">
        <v>54</v>
      </c>
      <c r="E54" s="3" t="s">
        <v>39</v>
      </c>
      <c r="F54" s="3" t="s">
        <v>114</v>
      </c>
      <c r="G54" s="3">
        <v>2023</v>
      </c>
      <c r="H54" s="3" t="str">
        <f>CONCATENATE("34780012232")</f>
        <v>34780012232</v>
      </c>
      <c r="I54" s="3" t="s">
        <v>35</v>
      </c>
      <c r="J54" s="3" t="s">
        <v>36</v>
      </c>
      <c r="K54" s="3" t="str">
        <f t="shared" si="9"/>
        <v>221</v>
      </c>
      <c r="L54" s="3" t="str">
        <f t="shared" si="10"/>
        <v>8 8.1 5e</v>
      </c>
      <c r="M54" s="3" t="str">
        <f>CONCATENATE("MZZRKE86C41L500S")</f>
        <v>MZZRKE86C41L500S</v>
      </c>
      <c r="N54" s="3" t="s">
        <v>126</v>
      </c>
      <c r="O54" s="3" t="s">
        <v>82</v>
      </c>
      <c r="P54" s="4">
        <v>45264</v>
      </c>
      <c r="Q54" s="3" t="s">
        <v>30</v>
      </c>
      <c r="R54" s="3" t="s">
        <v>31</v>
      </c>
      <c r="S54" s="3" t="s">
        <v>32</v>
      </c>
      <c r="T54" s="3"/>
      <c r="U54" s="3" t="s">
        <v>33</v>
      </c>
      <c r="V54" s="3">
        <v>147.30000000000001</v>
      </c>
      <c r="W54" s="3">
        <v>63.52</v>
      </c>
      <c r="X54" s="3">
        <v>58.65</v>
      </c>
      <c r="Y54" s="3">
        <v>0</v>
      </c>
      <c r="Z54" s="3">
        <v>25.13</v>
      </c>
    </row>
    <row r="55" spans="1:26" ht="60.75" x14ac:dyDescent="0.25">
      <c r="A55" s="3" t="s">
        <v>27</v>
      </c>
      <c r="B55" s="3" t="s">
        <v>28</v>
      </c>
      <c r="C55" s="3" t="s">
        <v>43</v>
      </c>
      <c r="D55" s="3" t="s">
        <v>54</v>
      </c>
      <c r="E55" s="3" t="s">
        <v>39</v>
      </c>
      <c r="F55" s="3" t="s">
        <v>60</v>
      </c>
      <c r="G55" s="3">
        <v>2023</v>
      </c>
      <c r="H55" s="3" t="str">
        <f>CONCATENATE("34780002472")</f>
        <v>34780002472</v>
      </c>
      <c r="I55" s="3" t="s">
        <v>35</v>
      </c>
      <c r="J55" s="3" t="s">
        <v>36</v>
      </c>
      <c r="K55" s="3" t="str">
        <f t="shared" si="9"/>
        <v>221</v>
      </c>
      <c r="L55" s="3" t="str">
        <f t="shared" si="10"/>
        <v>8 8.1 5e</v>
      </c>
      <c r="M55" s="3" t="str">
        <f>CONCATENATE("PNZSNT60E68H501J")</f>
        <v>PNZSNT60E68H501J</v>
      </c>
      <c r="N55" s="3" t="s">
        <v>127</v>
      </c>
      <c r="O55" s="3" t="s">
        <v>82</v>
      </c>
      <c r="P55" s="4">
        <v>45264</v>
      </c>
      <c r="Q55" s="3" t="s">
        <v>30</v>
      </c>
      <c r="R55" s="3" t="s">
        <v>31</v>
      </c>
      <c r="S55" s="3" t="s">
        <v>32</v>
      </c>
      <c r="T55" s="3"/>
      <c r="U55" s="3" t="s">
        <v>33</v>
      </c>
      <c r="V55" s="3">
        <v>318.8</v>
      </c>
      <c r="W55" s="3">
        <v>137.47</v>
      </c>
      <c r="X55" s="3">
        <v>126.95</v>
      </c>
      <c r="Y55" s="3">
        <v>0</v>
      </c>
      <c r="Z55" s="3">
        <v>54.38</v>
      </c>
    </row>
    <row r="56" spans="1:26" ht="60.75" x14ac:dyDescent="0.25">
      <c r="A56" s="3" t="s">
        <v>27</v>
      </c>
      <c r="B56" s="3" t="s">
        <v>28</v>
      </c>
      <c r="C56" s="3" t="s">
        <v>43</v>
      </c>
      <c r="D56" s="3" t="s">
        <v>44</v>
      </c>
      <c r="E56" s="3" t="s">
        <v>42</v>
      </c>
      <c r="F56" s="3" t="s">
        <v>128</v>
      </c>
      <c r="G56" s="3">
        <v>2023</v>
      </c>
      <c r="H56" s="3" t="str">
        <f>CONCATENATE("34780013578")</f>
        <v>34780013578</v>
      </c>
      <c r="I56" s="3" t="s">
        <v>35</v>
      </c>
      <c r="J56" s="3" t="s">
        <v>36</v>
      </c>
      <c r="K56" s="3" t="str">
        <f t="shared" si="9"/>
        <v>221</v>
      </c>
      <c r="L56" s="3" t="str">
        <f t="shared" si="10"/>
        <v>8 8.1 5e</v>
      </c>
      <c r="M56" s="3" t="str">
        <f>CONCATENATE("BGGFNC56L05H876C")</f>
        <v>BGGFNC56L05H876C</v>
      </c>
      <c r="N56" s="3" t="s">
        <v>129</v>
      </c>
      <c r="O56" s="3" t="s">
        <v>82</v>
      </c>
      <c r="P56" s="4">
        <v>45264</v>
      </c>
      <c r="Q56" s="3" t="s">
        <v>30</v>
      </c>
      <c r="R56" s="3" t="s">
        <v>31</v>
      </c>
      <c r="S56" s="3" t="s">
        <v>32</v>
      </c>
      <c r="T56" s="3"/>
      <c r="U56" s="3" t="s">
        <v>33</v>
      </c>
      <c r="V56" s="3">
        <v>553.5</v>
      </c>
      <c r="W56" s="3">
        <v>238.67</v>
      </c>
      <c r="X56" s="3">
        <v>220.4</v>
      </c>
      <c r="Y56" s="3">
        <v>0</v>
      </c>
      <c r="Z56" s="3">
        <v>94.43</v>
      </c>
    </row>
    <row r="57" spans="1:26" ht="60.75" x14ac:dyDescent="0.25">
      <c r="A57" s="3" t="s">
        <v>27</v>
      </c>
      <c r="B57" s="3" t="s">
        <v>28</v>
      </c>
      <c r="C57" s="3" t="s">
        <v>43</v>
      </c>
      <c r="D57" s="3" t="s">
        <v>54</v>
      </c>
      <c r="E57" s="3" t="s">
        <v>34</v>
      </c>
      <c r="F57" s="3" t="s">
        <v>130</v>
      </c>
      <c r="G57" s="3">
        <v>2023</v>
      </c>
      <c r="H57" s="3" t="str">
        <f>CONCATENATE("34780009816")</f>
        <v>34780009816</v>
      </c>
      <c r="I57" s="3" t="s">
        <v>35</v>
      </c>
      <c r="J57" s="3" t="s">
        <v>36</v>
      </c>
      <c r="K57" s="3" t="str">
        <f t="shared" si="9"/>
        <v>221</v>
      </c>
      <c r="L57" s="3" t="str">
        <f t="shared" si="10"/>
        <v>8 8.1 5e</v>
      </c>
      <c r="M57" s="3" t="str">
        <f>CONCATENATE("VNTNTN61L05F347N")</f>
        <v>VNTNTN61L05F347N</v>
      </c>
      <c r="N57" s="3" t="s">
        <v>131</v>
      </c>
      <c r="O57" s="3" t="s">
        <v>82</v>
      </c>
      <c r="P57" s="4">
        <v>45264</v>
      </c>
      <c r="Q57" s="3" t="s">
        <v>30</v>
      </c>
      <c r="R57" s="3" t="s">
        <v>31</v>
      </c>
      <c r="S57" s="3" t="s">
        <v>32</v>
      </c>
      <c r="T57" s="3"/>
      <c r="U57" s="3" t="s">
        <v>33</v>
      </c>
      <c r="V57" s="3">
        <v>330</v>
      </c>
      <c r="W57" s="3">
        <v>142.30000000000001</v>
      </c>
      <c r="X57" s="3">
        <v>131.41</v>
      </c>
      <c r="Y57" s="3">
        <v>0</v>
      </c>
      <c r="Z57" s="3">
        <v>56.29</v>
      </c>
    </row>
    <row r="58" spans="1:26" ht="60.75" x14ac:dyDescent="0.25">
      <c r="A58" s="3" t="s">
        <v>27</v>
      </c>
      <c r="B58" s="3" t="s">
        <v>28</v>
      </c>
      <c r="C58" s="3" t="s">
        <v>43</v>
      </c>
      <c r="D58" s="3" t="s">
        <v>54</v>
      </c>
      <c r="E58" s="3" t="s">
        <v>49</v>
      </c>
      <c r="F58" s="3" t="s">
        <v>132</v>
      </c>
      <c r="G58" s="3">
        <v>2023</v>
      </c>
      <c r="H58" s="3" t="str">
        <f>CONCATENATE("34780001151")</f>
        <v>34780001151</v>
      </c>
      <c r="I58" s="3" t="s">
        <v>35</v>
      </c>
      <c r="J58" s="3" t="s">
        <v>36</v>
      </c>
      <c r="K58" s="3" t="str">
        <f t="shared" si="9"/>
        <v>221</v>
      </c>
      <c r="L58" s="3" t="str">
        <f t="shared" si="10"/>
        <v>8 8.1 5e</v>
      </c>
      <c r="M58" s="3" t="str">
        <f>CONCATENATE("LRDGNE65P03C357P")</f>
        <v>LRDGNE65P03C357P</v>
      </c>
      <c r="N58" s="3" t="s">
        <v>133</v>
      </c>
      <c r="O58" s="3" t="s">
        <v>82</v>
      </c>
      <c r="P58" s="4">
        <v>45264</v>
      </c>
      <c r="Q58" s="3" t="s">
        <v>30</v>
      </c>
      <c r="R58" s="3" t="s">
        <v>31</v>
      </c>
      <c r="S58" s="3" t="s">
        <v>32</v>
      </c>
      <c r="T58" s="3"/>
      <c r="U58" s="3" t="s">
        <v>33</v>
      </c>
      <c r="V58" s="3">
        <v>94.46</v>
      </c>
      <c r="W58" s="3">
        <v>40.729999999999997</v>
      </c>
      <c r="X58" s="3">
        <v>37.61</v>
      </c>
      <c r="Y58" s="3">
        <v>0</v>
      </c>
      <c r="Z58" s="3">
        <v>16.12</v>
      </c>
    </row>
    <row r="59" spans="1:26" ht="60.75" x14ac:dyDescent="0.25">
      <c r="A59" s="3" t="s">
        <v>27</v>
      </c>
      <c r="B59" s="3" t="s">
        <v>28</v>
      </c>
      <c r="C59" s="3" t="s">
        <v>43</v>
      </c>
      <c r="D59" s="3" t="s">
        <v>44</v>
      </c>
      <c r="E59" s="3" t="s">
        <v>41</v>
      </c>
      <c r="F59" s="3" t="s">
        <v>134</v>
      </c>
      <c r="G59" s="3">
        <v>2023</v>
      </c>
      <c r="H59" s="3" t="str">
        <f>CONCATENATE("34780007463")</f>
        <v>34780007463</v>
      </c>
      <c r="I59" s="3" t="s">
        <v>35</v>
      </c>
      <c r="J59" s="3" t="s">
        <v>36</v>
      </c>
      <c r="K59" s="3" t="str">
        <f t="shared" si="9"/>
        <v>221</v>
      </c>
      <c r="L59" s="3" t="str">
        <f t="shared" si="10"/>
        <v>8 8.1 5e</v>
      </c>
      <c r="M59" s="3" t="str">
        <f>CONCATENATE("BLDNDR77P22B474L")</f>
        <v>BLDNDR77P22B474L</v>
      </c>
      <c r="N59" s="3" t="s">
        <v>135</v>
      </c>
      <c r="O59" s="3" t="s">
        <v>82</v>
      </c>
      <c r="P59" s="4">
        <v>45264</v>
      </c>
      <c r="Q59" s="3" t="s">
        <v>30</v>
      </c>
      <c r="R59" s="3" t="s">
        <v>31</v>
      </c>
      <c r="S59" s="3" t="s">
        <v>32</v>
      </c>
      <c r="T59" s="3"/>
      <c r="U59" s="3" t="s">
        <v>33</v>
      </c>
      <c r="V59" s="5">
        <v>3378.38</v>
      </c>
      <c r="W59" s="5">
        <v>1456.76</v>
      </c>
      <c r="X59" s="5">
        <v>1345.27</v>
      </c>
      <c r="Y59" s="3">
        <v>0</v>
      </c>
      <c r="Z59" s="3">
        <v>576.35</v>
      </c>
    </row>
    <row r="60" spans="1:26" ht="60.75" x14ac:dyDescent="0.25">
      <c r="A60" s="3" t="s">
        <v>27</v>
      </c>
      <c r="B60" s="3" t="s">
        <v>28</v>
      </c>
      <c r="C60" s="3" t="s">
        <v>43</v>
      </c>
      <c r="D60" s="3" t="s">
        <v>54</v>
      </c>
      <c r="E60" s="3" t="s">
        <v>39</v>
      </c>
      <c r="F60" s="3" t="s">
        <v>114</v>
      </c>
      <c r="G60" s="3">
        <v>2023</v>
      </c>
      <c r="H60" s="3" t="str">
        <f>CONCATENATE("34780011911")</f>
        <v>34780011911</v>
      </c>
      <c r="I60" s="3" t="s">
        <v>35</v>
      </c>
      <c r="J60" s="3" t="s">
        <v>36</v>
      </c>
      <c r="K60" s="3" t="str">
        <f t="shared" si="9"/>
        <v>221</v>
      </c>
      <c r="L60" s="3" t="str">
        <f t="shared" si="10"/>
        <v>8 8.1 5e</v>
      </c>
      <c r="M60" s="3" t="str">
        <f>CONCATENATE("VLNGCR52P05F497K")</f>
        <v>VLNGCR52P05F497K</v>
      </c>
      <c r="N60" s="3" t="s">
        <v>136</v>
      </c>
      <c r="O60" s="3" t="s">
        <v>82</v>
      </c>
      <c r="P60" s="4">
        <v>45264</v>
      </c>
      <c r="Q60" s="3" t="s">
        <v>30</v>
      </c>
      <c r="R60" s="3" t="s">
        <v>31</v>
      </c>
      <c r="S60" s="3" t="s">
        <v>32</v>
      </c>
      <c r="T60" s="3"/>
      <c r="U60" s="3" t="s">
        <v>33</v>
      </c>
      <c r="V60" s="3">
        <v>93</v>
      </c>
      <c r="W60" s="3">
        <v>40.1</v>
      </c>
      <c r="X60" s="3">
        <v>37.03</v>
      </c>
      <c r="Y60" s="3">
        <v>0</v>
      </c>
      <c r="Z60" s="3">
        <v>15.87</v>
      </c>
    </row>
    <row r="61" spans="1:26" ht="72.75" x14ac:dyDescent="0.25">
      <c r="A61" s="3" t="s">
        <v>27</v>
      </c>
      <c r="B61" s="3" t="s">
        <v>28</v>
      </c>
      <c r="C61" s="3" t="s">
        <v>43</v>
      </c>
      <c r="D61" s="3" t="s">
        <v>65</v>
      </c>
      <c r="E61" s="3" t="s">
        <v>34</v>
      </c>
      <c r="F61" s="3" t="s">
        <v>96</v>
      </c>
      <c r="G61" s="3">
        <v>2023</v>
      </c>
      <c r="H61" s="3" t="str">
        <f>CONCATENATE("34780011101")</f>
        <v>34780011101</v>
      </c>
      <c r="I61" s="3" t="s">
        <v>35</v>
      </c>
      <c r="J61" s="3" t="s">
        <v>36</v>
      </c>
      <c r="K61" s="3" t="str">
        <f t="shared" si="9"/>
        <v>221</v>
      </c>
      <c r="L61" s="3" t="str">
        <f t="shared" si="10"/>
        <v>8 8.1 5e</v>
      </c>
      <c r="M61" s="3" t="str">
        <f>CONCATENATE("BNGFNC75M01A271D")</f>
        <v>BNGFNC75M01A271D</v>
      </c>
      <c r="N61" s="3" t="s">
        <v>137</v>
      </c>
      <c r="O61" s="3" t="s">
        <v>82</v>
      </c>
      <c r="P61" s="4">
        <v>45264</v>
      </c>
      <c r="Q61" s="3" t="s">
        <v>30</v>
      </c>
      <c r="R61" s="3" t="s">
        <v>31</v>
      </c>
      <c r="S61" s="3" t="s">
        <v>32</v>
      </c>
      <c r="T61" s="3"/>
      <c r="U61" s="3" t="s">
        <v>33</v>
      </c>
      <c r="V61" s="3">
        <v>432</v>
      </c>
      <c r="W61" s="3">
        <v>186.28</v>
      </c>
      <c r="X61" s="3">
        <v>172.02</v>
      </c>
      <c r="Y61" s="3">
        <v>0</v>
      </c>
      <c r="Z61" s="3">
        <v>73.7</v>
      </c>
    </row>
    <row r="62" spans="1:26" ht="36.75" x14ac:dyDescent="0.25">
      <c r="A62" s="3" t="s">
        <v>27</v>
      </c>
      <c r="B62" s="3" t="s">
        <v>28</v>
      </c>
      <c r="C62" s="3" t="s">
        <v>43</v>
      </c>
      <c r="D62" s="3" t="s">
        <v>44</v>
      </c>
      <c r="E62" s="3" t="s">
        <v>34</v>
      </c>
      <c r="F62" s="3" t="s">
        <v>138</v>
      </c>
      <c r="G62" s="3">
        <v>2023</v>
      </c>
      <c r="H62" s="3" t="str">
        <f>CONCATENATE("34780019971")</f>
        <v>34780019971</v>
      </c>
      <c r="I62" s="3" t="s">
        <v>35</v>
      </c>
      <c r="J62" s="3" t="s">
        <v>36</v>
      </c>
      <c r="K62" s="3" t="str">
        <f t="shared" si="9"/>
        <v>221</v>
      </c>
      <c r="L62" s="3" t="str">
        <f t="shared" si="10"/>
        <v>8 8.1 5e</v>
      </c>
      <c r="M62" s="3" t="str">
        <f>CONCATENATE("01593570433")</f>
        <v>01593570433</v>
      </c>
      <c r="N62" s="3" t="s">
        <v>139</v>
      </c>
      <c r="O62" s="3" t="s">
        <v>82</v>
      </c>
      <c r="P62" s="4">
        <v>45264</v>
      </c>
      <c r="Q62" s="3" t="s">
        <v>30</v>
      </c>
      <c r="R62" s="3" t="s">
        <v>31</v>
      </c>
      <c r="S62" s="3" t="s">
        <v>32</v>
      </c>
      <c r="T62" s="3"/>
      <c r="U62" s="3" t="s">
        <v>33</v>
      </c>
      <c r="V62" s="3">
        <v>723.69</v>
      </c>
      <c r="W62" s="3">
        <v>312.06</v>
      </c>
      <c r="X62" s="3">
        <v>288.17</v>
      </c>
      <c r="Y62" s="3">
        <v>0</v>
      </c>
      <c r="Z62" s="3">
        <v>123.46</v>
      </c>
    </row>
    <row r="63" spans="1:26" ht="72.75" x14ac:dyDescent="0.25">
      <c r="A63" s="3" t="s">
        <v>27</v>
      </c>
      <c r="B63" s="3" t="s">
        <v>28</v>
      </c>
      <c r="C63" s="3" t="s">
        <v>43</v>
      </c>
      <c r="D63" s="3" t="s">
        <v>44</v>
      </c>
      <c r="E63" s="3" t="s">
        <v>34</v>
      </c>
      <c r="F63" s="3" t="s">
        <v>140</v>
      </c>
      <c r="G63" s="3">
        <v>2023</v>
      </c>
      <c r="H63" s="3" t="str">
        <f>CONCATENATE("34780016290")</f>
        <v>34780016290</v>
      </c>
      <c r="I63" s="3" t="s">
        <v>35</v>
      </c>
      <c r="J63" s="3" t="s">
        <v>36</v>
      </c>
      <c r="K63" s="3" t="str">
        <f t="shared" si="9"/>
        <v>221</v>
      </c>
      <c r="L63" s="3" t="str">
        <f t="shared" si="10"/>
        <v>8 8.1 5e</v>
      </c>
      <c r="M63" s="3" t="str">
        <f>CONCATENATE("DMNNZR45R30D653S")</f>
        <v>DMNNZR45R30D653S</v>
      </c>
      <c r="N63" s="3" t="s">
        <v>141</v>
      </c>
      <c r="O63" s="3" t="s">
        <v>82</v>
      </c>
      <c r="P63" s="4">
        <v>45264</v>
      </c>
      <c r="Q63" s="3" t="s">
        <v>30</v>
      </c>
      <c r="R63" s="3" t="s">
        <v>31</v>
      </c>
      <c r="S63" s="3" t="s">
        <v>32</v>
      </c>
      <c r="T63" s="3"/>
      <c r="U63" s="3" t="s">
        <v>33</v>
      </c>
      <c r="V63" s="3">
        <v>123</v>
      </c>
      <c r="W63" s="3">
        <v>53.04</v>
      </c>
      <c r="X63" s="3">
        <v>48.98</v>
      </c>
      <c r="Y63" s="3">
        <v>0</v>
      </c>
      <c r="Z63" s="3">
        <v>20.98</v>
      </c>
    </row>
  </sheetData>
  <mergeCells count="2">
    <mergeCell ref="A1:Z1"/>
    <mergeCell ref="A2:Z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VIVIANE FRANCETTI</cp:lastModifiedBy>
  <dcterms:created xsi:type="dcterms:W3CDTF">2023-12-12T13:20:27Z</dcterms:created>
  <dcterms:modified xsi:type="dcterms:W3CDTF">2023-12-12T13:39:58Z</dcterms:modified>
</cp:coreProperties>
</file>