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agov-my.sharepoint.com/personal/gi_greco_agea_gov_it/Documents/Decreti/650/Spacchettamento/"/>
    </mc:Choice>
  </mc:AlternateContent>
  <xr:revisionPtr revIDLastSave="0" documentId="8_{A85A4E75-05CE-41DB-B9CD-FDBD25B2A044}" xr6:coauthVersionLast="47" xr6:coauthVersionMax="47" xr10:uidLastSave="{00000000-0000-0000-0000-000000000000}"/>
  <bookViews>
    <workbookView xWindow="-110" yWindow="-110" windowWidth="19420" windowHeight="10300" xr2:uid="{C8C5D3BD-3391-4722-8E26-BE8DD8FACD88}"/>
  </bookViews>
  <sheets>
    <sheet name="MARCH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9" i="1" l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<sst xmlns="http://schemas.openxmlformats.org/spreadsheetml/2006/main" count="531" uniqueCount="106">
  <si>
    <t>Dettaglio Domande Pagabili Decreto 650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</si>
  <si>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</si>
  <si>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</si>
  <si>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</si>
  <si>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</si>
  <si>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</si>
  <si>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</si>
  <si>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</si>
  <si>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</si>
  <si>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</si>
  <si>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</si>
  <si>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</si>
  <si>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</si>
  <si>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</si>
  <si>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</si>
  <si>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</si>
  <si>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</si>
  <si>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</si>
  <si>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</si>
  <si>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</si>
  <si>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</si>
  <si>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</si>
  <si>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</si>
  <si>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</si>
  <si>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</si>
  <si>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</si>
  <si>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</si>
  <si>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</si>
  <si>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</si>
  <si>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MARCHE</t>
  </si>
  <si>
    <t>SERV. DEC. AGRICOLTURA E ALIMENTAZIONE - ANCONA</t>
  </si>
  <si>
    <t>IN PROPRIO</t>
  </si>
  <si>
    <t>NO</t>
  </si>
  <si>
    <t>Nuova Programmazione</t>
  </si>
  <si>
    <t>BRUGIAPAGLIA CLAUDIO</t>
  </si>
  <si>
    <t>AGEA.ASR.2023.1440692</t>
  </si>
  <si>
    <t>In Liquidazione</t>
  </si>
  <si>
    <t>Saldo</t>
  </si>
  <si>
    <t>Co-Finanziato</t>
  </si>
  <si>
    <t>Ordinario</t>
  </si>
  <si>
    <t>CAA CIA srl</t>
  </si>
  <si>
    <t>CAA CIA - ANCONA - 002</t>
  </si>
  <si>
    <t>SI</t>
  </si>
  <si>
    <t>SOCIETA' AGRICOLA ALBAMOCCO S.S. DI RUSSOTTO FILIPPO E MATILDE</t>
  </si>
  <si>
    <t>MARIANI LORENZO</t>
  </si>
  <si>
    <t>CAA Coldiretti srl</t>
  </si>
  <si>
    <t>CAA Coldiretti - ANCONA - 005</t>
  </si>
  <si>
    <t>BELLOCCHI FABRIZIO</t>
  </si>
  <si>
    <t>CANESTRARI VALERIO</t>
  </si>
  <si>
    <t>CAA CIA - ANCONA - 005</t>
  </si>
  <si>
    <t>CIABOCO MARCELLO</t>
  </si>
  <si>
    <t>VICARI SOCIETA' SEMPLICE AGRICOLA DI VICARI NAZZARENO, VICO E VALENTIN</t>
  </si>
  <si>
    <t>CAA CIA - ANCONA - 004</t>
  </si>
  <si>
    <t>TORRE DEGLI ANGELI SOCIETA' AGRICOLA A R.L.</t>
  </si>
  <si>
    <t>GIOVANNINI MARIA</t>
  </si>
  <si>
    <t>AGEA.ASR.2023.1436490</t>
  </si>
  <si>
    <t>Anticipo</t>
  </si>
  <si>
    <t>GRANCI TANIA</t>
  </si>
  <si>
    <t>MONTESOFFIO S.A.S. DI DE ANGELI GIORGIA &amp; C.</t>
  </si>
  <si>
    <t>PIAN DEL BOSCO S.R.L.</t>
  </si>
  <si>
    <t>CASALE DA' RO' SOCIETA' SEMPLICE AGRICOLA DI PACCUSSE ROBERTA E MARCHE</t>
  </si>
  <si>
    <t>AGEA.ASR.2023.1431008</t>
  </si>
  <si>
    <t>SERV. DEC. AGRICOLTURA E ALIM. -ASCOLI PICENO</t>
  </si>
  <si>
    <t>COMUNE DI COLLI DEL TRONTO</t>
  </si>
  <si>
    <t>AGEA.ASR.2023.1430661</t>
  </si>
  <si>
    <t>SERV. DEC. AGRICOLTURA E ALIM. - MACERATA</t>
  </si>
  <si>
    <t>IMPRESA VERDE MARCHE S.R.L.</t>
  </si>
  <si>
    <t>AGEA.ASR.2023.1434398</t>
  </si>
  <si>
    <t>CAA UNICAA srl</t>
  </si>
  <si>
    <t>CAA UNICAA - ASCOLI PICENO - 004</t>
  </si>
  <si>
    <t>SOCIETA' AGRIC."SAN FILIPPO"S.S.</t>
  </si>
  <si>
    <t>AGEA.ASR.2023.1433930</t>
  </si>
  <si>
    <t>IDEA SOCIETA' COOPERATIVA SOCIALE A R.L.</t>
  </si>
  <si>
    <t>AGEA.ASR.2023.1436534</t>
  </si>
  <si>
    <t>ROSSI PIETRO</t>
  </si>
  <si>
    <t>SERV. DEC. AGRICOLTURA E ALIMENTAZIONE - PESARO</t>
  </si>
  <si>
    <t>CAA Coldiretti - PESARO E URBINO - 008</t>
  </si>
  <si>
    <t>ARBAU PIERO E SALVATORE SOC SEMPLICE</t>
  </si>
  <si>
    <t>AGEA.ASR.2023.1433926</t>
  </si>
  <si>
    <t>GRILLI GIOVANNI</t>
  </si>
  <si>
    <t>CAA Coldiretti - MACERATA - 017</t>
  </si>
  <si>
    <t>COMUNE DI FIASTRA</t>
  </si>
  <si>
    <t>AGEA.ASR.2023.1435533</t>
  </si>
  <si>
    <t>ENTE REGIONE MARCHE</t>
  </si>
  <si>
    <t>AGEA.ASR.2023.1433178</t>
  </si>
  <si>
    <t>SAL</t>
  </si>
  <si>
    <t>VINEA - SOCIETA' COOPERATIVA AGRICOLA IN SIGLA VINEA SOC. COOP. AGRICO</t>
  </si>
  <si>
    <t>AGEA.ASR.2023.1435527</t>
  </si>
  <si>
    <t>CAA CIA - ANCONA - 006</t>
  </si>
  <si>
    <t>MARCA DI ANCONA CIA S.R.L</t>
  </si>
  <si>
    <t>COMUNE DI BELMONTE PICENO</t>
  </si>
  <si>
    <t>SALVATORI MANFREDO</t>
  </si>
  <si>
    <t>PACCAPELO SOFIA</t>
  </si>
  <si>
    <t>AGEA.ASR.2023.1438295</t>
  </si>
  <si>
    <t>UNIONE MONTANA DELL'ESINO-FRASASSI</t>
  </si>
  <si>
    <t>AGEA.ASR.2023.1436236</t>
  </si>
  <si>
    <t>CIRIACI ALESSANDRO</t>
  </si>
  <si>
    <t>AGEA.ASR.2023.1430347</t>
  </si>
  <si>
    <t>VIRGILI GABRIELE</t>
  </si>
  <si>
    <t>COMUNE DI SAN BENEDETTO DEL TRONTO</t>
  </si>
  <si>
    <t>AGEA.ASR.2023.1436277</t>
  </si>
  <si>
    <t>SOCIETA' AGRICOLA PISELLI PIETRO E C.S.S.</t>
  </si>
  <si>
    <t>AGEA.ASR.2023.1430332</t>
  </si>
  <si>
    <t>LA TENUTA DI MATTIA SOCIETA' SEMPLICE AGROFORESTALE DI FORMENTINI IVAN</t>
  </si>
  <si>
    <t>AGEA.ASR.2023.1435460</t>
  </si>
  <si>
    <t>PROCACCINI EMILIANO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</si>
</sst>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B876D-BA33-4A86-8FCF-4BC9DAE40212}">
  <sheetPr>
    <pageSetUpPr fitToPage="1"/>
  </sheetPr>
  <dimension ref="A1:Z39"/>
  <sheetViews>
    <sheetView tabSelected="1" workbookViewId="0"/>
  </sheetViews>
  <sheetFormatPr defaultRowHeight="14.5" x14ac:dyDescent="0.35"/>
  <cols>
    <col min="1" max="1" width="9.81640625" bestFit="1" customWidth="1"/>
    <col min="2" max="2" width="10.26953125" bestFit="1" customWidth="1"/>
    <col min="3" max="3" width="7.7265625" bestFit="1" customWidth="1"/>
    <col min="4" max="4" width="29.54296875" bestFit="1" customWidth="1"/>
    <col min="5" max="5" width="20.36328125" bestFit="1" customWidth="1"/>
    <col min="6" max="6" width="19.9062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2.81640625" bestFit="1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ht="24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6" x14ac:dyDescent="0.3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</row>
    <row r="3" spans="1:26" x14ac:dyDescent="0.3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20</v>
      </c>
      <c r="U3" s="7" t="s">
        <v>21</v>
      </c>
      <c r="V3" s="7" t="s">
        <v>22</v>
      </c>
      <c r="W3" s="7" t="s">
        <v>23</v>
      </c>
      <c r="X3" s="7" t="s">
        <v>24</v>
      </c>
      <c r="Y3" s="7" t="s">
        <v>25</v>
      </c>
      <c r="Z3" s="7" t="s">
        <v>26</v>
      </c>
    </row>
    <row r="4" spans="1:26" ht="41.5" x14ac:dyDescent="0.35">
      <c r="A4" s="8" t="s">
        <v>27</v>
      </c>
      <c r="B4" s="8" t="s">
        <v>28</v>
      </c>
      <c r="C4" s="8" t="s">
        <v>29</v>
      </c>
      <c r="D4" s="8" t="s">
        <v>30</v>
      </c>
      <c r="E4" s="8" t="s">
        <v>31</v>
      </c>
      <c r="F4" s="8" t="s">
        <v>31</v>
      </c>
      <c r="G4" s="8">
        <v>2017</v>
      </c>
      <c r="H4" s="8" t="str">
        <f>CONCATENATE("24270242753")</f>
        <v>24270242753</v>
      </c>
      <c r="I4" s="8" t="s">
        <v>32</v>
      </c>
      <c r="J4" s="8" t="s">
        <v>33</v>
      </c>
      <c r="K4" s="8" t="str">
        <f t="shared" ref="K4:K39" si="0">CONCATENATE("")</f>
        <v/>
      </c>
      <c r="L4" s="8" t="str">
        <f>CONCATENATE("3 3.1 3a")</f>
        <v>3 3.1 3a</v>
      </c>
      <c r="M4" s="8" t="str">
        <f>CONCATENATE("BRGCLD93M12A271X")</f>
        <v>BRGCLD93M12A271X</v>
      </c>
      <c r="N4" s="8" t="s">
        <v>34</v>
      </c>
      <c r="O4" s="8" t="s">
        <v>35</v>
      </c>
      <c r="P4" s="9">
        <v>45238</v>
      </c>
      <c r="Q4" s="8" t="s">
        <v>36</v>
      </c>
      <c r="R4" s="8" t="s">
        <v>37</v>
      </c>
      <c r="S4" s="8" t="s">
        <v>38</v>
      </c>
      <c r="T4" s="8"/>
      <c r="U4" s="8" t="s">
        <v>39</v>
      </c>
      <c r="V4" s="10">
        <v>1300.8599999999999</v>
      </c>
      <c r="W4" s="8">
        <v>560.92999999999995</v>
      </c>
      <c r="X4" s="8">
        <v>518</v>
      </c>
      <c r="Y4" s="8">
        <v>0</v>
      </c>
      <c r="Z4" s="8">
        <v>221.93</v>
      </c>
    </row>
    <row r="5" spans="1:26" ht="25.5" x14ac:dyDescent="0.35">
      <c r="A5" s="8" t="s">
        <v>27</v>
      </c>
      <c r="B5" s="8" t="s">
        <v>28</v>
      </c>
      <c r="C5" s="8" t="s">
        <v>29</v>
      </c>
      <c r="D5" s="8" t="s">
        <v>30</v>
      </c>
      <c r="E5" s="8" t="s">
        <v>40</v>
      </c>
      <c r="F5" s="8" t="s">
        <v>41</v>
      </c>
      <c r="G5" s="8">
        <v>2017</v>
      </c>
      <c r="H5" s="8" t="str">
        <f>CONCATENATE("24270242852")</f>
        <v>24270242852</v>
      </c>
      <c r="I5" s="8" t="s">
        <v>42</v>
      </c>
      <c r="J5" s="8" t="s">
        <v>33</v>
      </c>
      <c r="K5" s="8" t="str">
        <f t="shared" si="0"/>
        <v/>
      </c>
      <c r="L5" s="8" t="str">
        <f>CONCATENATE("3 3.1 3a")</f>
        <v>3 3.1 3a</v>
      </c>
      <c r="M5" s="8" t="str">
        <f>CONCATENATE("02731470429")</f>
        <v>02731470429</v>
      </c>
      <c r="N5" s="8" t="s">
        <v>43</v>
      </c>
      <c r="O5" s="8" t="s">
        <v>35</v>
      </c>
      <c r="P5" s="9">
        <v>45238</v>
      </c>
      <c r="Q5" s="8" t="s">
        <v>36</v>
      </c>
      <c r="R5" s="8" t="s">
        <v>37</v>
      </c>
      <c r="S5" s="8" t="s">
        <v>38</v>
      </c>
      <c r="T5" s="8"/>
      <c r="U5" s="8" t="s">
        <v>39</v>
      </c>
      <c r="V5" s="8">
        <v>822.75</v>
      </c>
      <c r="W5" s="8">
        <v>354.77</v>
      </c>
      <c r="X5" s="8">
        <v>327.62</v>
      </c>
      <c r="Y5" s="8">
        <v>0</v>
      </c>
      <c r="Z5" s="8">
        <v>140.36000000000001</v>
      </c>
    </row>
    <row r="6" spans="1:26" ht="49.5" x14ac:dyDescent="0.35">
      <c r="A6" s="8" t="s">
        <v>27</v>
      </c>
      <c r="B6" s="8" t="s">
        <v>28</v>
      </c>
      <c r="C6" s="8" t="s">
        <v>29</v>
      </c>
      <c r="D6" s="8" t="s">
        <v>30</v>
      </c>
      <c r="E6" s="8" t="s">
        <v>40</v>
      </c>
      <c r="F6" s="8" t="s">
        <v>41</v>
      </c>
      <c r="G6" s="8">
        <v>2017</v>
      </c>
      <c r="H6" s="8" t="str">
        <f>CONCATENATE("24270242829")</f>
        <v>24270242829</v>
      </c>
      <c r="I6" s="8" t="s">
        <v>32</v>
      </c>
      <c r="J6" s="8" t="s">
        <v>33</v>
      </c>
      <c r="K6" s="8" t="str">
        <f t="shared" si="0"/>
        <v/>
      </c>
      <c r="L6" s="8" t="str">
        <f>CONCATENATE("3 3.1 3a")</f>
        <v>3 3.1 3a</v>
      </c>
      <c r="M6" s="8" t="str">
        <f>CONCATENATE("MRNLNZ92A11A271S")</f>
        <v>MRNLNZ92A11A271S</v>
      </c>
      <c r="N6" s="8" t="s">
        <v>44</v>
      </c>
      <c r="O6" s="8" t="s">
        <v>35</v>
      </c>
      <c r="P6" s="9">
        <v>45238</v>
      </c>
      <c r="Q6" s="8" t="s">
        <v>36</v>
      </c>
      <c r="R6" s="8" t="s">
        <v>37</v>
      </c>
      <c r="S6" s="8" t="s">
        <v>38</v>
      </c>
      <c r="T6" s="8"/>
      <c r="U6" s="8" t="s">
        <v>39</v>
      </c>
      <c r="V6" s="10">
        <v>1200</v>
      </c>
      <c r="W6" s="8">
        <v>517.44000000000005</v>
      </c>
      <c r="X6" s="8">
        <v>477.84</v>
      </c>
      <c r="Y6" s="8">
        <v>0</v>
      </c>
      <c r="Z6" s="8">
        <v>204.72</v>
      </c>
    </row>
    <row r="7" spans="1:26" ht="41.5" x14ac:dyDescent="0.35">
      <c r="A7" s="8" t="s">
        <v>27</v>
      </c>
      <c r="B7" s="8" t="s">
        <v>28</v>
      </c>
      <c r="C7" s="8" t="s">
        <v>29</v>
      </c>
      <c r="D7" s="8" t="s">
        <v>30</v>
      </c>
      <c r="E7" s="8" t="s">
        <v>45</v>
      </c>
      <c r="F7" s="8" t="s">
        <v>46</v>
      </c>
      <c r="G7" s="8">
        <v>2017</v>
      </c>
      <c r="H7" s="8" t="str">
        <f>CONCATENATE("24270242837")</f>
        <v>24270242837</v>
      </c>
      <c r="I7" s="8" t="s">
        <v>32</v>
      </c>
      <c r="J7" s="8" t="s">
        <v>33</v>
      </c>
      <c r="K7" s="8" t="str">
        <f t="shared" si="0"/>
        <v/>
      </c>
      <c r="L7" s="8" t="str">
        <f>CONCATENATE("3 3.1 3a")</f>
        <v>3 3.1 3a</v>
      </c>
      <c r="M7" s="8" t="str">
        <f>CONCATENATE("BLLFRZ72D19I461U")</f>
        <v>BLLFRZ72D19I461U</v>
      </c>
      <c r="N7" s="8" t="s">
        <v>47</v>
      </c>
      <c r="O7" s="8" t="s">
        <v>35</v>
      </c>
      <c r="P7" s="9">
        <v>45238</v>
      </c>
      <c r="Q7" s="8" t="s">
        <v>36</v>
      </c>
      <c r="R7" s="8" t="s">
        <v>37</v>
      </c>
      <c r="S7" s="8" t="s">
        <v>38</v>
      </c>
      <c r="T7" s="8"/>
      <c r="U7" s="8" t="s">
        <v>39</v>
      </c>
      <c r="V7" s="10">
        <v>1420</v>
      </c>
      <c r="W7" s="8">
        <v>612.29999999999995</v>
      </c>
      <c r="X7" s="8">
        <v>565.44000000000005</v>
      </c>
      <c r="Y7" s="8">
        <v>0</v>
      </c>
      <c r="Z7" s="8">
        <v>242.26</v>
      </c>
    </row>
    <row r="8" spans="1:26" ht="41.5" x14ac:dyDescent="0.35">
      <c r="A8" s="8" t="s">
        <v>27</v>
      </c>
      <c r="B8" s="8" t="s">
        <v>28</v>
      </c>
      <c r="C8" s="8" t="s">
        <v>29</v>
      </c>
      <c r="D8" s="8" t="s">
        <v>30</v>
      </c>
      <c r="E8" s="8" t="s">
        <v>40</v>
      </c>
      <c r="F8" s="8" t="s">
        <v>41</v>
      </c>
      <c r="G8" s="8">
        <v>2017</v>
      </c>
      <c r="H8" s="8" t="str">
        <f>CONCATENATE("24270242803")</f>
        <v>24270242803</v>
      </c>
      <c r="I8" s="8" t="s">
        <v>32</v>
      </c>
      <c r="J8" s="8" t="s">
        <v>33</v>
      </c>
      <c r="K8" s="8" t="str">
        <f t="shared" si="0"/>
        <v/>
      </c>
      <c r="L8" s="8" t="str">
        <f>CONCATENATE("3 3.1 3a")</f>
        <v>3 3.1 3a</v>
      </c>
      <c r="M8" s="8" t="str">
        <f>CONCATENATE("CNSVLR85P09E388C")</f>
        <v>CNSVLR85P09E388C</v>
      </c>
      <c r="N8" s="8" t="s">
        <v>48</v>
      </c>
      <c r="O8" s="8" t="s">
        <v>35</v>
      </c>
      <c r="P8" s="9">
        <v>45238</v>
      </c>
      <c r="Q8" s="8" t="s">
        <v>36</v>
      </c>
      <c r="R8" s="8" t="s">
        <v>37</v>
      </c>
      <c r="S8" s="8" t="s">
        <v>38</v>
      </c>
      <c r="T8" s="8"/>
      <c r="U8" s="8" t="s">
        <v>39</v>
      </c>
      <c r="V8" s="10">
        <v>1071.5999999999999</v>
      </c>
      <c r="W8" s="8">
        <v>462.07</v>
      </c>
      <c r="X8" s="8">
        <v>426.71</v>
      </c>
      <c r="Y8" s="8">
        <v>0</v>
      </c>
      <c r="Z8" s="8">
        <v>182.82</v>
      </c>
    </row>
    <row r="9" spans="1:26" ht="41.5" x14ac:dyDescent="0.35">
      <c r="A9" s="8" t="s">
        <v>27</v>
      </c>
      <c r="B9" s="8" t="s">
        <v>28</v>
      </c>
      <c r="C9" s="8" t="s">
        <v>29</v>
      </c>
      <c r="D9" s="8" t="s">
        <v>30</v>
      </c>
      <c r="E9" s="8" t="s">
        <v>40</v>
      </c>
      <c r="F9" s="8" t="s">
        <v>49</v>
      </c>
      <c r="G9" s="8">
        <v>2017</v>
      </c>
      <c r="H9" s="8" t="str">
        <f>CONCATENATE("24270242779")</f>
        <v>24270242779</v>
      </c>
      <c r="I9" s="8" t="s">
        <v>32</v>
      </c>
      <c r="J9" s="8" t="s">
        <v>33</v>
      </c>
      <c r="K9" s="8" t="str">
        <f t="shared" si="0"/>
        <v/>
      </c>
      <c r="L9" s="8" t="str">
        <f>CONCATENATE("3 3.1 3a")</f>
        <v>3 3.1 3a</v>
      </c>
      <c r="M9" s="8" t="str">
        <f>CONCATENATE("CBCMCL63M04I461D")</f>
        <v>CBCMCL63M04I461D</v>
      </c>
      <c r="N9" s="8" t="s">
        <v>50</v>
      </c>
      <c r="O9" s="8" t="s">
        <v>35</v>
      </c>
      <c r="P9" s="9">
        <v>45238</v>
      </c>
      <c r="Q9" s="8" t="s">
        <v>36</v>
      </c>
      <c r="R9" s="8" t="s">
        <v>37</v>
      </c>
      <c r="S9" s="8" t="s">
        <v>38</v>
      </c>
      <c r="T9" s="8"/>
      <c r="U9" s="8" t="s">
        <v>39</v>
      </c>
      <c r="V9" s="10">
        <v>3074.45</v>
      </c>
      <c r="W9" s="10">
        <v>1325.7</v>
      </c>
      <c r="X9" s="10">
        <v>1224.25</v>
      </c>
      <c r="Y9" s="8">
        <v>0</v>
      </c>
      <c r="Z9" s="8">
        <v>524.5</v>
      </c>
    </row>
    <row r="10" spans="1:26" ht="25.5" x14ac:dyDescent="0.35">
      <c r="A10" s="8" t="s">
        <v>27</v>
      </c>
      <c r="B10" s="8" t="s">
        <v>28</v>
      </c>
      <c r="C10" s="8" t="s">
        <v>29</v>
      </c>
      <c r="D10" s="8" t="s">
        <v>30</v>
      </c>
      <c r="E10" s="8" t="s">
        <v>40</v>
      </c>
      <c r="F10" s="8" t="s">
        <v>41</v>
      </c>
      <c r="G10" s="8">
        <v>2017</v>
      </c>
      <c r="H10" s="8" t="str">
        <f>CONCATENATE("24270242845")</f>
        <v>24270242845</v>
      </c>
      <c r="I10" s="8" t="s">
        <v>42</v>
      </c>
      <c r="J10" s="8" t="s">
        <v>33</v>
      </c>
      <c r="K10" s="8" t="str">
        <f t="shared" si="0"/>
        <v/>
      </c>
      <c r="L10" s="8" t="str">
        <f>CONCATENATE("3 3.1 3a")</f>
        <v>3 3.1 3a</v>
      </c>
      <c r="M10" s="8" t="str">
        <f>CONCATENATE("02018110425")</f>
        <v>02018110425</v>
      </c>
      <c r="N10" s="8" t="s">
        <v>51</v>
      </c>
      <c r="O10" s="8" t="s">
        <v>35</v>
      </c>
      <c r="P10" s="9">
        <v>45238</v>
      </c>
      <c r="Q10" s="8" t="s">
        <v>36</v>
      </c>
      <c r="R10" s="8" t="s">
        <v>37</v>
      </c>
      <c r="S10" s="8" t="s">
        <v>38</v>
      </c>
      <c r="T10" s="8"/>
      <c r="U10" s="8" t="s">
        <v>39</v>
      </c>
      <c r="V10" s="8">
        <v>390</v>
      </c>
      <c r="W10" s="8">
        <v>168.17</v>
      </c>
      <c r="X10" s="8">
        <v>155.30000000000001</v>
      </c>
      <c r="Y10" s="8">
        <v>0</v>
      </c>
      <c r="Z10" s="8">
        <v>66.53</v>
      </c>
    </row>
    <row r="11" spans="1:26" ht="25.5" x14ac:dyDescent="0.35">
      <c r="A11" s="8" t="s">
        <v>27</v>
      </c>
      <c r="B11" s="8" t="s">
        <v>28</v>
      </c>
      <c r="C11" s="8" t="s">
        <v>29</v>
      </c>
      <c r="D11" s="8" t="s">
        <v>30</v>
      </c>
      <c r="E11" s="8" t="s">
        <v>40</v>
      </c>
      <c r="F11" s="8" t="s">
        <v>52</v>
      </c>
      <c r="G11" s="8">
        <v>2017</v>
      </c>
      <c r="H11" s="8" t="str">
        <f>CONCATENATE("24270242860")</f>
        <v>24270242860</v>
      </c>
      <c r="I11" s="8" t="s">
        <v>32</v>
      </c>
      <c r="J11" s="8" t="s">
        <v>33</v>
      </c>
      <c r="K11" s="8" t="str">
        <f t="shared" si="0"/>
        <v/>
      </c>
      <c r="L11" s="8" t="str">
        <f>CONCATENATE("3 3.1 3a")</f>
        <v>3 3.1 3a</v>
      </c>
      <c r="M11" s="8" t="str">
        <f>CONCATENATE("02719940427")</f>
        <v>02719940427</v>
      </c>
      <c r="N11" s="8" t="s">
        <v>53</v>
      </c>
      <c r="O11" s="8" t="s">
        <v>35</v>
      </c>
      <c r="P11" s="9">
        <v>45238</v>
      </c>
      <c r="Q11" s="8" t="s">
        <v>36</v>
      </c>
      <c r="R11" s="8" t="s">
        <v>37</v>
      </c>
      <c r="S11" s="8" t="s">
        <v>38</v>
      </c>
      <c r="T11" s="8"/>
      <c r="U11" s="8" t="s">
        <v>39</v>
      </c>
      <c r="V11" s="8">
        <v>240</v>
      </c>
      <c r="W11" s="8">
        <v>103.49</v>
      </c>
      <c r="X11" s="8">
        <v>95.57</v>
      </c>
      <c r="Y11" s="8">
        <v>0</v>
      </c>
      <c r="Z11" s="8">
        <v>40.94</v>
      </c>
    </row>
    <row r="12" spans="1:26" ht="41.5" x14ac:dyDescent="0.35">
      <c r="A12" s="8" t="s">
        <v>27</v>
      </c>
      <c r="B12" s="8" t="s">
        <v>28</v>
      </c>
      <c r="C12" s="8" t="s">
        <v>29</v>
      </c>
      <c r="D12" s="8" t="s">
        <v>29</v>
      </c>
      <c r="E12" s="8" t="s">
        <v>31</v>
      </c>
      <c r="F12" s="8" t="s">
        <v>31</v>
      </c>
      <c r="G12" s="8">
        <v>2017</v>
      </c>
      <c r="H12" s="8" t="str">
        <f>CONCATENATE("34270356214")</f>
        <v>34270356214</v>
      </c>
      <c r="I12" s="8" t="s">
        <v>32</v>
      </c>
      <c r="J12" s="8" t="s">
        <v>33</v>
      </c>
      <c r="K12" s="8" t="str">
        <f t="shared" si="0"/>
        <v/>
      </c>
      <c r="L12" s="8" t="str">
        <f>CONCATENATE("19 19.2 6b")</f>
        <v>19 19.2 6b</v>
      </c>
      <c r="M12" s="8" t="str">
        <f>CONCATENATE("GVNMRA93H69I459F")</f>
        <v>GVNMRA93H69I459F</v>
      </c>
      <c r="N12" s="8" t="s">
        <v>54</v>
      </c>
      <c r="O12" s="8" t="s">
        <v>55</v>
      </c>
      <c r="P12" s="9">
        <v>45238</v>
      </c>
      <c r="Q12" s="8" t="s">
        <v>36</v>
      </c>
      <c r="R12" s="8" t="s">
        <v>56</v>
      </c>
      <c r="S12" s="8" t="s">
        <v>38</v>
      </c>
      <c r="T12" s="8"/>
      <c r="U12" s="8" t="s">
        <v>39</v>
      </c>
      <c r="V12" s="10">
        <v>30000</v>
      </c>
      <c r="W12" s="10">
        <v>12936</v>
      </c>
      <c r="X12" s="10">
        <v>11946</v>
      </c>
      <c r="Y12" s="8">
        <v>0</v>
      </c>
      <c r="Z12" s="10">
        <v>5118</v>
      </c>
    </row>
    <row r="13" spans="1:26" ht="41.5" x14ac:dyDescent="0.35">
      <c r="A13" s="8" t="s">
        <v>27</v>
      </c>
      <c r="B13" s="8" t="s">
        <v>28</v>
      </c>
      <c r="C13" s="8" t="s">
        <v>29</v>
      </c>
      <c r="D13" s="8" t="s">
        <v>29</v>
      </c>
      <c r="E13" s="8" t="s">
        <v>31</v>
      </c>
      <c r="F13" s="8" t="s">
        <v>31</v>
      </c>
      <c r="G13" s="8">
        <v>2017</v>
      </c>
      <c r="H13" s="8" t="str">
        <f>CONCATENATE("34270356198")</f>
        <v>34270356198</v>
      </c>
      <c r="I13" s="8" t="s">
        <v>32</v>
      </c>
      <c r="J13" s="8" t="s">
        <v>33</v>
      </c>
      <c r="K13" s="8" t="str">
        <f t="shared" si="0"/>
        <v/>
      </c>
      <c r="L13" s="8" t="str">
        <f>CONCATENATE("19 19.2 6b")</f>
        <v>19 19.2 6b</v>
      </c>
      <c r="M13" s="8" t="str">
        <f>CONCATENATE("GRNTNA85B66B352Y")</f>
        <v>GRNTNA85B66B352Y</v>
      </c>
      <c r="N13" s="8" t="s">
        <v>57</v>
      </c>
      <c r="O13" s="8" t="s">
        <v>55</v>
      </c>
      <c r="P13" s="9">
        <v>45238</v>
      </c>
      <c r="Q13" s="8" t="s">
        <v>36</v>
      </c>
      <c r="R13" s="8" t="s">
        <v>37</v>
      </c>
      <c r="S13" s="8" t="s">
        <v>38</v>
      </c>
      <c r="T13" s="8"/>
      <c r="U13" s="8" t="s">
        <v>39</v>
      </c>
      <c r="V13" s="10">
        <v>13836.4</v>
      </c>
      <c r="W13" s="10">
        <v>5966.26</v>
      </c>
      <c r="X13" s="10">
        <v>5509.65</v>
      </c>
      <c r="Y13" s="8">
        <v>0</v>
      </c>
      <c r="Z13" s="10">
        <v>2360.4899999999998</v>
      </c>
    </row>
    <row r="14" spans="1:26" ht="25.5" x14ac:dyDescent="0.35">
      <c r="A14" s="8" t="s">
        <v>27</v>
      </c>
      <c r="B14" s="8" t="s">
        <v>28</v>
      </c>
      <c r="C14" s="8" t="s">
        <v>29</v>
      </c>
      <c r="D14" s="8" t="s">
        <v>29</v>
      </c>
      <c r="E14" s="8" t="s">
        <v>31</v>
      </c>
      <c r="F14" s="8" t="s">
        <v>31</v>
      </c>
      <c r="G14" s="8">
        <v>2017</v>
      </c>
      <c r="H14" s="8" t="str">
        <f>CONCATENATE("34270356206")</f>
        <v>34270356206</v>
      </c>
      <c r="I14" s="8" t="s">
        <v>32</v>
      </c>
      <c r="J14" s="8" t="s">
        <v>33</v>
      </c>
      <c r="K14" s="8" t="str">
        <f t="shared" si="0"/>
        <v/>
      </c>
      <c r="L14" s="8" t="str">
        <f>CONCATENATE("19 19.2 6b")</f>
        <v>19 19.2 6b</v>
      </c>
      <c r="M14" s="8" t="str">
        <f>CONCATENATE("02169390412")</f>
        <v>02169390412</v>
      </c>
      <c r="N14" s="8" t="s">
        <v>58</v>
      </c>
      <c r="O14" s="8" t="s">
        <v>55</v>
      </c>
      <c r="P14" s="9">
        <v>45238</v>
      </c>
      <c r="Q14" s="8" t="s">
        <v>36</v>
      </c>
      <c r="R14" s="8" t="s">
        <v>37</v>
      </c>
      <c r="S14" s="8" t="s">
        <v>38</v>
      </c>
      <c r="T14" s="8"/>
      <c r="U14" s="8" t="s">
        <v>39</v>
      </c>
      <c r="V14" s="10">
        <v>60000</v>
      </c>
      <c r="W14" s="10">
        <v>25872</v>
      </c>
      <c r="X14" s="10">
        <v>23892</v>
      </c>
      <c r="Y14" s="8">
        <v>0</v>
      </c>
      <c r="Z14" s="10">
        <v>10236</v>
      </c>
    </row>
    <row r="15" spans="1:26" ht="25.5" x14ac:dyDescent="0.35">
      <c r="A15" s="8" t="s">
        <v>27</v>
      </c>
      <c r="B15" s="8" t="s">
        <v>28</v>
      </c>
      <c r="C15" s="8" t="s">
        <v>29</v>
      </c>
      <c r="D15" s="8" t="s">
        <v>29</v>
      </c>
      <c r="E15" s="8" t="s">
        <v>31</v>
      </c>
      <c r="F15" s="8" t="s">
        <v>31</v>
      </c>
      <c r="G15" s="8">
        <v>2017</v>
      </c>
      <c r="H15" s="8" t="str">
        <f>CONCATENATE("34270356222")</f>
        <v>34270356222</v>
      </c>
      <c r="I15" s="8" t="s">
        <v>32</v>
      </c>
      <c r="J15" s="8" t="s">
        <v>33</v>
      </c>
      <c r="K15" s="8" t="str">
        <f t="shared" si="0"/>
        <v/>
      </c>
      <c r="L15" s="8" t="str">
        <f>CONCATENATE("19 19.2 6b")</f>
        <v>19 19.2 6b</v>
      </c>
      <c r="M15" s="8" t="str">
        <f>CONCATENATE("00372650416")</f>
        <v>00372650416</v>
      </c>
      <c r="N15" s="8" t="s">
        <v>59</v>
      </c>
      <c r="O15" s="8" t="s">
        <v>55</v>
      </c>
      <c r="P15" s="9">
        <v>45238</v>
      </c>
      <c r="Q15" s="8" t="s">
        <v>36</v>
      </c>
      <c r="R15" s="8" t="s">
        <v>37</v>
      </c>
      <c r="S15" s="8" t="s">
        <v>38</v>
      </c>
      <c r="T15" s="8"/>
      <c r="U15" s="8" t="s">
        <v>39</v>
      </c>
      <c r="V15" s="10">
        <v>8863.19</v>
      </c>
      <c r="W15" s="10">
        <v>3821.81</v>
      </c>
      <c r="X15" s="10">
        <v>3529.32</v>
      </c>
      <c r="Y15" s="8">
        <v>0</v>
      </c>
      <c r="Z15" s="10">
        <v>1512.06</v>
      </c>
    </row>
    <row r="16" spans="1:26" ht="25.5" x14ac:dyDescent="0.35">
      <c r="A16" s="8" t="s">
        <v>27</v>
      </c>
      <c r="B16" s="8" t="s">
        <v>28</v>
      </c>
      <c r="C16" s="8" t="s">
        <v>29</v>
      </c>
      <c r="D16" s="8" t="s">
        <v>30</v>
      </c>
      <c r="E16" s="8" t="s">
        <v>40</v>
      </c>
      <c r="F16" s="8" t="s">
        <v>41</v>
      </c>
      <c r="G16" s="8">
        <v>2017</v>
      </c>
      <c r="H16" s="8" t="str">
        <f>CONCATENATE("14270365662")</f>
        <v>14270365662</v>
      </c>
      <c r="I16" s="8" t="s">
        <v>42</v>
      </c>
      <c r="J16" s="8" t="s">
        <v>33</v>
      </c>
      <c r="K16" s="8" t="str">
        <f t="shared" si="0"/>
        <v/>
      </c>
      <c r="L16" s="8" t="str">
        <f>CONCATENATE("3 3.1 3a")</f>
        <v>3 3.1 3a</v>
      </c>
      <c r="M16" s="8" t="str">
        <f>CONCATENATE("02707770422")</f>
        <v>02707770422</v>
      </c>
      <c r="N16" s="8" t="s">
        <v>60</v>
      </c>
      <c r="O16" s="8" t="s">
        <v>61</v>
      </c>
      <c r="P16" s="9">
        <v>45238</v>
      </c>
      <c r="Q16" s="8" t="s">
        <v>36</v>
      </c>
      <c r="R16" s="8" t="s">
        <v>37</v>
      </c>
      <c r="S16" s="8" t="s">
        <v>38</v>
      </c>
      <c r="T16" s="8"/>
      <c r="U16" s="8" t="s">
        <v>39</v>
      </c>
      <c r="V16" s="8">
        <v>322.32</v>
      </c>
      <c r="W16" s="8">
        <v>138.97999999999999</v>
      </c>
      <c r="X16" s="8">
        <v>128.35</v>
      </c>
      <c r="Y16" s="8">
        <v>0</v>
      </c>
      <c r="Z16" s="8">
        <v>54.99</v>
      </c>
    </row>
    <row r="17" spans="1:26" ht="25.5" x14ac:dyDescent="0.35">
      <c r="A17" s="8" t="s">
        <v>27</v>
      </c>
      <c r="B17" s="8" t="s">
        <v>28</v>
      </c>
      <c r="C17" s="8" t="s">
        <v>29</v>
      </c>
      <c r="D17" s="8" t="s">
        <v>62</v>
      </c>
      <c r="E17" s="8" t="s">
        <v>31</v>
      </c>
      <c r="F17" s="8" t="s">
        <v>31</v>
      </c>
      <c r="G17" s="8">
        <v>2017</v>
      </c>
      <c r="H17" s="8" t="str">
        <f>CONCATENATE("34270356115")</f>
        <v>34270356115</v>
      </c>
      <c r="I17" s="8" t="s">
        <v>32</v>
      </c>
      <c r="J17" s="8" t="s">
        <v>33</v>
      </c>
      <c r="K17" s="8" t="str">
        <f t="shared" si="0"/>
        <v/>
      </c>
      <c r="L17" s="8" t="str">
        <f>CONCATENATE("4 4.3 2a")</f>
        <v>4 4.3 2a</v>
      </c>
      <c r="M17" s="8" t="str">
        <f>CONCATENATE("00355250440")</f>
        <v>00355250440</v>
      </c>
      <c r="N17" s="8" t="s">
        <v>63</v>
      </c>
      <c r="O17" s="8" t="s">
        <v>64</v>
      </c>
      <c r="P17" s="9">
        <v>45238</v>
      </c>
      <c r="Q17" s="8" t="s">
        <v>36</v>
      </c>
      <c r="R17" s="8" t="s">
        <v>37</v>
      </c>
      <c r="S17" s="8" t="s">
        <v>38</v>
      </c>
      <c r="T17" s="8"/>
      <c r="U17" s="8" t="s">
        <v>39</v>
      </c>
      <c r="V17" s="10">
        <v>2418.0100000000002</v>
      </c>
      <c r="W17" s="10">
        <v>1042.6500000000001</v>
      </c>
      <c r="X17" s="8">
        <v>962.85</v>
      </c>
      <c r="Y17" s="8">
        <v>0</v>
      </c>
      <c r="Z17" s="8">
        <v>412.51</v>
      </c>
    </row>
    <row r="18" spans="1:26" ht="25.5" x14ac:dyDescent="0.35">
      <c r="A18" s="8" t="s">
        <v>27</v>
      </c>
      <c r="B18" s="8" t="s">
        <v>28</v>
      </c>
      <c r="C18" s="8" t="s">
        <v>29</v>
      </c>
      <c r="D18" s="8" t="s">
        <v>65</v>
      </c>
      <c r="E18" s="8" t="s">
        <v>31</v>
      </c>
      <c r="F18" s="8" t="s">
        <v>31</v>
      </c>
      <c r="G18" s="8">
        <v>2017</v>
      </c>
      <c r="H18" s="8" t="str">
        <f>CONCATENATE("34270360208")</f>
        <v>34270360208</v>
      </c>
      <c r="I18" s="8" t="s">
        <v>32</v>
      </c>
      <c r="J18" s="8" t="s">
        <v>33</v>
      </c>
      <c r="K18" s="8" t="str">
        <f t="shared" si="0"/>
        <v/>
      </c>
      <c r="L18" s="8" t="str">
        <f>CONCATENATE("1 1.1 2a")</f>
        <v>1 1.1 2a</v>
      </c>
      <c r="M18" s="8" t="str">
        <f>CONCATENATE("02051370423")</f>
        <v>02051370423</v>
      </c>
      <c r="N18" s="8" t="s">
        <v>66</v>
      </c>
      <c r="O18" s="8" t="s">
        <v>67</v>
      </c>
      <c r="P18" s="9">
        <v>45238</v>
      </c>
      <c r="Q18" s="8" t="s">
        <v>36</v>
      </c>
      <c r="R18" s="8" t="s">
        <v>37</v>
      </c>
      <c r="S18" s="8" t="s">
        <v>38</v>
      </c>
      <c r="T18" s="8"/>
      <c r="U18" s="8" t="s">
        <v>39</v>
      </c>
      <c r="V18" s="10">
        <v>5280</v>
      </c>
      <c r="W18" s="10">
        <v>2276.7399999999998</v>
      </c>
      <c r="X18" s="10">
        <v>2102.5</v>
      </c>
      <c r="Y18" s="8">
        <v>0</v>
      </c>
      <c r="Z18" s="8">
        <v>900.76</v>
      </c>
    </row>
    <row r="19" spans="1:26" ht="25.5" x14ac:dyDescent="0.35">
      <c r="A19" s="8" t="s">
        <v>27</v>
      </c>
      <c r="B19" s="8" t="s">
        <v>28</v>
      </c>
      <c r="C19" s="8" t="s">
        <v>29</v>
      </c>
      <c r="D19" s="8" t="s">
        <v>62</v>
      </c>
      <c r="E19" s="8" t="s">
        <v>68</v>
      </c>
      <c r="F19" s="8" t="s">
        <v>69</v>
      </c>
      <c r="G19" s="8">
        <v>2017</v>
      </c>
      <c r="H19" s="8" t="str">
        <f>CONCATENATE("34270360299")</f>
        <v>34270360299</v>
      </c>
      <c r="I19" s="8" t="s">
        <v>42</v>
      </c>
      <c r="J19" s="8" t="s">
        <v>33</v>
      </c>
      <c r="K19" s="8" t="str">
        <f t="shared" si="0"/>
        <v/>
      </c>
      <c r="L19" s="8" t="str">
        <f>CONCATENATE("4 4.1 2a")</f>
        <v>4 4.1 2a</v>
      </c>
      <c r="M19" s="8" t="str">
        <f>CONCATENATE("01604640449")</f>
        <v>01604640449</v>
      </c>
      <c r="N19" s="8" t="s">
        <v>70</v>
      </c>
      <c r="O19" s="8" t="s">
        <v>71</v>
      </c>
      <c r="P19" s="9">
        <v>45238</v>
      </c>
      <c r="Q19" s="8" t="s">
        <v>36</v>
      </c>
      <c r="R19" s="8" t="s">
        <v>37</v>
      </c>
      <c r="S19" s="8" t="s">
        <v>38</v>
      </c>
      <c r="T19" s="8"/>
      <c r="U19" s="8" t="s">
        <v>39</v>
      </c>
      <c r="V19" s="10">
        <v>164372.14000000001</v>
      </c>
      <c r="W19" s="10">
        <v>70877.27</v>
      </c>
      <c r="X19" s="10">
        <v>65452.99</v>
      </c>
      <c r="Y19" s="8">
        <v>0</v>
      </c>
      <c r="Z19" s="10">
        <v>28041.88</v>
      </c>
    </row>
    <row r="20" spans="1:26" ht="25.5" x14ac:dyDescent="0.35">
      <c r="A20" s="8" t="s">
        <v>27</v>
      </c>
      <c r="B20" s="8" t="s">
        <v>28</v>
      </c>
      <c r="C20" s="8" t="s">
        <v>29</v>
      </c>
      <c r="D20" s="8" t="s">
        <v>29</v>
      </c>
      <c r="E20" s="8" t="s">
        <v>31</v>
      </c>
      <c r="F20" s="8" t="s">
        <v>31</v>
      </c>
      <c r="G20" s="8">
        <v>2017</v>
      </c>
      <c r="H20" s="8" t="str">
        <f>CONCATENATE("34270357188")</f>
        <v>34270357188</v>
      </c>
      <c r="I20" s="8" t="s">
        <v>32</v>
      </c>
      <c r="J20" s="8" t="s">
        <v>33</v>
      </c>
      <c r="K20" s="8" t="str">
        <f t="shared" si="0"/>
        <v/>
      </c>
      <c r="L20" s="8" t="str">
        <f>CONCATENATE("19 19.2 6b")</f>
        <v>19 19.2 6b</v>
      </c>
      <c r="M20" s="8" t="str">
        <f>CONCATENATE("02600080416")</f>
        <v>02600080416</v>
      </c>
      <c r="N20" s="8" t="s">
        <v>72</v>
      </c>
      <c r="O20" s="8" t="s">
        <v>73</v>
      </c>
      <c r="P20" s="9">
        <v>45238</v>
      </c>
      <c r="Q20" s="8" t="s">
        <v>36</v>
      </c>
      <c r="R20" s="8" t="s">
        <v>37</v>
      </c>
      <c r="S20" s="8" t="s">
        <v>38</v>
      </c>
      <c r="T20" s="8"/>
      <c r="U20" s="8" t="s">
        <v>39</v>
      </c>
      <c r="V20" s="10">
        <v>15000</v>
      </c>
      <c r="W20" s="10">
        <v>6468</v>
      </c>
      <c r="X20" s="10">
        <v>5973</v>
      </c>
      <c r="Y20" s="8">
        <v>0</v>
      </c>
      <c r="Z20" s="10">
        <v>2559</v>
      </c>
    </row>
    <row r="21" spans="1:26" ht="41.5" x14ac:dyDescent="0.35">
      <c r="A21" s="8" t="s">
        <v>27</v>
      </c>
      <c r="B21" s="8" t="s">
        <v>28</v>
      </c>
      <c r="C21" s="8" t="s">
        <v>29</v>
      </c>
      <c r="D21" s="8" t="s">
        <v>29</v>
      </c>
      <c r="E21" s="8" t="s">
        <v>31</v>
      </c>
      <c r="F21" s="8" t="s">
        <v>31</v>
      </c>
      <c r="G21" s="8">
        <v>2017</v>
      </c>
      <c r="H21" s="8" t="str">
        <f>CONCATENATE("34270357170")</f>
        <v>34270357170</v>
      </c>
      <c r="I21" s="8" t="s">
        <v>32</v>
      </c>
      <c r="J21" s="8" t="s">
        <v>33</v>
      </c>
      <c r="K21" s="8" t="str">
        <f t="shared" si="0"/>
        <v/>
      </c>
      <c r="L21" s="8" t="str">
        <f>CONCATENATE("19 19.2 6b")</f>
        <v>19 19.2 6b</v>
      </c>
      <c r="M21" s="8" t="str">
        <f>CONCATENATE("RSSPTR91L18I459R")</f>
        <v>RSSPTR91L18I459R</v>
      </c>
      <c r="N21" s="8" t="s">
        <v>74</v>
      </c>
      <c r="O21" s="8" t="s">
        <v>73</v>
      </c>
      <c r="P21" s="9">
        <v>45238</v>
      </c>
      <c r="Q21" s="8" t="s">
        <v>36</v>
      </c>
      <c r="R21" s="8" t="s">
        <v>37</v>
      </c>
      <c r="S21" s="8" t="s">
        <v>38</v>
      </c>
      <c r="T21" s="8"/>
      <c r="U21" s="8" t="s">
        <v>39</v>
      </c>
      <c r="V21" s="10">
        <v>30000</v>
      </c>
      <c r="W21" s="10">
        <v>12936</v>
      </c>
      <c r="X21" s="10">
        <v>11946</v>
      </c>
      <c r="Y21" s="8">
        <v>0</v>
      </c>
      <c r="Z21" s="10">
        <v>5118</v>
      </c>
    </row>
    <row r="22" spans="1:26" ht="25.5" x14ac:dyDescent="0.35">
      <c r="A22" s="8" t="s">
        <v>27</v>
      </c>
      <c r="B22" s="8" t="s">
        <v>28</v>
      </c>
      <c r="C22" s="8" t="s">
        <v>29</v>
      </c>
      <c r="D22" s="8" t="s">
        <v>75</v>
      </c>
      <c r="E22" s="8" t="s">
        <v>45</v>
      </c>
      <c r="F22" s="8" t="s">
        <v>76</v>
      </c>
      <c r="G22" s="8">
        <v>2017</v>
      </c>
      <c r="H22" s="8" t="str">
        <f>CONCATENATE("34270360190")</f>
        <v>34270360190</v>
      </c>
      <c r="I22" s="8" t="s">
        <v>32</v>
      </c>
      <c r="J22" s="8" t="s">
        <v>33</v>
      </c>
      <c r="K22" s="8" t="str">
        <f t="shared" si="0"/>
        <v/>
      </c>
      <c r="L22" s="8" t="str">
        <f>CONCATENATE("4 4.1 2a")</f>
        <v>4 4.1 2a</v>
      </c>
      <c r="M22" s="8" t="str">
        <f>CONCATENATE("01395000415")</f>
        <v>01395000415</v>
      </c>
      <c r="N22" s="8" t="s">
        <v>77</v>
      </c>
      <c r="O22" s="8" t="s">
        <v>78</v>
      </c>
      <c r="P22" s="9">
        <v>45238</v>
      </c>
      <c r="Q22" s="8" t="s">
        <v>36</v>
      </c>
      <c r="R22" s="8" t="s">
        <v>37</v>
      </c>
      <c r="S22" s="8" t="s">
        <v>38</v>
      </c>
      <c r="T22" s="8"/>
      <c r="U22" s="8" t="s">
        <v>39</v>
      </c>
      <c r="V22" s="10">
        <v>61998.3</v>
      </c>
      <c r="W22" s="10">
        <v>26733.67</v>
      </c>
      <c r="X22" s="10">
        <v>24687.72</v>
      </c>
      <c r="Y22" s="8">
        <v>0</v>
      </c>
      <c r="Z22" s="10">
        <v>10576.91</v>
      </c>
    </row>
    <row r="23" spans="1:26" ht="41.5" x14ac:dyDescent="0.35">
      <c r="A23" s="8" t="s">
        <v>27</v>
      </c>
      <c r="B23" s="8" t="s">
        <v>28</v>
      </c>
      <c r="C23" s="8" t="s">
        <v>29</v>
      </c>
      <c r="D23" s="8" t="s">
        <v>75</v>
      </c>
      <c r="E23" s="8" t="s">
        <v>45</v>
      </c>
      <c r="F23" s="8" t="s">
        <v>76</v>
      </c>
      <c r="G23" s="8">
        <v>2017</v>
      </c>
      <c r="H23" s="8" t="str">
        <f>CONCATENATE("34270360216")</f>
        <v>34270360216</v>
      </c>
      <c r="I23" s="8" t="s">
        <v>32</v>
      </c>
      <c r="J23" s="8" t="s">
        <v>33</v>
      </c>
      <c r="K23" s="8" t="str">
        <f t="shared" si="0"/>
        <v/>
      </c>
      <c r="L23" s="8" t="str">
        <f>CONCATENATE("4 4.1 2a")</f>
        <v>4 4.1 2a</v>
      </c>
      <c r="M23" s="8" t="str">
        <f>CONCATENATE("GRLGNN46C13A035Q")</f>
        <v>GRLGNN46C13A035Q</v>
      </c>
      <c r="N23" s="8" t="s">
        <v>79</v>
      </c>
      <c r="O23" s="8" t="s">
        <v>78</v>
      </c>
      <c r="P23" s="9">
        <v>45238</v>
      </c>
      <c r="Q23" s="8" t="s">
        <v>36</v>
      </c>
      <c r="R23" s="8" t="s">
        <v>37</v>
      </c>
      <c r="S23" s="8" t="s">
        <v>38</v>
      </c>
      <c r="T23" s="8"/>
      <c r="U23" s="8" t="s">
        <v>39</v>
      </c>
      <c r="V23" s="10">
        <v>21000</v>
      </c>
      <c r="W23" s="10">
        <v>9055.2000000000007</v>
      </c>
      <c r="X23" s="10">
        <v>8362.2000000000007</v>
      </c>
      <c r="Y23" s="8">
        <v>0</v>
      </c>
      <c r="Z23" s="10">
        <v>3582.6</v>
      </c>
    </row>
    <row r="24" spans="1:26" ht="25.5" x14ac:dyDescent="0.35">
      <c r="A24" s="8" t="s">
        <v>27</v>
      </c>
      <c r="B24" s="8" t="s">
        <v>28</v>
      </c>
      <c r="C24" s="8" t="s">
        <v>29</v>
      </c>
      <c r="D24" s="8" t="s">
        <v>65</v>
      </c>
      <c r="E24" s="8" t="s">
        <v>45</v>
      </c>
      <c r="F24" s="8" t="s">
        <v>80</v>
      </c>
      <c r="G24" s="8">
        <v>2017</v>
      </c>
      <c r="H24" s="8" t="str">
        <f>CONCATENATE("34270361560")</f>
        <v>34270361560</v>
      </c>
      <c r="I24" s="8" t="s">
        <v>32</v>
      </c>
      <c r="J24" s="8" t="s">
        <v>33</v>
      </c>
      <c r="K24" s="8" t="str">
        <f t="shared" si="0"/>
        <v/>
      </c>
      <c r="L24" s="8" t="str">
        <f>CONCATENATE("4 4.3 2a")</f>
        <v>4 4.3 2a</v>
      </c>
      <c r="M24" s="8" t="str">
        <f>CONCATENATE("81000250431")</f>
        <v>81000250431</v>
      </c>
      <c r="N24" s="8" t="s">
        <v>81</v>
      </c>
      <c r="O24" s="8" t="s">
        <v>82</v>
      </c>
      <c r="P24" s="9">
        <v>45238</v>
      </c>
      <c r="Q24" s="8" t="s">
        <v>36</v>
      </c>
      <c r="R24" s="8" t="s">
        <v>37</v>
      </c>
      <c r="S24" s="8" t="s">
        <v>38</v>
      </c>
      <c r="T24" s="8"/>
      <c r="U24" s="8" t="s">
        <v>39</v>
      </c>
      <c r="V24" s="10">
        <v>144328.43</v>
      </c>
      <c r="W24" s="10">
        <v>62234.42</v>
      </c>
      <c r="X24" s="10">
        <v>57471.58</v>
      </c>
      <c r="Y24" s="8">
        <v>0</v>
      </c>
      <c r="Z24" s="10">
        <v>24622.43</v>
      </c>
    </row>
    <row r="25" spans="1:26" ht="25.5" x14ac:dyDescent="0.35">
      <c r="A25" s="8" t="s">
        <v>27</v>
      </c>
      <c r="B25" s="8" t="s">
        <v>28</v>
      </c>
      <c r="C25" s="8" t="s">
        <v>29</v>
      </c>
      <c r="D25" s="8" t="s">
        <v>30</v>
      </c>
      <c r="E25" s="8" t="s">
        <v>31</v>
      </c>
      <c r="F25" s="8" t="s">
        <v>31</v>
      </c>
      <c r="G25" s="8">
        <v>2017</v>
      </c>
      <c r="H25" s="8" t="str">
        <f>CONCATENATE("34270355208")</f>
        <v>34270355208</v>
      </c>
      <c r="I25" s="8" t="s">
        <v>32</v>
      </c>
      <c r="J25" s="8" t="s">
        <v>33</v>
      </c>
      <c r="K25" s="8" t="str">
        <f t="shared" si="0"/>
        <v/>
      </c>
      <c r="L25" s="8" t="str">
        <f>CONCATENATE("20 20.1 ")</f>
        <v xml:space="preserve">20 20.1 </v>
      </c>
      <c r="M25" s="8" t="str">
        <f>CONCATENATE("80008630420")</f>
        <v>80008630420</v>
      </c>
      <c r="N25" s="8" t="s">
        <v>83</v>
      </c>
      <c r="O25" s="8" t="s">
        <v>84</v>
      </c>
      <c r="P25" s="9">
        <v>45238</v>
      </c>
      <c r="Q25" s="8" t="s">
        <v>36</v>
      </c>
      <c r="R25" s="8" t="s">
        <v>37</v>
      </c>
      <c r="S25" s="8" t="s">
        <v>38</v>
      </c>
      <c r="T25" s="8"/>
      <c r="U25" s="8" t="s">
        <v>39</v>
      </c>
      <c r="V25" s="10">
        <v>34709</v>
      </c>
      <c r="W25" s="10">
        <v>14966.52</v>
      </c>
      <c r="X25" s="10">
        <v>13821.12</v>
      </c>
      <c r="Y25" s="8">
        <v>0</v>
      </c>
      <c r="Z25" s="10">
        <v>5921.36</v>
      </c>
    </row>
    <row r="26" spans="1:26" ht="25.5" x14ac:dyDescent="0.35">
      <c r="A26" s="8" t="s">
        <v>27</v>
      </c>
      <c r="B26" s="8" t="s">
        <v>28</v>
      </c>
      <c r="C26" s="8" t="s">
        <v>29</v>
      </c>
      <c r="D26" s="8" t="s">
        <v>30</v>
      </c>
      <c r="E26" s="8" t="s">
        <v>31</v>
      </c>
      <c r="F26" s="8" t="s">
        <v>31</v>
      </c>
      <c r="G26" s="8">
        <v>2017</v>
      </c>
      <c r="H26" s="8" t="str">
        <f>CONCATENATE("34270355190")</f>
        <v>34270355190</v>
      </c>
      <c r="I26" s="8" t="s">
        <v>42</v>
      </c>
      <c r="J26" s="8" t="s">
        <v>33</v>
      </c>
      <c r="K26" s="8" t="str">
        <f t="shared" si="0"/>
        <v/>
      </c>
      <c r="L26" s="8" t="str">
        <f>CONCATENATE("20 20.1 ")</f>
        <v xml:space="preserve">20 20.1 </v>
      </c>
      <c r="M26" s="8" t="str">
        <f>CONCATENATE("80008630420")</f>
        <v>80008630420</v>
      </c>
      <c r="N26" s="8" t="s">
        <v>83</v>
      </c>
      <c r="O26" s="8" t="s">
        <v>84</v>
      </c>
      <c r="P26" s="9">
        <v>45238</v>
      </c>
      <c r="Q26" s="8" t="s">
        <v>36</v>
      </c>
      <c r="R26" s="8" t="s">
        <v>85</v>
      </c>
      <c r="S26" s="8" t="s">
        <v>38</v>
      </c>
      <c r="T26" s="8"/>
      <c r="U26" s="8" t="s">
        <v>39</v>
      </c>
      <c r="V26" s="10">
        <v>72113.72</v>
      </c>
      <c r="W26" s="10">
        <v>31095.439999999999</v>
      </c>
      <c r="X26" s="10">
        <v>28715.68</v>
      </c>
      <c r="Y26" s="8">
        <v>0</v>
      </c>
      <c r="Z26" s="10">
        <v>12302.6</v>
      </c>
    </row>
    <row r="27" spans="1:26" ht="25.5" x14ac:dyDescent="0.35">
      <c r="A27" s="8" t="s">
        <v>27</v>
      </c>
      <c r="B27" s="8" t="s">
        <v>28</v>
      </c>
      <c r="C27" s="8" t="s">
        <v>29</v>
      </c>
      <c r="D27" s="8" t="s">
        <v>30</v>
      </c>
      <c r="E27" s="8" t="s">
        <v>31</v>
      </c>
      <c r="F27" s="8" t="s">
        <v>31</v>
      </c>
      <c r="G27" s="8">
        <v>2017</v>
      </c>
      <c r="H27" s="8" t="str">
        <f>CONCATENATE("34270355182")</f>
        <v>34270355182</v>
      </c>
      <c r="I27" s="8" t="s">
        <v>32</v>
      </c>
      <c r="J27" s="8" t="s">
        <v>33</v>
      </c>
      <c r="K27" s="8" t="str">
        <f t="shared" si="0"/>
        <v/>
      </c>
      <c r="L27" s="8" t="str">
        <f>CONCATENATE("20 20.1 ")</f>
        <v xml:space="preserve">20 20.1 </v>
      </c>
      <c r="M27" s="8" t="str">
        <f>CONCATENATE("80008630420")</f>
        <v>80008630420</v>
      </c>
      <c r="N27" s="8" t="s">
        <v>83</v>
      </c>
      <c r="O27" s="8" t="s">
        <v>84</v>
      </c>
      <c r="P27" s="9">
        <v>45238</v>
      </c>
      <c r="Q27" s="8" t="s">
        <v>36</v>
      </c>
      <c r="R27" s="8" t="s">
        <v>37</v>
      </c>
      <c r="S27" s="8" t="s">
        <v>38</v>
      </c>
      <c r="T27" s="8"/>
      <c r="U27" s="8" t="s">
        <v>39</v>
      </c>
      <c r="V27" s="10">
        <v>47580</v>
      </c>
      <c r="W27" s="10">
        <v>20516.5</v>
      </c>
      <c r="X27" s="10">
        <v>18946.36</v>
      </c>
      <c r="Y27" s="8">
        <v>0</v>
      </c>
      <c r="Z27" s="10">
        <v>8117.14</v>
      </c>
    </row>
    <row r="28" spans="1:26" ht="25.5" x14ac:dyDescent="0.35">
      <c r="A28" s="8" t="s">
        <v>27</v>
      </c>
      <c r="B28" s="8" t="s">
        <v>28</v>
      </c>
      <c r="C28" s="8" t="s">
        <v>29</v>
      </c>
      <c r="D28" s="8" t="s">
        <v>62</v>
      </c>
      <c r="E28" s="8" t="s">
        <v>68</v>
      </c>
      <c r="F28" s="8" t="s">
        <v>69</v>
      </c>
      <c r="G28" s="8">
        <v>2017</v>
      </c>
      <c r="H28" s="8" t="str">
        <f>CONCATENATE("34270361396")</f>
        <v>34270361396</v>
      </c>
      <c r="I28" s="8" t="s">
        <v>32</v>
      </c>
      <c r="J28" s="8" t="s">
        <v>33</v>
      </c>
      <c r="K28" s="8" t="str">
        <f t="shared" si="0"/>
        <v/>
      </c>
      <c r="L28" s="8" t="str">
        <f>CONCATENATE("1 1.2 2a")</f>
        <v>1 1.2 2a</v>
      </c>
      <c r="M28" s="8" t="str">
        <f>CONCATENATE("92000660446")</f>
        <v>92000660446</v>
      </c>
      <c r="N28" s="8" t="s">
        <v>86</v>
      </c>
      <c r="O28" s="8" t="s">
        <v>87</v>
      </c>
      <c r="P28" s="9">
        <v>45238</v>
      </c>
      <c r="Q28" s="8" t="s">
        <v>36</v>
      </c>
      <c r="R28" s="8" t="s">
        <v>37</v>
      </c>
      <c r="S28" s="8" t="s">
        <v>38</v>
      </c>
      <c r="T28" s="8"/>
      <c r="U28" s="8" t="s">
        <v>39</v>
      </c>
      <c r="V28" s="10">
        <v>11950.4</v>
      </c>
      <c r="W28" s="10">
        <v>5153.01</v>
      </c>
      <c r="X28" s="10">
        <v>4758.6499999999996</v>
      </c>
      <c r="Y28" s="8">
        <v>0</v>
      </c>
      <c r="Z28" s="10">
        <v>2038.74</v>
      </c>
    </row>
    <row r="29" spans="1:26" ht="25.5" x14ac:dyDescent="0.35">
      <c r="A29" s="8" t="s">
        <v>27</v>
      </c>
      <c r="B29" s="8" t="s">
        <v>28</v>
      </c>
      <c r="C29" s="8" t="s">
        <v>29</v>
      </c>
      <c r="D29" s="8" t="s">
        <v>30</v>
      </c>
      <c r="E29" s="8" t="s">
        <v>40</v>
      </c>
      <c r="F29" s="8" t="s">
        <v>88</v>
      </c>
      <c r="G29" s="8">
        <v>2017</v>
      </c>
      <c r="H29" s="8" t="str">
        <f>CONCATENATE("34270361545")</f>
        <v>34270361545</v>
      </c>
      <c r="I29" s="8" t="s">
        <v>32</v>
      </c>
      <c r="J29" s="8" t="s">
        <v>33</v>
      </c>
      <c r="K29" s="8" t="str">
        <f t="shared" si="0"/>
        <v/>
      </c>
      <c r="L29" s="8" t="str">
        <f>CONCATENATE("1 1.2 2a")</f>
        <v>1 1.2 2a</v>
      </c>
      <c r="M29" s="8" t="str">
        <f>CONCATENATE("02143830426")</f>
        <v>02143830426</v>
      </c>
      <c r="N29" s="8" t="s">
        <v>89</v>
      </c>
      <c r="O29" s="8" t="s">
        <v>87</v>
      </c>
      <c r="P29" s="9">
        <v>45238</v>
      </c>
      <c r="Q29" s="8" t="s">
        <v>36</v>
      </c>
      <c r="R29" s="8" t="s">
        <v>37</v>
      </c>
      <c r="S29" s="8" t="s">
        <v>38</v>
      </c>
      <c r="T29" s="8"/>
      <c r="U29" s="8" t="s">
        <v>39</v>
      </c>
      <c r="V29" s="10">
        <v>37093</v>
      </c>
      <c r="W29" s="10">
        <v>15994.5</v>
      </c>
      <c r="X29" s="10">
        <v>14770.43</v>
      </c>
      <c r="Y29" s="8">
        <v>0</v>
      </c>
      <c r="Z29" s="10">
        <v>6328.07</v>
      </c>
    </row>
    <row r="30" spans="1:26" ht="25.5" x14ac:dyDescent="0.35">
      <c r="A30" s="8" t="s">
        <v>27</v>
      </c>
      <c r="B30" s="8" t="s">
        <v>28</v>
      </c>
      <c r="C30" s="8" t="s">
        <v>29</v>
      </c>
      <c r="D30" s="8" t="s">
        <v>62</v>
      </c>
      <c r="E30" s="8" t="s">
        <v>31</v>
      </c>
      <c r="F30" s="8" t="s">
        <v>31</v>
      </c>
      <c r="G30" s="8">
        <v>2017</v>
      </c>
      <c r="H30" s="8" t="str">
        <f>CONCATENATE("34270356123")</f>
        <v>34270356123</v>
      </c>
      <c r="I30" s="8" t="s">
        <v>32</v>
      </c>
      <c r="J30" s="8" t="s">
        <v>33</v>
      </c>
      <c r="K30" s="8" t="str">
        <f t="shared" si="0"/>
        <v/>
      </c>
      <c r="L30" s="8" t="str">
        <f>CONCATENATE("4 4.3 2a")</f>
        <v>4 4.3 2a</v>
      </c>
      <c r="M30" s="8" t="str">
        <f>CONCATENATE("81001490440")</f>
        <v>81001490440</v>
      </c>
      <c r="N30" s="8" t="s">
        <v>90</v>
      </c>
      <c r="O30" s="8" t="s">
        <v>64</v>
      </c>
      <c r="P30" s="9">
        <v>45238</v>
      </c>
      <c r="Q30" s="8" t="s">
        <v>36</v>
      </c>
      <c r="R30" s="8" t="s">
        <v>37</v>
      </c>
      <c r="S30" s="8" t="s">
        <v>38</v>
      </c>
      <c r="T30" s="8"/>
      <c r="U30" s="8" t="s">
        <v>39</v>
      </c>
      <c r="V30" s="10">
        <v>8040.35</v>
      </c>
      <c r="W30" s="10">
        <v>3467</v>
      </c>
      <c r="X30" s="10">
        <v>3201.67</v>
      </c>
      <c r="Y30" s="8">
        <v>0</v>
      </c>
      <c r="Z30" s="10">
        <v>1371.68</v>
      </c>
    </row>
    <row r="31" spans="1:26" ht="49.5" x14ac:dyDescent="0.35">
      <c r="A31" s="8" t="s">
        <v>27</v>
      </c>
      <c r="B31" s="8" t="s">
        <v>28</v>
      </c>
      <c r="C31" s="8" t="s">
        <v>29</v>
      </c>
      <c r="D31" s="8" t="s">
        <v>65</v>
      </c>
      <c r="E31" s="8" t="s">
        <v>45</v>
      </c>
      <c r="F31" s="8" t="s">
        <v>80</v>
      </c>
      <c r="G31" s="8">
        <v>2017</v>
      </c>
      <c r="H31" s="8" t="str">
        <f>CONCATENATE("34270360224")</f>
        <v>34270360224</v>
      </c>
      <c r="I31" s="8" t="s">
        <v>32</v>
      </c>
      <c r="J31" s="8" t="s">
        <v>33</v>
      </c>
      <c r="K31" s="8" t="str">
        <f t="shared" si="0"/>
        <v/>
      </c>
      <c r="L31" s="8" t="str">
        <f>CONCATENATE("4 4.1 2a")</f>
        <v>4 4.1 2a</v>
      </c>
      <c r="M31" s="8" t="str">
        <f>CONCATENATE("SLVMFR63D08G690U")</f>
        <v>SLVMFR63D08G690U</v>
      </c>
      <c r="N31" s="8" t="s">
        <v>91</v>
      </c>
      <c r="O31" s="8" t="s">
        <v>78</v>
      </c>
      <c r="P31" s="9">
        <v>45238</v>
      </c>
      <c r="Q31" s="8" t="s">
        <v>36</v>
      </c>
      <c r="R31" s="8" t="s">
        <v>37</v>
      </c>
      <c r="S31" s="8" t="s">
        <v>38</v>
      </c>
      <c r="T31" s="8"/>
      <c r="U31" s="8" t="s">
        <v>39</v>
      </c>
      <c r="V31" s="10">
        <v>32750.58</v>
      </c>
      <c r="W31" s="10">
        <v>14122.05</v>
      </c>
      <c r="X31" s="10">
        <v>13041.28</v>
      </c>
      <c r="Y31" s="8">
        <v>0</v>
      </c>
      <c r="Z31" s="10">
        <v>5587.25</v>
      </c>
    </row>
    <row r="32" spans="1:26" ht="41.5" x14ac:dyDescent="0.35">
      <c r="A32" s="8" t="s">
        <v>27</v>
      </c>
      <c r="B32" s="8" t="s">
        <v>28</v>
      </c>
      <c r="C32" s="8" t="s">
        <v>29</v>
      </c>
      <c r="D32" s="8" t="s">
        <v>75</v>
      </c>
      <c r="E32" s="8" t="s">
        <v>31</v>
      </c>
      <c r="F32" s="8" t="s">
        <v>31</v>
      </c>
      <c r="G32" s="8">
        <v>2017</v>
      </c>
      <c r="H32" s="8" t="str">
        <f>CONCATENATE("24270242746")</f>
        <v>24270242746</v>
      </c>
      <c r="I32" s="8" t="s">
        <v>32</v>
      </c>
      <c r="J32" s="8" t="s">
        <v>33</v>
      </c>
      <c r="K32" s="8" t="str">
        <f t="shared" si="0"/>
        <v/>
      </c>
      <c r="L32" s="8" t="str">
        <f>CONCATENATE("16 16.1 2a")</f>
        <v>16 16.1 2a</v>
      </c>
      <c r="M32" s="8" t="str">
        <f>CONCATENATE("PCCSFO91A64C357U")</f>
        <v>PCCSFO91A64C357U</v>
      </c>
      <c r="N32" s="8" t="s">
        <v>92</v>
      </c>
      <c r="O32" s="8" t="s">
        <v>93</v>
      </c>
      <c r="P32" s="9">
        <v>45238</v>
      </c>
      <c r="Q32" s="8" t="s">
        <v>36</v>
      </c>
      <c r="R32" s="8" t="s">
        <v>37</v>
      </c>
      <c r="S32" s="8" t="s">
        <v>38</v>
      </c>
      <c r="T32" s="8"/>
      <c r="U32" s="8" t="s">
        <v>39</v>
      </c>
      <c r="V32" s="8">
        <v>630.88</v>
      </c>
      <c r="W32" s="8">
        <v>272.04000000000002</v>
      </c>
      <c r="X32" s="8">
        <v>251.22</v>
      </c>
      <c r="Y32" s="8">
        <v>0</v>
      </c>
      <c r="Z32" s="8">
        <v>107.62</v>
      </c>
    </row>
    <row r="33" spans="1:26" ht="25.5" x14ac:dyDescent="0.35">
      <c r="A33" s="8" t="s">
        <v>27</v>
      </c>
      <c r="B33" s="8" t="s">
        <v>28</v>
      </c>
      <c r="C33" s="8" t="s">
        <v>29</v>
      </c>
      <c r="D33" s="8" t="s">
        <v>30</v>
      </c>
      <c r="E33" s="8" t="s">
        <v>31</v>
      </c>
      <c r="F33" s="8" t="s">
        <v>31</v>
      </c>
      <c r="G33" s="8">
        <v>2017</v>
      </c>
      <c r="H33" s="8" t="str">
        <f>CONCATENATE("34270357378")</f>
        <v>34270357378</v>
      </c>
      <c r="I33" s="8" t="s">
        <v>32</v>
      </c>
      <c r="J33" s="8" t="s">
        <v>33</v>
      </c>
      <c r="K33" s="8" t="str">
        <f t="shared" si="0"/>
        <v/>
      </c>
      <c r="L33" s="8" t="str">
        <f>CONCATENATE("7 7.6 4a")</f>
        <v>7 7.6 4a</v>
      </c>
      <c r="M33" s="8" t="str">
        <f>CONCATENATE("81002870426")</f>
        <v>81002870426</v>
      </c>
      <c r="N33" s="8" t="s">
        <v>94</v>
      </c>
      <c r="O33" s="8" t="s">
        <v>95</v>
      </c>
      <c r="P33" s="9">
        <v>45238</v>
      </c>
      <c r="Q33" s="8" t="s">
        <v>36</v>
      </c>
      <c r="R33" s="8" t="s">
        <v>37</v>
      </c>
      <c r="S33" s="8" t="s">
        <v>38</v>
      </c>
      <c r="T33" s="8"/>
      <c r="U33" s="8" t="s">
        <v>39</v>
      </c>
      <c r="V33" s="10">
        <v>59351.28</v>
      </c>
      <c r="W33" s="10">
        <v>25592.27</v>
      </c>
      <c r="X33" s="10">
        <v>23633.68</v>
      </c>
      <c r="Y33" s="8">
        <v>0</v>
      </c>
      <c r="Z33" s="10">
        <v>10125.33</v>
      </c>
    </row>
    <row r="34" spans="1:26" ht="41.5" x14ac:dyDescent="0.35">
      <c r="A34" s="8" t="s">
        <v>27</v>
      </c>
      <c r="B34" s="8" t="s">
        <v>28</v>
      </c>
      <c r="C34" s="8" t="s">
        <v>29</v>
      </c>
      <c r="D34" s="8" t="s">
        <v>62</v>
      </c>
      <c r="E34" s="8" t="s">
        <v>31</v>
      </c>
      <c r="F34" s="8" t="s">
        <v>31</v>
      </c>
      <c r="G34" s="8">
        <v>2017</v>
      </c>
      <c r="H34" s="8" t="str">
        <f>CONCATENATE("34270357220")</f>
        <v>34270357220</v>
      </c>
      <c r="I34" s="8" t="s">
        <v>32</v>
      </c>
      <c r="J34" s="8" t="s">
        <v>33</v>
      </c>
      <c r="K34" s="8" t="str">
        <f t="shared" si="0"/>
        <v/>
      </c>
      <c r="L34" s="8" t="str">
        <f>CONCATENATE("4 4.1 2a")</f>
        <v>4 4.1 2a</v>
      </c>
      <c r="M34" s="8" t="str">
        <f>CONCATENATE("CRCLSN91H02D542C")</f>
        <v>CRCLSN91H02D542C</v>
      </c>
      <c r="N34" s="8" t="s">
        <v>96</v>
      </c>
      <c r="O34" s="8" t="s">
        <v>97</v>
      </c>
      <c r="P34" s="9">
        <v>45238</v>
      </c>
      <c r="Q34" s="8" t="s">
        <v>36</v>
      </c>
      <c r="R34" s="8" t="s">
        <v>37</v>
      </c>
      <c r="S34" s="8" t="s">
        <v>38</v>
      </c>
      <c r="T34" s="8"/>
      <c r="U34" s="8" t="s">
        <v>39</v>
      </c>
      <c r="V34" s="10">
        <v>116977.55</v>
      </c>
      <c r="W34" s="10">
        <v>50440.72</v>
      </c>
      <c r="X34" s="10">
        <v>46580.46</v>
      </c>
      <c r="Y34" s="8">
        <v>0</v>
      </c>
      <c r="Z34" s="10">
        <v>19956.37</v>
      </c>
    </row>
    <row r="35" spans="1:26" ht="41.5" x14ac:dyDescent="0.35">
      <c r="A35" s="8" t="s">
        <v>27</v>
      </c>
      <c r="B35" s="8" t="s">
        <v>28</v>
      </c>
      <c r="C35" s="8" t="s">
        <v>29</v>
      </c>
      <c r="D35" s="8" t="s">
        <v>62</v>
      </c>
      <c r="E35" s="8" t="s">
        <v>68</v>
      </c>
      <c r="F35" s="8" t="s">
        <v>69</v>
      </c>
      <c r="G35" s="8">
        <v>2017</v>
      </c>
      <c r="H35" s="8" t="str">
        <f>CONCATENATE("34270357212")</f>
        <v>34270357212</v>
      </c>
      <c r="I35" s="8" t="s">
        <v>32</v>
      </c>
      <c r="J35" s="8" t="s">
        <v>33</v>
      </c>
      <c r="K35" s="8" t="str">
        <f t="shared" si="0"/>
        <v/>
      </c>
      <c r="L35" s="8" t="str">
        <f>CONCATENATE("4 4.1 2a")</f>
        <v>4 4.1 2a</v>
      </c>
      <c r="M35" s="8" t="str">
        <f>CONCATENATE("VRGGRL44H21F415X")</f>
        <v>VRGGRL44H21F415X</v>
      </c>
      <c r="N35" s="8" t="s">
        <v>98</v>
      </c>
      <c r="O35" s="8" t="s">
        <v>97</v>
      </c>
      <c r="P35" s="9">
        <v>45238</v>
      </c>
      <c r="Q35" s="8" t="s">
        <v>36</v>
      </c>
      <c r="R35" s="8" t="s">
        <v>37</v>
      </c>
      <c r="S35" s="8" t="s">
        <v>38</v>
      </c>
      <c r="T35" s="8"/>
      <c r="U35" s="8" t="s">
        <v>39</v>
      </c>
      <c r="V35" s="10">
        <v>10814.55</v>
      </c>
      <c r="W35" s="10">
        <v>4663.2299999999996</v>
      </c>
      <c r="X35" s="10">
        <v>4306.3500000000004</v>
      </c>
      <c r="Y35" s="8">
        <v>0</v>
      </c>
      <c r="Z35" s="10">
        <v>1844.97</v>
      </c>
    </row>
    <row r="36" spans="1:26" ht="25.5" x14ac:dyDescent="0.35">
      <c r="A36" s="8" t="s">
        <v>27</v>
      </c>
      <c r="B36" s="8" t="s">
        <v>28</v>
      </c>
      <c r="C36" s="8" t="s">
        <v>29</v>
      </c>
      <c r="D36" s="8" t="s">
        <v>62</v>
      </c>
      <c r="E36" s="8" t="s">
        <v>31</v>
      </c>
      <c r="F36" s="8" t="s">
        <v>31</v>
      </c>
      <c r="G36" s="8">
        <v>2017</v>
      </c>
      <c r="H36" s="8" t="str">
        <f>CONCATENATE("34270351033")</f>
        <v>34270351033</v>
      </c>
      <c r="I36" s="8" t="s">
        <v>32</v>
      </c>
      <c r="J36" s="8" t="s">
        <v>33</v>
      </c>
      <c r="K36" s="8" t="str">
        <f t="shared" si="0"/>
        <v/>
      </c>
      <c r="L36" s="8" t="str">
        <f>CONCATENATE("7 7.6 4a")</f>
        <v>7 7.6 4a</v>
      </c>
      <c r="M36" s="8" t="str">
        <f>CONCATENATE("00360140446")</f>
        <v>00360140446</v>
      </c>
      <c r="N36" s="8" t="s">
        <v>99</v>
      </c>
      <c r="O36" s="8" t="s">
        <v>100</v>
      </c>
      <c r="P36" s="9">
        <v>45238</v>
      </c>
      <c r="Q36" s="8" t="s">
        <v>36</v>
      </c>
      <c r="R36" s="8" t="s">
        <v>37</v>
      </c>
      <c r="S36" s="8" t="s">
        <v>38</v>
      </c>
      <c r="T36" s="8"/>
      <c r="U36" s="8" t="s">
        <v>39</v>
      </c>
      <c r="V36" s="10">
        <v>16470</v>
      </c>
      <c r="W36" s="10">
        <v>7101.86</v>
      </c>
      <c r="X36" s="10">
        <v>6558.35</v>
      </c>
      <c r="Y36" s="8">
        <v>0</v>
      </c>
      <c r="Z36" s="10">
        <v>2809.79</v>
      </c>
    </row>
    <row r="37" spans="1:26" ht="25.5" x14ac:dyDescent="0.35">
      <c r="A37" s="8" t="s">
        <v>27</v>
      </c>
      <c r="B37" s="8" t="s">
        <v>28</v>
      </c>
      <c r="C37" s="8" t="s">
        <v>29</v>
      </c>
      <c r="D37" s="8" t="s">
        <v>65</v>
      </c>
      <c r="E37" s="8" t="s">
        <v>45</v>
      </c>
      <c r="F37" s="8" t="s">
        <v>80</v>
      </c>
      <c r="G37" s="8">
        <v>2017</v>
      </c>
      <c r="H37" s="8" t="str">
        <f>CONCATENATE("34270357097")</f>
        <v>34270357097</v>
      </c>
      <c r="I37" s="8" t="s">
        <v>32</v>
      </c>
      <c r="J37" s="8" t="s">
        <v>33</v>
      </c>
      <c r="K37" s="8" t="str">
        <f t="shared" si="0"/>
        <v/>
      </c>
      <c r="L37" s="8" t="str">
        <f>CONCATENATE("4 4.1 2a")</f>
        <v>4 4.1 2a</v>
      </c>
      <c r="M37" s="8" t="str">
        <f>CONCATENATE("00395910433")</f>
        <v>00395910433</v>
      </c>
      <c r="N37" s="8" t="s">
        <v>101</v>
      </c>
      <c r="O37" s="8" t="s">
        <v>102</v>
      </c>
      <c r="P37" s="9">
        <v>45238</v>
      </c>
      <c r="Q37" s="8" t="s">
        <v>36</v>
      </c>
      <c r="R37" s="8" t="s">
        <v>56</v>
      </c>
      <c r="S37" s="8" t="s">
        <v>38</v>
      </c>
      <c r="T37" s="8"/>
      <c r="U37" s="8" t="s">
        <v>39</v>
      </c>
      <c r="V37" s="10">
        <v>86966</v>
      </c>
      <c r="W37" s="10">
        <v>37499.74</v>
      </c>
      <c r="X37" s="10">
        <v>34629.86</v>
      </c>
      <c r="Y37" s="8">
        <v>0</v>
      </c>
      <c r="Z37" s="10">
        <v>14836.4</v>
      </c>
    </row>
    <row r="38" spans="1:26" ht="25.5" x14ac:dyDescent="0.35">
      <c r="A38" s="8" t="s">
        <v>27</v>
      </c>
      <c r="B38" s="8" t="s">
        <v>28</v>
      </c>
      <c r="C38" s="8" t="s">
        <v>29</v>
      </c>
      <c r="D38" s="8" t="s">
        <v>65</v>
      </c>
      <c r="E38" s="8" t="s">
        <v>31</v>
      </c>
      <c r="F38" s="8" t="s">
        <v>31</v>
      </c>
      <c r="G38" s="8">
        <v>2017</v>
      </c>
      <c r="H38" s="8" t="str">
        <f>CONCATENATE("34270361446")</f>
        <v>34270361446</v>
      </c>
      <c r="I38" s="8" t="s">
        <v>32</v>
      </c>
      <c r="J38" s="8" t="s">
        <v>33</v>
      </c>
      <c r="K38" s="8" t="str">
        <f t="shared" si="0"/>
        <v/>
      </c>
      <c r="L38" s="8" t="str">
        <f>CONCATENATE("8 8.1 5e")</f>
        <v>8 8.1 5e</v>
      </c>
      <c r="M38" s="8" t="str">
        <f>CONCATENATE("02164470441")</f>
        <v>02164470441</v>
      </c>
      <c r="N38" s="8" t="s">
        <v>103</v>
      </c>
      <c r="O38" s="8" t="s">
        <v>104</v>
      </c>
      <c r="P38" s="9">
        <v>45238</v>
      </c>
      <c r="Q38" s="8" t="s">
        <v>36</v>
      </c>
      <c r="R38" s="8" t="s">
        <v>37</v>
      </c>
      <c r="S38" s="8" t="s">
        <v>38</v>
      </c>
      <c r="T38" s="8"/>
      <c r="U38" s="8" t="s">
        <v>39</v>
      </c>
      <c r="V38" s="10">
        <v>1929.76</v>
      </c>
      <c r="W38" s="8">
        <v>832.11</v>
      </c>
      <c r="X38" s="8">
        <v>768.43</v>
      </c>
      <c r="Y38" s="8">
        <v>0</v>
      </c>
      <c r="Z38" s="8">
        <v>329.22</v>
      </c>
    </row>
    <row r="39" spans="1:26" ht="49.5" x14ac:dyDescent="0.35">
      <c r="A39" s="8" t="s">
        <v>27</v>
      </c>
      <c r="B39" s="8" t="s">
        <v>28</v>
      </c>
      <c r="C39" s="8" t="s">
        <v>29</v>
      </c>
      <c r="D39" s="8" t="s">
        <v>62</v>
      </c>
      <c r="E39" s="8" t="s">
        <v>31</v>
      </c>
      <c r="F39" s="8" t="s">
        <v>31</v>
      </c>
      <c r="G39" s="8">
        <v>2017</v>
      </c>
      <c r="H39" s="8" t="str">
        <f>CONCATENATE("34270361461")</f>
        <v>34270361461</v>
      </c>
      <c r="I39" s="8" t="s">
        <v>32</v>
      </c>
      <c r="J39" s="8" t="s">
        <v>33</v>
      </c>
      <c r="K39" s="8" t="str">
        <f t="shared" si="0"/>
        <v/>
      </c>
      <c r="L39" s="8" t="str">
        <f>CONCATENATE("8 8.1 5e")</f>
        <v>8 8.1 5e</v>
      </c>
      <c r="M39" s="8" t="str">
        <f>CONCATENATE("PRCMLN88A06A462N")</f>
        <v>PRCMLN88A06A462N</v>
      </c>
      <c r="N39" s="8" t="s">
        <v>105</v>
      </c>
      <c r="O39" s="8" t="s">
        <v>104</v>
      </c>
      <c r="P39" s="9">
        <v>45238</v>
      </c>
      <c r="Q39" s="8" t="s">
        <v>36</v>
      </c>
      <c r="R39" s="8" t="s">
        <v>37</v>
      </c>
      <c r="S39" s="8" t="s">
        <v>38</v>
      </c>
      <c r="T39" s="8"/>
      <c r="U39" s="8" t="s">
        <v>39</v>
      </c>
      <c r="V39" s="10">
        <v>5567.28</v>
      </c>
      <c r="W39" s="10">
        <v>2400.61</v>
      </c>
      <c r="X39" s="10">
        <v>2216.89</v>
      </c>
      <c r="Y39" s="8">
        <v>0</v>
      </c>
      <c r="Z39" s="8">
        <v>949.78</v>
      </c>
    </row>
  </sheetData>
  <mergeCells count="1">
    <mergeCell ref="A2:Z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MARCHE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Greco Giancarlo</dc:creator>
  <cp:lastModifiedBy>Greco Giancarlo</cp:lastModifiedBy>
  <dcterms:created xsi:type="dcterms:W3CDTF">2023-11-10T10:10:09Z</dcterms:created>
  <dcterms:modified xsi:type="dcterms:W3CDTF">2023-11-10T10:10:09Z</dcterms:modified>
</cp:coreProperties>
</file>