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geagov-my.sharepoint.com/personal/gi_greco_agea_gov_it/Documents/Decreti/642/SPACCHETTAMENTO/"/>
    </mc:Choice>
  </mc:AlternateContent>
  <xr:revisionPtr revIDLastSave="0" documentId="8_{A577353E-9AD4-4AAF-B054-7E8793A1B1F4}" xr6:coauthVersionLast="45" xr6:coauthVersionMax="45" xr10:uidLastSave="{00000000-0000-0000-0000-000000000000}"/>
  <bookViews>
    <workbookView xWindow="-108" yWindow="-108" windowWidth="23256" windowHeight="12576" xr2:uid="{5F71C129-27E7-4836-9C23-95AF59C50CBD}"/>
  </bookViews>
  <sheets>
    <sheet name="MARCH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4" i="1" l="1"/>
  <c r="L34" i="1"/>
  <c r="K34" i="1"/>
  <c r="H34" i="1"/>
  <c r="M33" i="1"/>
  <c r="L33" i="1"/>
  <c r="K33" i="1"/>
  <c r="H33" i="1"/>
  <c r="M32" i="1"/>
  <c r="L32" i="1"/>
  <c r="K32" i="1"/>
  <c r="H32" i="1"/>
  <c r="M31" i="1"/>
  <c r="L31" i="1"/>
  <c r="K31" i="1"/>
  <c r="H31" i="1"/>
  <c r="M30" i="1"/>
  <c r="L30" i="1"/>
  <c r="K30" i="1"/>
  <c r="H30" i="1"/>
  <c r="M29" i="1"/>
  <c r="L29" i="1"/>
  <c r="K29" i="1"/>
  <c r="H29" i="1"/>
  <c r="M28" i="1"/>
  <c r="L28" i="1"/>
  <c r="K28" i="1"/>
  <c r="H28" i="1"/>
  <c r="M27" i="1"/>
  <c r="L27" i="1"/>
  <c r="K27" i="1"/>
  <c r="H27" i="1"/>
  <c r="M26" i="1"/>
  <c r="L26" i="1"/>
  <c r="K26" i="1"/>
  <c r="H26" i="1"/>
  <c r="M25" i="1"/>
  <c r="L25" i="1"/>
  <c r="K25" i="1"/>
  <c r="H25" i="1"/>
  <c r="M24" i="1"/>
  <c r="L24" i="1"/>
  <c r="K24" i="1"/>
  <c r="H24" i="1"/>
  <c r="M23" i="1"/>
  <c r="L23" i="1"/>
  <c r="K23" i="1"/>
  <c r="H23" i="1"/>
  <c r="M22" i="1"/>
  <c r="L22" i="1"/>
  <c r="K22" i="1"/>
  <c r="H22" i="1"/>
  <c r="M21" i="1"/>
  <c r="L21" i="1"/>
  <c r="K21" i="1"/>
  <c r="H21" i="1"/>
  <c r="M20" i="1"/>
  <c r="L20" i="1"/>
  <c r="K20" i="1"/>
  <c r="H20" i="1"/>
  <c r="M19" i="1"/>
  <c r="L19" i="1"/>
  <c r="K19" i="1"/>
  <c r="H19" i="1"/>
  <c r="M18" i="1"/>
  <c r="L18" i="1"/>
  <c r="K18" i="1"/>
  <c r="H18" i="1"/>
  <c r="M17" i="1"/>
  <c r="L17" i="1"/>
  <c r="K17" i="1"/>
  <c r="H17" i="1"/>
  <c r="M16" i="1"/>
  <c r="L16" i="1"/>
  <c r="K16" i="1"/>
  <c r="H16" i="1"/>
  <c r="M15" i="1"/>
  <c r="L15" i="1"/>
  <c r="K15" i="1"/>
  <c r="H15" i="1"/>
  <c r="M14" i="1"/>
  <c r="L14" i="1"/>
  <c r="K14" i="1"/>
  <c r="H14" i="1"/>
  <c r="M13" i="1"/>
  <c r="L13" i="1"/>
  <c r="K13" i="1"/>
  <c r="H13" i="1"/>
  <c r="M12" i="1"/>
  <c r="L12" i="1"/>
  <c r="K12" i="1"/>
  <c r="H12" i="1"/>
  <c r="M11" i="1"/>
  <c r="L11" i="1"/>
  <c r="K11" i="1"/>
  <c r="H11" i="1"/>
  <c r="M10" i="1"/>
  <c r="L10" i="1"/>
  <c r="K10" i="1"/>
  <c r="H10" i="1"/>
  <c r="M9" i="1"/>
  <c r="L9" i="1"/>
  <c r="K9" i="1"/>
  <c r="H9" i="1"/>
  <c r="M8" i="1"/>
  <c r="L8" i="1"/>
  <c r="K8" i="1"/>
  <c r="H8" i="1"/>
  <c r="M7" i="1"/>
  <c r="L7" i="1"/>
  <c r="K7" i="1"/>
  <c r="H7" i="1"/>
  <c r="M6" i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<sst xmlns="http://schemas.openxmlformats.org/spreadsheetml/2006/main" count="461" uniqueCount="108">
  <si>
    <t>Dettaglio Domande Pagabili Decreto 642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</si>
  <si>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</si>
  <si>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</si>
  <si>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</si>
  <si>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</si>
  <si>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</si>
  <si>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</si>
  <si>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</si>
  <si>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</si>
  <si>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</si>
  <si>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</si>
  <si>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</si>
  <si>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</si>
  <si>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</si>
  <si>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</si>
  <si>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</si>
  <si>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</si>
  <si>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</si>
  <si>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</si>
  <si>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</si>
  <si>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</si>
  <si>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Tipologia di Strumento Finanziario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</si>
  <si>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</si>
  <si>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</si>
  <si>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</si>
  <si>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</si>
  <si>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</si>
  <si>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</si>
  <si>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Strutturali</t>
  </si>
  <si>
    <t>MARCHE</t>
  </si>
  <si>
    <t>SERV. DEC. AGRICOLTURA E ALIM. - MACERATA</t>
  </si>
  <si>
    <t>IN PROPRIO</t>
  </si>
  <si>
    <t>NO</t>
  </si>
  <si>
    <t>Nuova Programmazione</t>
  </si>
  <si>
    <t>COMUNE DI SEFRO</t>
  </si>
  <si>
    <t>AGEA.ASR.2023.1367874</t>
  </si>
  <si>
    <t>In Liquidazione</t>
  </si>
  <si>
    <t>Saldo</t>
  </si>
  <si>
    <t>Co-Finanziato</t>
  </si>
  <si>
    <t>Ordinario</t>
  </si>
  <si>
    <t>SERV. DEC. AGRICOLTURA E ALIM. -ASCOLI PICENO</t>
  </si>
  <si>
    <t>PETRELLI CARNI SOCIETA' AGRICOLA SEMPLICE</t>
  </si>
  <si>
    <t>AGEA.ASR.2023.1367301</t>
  </si>
  <si>
    <t>COMUNE DI ESANATOGLIA</t>
  </si>
  <si>
    <t>SERV. DEC. AGRICOLTURA E ALIMENTAZIONE - ANCONA</t>
  </si>
  <si>
    <t>SI</t>
  </si>
  <si>
    <t>ORGANISMO DI CONSULENZA PSR &amp; INNOVAZIONE MARCHE SRL</t>
  </si>
  <si>
    <t>AGEA.ASR.2023.1382584</t>
  </si>
  <si>
    <t>CAA Coldiretti srl</t>
  </si>
  <si>
    <t>CAA Coldiretti - MACERATA - 002</t>
  </si>
  <si>
    <t>SOCIETA' AGRICOLA SPARAPANI GABRIELE E ZENO S.S.</t>
  </si>
  <si>
    <t>AGEA.ASR.2023.1380897</t>
  </si>
  <si>
    <t>SAL</t>
  </si>
  <si>
    <t>CONTI MARIA SILVIA</t>
  </si>
  <si>
    <t>AGEA.ASR.2023.1367972</t>
  </si>
  <si>
    <t>DE CESARIS DANILO</t>
  </si>
  <si>
    <t>SILENZI VITO</t>
  </si>
  <si>
    <t>CAA Coldiretti - MACERATA - 017</t>
  </si>
  <si>
    <t>BERNARDI ROBERTO</t>
  </si>
  <si>
    <t>AGEA.ASR.2023.1366808</t>
  </si>
  <si>
    <t>Anticipo</t>
  </si>
  <si>
    <t>Misure a Superficie</t>
  </si>
  <si>
    <t>CAA Confagricoltura srl</t>
  </si>
  <si>
    <t>CAA Confagricoltura - ASCOLI PICENO - 001</t>
  </si>
  <si>
    <t>ANGELLOZZI NADIA</t>
  </si>
  <si>
    <t>AGEA.ASR.2023.1383974</t>
  </si>
  <si>
    <t>CAA CIA srl</t>
  </si>
  <si>
    <t>CAA CIA - ANCONA - 006</t>
  </si>
  <si>
    <t>CONFEDERAZIONE ITALIANA AGRICOLTORI PROVINCIALE DI ANCONA</t>
  </si>
  <si>
    <t>AGEA.ASR.2023.1366989</t>
  </si>
  <si>
    <t>CAA Coldiretti - ANCONA - 003</t>
  </si>
  <si>
    <t>FEDERAZIONE REGIONALE COLDIRETTI MARCHE</t>
  </si>
  <si>
    <t>CAPPELLETTI GIULIANO</t>
  </si>
  <si>
    <t>AGEA.ASR.2023.1351327</t>
  </si>
  <si>
    <t>CAA Coldiretti - FERMO - 001</t>
  </si>
  <si>
    <t>MAZZONI ARNALDO</t>
  </si>
  <si>
    <t>AGEA.ASR.2023.1384957</t>
  </si>
  <si>
    <t>CAA UNICAA srl</t>
  </si>
  <si>
    <t>CAA UNICAA - ASCOLI PICENO - 004</t>
  </si>
  <si>
    <t>AZIENDA AGRICOLA AGRITURISTICA IERVASCIO' DI GIANNETTI ATTIL</t>
  </si>
  <si>
    <t>AGEA.ASR.2023.1366794</t>
  </si>
  <si>
    <t>CATENA GIUSEPPE</t>
  </si>
  <si>
    <t>PETRACCI CARLO</t>
  </si>
  <si>
    <t>MAZZONI STEFANO</t>
  </si>
  <si>
    <t>PETINI FRANCA</t>
  </si>
  <si>
    <t>AGEA.ASR.2023.1367001</t>
  </si>
  <si>
    <t>SERV. DEC. AGRICOLTURA E ALIMENTAZIONE - PESARO</t>
  </si>
  <si>
    <t>CAA Coldiretti - PESARO E URBINO - 013</t>
  </si>
  <si>
    <t>CECCHINI DANIELE</t>
  </si>
  <si>
    <t>AGEA.ASR.2023.1371215</t>
  </si>
  <si>
    <t>CAA CIA - PESARO E URBINO - 008</t>
  </si>
  <si>
    <t>AMBROSIO ARCANGELO</t>
  </si>
  <si>
    <t>AGEA.ASR.2023.1356903</t>
  </si>
  <si>
    <t>IMPRESA VERDE MARCHE S.R.L.</t>
  </si>
  <si>
    <t>AGEA.ASR.2023.1367008</t>
  </si>
  <si>
    <t>CAA Coldiretti - MACERATA - 007</t>
  </si>
  <si>
    <t>TRITRINI MATTEO</t>
  </si>
  <si>
    <t>AGEA.ASR.2023.1380820</t>
  </si>
  <si>
    <t>MANCINI TOMMASO</t>
  </si>
  <si>
    <t>AGEA.ASR.2023.1366578</t>
  </si>
  <si>
    <t>KRUSI STEFANIA CLAUDIA</t>
  </si>
  <si>
    <t>AGEA.ASR.2023.1366722</t>
  </si>
  <si>
    <t>PIERELLA DIEGO</t>
  </si>
  <si>
    <t>SOC.AGR. TRE CASTELLI S.S.</t>
  </si>
  <si>
    <t>D'ERASMO GIANLUCA</t>
  </si>
  <si>
    <t>AGEA.ASR.2023.1366603</t>
  </si>
  <si>
    <t>CAA CIA - ANCONA - 005</t>
  </si>
  <si>
    <t>CONIGLI CRISTIAN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</si>
</sst>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14" fontId="2" fillId="0" borderId="4" xfId="0" applyNumberFormat="1" applyFont="1" applyBorder="1" applyAlignment="1">
      <alignment wrapText="1"/>
    </xf>
    <xf numFmtId="4" fontId="2" fillId="0" borderId="4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2F0F8-B117-4972-B923-6F99000482F1}">
  <sheetPr>
    <pageSetUpPr fitToPage="1"/>
  </sheetPr>
  <dimension ref="A1:Z34"/>
  <sheetViews>
    <sheetView tabSelected="1" workbookViewId="0"/>
  </sheetViews>
  <sheetFormatPr defaultRowHeight="14.4" x14ac:dyDescent="0.3"/>
  <cols>
    <col min="1" max="1" width="12" bestFit="1" customWidth="1"/>
    <col min="2" max="2" width="12.5546875" bestFit="1" customWidth="1"/>
    <col min="3" max="3" width="14.21875" bestFit="1" customWidth="1"/>
    <col min="4" max="4" width="33.88671875" bestFit="1" customWidth="1"/>
    <col min="5" max="5" width="25" bestFit="1" customWidth="1"/>
    <col min="6" max="6" width="32.77734375" bestFit="1" customWidth="1"/>
    <col min="7" max="7" width="6.5546875" bestFit="1" customWidth="1"/>
    <col min="8" max="8" width="9.88671875" bestFit="1" customWidth="1"/>
    <col min="9" max="9" width="16.33203125" bestFit="1" customWidth="1"/>
    <col min="10" max="10" width="15.5546875" bestFit="1" customWidth="1"/>
    <col min="11" max="11" width="13.21875" bestFit="1" customWidth="1"/>
    <col min="12" max="12" width="22.21875" bestFit="1" customWidth="1"/>
    <col min="13" max="13" width="13.77734375" bestFit="1" customWidth="1"/>
    <col min="14" max="14" width="35.5546875" bestFit="1" customWidth="1"/>
    <col min="15" max="15" width="14.5546875" bestFit="1" customWidth="1"/>
    <col min="16" max="16" width="17.77734375" bestFit="1" customWidth="1"/>
    <col min="17" max="17" width="12.5546875" bestFit="1" customWidth="1"/>
    <col min="18" max="18" width="13.77734375" bestFit="1" customWidth="1"/>
    <col min="19" max="19" width="18.21875" bestFit="1" customWidth="1"/>
    <col min="20" max="20" width="3.77734375" bestFit="1" customWidth="1"/>
    <col min="21" max="21" width="19.77734375" bestFit="1" customWidth="1"/>
    <col min="22" max="22" width="14.21875" bestFit="1" customWidth="1"/>
    <col min="23" max="23" width="19" bestFit="1" customWidth="1"/>
    <col min="24" max="25" width="20.88671875" bestFit="1" customWidth="1"/>
    <col min="26" max="26" width="26.109375" bestFit="1" customWidth="1"/>
  </cols>
  <sheetData>
    <row r="1" spans="1:26" ht="28.8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</row>
    <row r="2" spans="1:26" x14ac:dyDescent="0.3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6"/>
    </row>
    <row r="3" spans="1:26" x14ac:dyDescent="0.3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7" t="s">
        <v>15</v>
      </c>
      <c r="P3" s="7" t="s">
        <v>16</v>
      </c>
      <c r="Q3" s="7" t="s">
        <v>17</v>
      </c>
      <c r="R3" s="7" t="s">
        <v>18</v>
      </c>
      <c r="S3" s="7" t="s">
        <v>19</v>
      </c>
      <c r="T3" s="7" t="s">
        <v>20</v>
      </c>
      <c r="U3" s="7" t="s">
        <v>21</v>
      </c>
      <c r="V3" s="7" t="s">
        <v>22</v>
      </c>
      <c r="W3" s="7" t="s">
        <v>23</v>
      </c>
      <c r="X3" s="7" t="s">
        <v>24</v>
      </c>
      <c r="Y3" s="7" t="s">
        <v>25</v>
      </c>
      <c r="Z3" s="7" t="s">
        <v>26</v>
      </c>
    </row>
    <row r="4" spans="1:26" x14ac:dyDescent="0.3">
      <c r="A4" s="8" t="s">
        <v>27</v>
      </c>
      <c r="B4" s="8" t="s">
        <v>28</v>
      </c>
      <c r="C4" s="8" t="s">
        <v>29</v>
      </c>
      <c r="D4" s="8" t="s">
        <v>30</v>
      </c>
      <c r="E4" s="8" t="s">
        <v>31</v>
      </c>
      <c r="F4" s="8" t="s">
        <v>31</v>
      </c>
      <c r="G4" s="8">
        <v>2017</v>
      </c>
      <c r="H4" s="8" t="str">
        <f>_xlfn.CONCAT("34270325573")</f>
        <v>34270325573</v>
      </c>
      <c r="I4" s="8" t="s">
        <v>32</v>
      </c>
      <c r="J4" s="8" t="s">
        <v>33</v>
      </c>
      <c r="K4" s="8" t="str">
        <f t="shared" ref="K4:K34" si="0">_xlfn.CONCAT("")</f>
        <v/>
      </c>
      <c r="L4" s="8" t="str">
        <f>_xlfn.CONCAT("4 4.3 2a")</f>
        <v>4 4.3 2a</v>
      </c>
      <c r="M4" s="8" t="str">
        <f>_xlfn.CONCAT("00210940433")</f>
        <v>00210940433</v>
      </c>
      <c r="N4" s="8" t="s">
        <v>34</v>
      </c>
      <c r="O4" s="8" t="s">
        <v>35</v>
      </c>
      <c r="P4" s="9">
        <v>45203</v>
      </c>
      <c r="Q4" s="8" t="s">
        <v>36</v>
      </c>
      <c r="R4" s="8" t="s">
        <v>37</v>
      </c>
      <c r="S4" s="8" t="s">
        <v>38</v>
      </c>
      <c r="T4" s="8"/>
      <c r="U4" s="8" t="s">
        <v>39</v>
      </c>
      <c r="V4" s="10">
        <v>26199.43</v>
      </c>
      <c r="W4" s="10">
        <v>11297.19</v>
      </c>
      <c r="X4" s="10">
        <v>10432.61</v>
      </c>
      <c r="Y4" s="8">
        <v>0</v>
      </c>
      <c r="Z4" s="10">
        <v>4469.63</v>
      </c>
    </row>
    <row r="5" spans="1:26" x14ac:dyDescent="0.3">
      <c r="A5" s="8" t="s">
        <v>27</v>
      </c>
      <c r="B5" s="8" t="s">
        <v>28</v>
      </c>
      <c r="C5" s="8" t="s">
        <v>29</v>
      </c>
      <c r="D5" s="8" t="s">
        <v>40</v>
      </c>
      <c r="E5" s="8" t="s">
        <v>31</v>
      </c>
      <c r="F5" s="8" t="s">
        <v>31</v>
      </c>
      <c r="G5" s="8">
        <v>2017</v>
      </c>
      <c r="H5" s="8" t="str">
        <f>_xlfn.CONCAT("34270326142")</f>
        <v>34270326142</v>
      </c>
      <c r="I5" s="8" t="s">
        <v>32</v>
      </c>
      <c r="J5" s="8" t="s">
        <v>33</v>
      </c>
      <c r="K5" s="8" t="str">
        <f t="shared" si="0"/>
        <v/>
      </c>
      <c r="L5" s="8" t="str">
        <f>_xlfn.CONCAT("4 4.1 2a")</f>
        <v>4 4.1 2a</v>
      </c>
      <c r="M5" s="8" t="str">
        <f>_xlfn.CONCAT("02274720446")</f>
        <v>02274720446</v>
      </c>
      <c r="N5" s="8" t="s">
        <v>41</v>
      </c>
      <c r="O5" s="8" t="s">
        <v>42</v>
      </c>
      <c r="P5" s="9">
        <v>45203</v>
      </c>
      <c r="Q5" s="8" t="s">
        <v>36</v>
      </c>
      <c r="R5" s="8" t="s">
        <v>37</v>
      </c>
      <c r="S5" s="8" t="s">
        <v>38</v>
      </c>
      <c r="T5" s="8"/>
      <c r="U5" s="8" t="s">
        <v>39</v>
      </c>
      <c r="V5" s="10">
        <v>248884.82</v>
      </c>
      <c r="W5" s="10">
        <v>107319.13</v>
      </c>
      <c r="X5" s="10">
        <v>99105.94</v>
      </c>
      <c r="Y5" s="8">
        <v>0</v>
      </c>
      <c r="Z5" s="10">
        <v>42459.75</v>
      </c>
    </row>
    <row r="6" spans="1:26" x14ac:dyDescent="0.3">
      <c r="A6" s="8" t="s">
        <v>27</v>
      </c>
      <c r="B6" s="8" t="s">
        <v>28</v>
      </c>
      <c r="C6" s="8" t="s">
        <v>29</v>
      </c>
      <c r="D6" s="8" t="s">
        <v>30</v>
      </c>
      <c r="E6" s="8" t="s">
        <v>31</v>
      </c>
      <c r="F6" s="8" t="s">
        <v>31</v>
      </c>
      <c r="G6" s="8">
        <v>2017</v>
      </c>
      <c r="H6" s="8" t="str">
        <f>_xlfn.CONCAT("34270325706")</f>
        <v>34270325706</v>
      </c>
      <c r="I6" s="8" t="s">
        <v>32</v>
      </c>
      <c r="J6" s="8" t="s">
        <v>33</v>
      </c>
      <c r="K6" s="8" t="str">
        <f t="shared" si="0"/>
        <v/>
      </c>
      <c r="L6" s="8" t="str">
        <f>_xlfn.CONCAT("4 4.3 2a")</f>
        <v>4 4.3 2a</v>
      </c>
      <c r="M6" s="8" t="str">
        <f>_xlfn.CONCAT("00169080439")</f>
        <v>00169080439</v>
      </c>
      <c r="N6" s="8" t="s">
        <v>43</v>
      </c>
      <c r="O6" s="8" t="s">
        <v>35</v>
      </c>
      <c r="P6" s="9">
        <v>45203</v>
      </c>
      <c r="Q6" s="8" t="s">
        <v>36</v>
      </c>
      <c r="R6" s="8" t="s">
        <v>37</v>
      </c>
      <c r="S6" s="8" t="s">
        <v>38</v>
      </c>
      <c r="T6" s="8"/>
      <c r="U6" s="8" t="s">
        <v>39</v>
      </c>
      <c r="V6" s="10">
        <v>26984.7</v>
      </c>
      <c r="W6" s="10">
        <v>11635.8</v>
      </c>
      <c r="X6" s="10">
        <v>10745.31</v>
      </c>
      <c r="Y6" s="8">
        <v>0</v>
      </c>
      <c r="Z6" s="10">
        <v>4603.59</v>
      </c>
    </row>
    <row r="7" spans="1:26" x14ac:dyDescent="0.3">
      <c r="A7" s="8" t="s">
        <v>27</v>
      </c>
      <c r="B7" s="8" t="s">
        <v>28</v>
      </c>
      <c r="C7" s="8" t="s">
        <v>29</v>
      </c>
      <c r="D7" s="8" t="s">
        <v>30</v>
      </c>
      <c r="E7" s="8" t="s">
        <v>31</v>
      </c>
      <c r="F7" s="8" t="s">
        <v>31</v>
      </c>
      <c r="G7" s="8">
        <v>2017</v>
      </c>
      <c r="H7" s="8" t="str">
        <f>_xlfn.CONCAT("34270325565")</f>
        <v>34270325565</v>
      </c>
      <c r="I7" s="8" t="s">
        <v>32</v>
      </c>
      <c r="J7" s="8" t="s">
        <v>33</v>
      </c>
      <c r="K7" s="8" t="str">
        <f t="shared" si="0"/>
        <v/>
      </c>
      <c r="L7" s="8" t="str">
        <f>_xlfn.CONCAT("4 4.3 2a")</f>
        <v>4 4.3 2a</v>
      </c>
      <c r="M7" s="8" t="str">
        <f>_xlfn.CONCAT("00169080439")</f>
        <v>00169080439</v>
      </c>
      <c r="N7" s="8" t="s">
        <v>43</v>
      </c>
      <c r="O7" s="8" t="s">
        <v>35</v>
      </c>
      <c r="P7" s="9">
        <v>45203</v>
      </c>
      <c r="Q7" s="8" t="s">
        <v>36</v>
      </c>
      <c r="R7" s="8" t="s">
        <v>37</v>
      </c>
      <c r="S7" s="8" t="s">
        <v>38</v>
      </c>
      <c r="T7" s="8"/>
      <c r="U7" s="8" t="s">
        <v>39</v>
      </c>
      <c r="V7" s="10">
        <v>43496.56</v>
      </c>
      <c r="W7" s="10">
        <v>18755.72</v>
      </c>
      <c r="X7" s="10">
        <v>17320.330000000002</v>
      </c>
      <c r="Y7" s="8">
        <v>0</v>
      </c>
      <c r="Z7" s="10">
        <v>7420.51</v>
      </c>
    </row>
    <row r="8" spans="1:26" ht="20.399999999999999" x14ac:dyDescent="0.3">
      <c r="A8" s="8" t="s">
        <v>27</v>
      </c>
      <c r="B8" s="8" t="s">
        <v>28</v>
      </c>
      <c r="C8" s="8" t="s">
        <v>29</v>
      </c>
      <c r="D8" s="8" t="s">
        <v>44</v>
      </c>
      <c r="E8" s="8" t="s">
        <v>31</v>
      </c>
      <c r="F8" s="8" t="s">
        <v>31</v>
      </c>
      <c r="G8" s="8">
        <v>2017</v>
      </c>
      <c r="H8" s="8" t="str">
        <f>_xlfn.CONCAT("34270329732")</f>
        <v>34270329732</v>
      </c>
      <c r="I8" s="8" t="s">
        <v>45</v>
      </c>
      <c r="J8" s="8" t="s">
        <v>33</v>
      </c>
      <c r="K8" s="8" t="str">
        <f t="shared" si="0"/>
        <v/>
      </c>
      <c r="L8" s="8" t="str">
        <f>_xlfn.CONCAT("2 2.1 2a")</f>
        <v>2 2.1 2a</v>
      </c>
      <c r="M8" s="8" t="str">
        <f>_xlfn.CONCAT("02858060425")</f>
        <v>02858060425</v>
      </c>
      <c r="N8" s="8" t="s">
        <v>46</v>
      </c>
      <c r="O8" s="8" t="s">
        <v>47</v>
      </c>
      <c r="P8" s="9">
        <v>45203</v>
      </c>
      <c r="Q8" s="8" t="s">
        <v>36</v>
      </c>
      <c r="R8" s="8" t="s">
        <v>37</v>
      </c>
      <c r="S8" s="8" t="s">
        <v>38</v>
      </c>
      <c r="T8" s="8"/>
      <c r="U8" s="8" t="s">
        <v>39</v>
      </c>
      <c r="V8" s="10">
        <v>22121.74</v>
      </c>
      <c r="W8" s="10">
        <v>9538.89</v>
      </c>
      <c r="X8" s="10">
        <v>8808.8799999999992</v>
      </c>
      <c r="Y8" s="8">
        <v>0</v>
      </c>
      <c r="Z8" s="10">
        <v>3773.97</v>
      </c>
    </row>
    <row r="9" spans="1:26" x14ac:dyDescent="0.3">
      <c r="A9" s="8" t="s">
        <v>27</v>
      </c>
      <c r="B9" s="8" t="s">
        <v>28</v>
      </c>
      <c r="C9" s="8" t="s">
        <v>29</v>
      </c>
      <c r="D9" s="8" t="s">
        <v>44</v>
      </c>
      <c r="E9" s="8" t="s">
        <v>48</v>
      </c>
      <c r="F9" s="8" t="s">
        <v>49</v>
      </c>
      <c r="G9" s="8">
        <v>2017</v>
      </c>
      <c r="H9" s="8" t="str">
        <f>_xlfn.CONCAT("34270325474")</f>
        <v>34270325474</v>
      </c>
      <c r="I9" s="8" t="s">
        <v>32</v>
      </c>
      <c r="J9" s="8" t="s">
        <v>33</v>
      </c>
      <c r="K9" s="8" t="str">
        <f t="shared" si="0"/>
        <v/>
      </c>
      <c r="L9" s="8" t="str">
        <f>_xlfn.CONCAT("6 6.1 2b")</f>
        <v>6 6.1 2b</v>
      </c>
      <c r="M9" s="8" t="str">
        <f>_xlfn.CONCAT("02057350437")</f>
        <v>02057350437</v>
      </c>
      <c r="N9" s="8" t="s">
        <v>50</v>
      </c>
      <c r="O9" s="8" t="s">
        <v>51</v>
      </c>
      <c r="P9" s="9">
        <v>45203</v>
      </c>
      <c r="Q9" s="8" t="s">
        <v>36</v>
      </c>
      <c r="R9" s="8" t="s">
        <v>52</v>
      </c>
      <c r="S9" s="8" t="s">
        <v>38</v>
      </c>
      <c r="T9" s="8"/>
      <c r="U9" s="8" t="s">
        <v>39</v>
      </c>
      <c r="V9" s="10">
        <v>10000</v>
      </c>
      <c r="W9" s="10">
        <v>4312</v>
      </c>
      <c r="X9" s="10">
        <v>3982</v>
      </c>
      <c r="Y9" s="8">
        <v>0</v>
      </c>
      <c r="Z9" s="10">
        <v>1706</v>
      </c>
    </row>
    <row r="10" spans="1:26" x14ac:dyDescent="0.3">
      <c r="A10" s="8" t="s">
        <v>27</v>
      </c>
      <c r="B10" s="8" t="s">
        <v>28</v>
      </c>
      <c r="C10" s="8" t="s">
        <v>29</v>
      </c>
      <c r="D10" s="8" t="s">
        <v>40</v>
      </c>
      <c r="E10" s="8" t="s">
        <v>31</v>
      </c>
      <c r="F10" s="8" t="s">
        <v>31</v>
      </c>
      <c r="G10" s="8">
        <v>2017</v>
      </c>
      <c r="H10" s="8" t="str">
        <f>_xlfn.CONCAT("34270300600")</f>
        <v>34270300600</v>
      </c>
      <c r="I10" s="8" t="s">
        <v>32</v>
      </c>
      <c r="J10" s="8" t="s">
        <v>33</v>
      </c>
      <c r="K10" s="8" t="str">
        <f t="shared" si="0"/>
        <v/>
      </c>
      <c r="L10" s="8" t="str">
        <f>_xlfn.CONCAT("8 8.1 5e")</f>
        <v>8 8.1 5e</v>
      </c>
      <c r="M10" s="8" t="str">
        <f>_xlfn.CONCAT("CNTMSL53D65F493J")</f>
        <v>CNTMSL53D65F493J</v>
      </c>
      <c r="N10" s="8" t="s">
        <v>53</v>
      </c>
      <c r="O10" s="8" t="s">
        <v>54</v>
      </c>
      <c r="P10" s="9">
        <v>45203</v>
      </c>
      <c r="Q10" s="8" t="s">
        <v>36</v>
      </c>
      <c r="R10" s="8" t="s">
        <v>37</v>
      </c>
      <c r="S10" s="8" t="s">
        <v>38</v>
      </c>
      <c r="T10" s="8"/>
      <c r="U10" s="8" t="s">
        <v>39</v>
      </c>
      <c r="V10" s="10">
        <v>9043.91</v>
      </c>
      <c r="W10" s="10">
        <v>3899.73</v>
      </c>
      <c r="X10" s="10">
        <v>3601.28</v>
      </c>
      <c r="Y10" s="8">
        <v>0</v>
      </c>
      <c r="Z10" s="10">
        <v>1542.9</v>
      </c>
    </row>
    <row r="11" spans="1:26" x14ac:dyDescent="0.3">
      <c r="A11" s="8" t="s">
        <v>27</v>
      </c>
      <c r="B11" s="8" t="s">
        <v>28</v>
      </c>
      <c r="C11" s="8" t="s">
        <v>29</v>
      </c>
      <c r="D11" s="8" t="s">
        <v>40</v>
      </c>
      <c r="E11" s="8" t="s">
        <v>31</v>
      </c>
      <c r="F11" s="8" t="s">
        <v>31</v>
      </c>
      <c r="G11" s="8">
        <v>2017</v>
      </c>
      <c r="H11" s="8" t="str">
        <f>_xlfn.CONCAT("24270242613")</f>
        <v>24270242613</v>
      </c>
      <c r="I11" s="8" t="s">
        <v>32</v>
      </c>
      <c r="J11" s="8" t="s">
        <v>33</v>
      </c>
      <c r="K11" s="8" t="str">
        <f t="shared" si="0"/>
        <v/>
      </c>
      <c r="L11" s="8" t="str">
        <f>_xlfn.CONCAT("8 8.1 5e")</f>
        <v>8 8.1 5e</v>
      </c>
      <c r="M11" s="8" t="str">
        <f>_xlfn.CONCAT("DCSDNL79C19A252T")</f>
        <v>DCSDNL79C19A252T</v>
      </c>
      <c r="N11" s="8" t="s">
        <v>55</v>
      </c>
      <c r="O11" s="8" t="s">
        <v>54</v>
      </c>
      <c r="P11" s="9">
        <v>45203</v>
      </c>
      <c r="Q11" s="8" t="s">
        <v>36</v>
      </c>
      <c r="R11" s="8" t="s">
        <v>37</v>
      </c>
      <c r="S11" s="8" t="s">
        <v>38</v>
      </c>
      <c r="T11" s="8"/>
      <c r="U11" s="8" t="s">
        <v>39</v>
      </c>
      <c r="V11" s="10">
        <v>18281.36</v>
      </c>
      <c r="W11" s="10">
        <v>7882.92</v>
      </c>
      <c r="X11" s="10">
        <v>7279.64</v>
      </c>
      <c r="Y11" s="8">
        <v>0</v>
      </c>
      <c r="Z11" s="10">
        <v>3118.8</v>
      </c>
    </row>
    <row r="12" spans="1:26" x14ac:dyDescent="0.3">
      <c r="A12" s="8" t="s">
        <v>27</v>
      </c>
      <c r="B12" s="8" t="s">
        <v>28</v>
      </c>
      <c r="C12" s="8" t="s">
        <v>29</v>
      </c>
      <c r="D12" s="8" t="s">
        <v>40</v>
      </c>
      <c r="E12" s="8" t="s">
        <v>31</v>
      </c>
      <c r="F12" s="8" t="s">
        <v>31</v>
      </c>
      <c r="G12" s="8">
        <v>2017</v>
      </c>
      <c r="H12" s="8" t="str">
        <f>_xlfn.CONCAT("34270300618")</f>
        <v>34270300618</v>
      </c>
      <c r="I12" s="8" t="s">
        <v>32</v>
      </c>
      <c r="J12" s="8" t="s">
        <v>33</v>
      </c>
      <c r="K12" s="8" t="str">
        <f t="shared" si="0"/>
        <v/>
      </c>
      <c r="L12" s="8" t="str">
        <f>_xlfn.CONCAT("8 8.1 5e")</f>
        <v>8 8.1 5e</v>
      </c>
      <c r="M12" s="8" t="str">
        <f>_xlfn.CONCAT("SLNVTI60B26F509B")</f>
        <v>SLNVTI60B26F509B</v>
      </c>
      <c r="N12" s="8" t="s">
        <v>56</v>
      </c>
      <c r="O12" s="8" t="s">
        <v>54</v>
      </c>
      <c r="P12" s="9">
        <v>45203</v>
      </c>
      <c r="Q12" s="8" t="s">
        <v>36</v>
      </c>
      <c r="R12" s="8" t="s">
        <v>37</v>
      </c>
      <c r="S12" s="8" t="s">
        <v>38</v>
      </c>
      <c r="T12" s="8"/>
      <c r="U12" s="8" t="s">
        <v>39</v>
      </c>
      <c r="V12" s="10">
        <v>11236.98</v>
      </c>
      <c r="W12" s="10">
        <v>4845.3900000000003</v>
      </c>
      <c r="X12" s="10">
        <v>4474.57</v>
      </c>
      <c r="Y12" s="8">
        <v>0</v>
      </c>
      <c r="Z12" s="10">
        <v>1917.02</v>
      </c>
    </row>
    <row r="13" spans="1:26" x14ac:dyDescent="0.3">
      <c r="A13" s="8" t="s">
        <v>27</v>
      </c>
      <c r="B13" s="8" t="s">
        <v>28</v>
      </c>
      <c r="C13" s="8" t="s">
        <v>29</v>
      </c>
      <c r="D13" s="8" t="s">
        <v>30</v>
      </c>
      <c r="E13" s="8" t="s">
        <v>48</v>
      </c>
      <c r="F13" s="8" t="s">
        <v>57</v>
      </c>
      <c r="G13" s="8">
        <v>2017</v>
      </c>
      <c r="H13" s="8" t="str">
        <f>_xlfn.CONCAT("34270325060")</f>
        <v>34270325060</v>
      </c>
      <c r="I13" s="8" t="s">
        <v>32</v>
      </c>
      <c r="J13" s="8" t="s">
        <v>33</v>
      </c>
      <c r="K13" s="8" t="str">
        <f t="shared" si="0"/>
        <v/>
      </c>
      <c r="L13" s="8" t="str">
        <f>_xlfn.CONCAT("4 4.1 2a")</f>
        <v>4 4.1 2a</v>
      </c>
      <c r="M13" s="8" t="str">
        <f>_xlfn.CONCAT("BRNRRT67E04C704T")</f>
        <v>BRNRRT67E04C704T</v>
      </c>
      <c r="N13" s="8" t="s">
        <v>58</v>
      </c>
      <c r="O13" s="8" t="s">
        <v>59</v>
      </c>
      <c r="P13" s="9">
        <v>45203</v>
      </c>
      <c r="Q13" s="8" t="s">
        <v>36</v>
      </c>
      <c r="R13" s="8" t="s">
        <v>60</v>
      </c>
      <c r="S13" s="8" t="s">
        <v>38</v>
      </c>
      <c r="T13" s="8"/>
      <c r="U13" s="8" t="s">
        <v>39</v>
      </c>
      <c r="V13" s="10">
        <v>35000</v>
      </c>
      <c r="W13" s="10">
        <v>15092</v>
      </c>
      <c r="X13" s="10">
        <v>13937</v>
      </c>
      <c r="Y13" s="8">
        <v>0</v>
      </c>
      <c r="Z13" s="10">
        <v>5971</v>
      </c>
    </row>
    <row r="14" spans="1:26" x14ac:dyDescent="0.3">
      <c r="A14" s="8" t="s">
        <v>27</v>
      </c>
      <c r="B14" s="8" t="s">
        <v>61</v>
      </c>
      <c r="C14" s="8" t="s">
        <v>29</v>
      </c>
      <c r="D14" s="8" t="s">
        <v>40</v>
      </c>
      <c r="E14" s="8" t="s">
        <v>62</v>
      </c>
      <c r="F14" s="8" t="s">
        <v>63</v>
      </c>
      <c r="G14" s="8">
        <v>2022</v>
      </c>
      <c r="H14" s="8" t="str">
        <f>_xlfn.CONCAT("24230002966")</f>
        <v>24230002966</v>
      </c>
      <c r="I14" s="8" t="s">
        <v>45</v>
      </c>
      <c r="J14" s="8" t="s">
        <v>33</v>
      </c>
      <c r="K14" s="8" t="str">
        <f t="shared" si="0"/>
        <v/>
      </c>
      <c r="L14" s="8" t="str">
        <f>_xlfn.CONCAT("8 8.1 5e")</f>
        <v>8 8.1 5e</v>
      </c>
      <c r="M14" s="8" t="str">
        <f>_xlfn.CONCAT("NGLNDA87T68A462F")</f>
        <v>NGLNDA87T68A462F</v>
      </c>
      <c r="N14" s="8" t="s">
        <v>64</v>
      </c>
      <c r="O14" s="8" t="s">
        <v>65</v>
      </c>
      <c r="P14" s="9">
        <v>45203</v>
      </c>
      <c r="Q14" s="8" t="s">
        <v>36</v>
      </c>
      <c r="R14" s="8" t="s">
        <v>37</v>
      </c>
      <c r="S14" s="8" t="s">
        <v>38</v>
      </c>
      <c r="T14" s="8"/>
      <c r="U14" s="8" t="s">
        <v>39</v>
      </c>
      <c r="V14" s="10">
        <v>3326.75</v>
      </c>
      <c r="W14" s="10">
        <v>1434.49</v>
      </c>
      <c r="X14" s="10">
        <v>1324.71</v>
      </c>
      <c r="Y14" s="8">
        <v>0</v>
      </c>
      <c r="Z14" s="8">
        <v>567.54999999999995</v>
      </c>
    </row>
    <row r="15" spans="1:26" ht="20.399999999999999" x14ac:dyDescent="0.3">
      <c r="A15" s="8" t="s">
        <v>27</v>
      </c>
      <c r="B15" s="8" t="s">
        <v>28</v>
      </c>
      <c r="C15" s="8" t="s">
        <v>29</v>
      </c>
      <c r="D15" s="8" t="s">
        <v>44</v>
      </c>
      <c r="E15" s="8" t="s">
        <v>66</v>
      </c>
      <c r="F15" s="8" t="s">
        <v>67</v>
      </c>
      <c r="G15" s="8">
        <v>2017</v>
      </c>
      <c r="H15" s="8" t="str">
        <f>_xlfn.CONCAT("34270325508")</f>
        <v>34270325508</v>
      </c>
      <c r="I15" s="8" t="s">
        <v>32</v>
      </c>
      <c r="J15" s="8" t="s">
        <v>33</v>
      </c>
      <c r="K15" s="8" t="str">
        <f t="shared" si="0"/>
        <v/>
      </c>
      <c r="L15" s="8" t="str">
        <f>_xlfn.CONCAT("1 1.2 2a")</f>
        <v>1 1.2 2a</v>
      </c>
      <c r="M15" s="8" t="str">
        <f>_xlfn.CONCAT("93019480420")</f>
        <v>93019480420</v>
      </c>
      <c r="N15" s="8" t="s">
        <v>68</v>
      </c>
      <c r="O15" s="8" t="s">
        <v>69</v>
      </c>
      <c r="P15" s="9">
        <v>45203</v>
      </c>
      <c r="Q15" s="8" t="s">
        <v>36</v>
      </c>
      <c r="R15" s="8" t="s">
        <v>37</v>
      </c>
      <c r="S15" s="8" t="s">
        <v>38</v>
      </c>
      <c r="T15" s="8"/>
      <c r="U15" s="8" t="s">
        <v>39</v>
      </c>
      <c r="V15" s="10">
        <v>38010.839999999997</v>
      </c>
      <c r="W15" s="10">
        <v>16390.27</v>
      </c>
      <c r="X15" s="10">
        <v>15135.92</v>
      </c>
      <c r="Y15" s="8">
        <v>0</v>
      </c>
      <c r="Z15" s="10">
        <v>6484.65</v>
      </c>
    </row>
    <row r="16" spans="1:26" x14ac:dyDescent="0.3">
      <c r="A16" s="8" t="s">
        <v>27</v>
      </c>
      <c r="B16" s="8" t="s">
        <v>28</v>
      </c>
      <c r="C16" s="8" t="s">
        <v>29</v>
      </c>
      <c r="D16" s="8" t="s">
        <v>44</v>
      </c>
      <c r="E16" s="8" t="s">
        <v>48</v>
      </c>
      <c r="F16" s="8" t="s">
        <v>70</v>
      </c>
      <c r="G16" s="8">
        <v>2017</v>
      </c>
      <c r="H16" s="8" t="str">
        <f>_xlfn.CONCAT("34270325516")</f>
        <v>34270325516</v>
      </c>
      <c r="I16" s="8" t="s">
        <v>32</v>
      </c>
      <c r="J16" s="8" t="s">
        <v>33</v>
      </c>
      <c r="K16" s="8" t="str">
        <f t="shared" si="0"/>
        <v/>
      </c>
      <c r="L16" s="8" t="str">
        <f>_xlfn.CONCAT("1 1.2 2a")</f>
        <v>1 1.2 2a</v>
      </c>
      <c r="M16" s="8" t="str">
        <f>_xlfn.CONCAT("80000890428")</f>
        <v>80000890428</v>
      </c>
      <c r="N16" s="8" t="s">
        <v>71</v>
      </c>
      <c r="O16" s="8" t="s">
        <v>69</v>
      </c>
      <c r="P16" s="9">
        <v>45203</v>
      </c>
      <c r="Q16" s="8" t="s">
        <v>36</v>
      </c>
      <c r="R16" s="8" t="s">
        <v>37</v>
      </c>
      <c r="S16" s="8" t="s">
        <v>38</v>
      </c>
      <c r="T16" s="8"/>
      <c r="U16" s="8" t="s">
        <v>39</v>
      </c>
      <c r="V16" s="10">
        <v>80000</v>
      </c>
      <c r="W16" s="10">
        <v>34496</v>
      </c>
      <c r="X16" s="10">
        <v>31856</v>
      </c>
      <c r="Y16" s="8">
        <v>0</v>
      </c>
      <c r="Z16" s="10">
        <v>13648</v>
      </c>
    </row>
    <row r="17" spans="1:26" x14ac:dyDescent="0.3">
      <c r="A17" s="8" t="s">
        <v>27</v>
      </c>
      <c r="B17" s="8" t="s">
        <v>61</v>
      </c>
      <c r="C17" s="8" t="s">
        <v>29</v>
      </c>
      <c r="D17" s="8" t="s">
        <v>30</v>
      </c>
      <c r="E17" s="8" t="s">
        <v>48</v>
      </c>
      <c r="F17" s="8" t="s">
        <v>57</v>
      </c>
      <c r="G17" s="8">
        <v>2022</v>
      </c>
      <c r="H17" s="8" t="str">
        <f>_xlfn.CONCAT("24230003097")</f>
        <v>24230003097</v>
      </c>
      <c r="I17" s="8" t="s">
        <v>45</v>
      </c>
      <c r="J17" s="8" t="s">
        <v>33</v>
      </c>
      <c r="K17" s="8" t="str">
        <f t="shared" si="0"/>
        <v/>
      </c>
      <c r="L17" s="8" t="str">
        <f>_xlfn.CONCAT("8 8.1 5e")</f>
        <v>8 8.1 5e</v>
      </c>
      <c r="M17" s="8" t="str">
        <f>_xlfn.CONCAT("CPPGLN61S26F051Y")</f>
        <v>CPPGLN61S26F051Y</v>
      </c>
      <c r="N17" s="8" t="s">
        <v>72</v>
      </c>
      <c r="O17" s="8" t="s">
        <v>73</v>
      </c>
      <c r="P17" s="9">
        <v>45203</v>
      </c>
      <c r="Q17" s="8" t="s">
        <v>36</v>
      </c>
      <c r="R17" s="8" t="s">
        <v>37</v>
      </c>
      <c r="S17" s="8" t="s">
        <v>38</v>
      </c>
      <c r="T17" s="8"/>
      <c r="U17" s="8" t="s">
        <v>39</v>
      </c>
      <c r="V17" s="8">
        <v>507.82</v>
      </c>
      <c r="W17" s="8">
        <v>218.97</v>
      </c>
      <c r="X17" s="8">
        <v>202.21</v>
      </c>
      <c r="Y17" s="8">
        <v>0</v>
      </c>
      <c r="Z17" s="8">
        <v>86.64</v>
      </c>
    </row>
    <row r="18" spans="1:26" x14ac:dyDescent="0.3">
      <c r="A18" s="8" t="s">
        <v>27</v>
      </c>
      <c r="B18" s="8" t="s">
        <v>61</v>
      </c>
      <c r="C18" s="8" t="s">
        <v>29</v>
      </c>
      <c r="D18" s="8" t="s">
        <v>40</v>
      </c>
      <c r="E18" s="8" t="s">
        <v>48</v>
      </c>
      <c r="F18" s="8" t="s">
        <v>74</v>
      </c>
      <c r="G18" s="8">
        <v>2022</v>
      </c>
      <c r="H18" s="8" t="str">
        <f>_xlfn.CONCAT("24240069872")</f>
        <v>24240069872</v>
      </c>
      <c r="I18" s="8" t="s">
        <v>32</v>
      </c>
      <c r="J18" s="8" t="s">
        <v>33</v>
      </c>
      <c r="K18" s="8" t="str">
        <f t="shared" si="0"/>
        <v/>
      </c>
      <c r="L18" s="8" t="str">
        <f>_xlfn.CONCAT("10 10.1 4b")</f>
        <v>10 10.1 4b</v>
      </c>
      <c r="M18" s="8" t="str">
        <f>_xlfn.CONCAT("MZZRLD34A29F487I")</f>
        <v>MZZRLD34A29F487I</v>
      </c>
      <c r="N18" s="8" t="s">
        <v>75</v>
      </c>
      <c r="O18" s="8" t="s">
        <v>76</v>
      </c>
      <c r="P18" s="9">
        <v>45203</v>
      </c>
      <c r="Q18" s="8" t="s">
        <v>36</v>
      </c>
      <c r="R18" s="8" t="s">
        <v>37</v>
      </c>
      <c r="S18" s="8" t="s">
        <v>38</v>
      </c>
      <c r="T18" s="8"/>
      <c r="U18" s="8" t="s">
        <v>39</v>
      </c>
      <c r="V18" s="10">
        <v>4215.1899999999996</v>
      </c>
      <c r="W18" s="10">
        <v>1817.59</v>
      </c>
      <c r="X18" s="10">
        <v>1678.49</v>
      </c>
      <c r="Y18" s="8">
        <v>0</v>
      </c>
      <c r="Z18" s="8">
        <v>719.11</v>
      </c>
    </row>
    <row r="19" spans="1:26" ht="20.399999999999999" x14ac:dyDescent="0.3">
      <c r="A19" s="8" t="s">
        <v>27</v>
      </c>
      <c r="B19" s="8" t="s">
        <v>28</v>
      </c>
      <c r="C19" s="8" t="s">
        <v>29</v>
      </c>
      <c r="D19" s="8" t="s">
        <v>40</v>
      </c>
      <c r="E19" s="8" t="s">
        <v>77</v>
      </c>
      <c r="F19" s="8" t="s">
        <v>78</v>
      </c>
      <c r="G19" s="8">
        <v>2017</v>
      </c>
      <c r="H19" s="8" t="str">
        <f>_xlfn.CONCAT("34270325524")</f>
        <v>34270325524</v>
      </c>
      <c r="I19" s="8" t="s">
        <v>32</v>
      </c>
      <c r="J19" s="8" t="s">
        <v>33</v>
      </c>
      <c r="K19" s="8" t="str">
        <f t="shared" si="0"/>
        <v/>
      </c>
      <c r="L19" s="8" t="str">
        <f>_xlfn.CONCAT("4 4.1 2a")</f>
        <v>4 4.1 2a</v>
      </c>
      <c r="M19" s="8" t="str">
        <f>_xlfn.CONCAT("01979770441")</f>
        <v>01979770441</v>
      </c>
      <c r="N19" s="8" t="s">
        <v>79</v>
      </c>
      <c r="O19" s="8" t="s">
        <v>80</v>
      </c>
      <c r="P19" s="9">
        <v>45203</v>
      </c>
      <c r="Q19" s="8" t="s">
        <v>36</v>
      </c>
      <c r="R19" s="8" t="s">
        <v>37</v>
      </c>
      <c r="S19" s="8" t="s">
        <v>38</v>
      </c>
      <c r="T19" s="8"/>
      <c r="U19" s="8" t="s">
        <v>39</v>
      </c>
      <c r="V19" s="10">
        <v>27628.6</v>
      </c>
      <c r="W19" s="10">
        <v>11913.45</v>
      </c>
      <c r="X19" s="10">
        <v>11001.71</v>
      </c>
      <c r="Y19" s="8">
        <v>0</v>
      </c>
      <c r="Z19" s="10">
        <v>4713.4399999999996</v>
      </c>
    </row>
    <row r="20" spans="1:26" x14ac:dyDescent="0.3">
      <c r="A20" s="8" t="s">
        <v>27</v>
      </c>
      <c r="B20" s="8" t="s">
        <v>28</v>
      </c>
      <c r="C20" s="8" t="s">
        <v>29</v>
      </c>
      <c r="D20" s="8" t="s">
        <v>40</v>
      </c>
      <c r="E20" s="8" t="s">
        <v>77</v>
      </c>
      <c r="F20" s="8" t="s">
        <v>78</v>
      </c>
      <c r="G20" s="8">
        <v>2017</v>
      </c>
      <c r="H20" s="8" t="str">
        <f>_xlfn.CONCAT("34270325540")</f>
        <v>34270325540</v>
      </c>
      <c r="I20" s="8" t="s">
        <v>32</v>
      </c>
      <c r="J20" s="8" t="s">
        <v>33</v>
      </c>
      <c r="K20" s="8" t="str">
        <f t="shared" si="0"/>
        <v/>
      </c>
      <c r="L20" s="8" t="str">
        <f>_xlfn.CONCAT("4 4.1 2a")</f>
        <v>4 4.1 2a</v>
      </c>
      <c r="M20" s="8" t="str">
        <f>_xlfn.CONCAT("CTNGPP65S17H769N")</f>
        <v>CTNGPP65S17H769N</v>
      </c>
      <c r="N20" s="8" t="s">
        <v>81</v>
      </c>
      <c r="O20" s="8" t="s">
        <v>80</v>
      </c>
      <c r="P20" s="9">
        <v>45203</v>
      </c>
      <c r="Q20" s="8" t="s">
        <v>36</v>
      </c>
      <c r="R20" s="8" t="s">
        <v>37</v>
      </c>
      <c r="S20" s="8" t="s">
        <v>38</v>
      </c>
      <c r="T20" s="8"/>
      <c r="U20" s="8" t="s">
        <v>39</v>
      </c>
      <c r="V20" s="10">
        <v>9091.99</v>
      </c>
      <c r="W20" s="10">
        <v>3920.47</v>
      </c>
      <c r="X20" s="10">
        <v>3620.43</v>
      </c>
      <c r="Y20" s="8">
        <v>0</v>
      </c>
      <c r="Z20" s="10">
        <v>1551.09</v>
      </c>
    </row>
    <row r="21" spans="1:26" x14ac:dyDescent="0.3">
      <c r="A21" s="8" t="s">
        <v>27</v>
      </c>
      <c r="B21" s="8" t="s">
        <v>28</v>
      </c>
      <c r="C21" s="8" t="s">
        <v>29</v>
      </c>
      <c r="D21" s="8" t="s">
        <v>40</v>
      </c>
      <c r="E21" s="8" t="s">
        <v>77</v>
      </c>
      <c r="F21" s="8" t="s">
        <v>78</v>
      </c>
      <c r="G21" s="8">
        <v>2017</v>
      </c>
      <c r="H21" s="8" t="str">
        <f>_xlfn.CONCAT("34270325532")</f>
        <v>34270325532</v>
      </c>
      <c r="I21" s="8" t="s">
        <v>32</v>
      </c>
      <c r="J21" s="8" t="s">
        <v>33</v>
      </c>
      <c r="K21" s="8" t="str">
        <f t="shared" si="0"/>
        <v/>
      </c>
      <c r="L21" s="8" t="str">
        <f>_xlfn.CONCAT("4 4.1 2a")</f>
        <v>4 4.1 2a</v>
      </c>
      <c r="M21" s="8" t="str">
        <f>_xlfn.CONCAT("PTRCRL94T11A271Z")</f>
        <v>PTRCRL94T11A271Z</v>
      </c>
      <c r="N21" s="8" t="s">
        <v>82</v>
      </c>
      <c r="O21" s="8" t="s">
        <v>80</v>
      </c>
      <c r="P21" s="9">
        <v>45203</v>
      </c>
      <c r="Q21" s="8" t="s">
        <v>36</v>
      </c>
      <c r="R21" s="8" t="s">
        <v>37</v>
      </c>
      <c r="S21" s="8" t="s">
        <v>38</v>
      </c>
      <c r="T21" s="8"/>
      <c r="U21" s="8" t="s">
        <v>39</v>
      </c>
      <c r="V21" s="10">
        <v>7959.82</v>
      </c>
      <c r="W21" s="10">
        <v>3432.27</v>
      </c>
      <c r="X21" s="10">
        <v>3169.6</v>
      </c>
      <c r="Y21" s="8">
        <v>0</v>
      </c>
      <c r="Z21" s="10">
        <v>1357.95</v>
      </c>
    </row>
    <row r="22" spans="1:26" x14ac:dyDescent="0.3">
      <c r="A22" s="8" t="s">
        <v>27</v>
      </c>
      <c r="B22" s="8" t="s">
        <v>61</v>
      </c>
      <c r="C22" s="8" t="s">
        <v>29</v>
      </c>
      <c r="D22" s="8" t="s">
        <v>40</v>
      </c>
      <c r="E22" s="8" t="s">
        <v>48</v>
      </c>
      <c r="F22" s="8" t="s">
        <v>74</v>
      </c>
      <c r="G22" s="8">
        <v>2022</v>
      </c>
      <c r="H22" s="8" t="str">
        <f>_xlfn.CONCAT("24240166173")</f>
        <v>24240166173</v>
      </c>
      <c r="I22" s="8" t="s">
        <v>32</v>
      </c>
      <c r="J22" s="8" t="s">
        <v>33</v>
      </c>
      <c r="K22" s="8" t="str">
        <f t="shared" si="0"/>
        <v/>
      </c>
      <c r="L22" s="8" t="str">
        <f>_xlfn.CONCAT("10 10.1 4b")</f>
        <v>10 10.1 4b</v>
      </c>
      <c r="M22" s="8" t="str">
        <f>_xlfn.CONCAT("MZZSFN89D15H769C")</f>
        <v>MZZSFN89D15H769C</v>
      </c>
      <c r="N22" s="8" t="s">
        <v>83</v>
      </c>
      <c r="O22" s="8" t="s">
        <v>76</v>
      </c>
      <c r="P22" s="9">
        <v>45203</v>
      </c>
      <c r="Q22" s="8" t="s">
        <v>36</v>
      </c>
      <c r="R22" s="8" t="s">
        <v>37</v>
      </c>
      <c r="S22" s="8" t="s">
        <v>38</v>
      </c>
      <c r="T22" s="8"/>
      <c r="U22" s="8" t="s">
        <v>39</v>
      </c>
      <c r="V22" s="10">
        <v>7231.87</v>
      </c>
      <c r="W22" s="10">
        <v>3118.38</v>
      </c>
      <c r="X22" s="10">
        <v>2879.73</v>
      </c>
      <c r="Y22" s="8">
        <v>0</v>
      </c>
      <c r="Z22" s="10">
        <v>1233.76</v>
      </c>
    </row>
    <row r="23" spans="1:26" x14ac:dyDescent="0.3">
      <c r="A23" s="8" t="s">
        <v>27</v>
      </c>
      <c r="B23" s="8" t="s">
        <v>28</v>
      </c>
      <c r="C23" s="8" t="s">
        <v>29</v>
      </c>
      <c r="D23" s="8" t="s">
        <v>30</v>
      </c>
      <c r="E23" s="8" t="s">
        <v>31</v>
      </c>
      <c r="F23" s="8" t="s">
        <v>31</v>
      </c>
      <c r="G23" s="8">
        <v>2017</v>
      </c>
      <c r="H23" s="8" t="str">
        <f>_xlfn.CONCAT("34270325581")</f>
        <v>34270325581</v>
      </c>
      <c r="I23" s="8" t="s">
        <v>32</v>
      </c>
      <c r="J23" s="8" t="s">
        <v>33</v>
      </c>
      <c r="K23" s="8" t="str">
        <f t="shared" si="0"/>
        <v/>
      </c>
      <c r="L23" s="8" t="str">
        <f>_xlfn.CONCAT("4 4.1 2a")</f>
        <v>4 4.1 2a</v>
      </c>
      <c r="M23" s="8" t="str">
        <f>_xlfn.CONCAT("PTNFNC64B42A739I")</f>
        <v>PTNFNC64B42A739I</v>
      </c>
      <c r="N23" s="8" t="s">
        <v>84</v>
      </c>
      <c r="O23" s="8" t="s">
        <v>85</v>
      </c>
      <c r="P23" s="9">
        <v>45203</v>
      </c>
      <c r="Q23" s="8" t="s">
        <v>36</v>
      </c>
      <c r="R23" s="8" t="s">
        <v>37</v>
      </c>
      <c r="S23" s="8" t="s">
        <v>38</v>
      </c>
      <c r="T23" s="8"/>
      <c r="U23" s="8" t="s">
        <v>39</v>
      </c>
      <c r="V23" s="10">
        <v>18564</v>
      </c>
      <c r="W23" s="10">
        <v>8004.8</v>
      </c>
      <c r="X23" s="10">
        <v>7392.18</v>
      </c>
      <c r="Y23" s="8">
        <v>0</v>
      </c>
      <c r="Z23" s="10">
        <v>3167.02</v>
      </c>
    </row>
    <row r="24" spans="1:26" x14ac:dyDescent="0.3">
      <c r="A24" s="8" t="s">
        <v>27</v>
      </c>
      <c r="B24" s="8" t="s">
        <v>28</v>
      </c>
      <c r="C24" s="8" t="s">
        <v>29</v>
      </c>
      <c r="D24" s="8" t="s">
        <v>86</v>
      </c>
      <c r="E24" s="8" t="s">
        <v>48</v>
      </c>
      <c r="F24" s="8" t="s">
        <v>87</v>
      </c>
      <c r="G24" s="8">
        <v>2017</v>
      </c>
      <c r="H24" s="8" t="str">
        <f>_xlfn.CONCAT("34270325557")</f>
        <v>34270325557</v>
      </c>
      <c r="I24" s="8" t="s">
        <v>32</v>
      </c>
      <c r="J24" s="8" t="s">
        <v>33</v>
      </c>
      <c r="K24" s="8" t="str">
        <f t="shared" si="0"/>
        <v/>
      </c>
      <c r="L24" s="8" t="str">
        <f>_xlfn.CONCAT("4 4.1 2a")</f>
        <v>4 4.1 2a</v>
      </c>
      <c r="M24" s="8" t="str">
        <f>_xlfn.CONCAT("CCCDNL71B27D749Y")</f>
        <v>CCCDNL71B27D749Y</v>
      </c>
      <c r="N24" s="8" t="s">
        <v>88</v>
      </c>
      <c r="O24" s="8" t="s">
        <v>80</v>
      </c>
      <c r="P24" s="9">
        <v>45203</v>
      </c>
      <c r="Q24" s="8" t="s">
        <v>36</v>
      </c>
      <c r="R24" s="8" t="s">
        <v>37</v>
      </c>
      <c r="S24" s="8" t="s">
        <v>38</v>
      </c>
      <c r="T24" s="8"/>
      <c r="U24" s="8" t="s">
        <v>39</v>
      </c>
      <c r="V24" s="10">
        <v>8752.81</v>
      </c>
      <c r="W24" s="10">
        <v>3774.21</v>
      </c>
      <c r="X24" s="10">
        <v>3485.37</v>
      </c>
      <c r="Y24" s="8">
        <v>0</v>
      </c>
      <c r="Z24" s="10">
        <v>1493.23</v>
      </c>
    </row>
    <row r="25" spans="1:26" x14ac:dyDescent="0.3">
      <c r="A25" s="8" t="s">
        <v>27</v>
      </c>
      <c r="B25" s="8" t="s">
        <v>28</v>
      </c>
      <c r="C25" s="8" t="s">
        <v>29</v>
      </c>
      <c r="D25" s="8" t="s">
        <v>44</v>
      </c>
      <c r="E25" s="8" t="s">
        <v>48</v>
      </c>
      <c r="F25" s="8" t="s">
        <v>49</v>
      </c>
      <c r="G25" s="8">
        <v>2017</v>
      </c>
      <c r="H25" s="8" t="str">
        <f>_xlfn.CONCAT("34270325482")</f>
        <v>34270325482</v>
      </c>
      <c r="I25" s="8" t="s">
        <v>32</v>
      </c>
      <c r="J25" s="8" t="s">
        <v>33</v>
      </c>
      <c r="K25" s="8" t="str">
        <f t="shared" si="0"/>
        <v/>
      </c>
      <c r="L25" s="8" t="str">
        <f>_xlfn.CONCAT("4 4.1 2a")</f>
        <v>4 4.1 2a</v>
      </c>
      <c r="M25" s="8" t="str">
        <f>_xlfn.CONCAT("02057350437")</f>
        <v>02057350437</v>
      </c>
      <c r="N25" s="8" t="s">
        <v>50</v>
      </c>
      <c r="O25" s="8" t="s">
        <v>89</v>
      </c>
      <c r="P25" s="9">
        <v>45203</v>
      </c>
      <c r="Q25" s="8" t="s">
        <v>36</v>
      </c>
      <c r="R25" s="8" t="s">
        <v>52</v>
      </c>
      <c r="S25" s="8" t="s">
        <v>38</v>
      </c>
      <c r="T25" s="8"/>
      <c r="U25" s="8" t="s">
        <v>39</v>
      </c>
      <c r="V25" s="10">
        <v>71000</v>
      </c>
      <c r="W25" s="10">
        <v>30615.200000000001</v>
      </c>
      <c r="X25" s="10">
        <v>28272.2</v>
      </c>
      <c r="Y25" s="8">
        <v>0</v>
      </c>
      <c r="Z25" s="10">
        <v>12112.6</v>
      </c>
    </row>
    <row r="26" spans="1:26" x14ac:dyDescent="0.3">
      <c r="A26" s="8" t="s">
        <v>27</v>
      </c>
      <c r="B26" s="8" t="s">
        <v>61</v>
      </c>
      <c r="C26" s="8" t="s">
        <v>29</v>
      </c>
      <c r="D26" s="8" t="s">
        <v>86</v>
      </c>
      <c r="E26" s="8" t="s">
        <v>66</v>
      </c>
      <c r="F26" s="8" t="s">
        <v>90</v>
      </c>
      <c r="G26" s="8">
        <v>2022</v>
      </c>
      <c r="H26" s="8" t="str">
        <f>_xlfn.CONCAT("24240349936")</f>
        <v>24240349936</v>
      </c>
      <c r="I26" s="8" t="s">
        <v>45</v>
      </c>
      <c r="J26" s="8" t="s">
        <v>33</v>
      </c>
      <c r="K26" s="8" t="str">
        <f t="shared" si="0"/>
        <v/>
      </c>
      <c r="L26" s="8" t="str">
        <f>_xlfn.CONCAT("14 14.1 3a")</f>
        <v>14 14.1 3a</v>
      </c>
      <c r="M26" s="8" t="str">
        <f>_xlfn.CONCAT("MBRRNG69A28F839I")</f>
        <v>MBRRNG69A28F839I</v>
      </c>
      <c r="N26" s="8" t="s">
        <v>91</v>
      </c>
      <c r="O26" s="8" t="s">
        <v>92</v>
      </c>
      <c r="P26" s="9">
        <v>45203</v>
      </c>
      <c r="Q26" s="8" t="s">
        <v>36</v>
      </c>
      <c r="R26" s="8" t="s">
        <v>37</v>
      </c>
      <c r="S26" s="8" t="s">
        <v>38</v>
      </c>
      <c r="T26" s="8"/>
      <c r="U26" s="8" t="s">
        <v>39</v>
      </c>
      <c r="V26" s="10">
        <v>7877.8</v>
      </c>
      <c r="W26" s="10">
        <v>3396.91</v>
      </c>
      <c r="X26" s="10">
        <v>3136.94</v>
      </c>
      <c r="Y26" s="8">
        <v>0</v>
      </c>
      <c r="Z26" s="10">
        <v>1343.95</v>
      </c>
    </row>
    <row r="27" spans="1:26" x14ac:dyDescent="0.3">
      <c r="A27" s="8" t="s">
        <v>27</v>
      </c>
      <c r="B27" s="8" t="s">
        <v>28</v>
      </c>
      <c r="C27" s="8" t="s">
        <v>29</v>
      </c>
      <c r="D27" s="8" t="s">
        <v>44</v>
      </c>
      <c r="E27" s="8" t="s">
        <v>31</v>
      </c>
      <c r="F27" s="8" t="s">
        <v>31</v>
      </c>
      <c r="G27" s="8">
        <v>2017</v>
      </c>
      <c r="H27" s="8" t="str">
        <f>_xlfn.CONCAT("34270325599")</f>
        <v>34270325599</v>
      </c>
      <c r="I27" s="8" t="s">
        <v>45</v>
      </c>
      <c r="J27" s="8" t="s">
        <v>33</v>
      </c>
      <c r="K27" s="8" t="str">
        <f t="shared" si="0"/>
        <v/>
      </c>
      <c r="L27" s="8" t="str">
        <f>_xlfn.CONCAT("1 1.1 2a")</f>
        <v>1 1.1 2a</v>
      </c>
      <c r="M27" s="8" t="str">
        <f>_xlfn.CONCAT("02051370423")</f>
        <v>02051370423</v>
      </c>
      <c r="N27" s="8" t="s">
        <v>93</v>
      </c>
      <c r="O27" s="8" t="s">
        <v>94</v>
      </c>
      <c r="P27" s="9">
        <v>45203</v>
      </c>
      <c r="Q27" s="8" t="s">
        <v>36</v>
      </c>
      <c r="R27" s="8" t="s">
        <v>37</v>
      </c>
      <c r="S27" s="8" t="s">
        <v>38</v>
      </c>
      <c r="T27" s="8"/>
      <c r="U27" s="8" t="s">
        <v>39</v>
      </c>
      <c r="V27" s="10">
        <v>4488</v>
      </c>
      <c r="W27" s="10">
        <v>1935.23</v>
      </c>
      <c r="X27" s="10">
        <v>1787.12</v>
      </c>
      <c r="Y27" s="8">
        <v>0</v>
      </c>
      <c r="Z27" s="8">
        <v>765.65</v>
      </c>
    </row>
    <row r="28" spans="1:26" x14ac:dyDescent="0.3">
      <c r="A28" s="8" t="s">
        <v>27</v>
      </c>
      <c r="B28" s="8" t="s">
        <v>28</v>
      </c>
      <c r="C28" s="8" t="s">
        <v>29</v>
      </c>
      <c r="D28" s="8" t="s">
        <v>30</v>
      </c>
      <c r="E28" s="8" t="s">
        <v>48</v>
      </c>
      <c r="F28" s="8" t="s">
        <v>95</v>
      </c>
      <c r="G28" s="8">
        <v>2017</v>
      </c>
      <c r="H28" s="8" t="str">
        <f>_xlfn.CONCAT("34270325607")</f>
        <v>34270325607</v>
      </c>
      <c r="I28" s="8" t="s">
        <v>32</v>
      </c>
      <c r="J28" s="8" t="s">
        <v>33</v>
      </c>
      <c r="K28" s="8" t="str">
        <f t="shared" si="0"/>
        <v/>
      </c>
      <c r="L28" s="8" t="str">
        <f>_xlfn.CONCAT("4 4.1 2a")</f>
        <v>4 4.1 2a</v>
      </c>
      <c r="M28" s="8" t="str">
        <f>_xlfn.CONCAT("TRTMTT02S30D451W")</f>
        <v>TRTMTT02S30D451W</v>
      </c>
      <c r="N28" s="8" t="s">
        <v>96</v>
      </c>
      <c r="O28" s="8" t="s">
        <v>97</v>
      </c>
      <c r="P28" s="9">
        <v>45203</v>
      </c>
      <c r="Q28" s="8" t="s">
        <v>36</v>
      </c>
      <c r="R28" s="8" t="s">
        <v>60</v>
      </c>
      <c r="S28" s="8" t="s">
        <v>38</v>
      </c>
      <c r="T28" s="8"/>
      <c r="U28" s="8" t="s">
        <v>39</v>
      </c>
      <c r="V28" s="10">
        <v>67519.199999999997</v>
      </c>
      <c r="W28" s="10">
        <v>29114.28</v>
      </c>
      <c r="X28" s="10">
        <v>26886.15</v>
      </c>
      <c r="Y28" s="8">
        <v>0</v>
      </c>
      <c r="Z28" s="10">
        <v>11518.77</v>
      </c>
    </row>
    <row r="29" spans="1:26" x14ac:dyDescent="0.3">
      <c r="A29" s="8" t="s">
        <v>27</v>
      </c>
      <c r="B29" s="8" t="s">
        <v>28</v>
      </c>
      <c r="C29" s="8" t="s">
        <v>29</v>
      </c>
      <c r="D29" s="8" t="s">
        <v>40</v>
      </c>
      <c r="E29" s="8" t="s">
        <v>31</v>
      </c>
      <c r="F29" s="8" t="s">
        <v>31</v>
      </c>
      <c r="G29" s="8">
        <v>2017</v>
      </c>
      <c r="H29" s="8" t="str">
        <f>_xlfn.CONCAT("34270325011")</f>
        <v>34270325011</v>
      </c>
      <c r="I29" s="8" t="s">
        <v>32</v>
      </c>
      <c r="J29" s="8" t="s">
        <v>33</v>
      </c>
      <c r="K29" s="8" t="str">
        <f t="shared" si="0"/>
        <v/>
      </c>
      <c r="L29" s="8" t="str">
        <f>_xlfn.CONCAT("6 6.1 2b")</f>
        <v>6 6.1 2b</v>
      </c>
      <c r="M29" s="8" t="str">
        <f>_xlfn.CONCAT("MNCTMS85M23A462G")</f>
        <v>MNCTMS85M23A462G</v>
      </c>
      <c r="N29" s="8" t="s">
        <v>98</v>
      </c>
      <c r="O29" s="8" t="s">
        <v>99</v>
      </c>
      <c r="P29" s="9">
        <v>45203</v>
      </c>
      <c r="Q29" s="8" t="s">
        <v>36</v>
      </c>
      <c r="R29" s="8" t="s">
        <v>52</v>
      </c>
      <c r="S29" s="8" t="s">
        <v>38</v>
      </c>
      <c r="T29" s="8"/>
      <c r="U29" s="8" t="s">
        <v>39</v>
      </c>
      <c r="V29" s="10">
        <v>28000</v>
      </c>
      <c r="W29" s="10">
        <v>12073.6</v>
      </c>
      <c r="X29" s="10">
        <v>11149.6</v>
      </c>
      <c r="Y29" s="8">
        <v>0</v>
      </c>
      <c r="Z29" s="10">
        <v>4776.8</v>
      </c>
    </row>
    <row r="30" spans="1:26" x14ac:dyDescent="0.3">
      <c r="A30" s="8" t="s">
        <v>27</v>
      </c>
      <c r="B30" s="8" t="s">
        <v>28</v>
      </c>
      <c r="C30" s="8" t="s">
        <v>29</v>
      </c>
      <c r="D30" s="8" t="s">
        <v>44</v>
      </c>
      <c r="E30" s="8" t="s">
        <v>31</v>
      </c>
      <c r="F30" s="8" t="s">
        <v>31</v>
      </c>
      <c r="G30" s="8">
        <v>2017</v>
      </c>
      <c r="H30" s="8" t="str">
        <f>_xlfn.CONCAT("34270314023")</f>
        <v>34270314023</v>
      </c>
      <c r="I30" s="8" t="s">
        <v>32</v>
      </c>
      <c r="J30" s="8" t="s">
        <v>33</v>
      </c>
      <c r="K30" s="8" t="str">
        <f t="shared" si="0"/>
        <v/>
      </c>
      <c r="L30" s="8" t="str">
        <f>_xlfn.CONCAT("4 4.1 2a")</f>
        <v>4 4.1 2a</v>
      </c>
      <c r="M30" s="8" t="str">
        <f>_xlfn.CONCAT("KRSSFN78C42Z133T")</f>
        <v>KRSSFN78C42Z133T</v>
      </c>
      <c r="N30" s="8" t="s">
        <v>100</v>
      </c>
      <c r="O30" s="8" t="s">
        <v>101</v>
      </c>
      <c r="P30" s="9">
        <v>45201</v>
      </c>
      <c r="Q30" s="8" t="s">
        <v>36</v>
      </c>
      <c r="R30" s="8" t="s">
        <v>60</v>
      </c>
      <c r="S30" s="8" t="s">
        <v>38</v>
      </c>
      <c r="T30" s="8"/>
      <c r="U30" s="8" t="s">
        <v>39</v>
      </c>
      <c r="V30" s="10">
        <v>15502.03</v>
      </c>
      <c r="W30" s="10">
        <v>6684.48</v>
      </c>
      <c r="X30" s="10">
        <v>6172.91</v>
      </c>
      <c r="Y30" s="8">
        <v>0</v>
      </c>
      <c r="Z30" s="10">
        <v>2644.64</v>
      </c>
    </row>
    <row r="31" spans="1:26" x14ac:dyDescent="0.3">
      <c r="A31" s="8" t="s">
        <v>27</v>
      </c>
      <c r="B31" s="8" t="s">
        <v>28</v>
      </c>
      <c r="C31" s="8" t="s">
        <v>29</v>
      </c>
      <c r="D31" s="8" t="s">
        <v>44</v>
      </c>
      <c r="E31" s="8" t="s">
        <v>31</v>
      </c>
      <c r="F31" s="8" t="s">
        <v>31</v>
      </c>
      <c r="G31" s="8">
        <v>2017</v>
      </c>
      <c r="H31" s="8" t="str">
        <f>_xlfn.CONCAT("34270314031")</f>
        <v>34270314031</v>
      </c>
      <c r="I31" s="8" t="s">
        <v>32</v>
      </c>
      <c r="J31" s="8" t="s">
        <v>33</v>
      </c>
      <c r="K31" s="8" t="str">
        <f t="shared" si="0"/>
        <v/>
      </c>
      <c r="L31" s="8" t="str">
        <f>_xlfn.CONCAT("4 4.1 2a")</f>
        <v>4 4.1 2a</v>
      </c>
      <c r="M31" s="8" t="str">
        <f>_xlfn.CONCAT("PRLDGI96D17E388K")</f>
        <v>PRLDGI96D17E388K</v>
      </c>
      <c r="N31" s="8" t="s">
        <v>102</v>
      </c>
      <c r="O31" s="8" t="s">
        <v>101</v>
      </c>
      <c r="P31" s="9">
        <v>45201</v>
      </c>
      <c r="Q31" s="8" t="s">
        <v>36</v>
      </c>
      <c r="R31" s="8" t="s">
        <v>60</v>
      </c>
      <c r="S31" s="8" t="s">
        <v>38</v>
      </c>
      <c r="T31" s="8"/>
      <c r="U31" s="8" t="s">
        <v>39</v>
      </c>
      <c r="V31" s="10">
        <v>194987.1</v>
      </c>
      <c r="W31" s="10">
        <v>84078.44</v>
      </c>
      <c r="X31" s="10">
        <v>77643.86</v>
      </c>
      <c r="Y31" s="8">
        <v>0</v>
      </c>
      <c r="Z31" s="10">
        <v>33264.800000000003</v>
      </c>
    </row>
    <row r="32" spans="1:26" x14ac:dyDescent="0.3">
      <c r="A32" s="8" t="s">
        <v>27</v>
      </c>
      <c r="B32" s="8" t="s">
        <v>28</v>
      </c>
      <c r="C32" s="8" t="s">
        <v>29</v>
      </c>
      <c r="D32" s="8" t="s">
        <v>44</v>
      </c>
      <c r="E32" s="8" t="s">
        <v>31</v>
      </c>
      <c r="F32" s="8" t="s">
        <v>31</v>
      </c>
      <c r="G32" s="8">
        <v>2017</v>
      </c>
      <c r="H32" s="8" t="str">
        <f>_xlfn.CONCAT("34270325615")</f>
        <v>34270325615</v>
      </c>
      <c r="I32" s="8" t="s">
        <v>32</v>
      </c>
      <c r="J32" s="8" t="s">
        <v>33</v>
      </c>
      <c r="K32" s="8" t="str">
        <f t="shared" si="0"/>
        <v/>
      </c>
      <c r="L32" s="8" t="str">
        <f>_xlfn.CONCAT("4 4.1 2a")</f>
        <v>4 4.1 2a</v>
      </c>
      <c r="M32" s="8" t="str">
        <f>_xlfn.CONCAT("01580170429")</f>
        <v>01580170429</v>
      </c>
      <c r="N32" s="8" t="s">
        <v>103</v>
      </c>
      <c r="O32" s="8" t="s">
        <v>101</v>
      </c>
      <c r="P32" s="9">
        <v>45201</v>
      </c>
      <c r="Q32" s="8" t="s">
        <v>36</v>
      </c>
      <c r="R32" s="8" t="s">
        <v>60</v>
      </c>
      <c r="S32" s="8" t="s">
        <v>38</v>
      </c>
      <c r="T32" s="8"/>
      <c r="U32" s="8" t="s">
        <v>39</v>
      </c>
      <c r="V32" s="10">
        <v>70337.240000000005</v>
      </c>
      <c r="W32" s="10">
        <v>30329.42</v>
      </c>
      <c r="X32" s="10">
        <v>28008.29</v>
      </c>
      <c r="Y32" s="8">
        <v>0</v>
      </c>
      <c r="Z32" s="10">
        <v>11999.53</v>
      </c>
    </row>
    <row r="33" spans="1:26" x14ac:dyDescent="0.3">
      <c r="A33" s="8" t="s">
        <v>27</v>
      </c>
      <c r="B33" s="8" t="s">
        <v>28</v>
      </c>
      <c r="C33" s="8" t="s">
        <v>29</v>
      </c>
      <c r="D33" s="8" t="s">
        <v>40</v>
      </c>
      <c r="E33" s="8" t="s">
        <v>77</v>
      </c>
      <c r="F33" s="8" t="s">
        <v>78</v>
      </c>
      <c r="G33" s="8">
        <v>2017</v>
      </c>
      <c r="H33" s="8" t="str">
        <f>_xlfn.CONCAT("34270325029")</f>
        <v>34270325029</v>
      </c>
      <c r="I33" s="8" t="s">
        <v>32</v>
      </c>
      <c r="J33" s="8" t="s">
        <v>33</v>
      </c>
      <c r="K33" s="8" t="str">
        <f t="shared" si="0"/>
        <v/>
      </c>
      <c r="L33" s="8" t="str">
        <f>_xlfn.CONCAT("4 4.1 2a")</f>
        <v>4 4.1 2a</v>
      </c>
      <c r="M33" s="8" t="str">
        <f>_xlfn.CONCAT("DRSGLC93D26H769R")</f>
        <v>DRSGLC93D26H769R</v>
      </c>
      <c r="N33" s="8" t="s">
        <v>104</v>
      </c>
      <c r="O33" s="8" t="s">
        <v>105</v>
      </c>
      <c r="P33" s="9">
        <v>45203</v>
      </c>
      <c r="Q33" s="8" t="s">
        <v>36</v>
      </c>
      <c r="R33" s="8" t="s">
        <v>52</v>
      </c>
      <c r="S33" s="8" t="s">
        <v>38</v>
      </c>
      <c r="T33" s="8"/>
      <c r="U33" s="8" t="s">
        <v>39</v>
      </c>
      <c r="V33" s="10">
        <v>27132.400000000001</v>
      </c>
      <c r="W33" s="10">
        <v>11699.49</v>
      </c>
      <c r="X33" s="10">
        <v>10804.12</v>
      </c>
      <c r="Y33" s="8">
        <v>0</v>
      </c>
      <c r="Z33" s="10">
        <v>4628.79</v>
      </c>
    </row>
    <row r="34" spans="1:26" x14ac:dyDescent="0.3">
      <c r="A34" s="8" t="s">
        <v>27</v>
      </c>
      <c r="B34" s="8" t="s">
        <v>28</v>
      </c>
      <c r="C34" s="8" t="s">
        <v>29</v>
      </c>
      <c r="D34" s="8" t="s">
        <v>44</v>
      </c>
      <c r="E34" s="8" t="s">
        <v>66</v>
      </c>
      <c r="F34" s="8" t="s">
        <v>106</v>
      </c>
      <c r="G34" s="8">
        <v>2017</v>
      </c>
      <c r="H34" s="8" t="str">
        <f>_xlfn.CONCAT("34270314049")</f>
        <v>34270314049</v>
      </c>
      <c r="I34" s="8" t="s">
        <v>32</v>
      </c>
      <c r="J34" s="8" t="s">
        <v>33</v>
      </c>
      <c r="K34" s="8" t="str">
        <f t="shared" si="0"/>
        <v/>
      </c>
      <c r="L34" s="8" t="str">
        <f>_xlfn.CONCAT("4 4.1 2a")</f>
        <v>4 4.1 2a</v>
      </c>
      <c r="M34" s="8" t="str">
        <f>_xlfn.CONCAT("CNGCST98S30D451Y")</f>
        <v>CNGCST98S30D451Y</v>
      </c>
      <c r="N34" s="8" t="s">
        <v>107</v>
      </c>
      <c r="O34" s="8" t="s">
        <v>101</v>
      </c>
      <c r="P34" s="9">
        <v>45201</v>
      </c>
      <c r="Q34" s="8" t="s">
        <v>36</v>
      </c>
      <c r="R34" s="8" t="s">
        <v>60</v>
      </c>
      <c r="S34" s="8" t="s">
        <v>38</v>
      </c>
      <c r="T34" s="8"/>
      <c r="U34" s="8" t="s">
        <v>39</v>
      </c>
      <c r="V34" s="10">
        <v>178704.85</v>
      </c>
      <c r="W34" s="10">
        <v>77057.53</v>
      </c>
      <c r="X34" s="10">
        <v>71160.27</v>
      </c>
      <c r="Y34" s="8">
        <v>0</v>
      </c>
      <c r="Z34" s="10">
        <v>30487.05</v>
      </c>
    </row>
  </sheetData>
  <mergeCells count="1">
    <mergeCell ref="A2:Z2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MARCHE</vt:lpstr>
    </vt:vector>
  </TitlesOfParts>
  <Company>AgEA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Greco Giancarlo</dc:creator>
  <cp:lastModifiedBy>Greco Giancarlo</cp:lastModifiedBy>
  <dcterms:created xsi:type="dcterms:W3CDTF">2023-10-13T12:46:29Z</dcterms:created>
  <dcterms:modified xsi:type="dcterms:W3CDTF">2023-10-13T12:46:29Z</dcterms:modified>
</cp:coreProperties>
</file>