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ople.ey.com/personal/michele_ferrazzano_it_ey_com/Documents/Desktop/LAVORO/Invio decreti/Decreto n. 545/"/>
    </mc:Choice>
  </mc:AlternateContent>
  <xr:revisionPtr revIDLastSave="0" documentId="8_{74335EE5-792C-4D62-834E-1EA3520215CE}" xr6:coauthVersionLast="46" xr6:coauthVersionMax="46" xr10:uidLastSave="{00000000-0000-0000-0000-000000000000}"/>
  <bookViews>
    <workbookView xWindow="-110" yWindow="-110" windowWidth="19420" windowHeight="10420" xr2:uid="{8ECBA7A5-0C07-48A1-97F9-E7EE88E03F2C}"/>
  </bookViews>
  <sheets>
    <sheet name="Dettaglio_Domande_Pagabili_AGEA" sheetId="1" r:id="rId1"/>
  </sheets>
  <definedNames>
    <definedName name="_xlnm._FilterDatabase" localSheetId="0" hidden="1">Dettaglio_Domande_Pagabili_AGEA!$A$3:$Z$96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96" i="1" l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<sst xmlns="http://schemas.openxmlformats.org/spreadsheetml/2006/main" count="1329" uniqueCount="166">
  <si>
    <t>Dettaglio Domande Pagabili Decreto 545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</si>
  <si>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</si>
  <si>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</si>
  <si>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</si>
  <si>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</si>
  <si>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</si>
  <si>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</si>
  <si>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</si>
  <si>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</si>
  <si>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</si>
  <si>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</si>
  <si>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</si>
  <si>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</si>
  <si>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</si>
  <si>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</si>
  <si>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</si>
  <si>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</si>
  <si>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</si>
  <si>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</si>
  <si>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</si>
  <si>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</si>
  <si>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Tipologia di Strumento Finanziario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</si>
  <si>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</si>
  <si>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</si>
  <si>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</si>
  <si>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</si>
  <si>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</si>
  <si>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</si>
  <si>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</si>
  <si>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CAA LiberiAgricoltori srl già CAA AGCI srl</t>
  </si>
  <si>
    <t>NO</t>
  </si>
  <si>
    <t>Nuova Programmazione</t>
  </si>
  <si>
    <t>In Liquidazione</t>
  </si>
  <si>
    <t>Saldo</t>
  </si>
  <si>
    <t>Co-Finanziato</t>
  </si>
  <si>
    <t>Ordinario</t>
  </si>
  <si>
    <t>Misure a Superficie</t>
  </si>
  <si>
    <t>CAA Confagricoltura srl</t>
  </si>
  <si>
    <t>CAA Coldiretti srl</t>
  </si>
  <si>
    <t>CAA CIA srl</t>
  </si>
  <si>
    <t>SI</t>
  </si>
  <si>
    <t>CAA UNICAA srl</t>
  </si>
  <si>
    <t>CAA-CAF AGRI S.R.L.</t>
  </si>
  <si>
    <t>IN PROPRIO</t>
  </si>
  <si>
    <t>CAA AGRISERVIZI s.r.l.</t>
  </si>
  <si>
    <t>SAL</t>
  </si>
  <si>
    <t>CAA Liberi Professionisti srl</t>
  </si>
  <si>
    <t>MARCHE</t>
  </si>
  <si>
    <t>SERV. DEC. AGRICOLTURA E ALIM. - MACERATA</t>
  </si>
  <si>
    <t>SCOLASTICI ROBERTO</t>
  </si>
  <si>
    <t>AGEA.ASR.2022.0565168</t>
  </si>
  <si>
    <t>SERV. DEC. AGRICOLTURA E ALIMENTAZIONE - PESARO</t>
  </si>
  <si>
    <t>CAA CIA - PESARO E URBINO - 007</t>
  </si>
  <si>
    <t>TRIONFETTI DANIELE</t>
  </si>
  <si>
    <t>CAA CIA - PESARO E URBINO - 001</t>
  </si>
  <si>
    <t>BAILETTI EDI</t>
  </si>
  <si>
    <t>SCOLASTICI MARCO</t>
  </si>
  <si>
    <t>CAA Coldiretti - MACERATA - 017</t>
  </si>
  <si>
    <t>SBARDELLATI LAMBERTO</t>
  </si>
  <si>
    <t>CAA LiberiAgricoltori - MACERATA - 002</t>
  </si>
  <si>
    <t>MAGGI NAZZARENO</t>
  </si>
  <si>
    <t>SOCIETA' AGRICOLA GIROLAMI STEFANIA E SONIA S.S.</t>
  </si>
  <si>
    <t>SERV. DEC. AGRICOLTURA E ALIMENTAZIONE - ANCONA</t>
  </si>
  <si>
    <t>CAA CIA - ANCONA - 002</t>
  </si>
  <si>
    <t>MORETTI SIMONETTA</t>
  </si>
  <si>
    <t>CAA CAF AGRI - MACERATA - 224</t>
  </si>
  <si>
    <t>SABBATINI MATTEO</t>
  </si>
  <si>
    <t>CAPITANI GIORGIO</t>
  </si>
  <si>
    <t>PISELLI ELISA</t>
  </si>
  <si>
    <t>SEPI EMANUELE</t>
  </si>
  <si>
    <t>SABBATINI LUCIA</t>
  </si>
  <si>
    <t>VANGELISTA LUCA</t>
  </si>
  <si>
    <t>AGEA.ASR.2022.0583920</t>
  </si>
  <si>
    <t>AGEA.ASR.2022.0565169</t>
  </si>
  <si>
    <t>CAA Confagricoltura - MACERATA - 001</t>
  </si>
  <si>
    <t>BACCANARI LUCA</t>
  </si>
  <si>
    <t>RICCI ANNA LUISA</t>
  </si>
  <si>
    <t>ANGELI GIOVANNI</t>
  </si>
  <si>
    <t>FALCONE REALE SOCIETA' AGRICOLA S.R.L.</t>
  </si>
  <si>
    <t>CAA CIA - PESARO E URBINO - 006</t>
  </si>
  <si>
    <t>B2P SOCIETA' SEMPLICE AGRICOLA</t>
  </si>
  <si>
    <t>CAA Coldiretti - MACERATA - 007</t>
  </si>
  <si>
    <t>SANTANCINI ALBERTO</t>
  </si>
  <si>
    <t>ANGELUCCI ROBERTO</t>
  </si>
  <si>
    <t>CAA LiberiAgricoltori - MACERATA - 003</t>
  </si>
  <si>
    <t>ALESSANDRI DOMENICO</t>
  </si>
  <si>
    <t>CAA Coldiretti - PESARO E URBINO - 013</t>
  </si>
  <si>
    <t>GIORGI MARCELLO</t>
  </si>
  <si>
    <t>PONTANI SANTE DAMIANO</t>
  </si>
  <si>
    <t>CAA CIA - ANCONA - 005</t>
  </si>
  <si>
    <t>STROPPA SILVANA</t>
  </si>
  <si>
    <t>CAA Coldiretti - ANCONA - 008</t>
  </si>
  <si>
    <t>POLENTA RAFFAELA</t>
  </si>
  <si>
    <t>VERGINETO SOCIETA' AGRICOLA SEMPLICE</t>
  </si>
  <si>
    <t>SERV. DEC. AGRICOLTURA E ALIM. -ASCOLI PICENO</t>
  </si>
  <si>
    <t>CAA UNICAA - ASCOLI PICENO - 004</t>
  </si>
  <si>
    <t>FIORAVANTI VALENTINO</t>
  </si>
  <si>
    <t>NERI ROBERTO</t>
  </si>
  <si>
    <t>CAA Liberi Prof.- PESARO E URBINO - 001</t>
  </si>
  <si>
    <t>SOCIETA' AGRICOLA VERDOLIO SS DI ALFEI FRANCESCO E C</t>
  </si>
  <si>
    <t>GIANCARLO COPPOLA - CIAO NONNO S.R.L.</t>
  </si>
  <si>
    <t>SOCIETA' AGRICOLA IL RAGGIO DI SOLE DI ORPELLO S.S.</t>
  </si>
  <si>
    <t>CAA UNICAA - PESARO E URBINO - 003</t>
  </si>
  <si>
    <t>FIORELLI DIEGO</t>
  </si>
  <si>
    <t>PIZZARULLI LUCIANO</t>
  </si>
  <si>
    <t>CAA LiberiAgricoltori - MACERATA - 001</t>
  </si>
  <si>
    <t>MASSI GENTILONI SILVERI EMANUELE</t>
  </si>
  <si>
    <t>CAA CAF AGRI - ASCOLI PICENO - 223</t>
  </si>
  <si>
    <t>CANALI MAURO</t>
  </si>
  <si>
    <t>AGEA.ASR.2022.0581519</t>
  </si>
  <si>
    <t>CAA Confagricoltura - ANCONA - 001</t>
  </si>
  <si>
    <t>AZIENDA AGRICOLA LANFRANCO COLONNELLI DI MARCO MONTI E FRANCESCA COLON</t>
  </si>
  <si>
    <t>CAA CAF AGRI - PESARO E URBINO - 221</t>
  </si>
  <si>
    <t>JANSTA SVATOPLUK</t>
  </si>
  <si>
    <t>SOCIETA' AGRICOLA INCANTO DI TISI CINZIA E C. S.S.</t>
  </si>
  <si>
    <t>BARTOCCI GUIDO</t>
  </si>
  <si>
    <t>CAA Coldiretti - MACERATA - 009</t>
  </si>
  <si>
    <t>SOCIETA' AGRICOLA VAGNI ADOLFO E C. S.S.</t>
  </si>
  <si>
    <t>CAA Coldiretti - PESARO E URBINO - 006</t>
  </si>
  <si>
    <t>CAVALLINI FIORENZA</t>
  </si>
  <si>
    <t>CAA LiberiAgricoltori - MACERATA - 004</t>
  </si>
  <si>
    <t>RINOMATA AZIENDA BIOLOGICA IMPRENDITORI LIBERTI SIMONEE GIANPIETRO SOC</t>
  </si>
  <si>
    <t>PETTINARI ANNA MARIA</t>
  </si>
  <si>
    <t>COPPACCHIOLI GINEVRA</t>
  </si>
  <si>
    <t>MAURIZI LUIGINO</t>
  </si>
  <si>
    <t>CAA Coldiretti - ANCONA - 003</t>
  </si>
  <si>
    <t>OSOIWANLAN JEFFERY EROMOSELE</t>
  </si>
  <si>
    <t>CAA AGRISERVIZI - LATINA - 001</t>
  </si>
  <si>
    <t>GALANTI ALESSANDRO</t>
  </si>
  <si>
    <t>CAA Confagricoltura - PESARO E URBINO - 001</t>
  </si>
  <si>
    <t>AZIENDA AGRICOLA MOCHI - S.S. SOCIETA' AGRICOLA</t>
  </si>
  <si>
    <t>ALBERTO QUACQUARINI - SOCIETA' AGRICOLA SEMPLICE</t>
  </si>
  <si>
    <t>SOCIETA' AGRICOLA VILLANOVA S.S.</t>
  </si>
  <si>
    <t>TORRESI MARTINA</t>
  </si>
  <si>
    <t>SOCIETA' AGRICOLA IL CASONE DI INNOCENZI ROBERTA &amp; C. S.S.</t>
  </si>
  <si>
    <t>CAA CIA - ANCONA - 004</t>
  </si>
  <si>
    <t>ROSORANI NADIA</t>
  </si>
  <si>
    <t>CAA LiberiAgricoltori - MACERATA - 005</t>
  </si>
  <si>
    <t>MISICI ALESSANDRO</t>
  </si>
  <si>
    <t>MARCONI MICHELE</t>
  </si>
  <si>
    <t>SECCHIAROLI MARIA TERESA</t>
  </si>
  <si>
    <t>BIAGETTI LORENA</t>
  </si>
  <si>
    <t>EREDI CONTIGIANI PIERDOMENICO DI CONTIGIANI MARCO, ELISA E PACIONI LIA</t>
  </si>
  <si>
    <t>LUCARELLI LUIGI</t>
  </si>
  <si>
    <t>CAA Coldiretti - ASCOLI PICENO - 040</t>
  </si>
  <si>
    <t>CONCETTI GIULIANA</t>
  </si>
  <si>
    <t>SOCIETA' AGRICOLA TENUTA COLLI DI MATELICA DI CORRENTI MICHELE SOCIETA</t>
  </si>
  <si>
    <t>CAA Coldiretti - ASCOLI PICENO - 030</t>
  </si>
  <si>
    <t>SI BIO DI PREMICI SILVIA E ALEANDRI VINCENZO SOCIETA' SEMPLICE AGRICOL</t>
  </si>
  <si>
    <t>CAA CIA - PESARO E URBINO - 003</t>
  </si>
  <si>
    <t>BRUNETTI MARCO</t>
  </si>
  <si>
    <t>CAA Coldiretti - MACERATA - 018</t>
  </si>
  <si>
    <t>ORAZI WALTER</t>
  </si>
  <si>
    <t>D'ANDREA ELISEO E CIOTTI ANTONIETTA SOC. SEMPLICE</t>
  </si>
  <si>
    <t>AURELI MORENO</t>
  </si>
  <si>
    <t>MOCCI MARCO</t>
  </si>
  <si>
    <t>SOCIETA' AGRICOLA TERRADIMUCCIA SOCIETA'A RESPONSABILITA' LIMITATA SEM</t>
  </si>
  <si>
    <t>RINOZZI AURELIO</t>
  </si>
  <si>
    <t>CAA LiberiAgricoltori - RIMINI - 001</t>
  </si>
  <si>
    <t>BROCCOLI MARIO</t>
  </si>
  <si>
    <t>BRUSCHI ADOLFO</t>
  </si>
  <si>
    <t>AGEA.ASR.2022.0425086</t>
  </si>
  <si>
    <t>IMPRESA VERDE MARCHE S.R.L.</t>
  </si>
  <si>
    <t>AGEA.ASR.2022.0576475</t>
  </si>
  <si>
    <t>BARBADORO DAVIDE</t>
  </si>
  <si>
    <t>AGEA.ASR.2022.0581339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</si>
</sst>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/>
    <xf numFmtId="0" fontId="0" fillId="0" borderId="5" xfId="0" applyBorder="1"/>
    <xf numFmtId="0" fontId="1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wrapText="1"/>
    </xf>
    <xf numFmtId="14" fontId="2" fillId="0" borderId="6" xfId="0" applyNumberFormat="1" applyFont="1" applyBorder="1" applyAlignment="1">
      <alignment wrapText="1"/>
    </xf>
    <xf numFmtId="4" fontId="2" fillId="0" borderId="6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C4BFDC-8FE0-44F3-A3DC-3D424B4184E5}">
  <dimension ref="A1:Z96"/>
  <sheetViews>
    <sheetView showGridLines="0" tabSelected="1" workbookViewId="0">
      <selection activeCell="F102" sqref="F102"/>
    </sheetView>
  </sheetViews>
  <sheetFormatPr defaultRowHeight="14.5" x14ac:dyDescent="0.35"/>
  <cols>
    <col min="1" max="1" width="9.81640625" bestFit="1" customWidth="1"/>
    <col min="2" max="2" width="10.26953125" bestFit="1" customWidth="1"/>
    <col min="3" max="3" width="11.54296875" bestFit="1" customWidth="1"/>
    <col min="4" max="4" width="29.36328125" bestFit="1" customWidth="1"/>
    <col min="5" max="5" width="20.36328125" bestFit="1" customWidth="1"/>
    <col min="6" max="6" width="22.54296875" bestFit="1" customWidth="1"/>
    <col min="7" max="7" width="5.36328125" bestFit="1" customWidth="1"/>
    <col min="8" max="8" width="8.08984375" bestFit="1" customWidth="1"/>
    <col min="9" max="9" width="13.36328125" bestFit="1" customWidth="1"/>
    <col min="10" max="10" width="12.7265625" bestFit="1" customWidth="1"/>
    <col min="11" max="12" width="10.7265625" bestFit="1" customWidth="1"/>
    <col min="13" max="13" width="15" customWidth="1"/>
    <col min="14" max="14" width="34.90625" bestFit="1" customWidth="1"/>
    <col min="15" max="15" width="11.81640625" bestFit="1" customWidth="1"/>
    <col min="16" max="16" width="14.453125" bestFit="1" customWidth="1"/>
    <col min="17" max="17" width="10.26953125" bestFit="1" customWidth="1"/>
    <col min="18" max="18" width="11.1796875" bestFit="1" customWidth="1"/>
    <col min="19" max="19" width="12.81640625" bestFit="1" customWidth="1"/>
    <col min="20" max="20" width="3.08984375" bestFit="1" customWidth="1"/>
    <col min="21" max="21" width="16.08984375" bestFit="1" customWidth="1"/>
    <col min="22" max="22" width="11.54296875" bestFit="1" customWidth="1"/>
    <col min="23" max="23" width="15.453125" bestFit="1" customWidth="1"/>
    <col min="24" max="25" width="17.08984375" bestFit="1" customWidth="1"/>
    <col min="26" max="26" width="21.26953125" bestFit="1" customWidth="1"/>
    <col min="257" max="257" width="9.81640625" bestFit="1" customWidth="1"/>
    <col min="258" max="258" width="10.26953125" bestFit="1" customWidth="1"/>
    <col min="259" max="259" width="11.54296875" bestFit="1" customWidth="1"/>
    <col min="260" max="260" width="29.36328125" bestFit="1" customWidth="1"/>
    <col min="261" max="261" width="20.36328125" bestFit="1" customWidth="1"/>
    <col min="262" max="262" width="22.54296875" bestFit="1" customWidth="1"/>
    <col min="263" max="263" width="5.36328125" bestFit="1" customWidth="1"/>
    <col min="264" max="264" width="8.08984375" bestFit="1" customWidth="1"/>
    <col min="265" max="265" width="13.36328125" bestFit="1" customWidth="1"/>
    <col min="266" max="266" width="12.7265625" bestFit="1" customWidth="1"/>
    <col min="267" max="268" width="10.7265625" bestFit="1" customWidth="1"/>
    <col min="269" max="269" width="15" customWidth="1"/>
    <col min="270" max="270" width="34.90625" bestFit="1" customWidth="1"/>
    <col min="271" max="271" width="11.81640625" bestFit="1" customWidth="1"/>
    <col min="272" max="272" width="14.453125" bestFit="1" customWidth="1"/>
    <col min="273" max="273" width="10.26953125" bestFit="1" customWidth="1"/>
    <col min="274" max="274" width="11.1796875" bestFit="1" customWidth="1"/>
    <col min="275" max="275" width="12.81640625" bestFit="1" customWidth="1"/>
    <col min="276" max="276" width="3.08984375" bestFit="1" customWidth="1"/>
    <col min="277" max="277" width="16.08984375" bestFit="1" customWidth="1"/>
    <col min="278" max="278" width="11.54296875" bestFit="1" customWidth="1"/>
    <col min="279" max="279" width="15.453125" bestFit="1" customWidth="1"/>
    <col min="280" max="281" width="17.08984375" bestFit="1" customWidth="1"/>
    <col min="282" max="282" width="21.26953125" bestFit="1" customWidth="1"/>
    <col min="513" max="513" width="9.81640625" bestFit="1" customWidth="1"/>
    <col min="514" max="514" width="10.26953125" bestFit="1" customWidth="1"/>
    <col min="515" max="515" width="11.54296875" bestFit="1" customWidth="1"/>
    <col min="516" max="516" width="29.36328125" bestFit="1" customWidth="1"/>
    <col min="517" max="517" width="20.36328125" bestFit="1" customWidth="1"/>
    <col min="518" max="518" width="22.54296875" bestFit="1" customWidth="1"/>
    <col min="519" max="519" width="5.36328125" bestFit="1" customWidth="1"/>
    <col min="520" max="520" width="8.08984375" bestFit="1" customWidth="1"/>
    <col min="521" max="521" width="13.36328125" bestFit="1" customWidth="1"/>
    <col min="522" max="522" width="12.7265625" bestFit="1" customWidth="1"/>
    <col min="523" max="524" width="10.7265625" bestFit="1" customWidth="1"/>
    <col min="525" max="525" width="15" customWidth="1"/>
    <col min="526" max="526" width="34.90625" bestFit="1" customWidth="1"/>
    <col min="527" max="527" width="11.81640625" bestFit="1" customWidth="1"/>
    <col min="528" max="528" width="14.453125" bestFit="1" customWidth="1"/>
    <col min="529" max="529" width="10.26953125" bestFit="1" customWidth="1"/>
    <col min="530" max="530" width="11.1796875" bestFit="1" customWidth="1"/>
    <col min="531" max="531" width="12.81640625" bestFit="1" customWidth="1"/>
    <col min="532" max="532" width="3.08984375" bestFit="1" customWidth="1"/>
    <col min="533" max="533" width="16.08984375" bestFit="1" customWidth="1"/>
    <col min="534" max="534" width="11.54296875" bestFit="1" customWidth="1"/>
    <col min="535" max="535" width="15.453125" bestFit="1" customWidth="1"/>
    <col min="536" max="537" width="17.08984375" bestFit="1" customWidth="1"/>
    <col min="538" max="538" width="21.26953125" bestFit="1" customWidth="1"/>
    <col min="769" max="769" width="9.81640625" bestFit="1" customWidth="1"/>
    <col min="770" max="770" width="10.26953125" bestFit="1" customWidth="1"/>
    <col min="771" max="771" width="11.54296875" bestFit="1" customWidth="1"/>
    <col min="772" max="772" width="29.36328125" bestFit="1" customWidth="1"/>
    <col min="773" max="773" width="20.36328125" bestFit="1" customWidth="1"/>
    <col min="774" max="774" width="22.54296875" bestFit="1" customWidth="1"/>
    <col min="775" max="775" width="5.36328125" bestFit="1" customWidth="1"/>
    <col min="776" max="776" width="8.08984375" bestFit="1" customWidth="1"/>
    <col min="777" max="777" width="13.36328125" bestFit="1" customWidth="1"/>
    <col min="778" max="778" width="12.7265625" bestFit="1" customWidth="1"/>
    <col min="779" max="780" width="10.7265625" bestFit="1" customWidth="1"/>
    <col min="781" max="781" width="15" customWidth="1"/>
    <col min="782" max="782" width="34.90625" bestFit="1" customWidth="1"/>
    <col min="783" max="783" width="11.81640625" bestFit="1" customWidth="1"/>
    <col min="784" max="784" width="14.453125" bestFit="1" customWidth="1"/>
    <col min="785" max="785" width="10.26953125" bestFit="1" customWidth="1"/>
    <col min="786" max="786" width="11.1796875" bestFit="1" customWidth="1"/>
    <col min="787" max="787" width="12.81640625" bestFit="1" customWidth="1"/>
    <col min="788" max="788" width="3.08984375" bestFit="1" customWidth="1"/>
    <col min="789" max="789" width="16.08984375" bestFit="1" customWidth="1"/>
    <col min="790" max="790" width="11.54296875" bestFit="1" customWidth="1"/>
    <col min="791" max="791" width="15.453125" bestFit="1" customWidth="1"/>
    <col min="792" max="793" width="17.08984375" bestFit="1" customWidth="1"/>
    <col min="794" max="794" width="21.26953125" bestFit="1" customWidth="1"/>
    <col min="1025" max="1025" width="9.81640625" bestFit="1" customWidth="1"/>
    <col min="1026" max="1026" width="10.26953125" bestFit="1" customWidth="1"/>
    <col min="1027" max="1027" width="11.54296875" bestFit="1" customWidth="1"/>
    <col min="1028" max="1028" width="29.36328125" bestFit="1" customWidth="1"/>
    <col min="1029" max="1029" width="20.36328125" bestFit="1" customWidth="1"/>
    <col min="1030" max="1030" width="22.54296875" bestFit="1" customWidth="1"/>
    <col min="1031" max="1031" width="5.36328125" bestFit="1" customWidth="1"/>
    <col min="1032" max="1032" width="8.08984375" bestFit="1" customWidth="1"/>
    <col min="1033" max="1033" width="13.36328125" bestFit="1" customWidth="1"/>
    <col min="1034" max="1034" width="12.7265625" bestFit="1" customWidth="1"/>
    <col min="1035" max="1036" width="10.7265625" bestFit="1" customWidth="1"/>
    <col min="1037" max="1037" width="15" customWidth="1"/>
    <col min="1038" max="1038" width="34.90625" bestFit="1" customWidth="1"/>
    <col min="1039" max="1039" width="11.81640625" bestFit="1" customWidth="1"/>
    <col min="1040" max="1040" width="14.453125" bestFit="1" customWidth="1"/>
    <col min="1041" max="1041" width="10.26953125" bestFit="1" customWidth="1"/>
    <col min="1042" max="1042" width="11.1796875" bestFit="1" customWidth="1"/>
    <col min="1043" max="1043" width="12.81640625" bestFit="1" customWidth="1"/>
    <col min="1044" max="1044" width="3.08984375" bestFit="1" customWidth="1"/>
    <col min="1045" max="1045" width="16.08984375" bestFit="1" customWidth="1"/>
    <col min="1046" max="1046" width="11.54296875" bestFit="1" customWidth="1"/>
    <col min="1047" max="1047" width="15.453125" bestFit="1" customWidth="1"/>
    <col min="1048" max="1049" width="17.08984375" bestFit="1" customWidth="1"/>
    <col min="1050" max="1050" width="21.26953125" bestFit="1" customWidth="1"/>
    <col min="1281" max="1281" width="9.81640625" bestFit="1" customWidth="1"/>
    <col min="1282" max="1282" width="10.26953125" bestFit="1" customWidth="1"/>
    <col min="1283" max="1283" width="11.54296875" bestFit="1" customWidth="1"/>
    <col min="1284" max="1284" width="29.36328125" bestFit="1" customWidth="1"/>
    <col min="1285" max="1285" width="20.36328125" bestFit="1" customWidth="1"/>
    <col min="1286" max="1286" width="22.54296875" bestFit="1" customWidth="1"/>
    <col min="1287" max="1287" width="5.36328125" bestFit="1" customWidth="1"/>
    <col min="1288" max="1288" width="8.08984375" bestFit="1" customWidth="1"/>
    <col min="1289" max="1289" width="13.36328125" bestFit="1" customWidth="1"/>
    <col min="1290" max="1290" width="12.7265625" bestFit="1" customWidth="1"/>
    <col min="1291" max="1292" width="10.7265625" bestFit="1" customWidth="1"/>
    <col min="1293" max="1293" width="15" customWidth="1"/>
    <col min="1294" max="1294" width="34.90625" bestFit="1" customWidth="1"/>
    <col min="1295" max="1295" width="11.81640625" bestFit="1" customWidth="1"/>
    <col min="1296" max="1296" width="14.453125" bestFit="1" customWidth="1"/>
    <col min="1297" max="1297" width="10.26953125" bestFit="1" customWidth="1"/>
    <col min="1298" max="1298" width="11.1796875" bestFit="1" customWidth="1"/>
    <col min="1299" max="1299" width="12.81640625" bestFit="1" customWidth="1"/>
    <col min="1300" max="1300" width="3.08984375" bestFit="1" customWidth="1"/>
    <col min="1301" max="1301" width="16.08984375" bestFit="1" customWidth="1"/>
    <col min="1302" max="1302" width="11.54296875" bestFit="1" customWidth="1"/>
    <col min="1303" max="1303" width="15.453125" bestFit="1" customWidth="1"/>
    <col min="1304" max="1305" width="17.08984375" bestFit="1" customWidth="1"/>
    <col min="1306" max="1306" width="21.26953125" bestFit="1" customWidth="1"/>
    <col min="1537" max="1537" width="9.81640625" bestFit="1" customWidth="1"/>
    <col min="1538" max="1538" width="10.26953125" bestFit="1" customWidth="1"/>
    <col min="1539" max="1539" width="11.54296875" bestFit="1" customWidth="1"/>
    <col min="1540" max="1540" width="29.36328125" bestFit="1" customWidth="1"/>
    <col min="1541" max="1541" width="20.36328125" bestFit="1" customWidth="1"/>
    <col min="1542" max="1542" width="22.54296875" bestFit="1" customWidth="1"/>
    <col min="1543" max="1543" width="5.36328125" bestFit="1" customWidth="1"/>
    <col min="1544" max="1544" width="8.08984375" bestFit="1" customWidth="1"/>
    <col min="1545" max="1545" width="13.36328125" bestFit="1" customWidth="1"/>
    <col min="1546" max="1546" width="12.7265625" bestFit="1" customWidth="1"/>
    <col min="1547" max="1548" width="10.7265625" bestFit="1" customWidth="1"/>
    <col min="1549" max="1549" width="15" customWidth="1"/>
    <col min="1550" max="1550" width="34.90625" bestFit="1" customWidth="1"/>
    <col min="1551" max="1551" width="11.81640625" bestFit="1" customWidth="1"/>
    <col min="1552" max="1552" width="14.453125" bestFit="1" customWidth="1"/>
    <col min="1553" max="1553" width="10.26953125" bestFit="1" customWidth="1"/>
    <col min="1554" max="1554" width="11.1796875" bestFit="1" customWidth="1"/>
    <col min="1555" max="1555" width="12.81640625" bestFit="1" customWidth="1"/>
    <col min="1556" max="1556" width="3.08984375" bestFit="1" customWidth="1"/>
    <col min="1557" max="1557" width="16.08984375" bestFit="1" customWidth="1"/>
    <col min="1558" max="1558" width="11.54296875" bestFit="1" customWidth="1"/>
    <col min="1559" max="1559" width="15.453125" bestFit="1" customWidth="1"/>
    <col min="1560" max="1561" width="17.08984375" bestFit="1" customWidth="1"/>
    <col min="1562" max="1562" width="21.26953125" bestFit="1" customWidth="1"/>
    <col min="1793" max="1793" width="9.81640625" bestFit="1" customWidth="1"/>
    <col min="1794" max="1794" width="10.26953125" bestFit="1" customWidth="1"/>
    <col min="1795" max="1795" width="11.54296875" bestFit="1" customWidth="1"/>
    <col min="1796" max="1796" width="29.36328125" bestFit="1" customWidth="1"/>
    <col min="1797" max="1797" width="20.36328125" bestFit="1" customWidth="1"/>
    <col min="1798" max="1798" width="22.54296875" bestFit="1" customWidth="1"/>
    <col min="1799" max="1799" width="5.36328125" bestFit="1" customWidth="1"/>
    <col min="1800" max="1800" width="8.08984375" bestFit="1" customWidth="1"/>
    <col min="1801" max="1801" width="13.36328125" bestFit="1" customWidth="1"/>
    <col min="1802" max="1802" width="12.7265625" bestFit="1" customWidth="1"/>
    <col min="1803" max="1804" width="10.7265625" bestFit="1" customWidth="1"/>
    <col min="1805" max="1805" width="15" customWidth="1"/>
    <col min="1806" max="1806" width="34.90625" bestFit="1" customWidth="1"/>
    <col min="1807" max="1807" width="11.81640625" bestFit="1" customWidth="1"/>
    <col min="1808" max="1808" width="14.453125" bestFit="1" customWidth="1"/>
    <col min="1809" max="1809" width="10.26953125" bestFit="1" customWidth="1"/>
    <col min="1810" max="1810" width="11.1796875" bestFit="1" customWidth="1"/>
    <col min="1811" max="1811" width="12.81640625" bestFit="1" customWidth="1"/>
    <col min="1812" max="1812" width="3.08984375" bestFit="1" customWidth="1"/>
    <col min="1813" max="1813" width="16.08984375" bestFit="1" customWidth="1"/>
    <col min="1814" max="1814" width="11.54296875" bestFit="1" customWidth="1"/>
    <col min="1815" max="1815" width="15.453125" bestFit="1" customWidth="1"/>
    <col min="1816" max="1817" width="17.08984375" bestFit="1" customWidth="1"/>
    <col min="1818" max="1818" width="21.26953125" bestFit="1" customWidth="1"/>
    <col min="2049" max="2049" width="9.81640625" bestFit="1" customWidth="1"/>
    <col min="2050" max="2050" width="10.26953125" bestFit="1" customWidth="1"/>
    <col min="2051" max="2051" width="11.54296875" bestFit="1" customWidth="1"/>
    <col min="2052" max="2052" width="29.36328125" bestFit="1" customWidth="1"/>
    <col min="2053" max="2053" width="20.36328125" bestFit="1" customWidth="1"/>
    <col min="2054" max="2054" width="22.54296875" bestFit="1" customWidth="1"/>
    <col min="2055" max="2055" width="5.36328125" bestFit="1" customWidth="1"/>
    <col min="2056" max="2056" width="8.08984375" bestFit="1" customWidth="1"/>
    <col min="2057" max="2057" width="13.36328125" bestFit="1" customWidth="1"/>
    <col min="2058" max="2058" width="12.7265625" bestFit="1" customWidth="1"/>
    <col min="2059" max="2060" width="10.7265625" bestFit="1" customWidth="1"/>
    <col min="2061" max="2061" width="15" customWidth="1"/>
    <col min="2062" max="2062" width="34.90625" bestFit="1" customWidth="1"/>
    <col min="2063" max="2063" width="11.81640625" bestFit="1" customWidth="1"/>
    <col min="2064" max="2064" width="14.453125" bestFit="1" customWidth="1"/>
    <col min="2065" max="2065" width="10.26953125" bestFit="1" customWidth="1"/>
    <col min="2066" max="2066" width="11.1796875" bestFit="1" customWidth="1"/>
    <col min="2067" max="2067" width="12.81640625" bestFit="1" customWidth="1"/>
    <col min="2068" max="2068" width="3.08984375" bestFit="1" customWidth="1"/>
    <col min="2069" max="2069" width="16.08984375" bestFit="1" customWidth="1"/>
    <col min="2070" max="2070" width="11.54296875" bestFit="1" customWidth="1"/>
    <col min="2071" max="2071" width="15.453125" bestFit="1" customWidth="1"/>
    <col min="2072" max="2073" width="17.08984375" bestFit="1" customWidth="1"/>
    <col min="2074" max="2074" width="21.26953125" bestFit="1" customWidth="1"/>
    <col min="2305" max="2305" width="9.81640625" bestFit="1" customWidth="1"/>
    <col min="2306" max="2306" width="10.26953125" bestFit="1" customWidth="1"/>
    <col min="2307" max="2307" width="11.54296875" bestFit="1" customWidth="1"/>
    <col min="2308" max="2308" width="29.36328125" bestFit="1" customWidth="1"/>
    <col min="2309" max="2309" width="20.36328125" bestFit="1" customWidth="1"/>
    <col min="2310" max="2310" width="22.54296875" bestFit="1" customWidth="1"/>
    <col min="2311" max="2311" width="5.36328125" bestFit="1" customWidth="1"/>
    <col min="2312" max="2312" width="8.08984375" bestFit="1" customWidth="1"/>
    <col min="2313" max="2313" width="13.36328125" bestFit="1" customWidth="1"/>
    <col min="2314" max="2314" width="12.7265625" bestFit="1" customWidth="1"/>
    <col min="2315" max="2316" width="10.7265625" bestFit="1" customWidth="1"/>
    <col min="2317" max="2317" width="15" customWidth="1"/>
    <col min="2318" max="2318" width="34.90625" bestFit="1" customWidth="1"/>
    <col min="2319" max="2319" width="11.81640625" bestFit="1" customWidth="1"/>
    <col min="2320" max="2320" width="14.453125" bestFit="1" customWidth="1"/>
    <col min="2321" max="2321" width="10.26953125" bestFit="1" customWidth="1"/>
    <col min="2322" max="2322" width="11.1796875" bestFit="1" customWidth="1"/>
    <col min="2323" max="2323" width="12.81640625" bestFit="1" customWidth="1"/>
    <col min="2324" max="2324" width="3.08984375" bestFit="1" customWidth="1"/>
    <col min="2325" max="2325" width="16.08984375" bestFit="1" customWidth="1"/>
    <col min="2326" max="2326" width="11.54296875" bestFit="1" customWidth="1"/>
    <col min="2327" max="2327" width="15.453125" bestFit="1" customWidth="1"/>
    <col min="2328" max="2329" width="17.08984375" bestFit="1" customWidth="1"/>
    <col min="2330" max="2330" width="21.26953125" bestFit="1" customWidth="1"/>
    <col min="2561" max="2561" width="9.81640625" bestFit="1" customWidth="1"/>
    <col min="2562" max="2562" width="10.26953125" bestFit="1" customWidth="1"/>
    <col min="2563" max="2563" width="11.54296875" bestFit="1" customWidth="1"/>
    <col min="2564" max="2564" width="29.36328125" bestFit="1" customWidth="1"/>
    <col min="2565" max="2565" width="20.36328125" bestFit="1" customWidth="1"/>
    <col min="2566" max="2566" width="22.54296875" bestFit="1" customWidth="1"/>
    <col min="2567" max="2567" width="5.36328125" bestFit="1" customWidth="1"/>
    <col min="2568" max="2568" width="8.08984375" bestFit="1" customWidth="1"/>
    <col min="2569" max="2569" width="13.36328125" bestFit="1" customWidth="1"/>
    <col min="2570" max="2570" width="12.7265625" bestFit="1" customWidth="1"/>
    <col min="2571" max="2572" width="10.7265625" bestFit="1" customWidth="1"/>
    <col min="2573" max="2573" width="15" customWidth="1"/>
    <col min="2574" max="2574" width="34.90625" bestFit="1" customWidth="1"/>
    <col min="2575" max="2575" width="11.81640625" bestFit="1" customWidth="1"/>
    <col min="2576" max="2576" width="14.453125" bestFit="1" customWidth="1"/>
    <col min="2577" max="2577" width="10.26953125" bestFit="1" customWidth="1"/>
    <col min="2578" max="2578" width="11.1796875" bestFit="1" customWidth="1"/>
    <col min="2579" max="2579" width="12.81640625" bestFit="1" customWidth="1"/>
    <col min="2580" max="2580" width="3.08984375" bestFit="1" customWidth="1"/>
    <col min="2581" max="2581" width="16.08984375" bestFit="1" customWidth="1"/>
    <col min="2582" max="2582" width="11.54296875" bestFit="1" customWidth="1"/>
    <col min="2583" max="2583" width="15.453125" bestFit="1" customWidth="1"/>
    <col min="2584" max="2585" width="17.08984375" bestFit="1" customWidth="1"/>
    <col min="2586" max="2586" width="21.26953125" bestFit="1" customWidth="1"/>
    <col min="2817" max="2817" width="9.81640625" bestFit="1" customWidth="1"/>
    <col min="2818" max="2818" width="10.26953125" bestFit="1" customWidth="1"/>
    <col min="2819" max="2819" width="11.54296875" bestFit="1" customWidth="1"/>
    <col min="2820" max="2820" width="29.36328125" bestFit="1" customWidth="1"/>
    <col min="2821" max="2821" width="20.36328125" bestFit="1" customWidth="1"/>
    <col min="2822" max="2822" width="22.54296875" bestFit="1" customWidth="1"/>
    <col min="2823" max="2823" width="5.36328125" bestFit="1" customWidth="1"/>
    <col min="2824" max="2824" width="8.08984375" bestFit="1" customWidth="1"/>
    <col min="2825" max="2825" width="13.36328125" bestFit="1" customWidth="1"/>
    <col min="2826" max="2826" width="12.7265625" bestFit="1" customWidth="1"/>
    <col min="2827" max="2828" width="10.7265625" bestFit="1" customWidth="1"/>
    <col min="2829" max="2829" width="15" customWidth="1"/>
    <col min="2830" max="2830" width="34.90625" bestFit="1" customWidth="1"/>
    <col min="2831" max="2831" width="11.81640625" bestFit="1" customWidth="1"/>
    <col min="2832" max="2832" width="14.453125" bestFit="1" customWidth="1"/>
    <col min="2833" max="2833" width="10.26953125" bestFit="1" customWidth="1"/>
    <col min="2834" max="2834" width="11.1796875" bestFit="1" customWidth="1"/>
    <col min="2835" max="2835" width="12.81640625" bestFit="1" customWidth="1"/>
    <col min="2836" max="2836" width="3.08984375" bestFit="1" customWidth="1"/>
    <col min="2837" max="2837" width="16.08984375" bestFit="1" customWidth="1"/>
    <col min="2838" max="2838" width="11.54296875" bestFit="1" customWidth="1"/>
    <col min="2839" max="2839" width="15.453125" bestFit="1" customWidth="1"/>
    <col min="2840" max="2841" width="17.08984375" bestFit="1" customWidth="1"/>
    <col min="2842" max="2842" width="21.26953125" bestFit="1" customWidth="1"/>
    <col min="3073" max="3073" width="9.81640625" bestFit="1" customWidth="1"/>
    <col min="3074" max="3074" width="10.26953125" bestFit="1" customWidth="1"/>
    <col min="3075" max="3075" width="11.54296875" bestFit="1" customWidth="1"/>
    <col min="3076" max="3076" width="29.36328125" bestFit="1" customWidth="1"/>
    <col min="3077" max="3077" width="20.36328125" bestFit="1" customWidth="1"/>
    <col min="3078" max="3078" width="22.54296875" bestFit="1" customWidth="1"/>
    <col min="3079" max="3079" width="5.36328125" bestFit="1" customWidth="1"/>
    <col min="3080" max="3080" width="8.08984375" bestFit="1" customWidth="1"/>
    <col min="3081" max="3081" width="13.36328125" bestFit="1" customWidth="1"/>
    <col min="3082" max="3082" width="12.7265625" bestFit="1" customWidth="1"/>
    <col min="3083" max="3084" width="10.7265625" bestFit="1" customWidth="1"/>
    <col min="3085" max="3085" width="15" customWidth="1"/>
    <col min="3086" max="3086" width="34.90625" bestFit="1" customWidth="1"/>
    <col min="3087" max="3087" width="11.81640625" bestFit="1" customWidth="1"/>
    <col min="3088" max="3088" width="14.453125" bestFit="1" customWidth="1"/>
    <col min="3089" max="3089" width="10.26953125" bestFit="1" customWidth="1"/>
    <col min="3090" max="3090" width="11.1796875" bestFit="1" customWidth="1"/>
    <col min="3091" max="3091" width="12.81640625" bestFit="1" customWidth="1"/>
    <col min="3092" max="3092" width="3.08984375" bestFit="1" customWidth="1"/>
    <col min="3093" max="3093" width="16.08984375" bestFit="1" customWidth="1"/>
    <col min="3094" max="3094" width="11.54296875" bestFit="1" customWidth="1"/>
    <col min="3095" max="3095" width="15.453125" bestFit="1" customWidth="1"/>
    <col min="3096" max="3097" width="17.08984375" bestFit="1" customWidth="1"/>
    <col min="3098" max="3098" width="21.26953125" bestFit="1" customWidth="1"/>
    <col min="3329" max="3329" width="9.81640625" bestFit="1" customWidth="1"/>
    <col min="3330" max="3330" width="10.26953125" bestFit="1" customWidth="1"/>
    <col min="3331" max="3331" width="11.54296875" bestFit="1" customWidth="1"/>
    <col min="3332" max="3332" width="29.36328125" bestFit="1" customWidth="1"/>
    <col min="3333" max="3333" width="20.36328125" bestFit="1" customWidth="1"/>
    <col min="3334" max="3334" width="22.54296875" bestFit="1" customWidth="1"/>
    <col min="3335" max="3335" width="5.36328125" bestFit="1" customWidth="1"/>
    <col min="3336" max="3336" width="8.08984375" bestFit="1" customWidth="1"/>
    <col min="3337" max="3337" width="13.36328125" bestFit="1" customWidth="1"/>
    <col min="3338" max="3338" width="12.7265625" bestFit="1" customWidth="1"/>
    <col min="3339" max="3340" width="10.7265625" bestFit="1" customWidth="1"/>
    <col min="3341" max="3341" width="15" customWidth="1"/>
    <col min="3342" max="3342" width="34.90625" bestFit="1" customWidth="1"/>
    <col min="3343" max="3343" width="11.81640625" bestFit="1" customWidth="1"/>
    <col min="3344" max="3344" width="14.453125" bestFit="1" customWidth="1"/>
    <col min="3345" max="3345" width="10.26953125" bestFit="1" customWidth="1"/>
    <col min="3346" max="3346" width="11.1796875" bestFit="1" customWidth="1"/>
    <col min="3347" max="3347" width="12.81640625" bestFit="1" customWidth="1"/>
    <col min="3348" max="3348" width="3.08984375" bestFit="1" customWidth="1"/>
    <col min="3349" max="3349" width="16.08984375" bestFit="1" customWidth="1"/>
    <col min="3350" max="3350" width="11.54296875" bestFit="1" customWidth="1"/>
    <col min="3351" max="3351" width="15.453125" bestFit="1" customWidth="1"/>
    <col min="3352" max="3353" width="17.08984375" bestFit="1" customWidth="1"/>
    <col min="3354" max="3354" width="21.26953125" bestFit="1" customWidth="1"/>
    <col min="3585" max="3585" width="9.81640625" bestFit="1" customWidth="1"/>
    <col min="3586" max="3586" width="10.26953125" bestFit="1" customWidth="1"/>
    <col min="3587" max="3587" width="11.54296875" bestFit="1" customWidth="1"/>
    <col min="3588" max="3588" width="29.36328125" bestFit="1" customWidth="1"/>
    <col min="3589" max="3589" width="20.36328125" bestFit="1" customWidth="1"/>
    <col min="3590" max="3590" width="22.54296875" bestFit="1" customWidth="1"/>
    <col min="3591" max="3591" width="5.36328125" bestFit="1" customWidth="1"/>
    <col min="3592" max="3592" width="8.08984375" bestFit="1" customWidth="1"/>
    <col min="3593" max="3593" width="13.36328125" bestFit="1" customWidth="1"/>
    <col min="3594" max="3594" width="12.7265625" bestFit="1" customWidth="1"/>
    <col min="3595" max="3596" width="10.7265625" bestFit="1" customWidth="1"/>
    <col min="3597" max="3597" width="15" customWidth="1"/>
    <col min="3598" max="3598" width="34.90625" bestFit="1" customWidth="1"/>
    <col min="3599" max="3599" width="11.81640625" bestFit="1" customWidth="1"/>
    <col min="3600" max="3600" width="14.453125" bestFit="1" customWidth="1"/>
    <col min="3601" max="3601" width="10.26953125" bestFit="1" customWidth="1"/>
    <col min="3602" max="3602" width="11.1796875" bestFit="1" customWidth="1"/>
    <col min="3603" max="3603" width="12.81640625" bestFit="1" customWidth="1"/>
    <col min="3604" max="3604" width="3.08984375" bestFit="1" customWidth="1"/>
    <col min="3605" max="3605" width="16.08984375" bestFit="1" customWidth="1"/>
    <col min="3606" max="3606" width="11.54296875" bestFit="1" customWidth="1"/>
    <col min="3607" max="3607" width="15.453125" bestFit="1" customWidth="1"/>
    <col min="3608" max="3609" width="17.08984375" bestFit="1" customWidth="1"/>
    <col min="3610" max="3610" width="21.26953125" bestFit="1" customWidth="1"/>
    <col min="3841" max="3841" width="9.81640625" bestFit="1" customWidth="1"/>
    <col min="3842" max="3842" width="10.26953125" bestFit="1" customWidth="1"/>
    <col min="3843" max="3843" width="11.54296875" bestFit="1" customWidth="1"/>
    <col min="3844" max="3844" width="29.36328125" bestFit="1" customWidth="1"/>
    <col min="3845" max="3845" width="20.36328125" bestFit="1" customWidth="1"/>
    <col min="3846" max="3846" width="22.54296875" bestFit="1" customWidth="1"/>
    <col min="3847" max="3847" width="5.36328125" bestFit="1" customWidth="1"/>
    <col min="3848" max="3848" width="8.08984375" bestFit="1" customWidth="1"/>
    <col min="3849" max="3849" width="13.36328125" bestFit="1" customWidth="1"/>
    <col min="3850" max="3850" width="12.7265625" bestFit="1" customWidth="1"/>
    <col min="3851" max="3852" width="10.7265625" bestFit="1" customWidth="1"/>
    <col min="3853" max="3853" width="15" customWidth="1"/>
    <col min="3854" max="3854" width="34.90625" bestFit="1" customWidth="1"/>
    <col min="3855" max="3855" width="11.81640625" bestFit="1" customWidth="1"/>
    <col min="3856" max="3856" width="14.453125" bestFit="1" customWidth="1"/>
    <col min="3857" max="3857" width="10.26953125" bestFit="1" customWidth="1"/>
    <col min="3858" max="3858" width="11.1796875" bestFit="1" customWidth="1"/>
    <col min="3859" max="3859" width="12.81640625" bestFit="1" customWidth="1"/>
    <col min="3860" max="3860" width="3.08984375" bestFit="1" customWidth="1"/>
    <col min="3861" max="3861" width="16.08984375" bestFit="1" customWidth="1"/>
    <col min="3862" max="3862" width="11.54296875" bestFit="1" customWidth="1"/>
    <col min="3863" max="3863" width="15.453125" bestFit="1" customWidth="1"/>
    <col min="3864" max="3865" width="17.08984375" bestFit="1" customWidth="1"/>
    <col min="3866" max="3866" width="21.26953125" bestFit="1" customWidth="1"/>
    <col min="4097" max="4097" width="9.81640625" bestFit="1" customWidth="1"/>
    <col min="4098" max="4098" width="10.26953125" bestFit="1" customWidth="1"/>
    <col min="4099" max="4099" width="11.54296875" bestFit="1" customWidth="1"/>
    <col min="4100" max="4100" width="29.36328125" bestFit="1" customWidth="1"/>
    <col min="4101" max="4101" width="20.36328125" bestFit="1" customWidth="1"/>
    <col min="4102" max="4102" width="22.54296875" bestFit="1" customWidth="1"/>
    <col min="4103" max="4103" width="5.36328125" bestFit="1" customWidth="1"/>
    <col min="4104" max="4104" width="8.08984375" bestFit="1" customWidth="1"/>
    <col min="4105" max="4105" width="13.36328125" bestFit="1" customWidth="1"/>
    <col min="4106" max="4106" width="12.7265625" bestFit="1" customWidth="1"/>
    <col min="4107" max="4108" width="10.7265625" bestFit="1" customWidth="1"/>
    <col min="4109" max="4109" width="15" customWidth="1"/>
    <col min="4110" max="4110" width="34.90625" bestFit="1" customWidth="1"/>
    <col min="4111" max="4111" width="11.81640625" bestFit="1" customWidth="1"/>
    <col min="4112" max="4112" width="14.453125" bestFit="1" customWidth="1"/>
    <col min="4113" max="4113" width="10.26953125" bestFit="1" customWidth="1"/>
    <col min="4114" max="4114" width="11.1796875" bestFit="1" customWidth="1"/>
    <col min="4115" max="4115" width="12.81640625" bestFit="1" customWidth="1"/>
    <col min="4116" max="4116" width="3.08984375" bestFit="1" customWidth="1"/>
    <col min="4117" max="4117" width="16.08984375" bestFit="1" customWidth="1"/>
    <col min="4118" max="4118" width="11.54296875" bestFit="1" customWidth="1"/>
    <col min="4119" max="4119" width="15.453125" bestFit="1" customWidth="1"/>
    <col min="4120" max="4121" width="17.08984375" bestFit="1" customWidth="1"/>
    <col min="4122" max="4122" width="21.26953125" bestFit="1" customWidth="1"/>
    <col min="4353" max="4353" width="9.81640625" bestFit="1" customWidth="1"/>
    <col min="4354" max="4354" width="10.26953125" bestFit="1" customWidth="1"/>
    <col min="4355" max="4355" width="11.54296875" bestFit="1" customWidth="1"/>
    <col min="4356" max="4356" width="29.36328125" bestFit="1" customWidth="1"/>
    <col min="4357" max="4357" width="20.36328125" bestFit="1" customWidth="1"/>
    <col min="4358" max="4358" width="22.54296875" bestFit="1" customWidth="1"/>
    <col min="4359" max="4359" width="5.36328125" bestFit="1" customWidth="1"/>
    <col min="4360" max="4360" width="8.08984375" bestFit="1" customWidth="1"/>
    <col min="4361" max="4361" width="13.36328125" bestFit="1" customWidth="1"/>
    <col min="4362" max="4362" width="12.7265625" bestFit="1" customWidth="1"/>
    <col min="4363" max="4364" width="10.7265625" bestFit="1" customWidth="1"/>
    <col min="4365" max="4365" width="15" customWidth="1"/>
    <col min="4366" max="4366" width="34.90625" bestFit="1" customWidth="1"/>
    <col min="4367" max="4367" width="11.81640625" bestFit="1" customWidth="1"/>
    <col min="4368" max="4368" width="14.453125" bestFit="1" customWidth="1"/>
    <col min="4369" max="4369" width="10.26953125" bestFit="1" customWidth="1"/>
    <col min="4370" max="4370" width="11.1796875" bestFit="1" customWidth="1"/>
    <col min="4371" max="4371" width="12.81640625" bestFit="1" customWidth="1"/>
    <col min="4372" max="4372" width="3.08984375" bestFit="1" customWidth="1"/>
    <col min="4373" max="4373" width="16.08984375" bestFit="1" customWidth="1"/>
    <col min="4374" max="4374" width="11.54296875" bestFit="1" customWidth="1"/>
    <col min="4375" max="4375" width="15.453125" bestFit="1" customWidth="1"/>
    <col min="4376" max="4377" width="17.08984375" bestFit="1" customWidth="1"/>
    <col min="4378" max="4378" width="21.26953125" bestFit="1" customWidth="1"/>
    <col min="4609" max="4609" width="9.81640625" bestFit="1" customWidth="1"/>
    <col min="4610" max="4610" width="10.26953125" bestFit="1" customWidth="1"/>
    <col min="4611" max="4611" width="11.54296875" bestFit="1" customWidth="1"/>
    <col min="4612" max="4612" width="29.36328125" bestFit="1" customWidth="1"/>
    <col min="4613" max="4613" width="20.36328125" bestFit="1" customWidth="1"/>
    <col min="4614" max="4614" width="22.54296875" bestFit="1" customWidth="1"/>
    <col min="4615" max="4615" width="5.36328125" bestFit="1" customWidth="1"/>
    <col min="4616" max="4616" width="8.08984375" bestFit="1" customWidth="1"/>
    <col min="4617" max="4617" width="13.36328125" bestFit="1" customWidth="1"/>
    <col min="4618" max="4618" width="12.7265625" bestFit="1" customWidth="1"/>
    <col min="4619" max="4620" width="10.7265625" bestFit="1" customWidth="1"/>
    <col min="4621" max="4621" width="15" customWidth="1"/>
    <col min="4622" max="4622" width="34.90625" bestFit="1" customWidth="1"/>
    <col min="4623" max="4623" width="11.81640625" bestFit="1" customWidth="1"/>
    <col min="4624" max="4624" width="14.453125" bestFit="1" customWidth="1"/>
    <col min="4625" max="4625" width="10.26953125" bestFit="1" customWidth="1"/>
    <col min="4626" max="4626" width="11.1796875" bestFit="1" customWidth="1"/>
    <col min="4627" max="4627" width="12.81640625" bestFit="1" customWidth="1"/>
    <col min="4628" max="4628" width="3.08984375" bestFit="1" customWidth="1"/>
    <col min="4629" max="4629" width="16.08984375" bestFit="1" customWidth="1"/>
    <col min="4630" max="4630" width="11.54296875" bestFit="1" customWidth="1"/>
    <col min="4631" max="4631" width="15.453125" bestFit="1" customWidth="1"/>
    <col min="4632" max="4633" width="17.08984375" bestFit="1" customWidth="1"/>
    <col min="4634" max="4634" width="21.26953125" bestFit="1" customWidth="1"/>
    <col min="4865" max="4865" width="9.81640625" bestFit="1" customWidth="1"/>
    <col min="4866" max="4866" width="10.26953125" bestFit="1" customWidth="1"/>
    <col min="4867" max="4867" width="11.54296875" bestFit="1" customWidth="1"/>
    <col min="4868" max="4868" width="29.36328125" bestFit="1" customWidth="1"/>
    <col min="4869" max="4869" width="20.36328125" bestFit="1" customWidth="1"/>
    <col min="4870" max="4870" width="22.54296875" bestFit="1" customWidth="1"/>
    <col min="4871" max="4871" width="5.36328125" bestFit="1" customWidth="1"/>
    <col min="4872" max="4872" width="8.08984375" bestFit="1" customWidth="1"/>
    <col min="4873" max="4873" width="13.36328125" bestFit="1" customWidth="1"/>
    <col min="4874" max="4874" width="12.7265625" bestFit="1" customWidth="1"/>
    <col min="4875" max="4876" width="10.7265625" bestFit="1" customWidth="1"/>
    <col min="4877" max="4877" width="15" customWidth="1"/>
    <col min="4878" max="4878" width="34.90625" bestFit="1" customWidth="1"/>
    <col min="4879" max="4879" width="11.81640625" bestFit="1" customWidth="1"/>
    <col min="4880" max="4880" width="14.453125" bestFit="1" customWidth="1"/>
    <col min="4881" max="4881" width="10.26953125" bestFit="1" customWidth="1"/>
    <col min="4882" max="4882" width="11.1796875" bestFit="1" customWidth="1"/>
    <col min="4883" max="4883" width="12.81640625" bestFit="1" customWidth="1"/>
    <col min="4884" max="4884" width="3.08984375" bestFit="1" customWidth="1"/>
    <col min="4885" max="4885" width="16.08984375" bestFit="1" customWidth="1"/>
    <col min="4886" max="4886" width="11.54296875" bestFit="1" customWidth="1"/>
    <col min="4887" max="4887" width="15.453125" bestFit="1" customWidth="1"/>
    <col min="4888" max="4889" width="17.08984375" bestFit="1" customWidth="1"/>
    <col min="4890" max="4890" width="21.26953125" bestFit="1" customWidth="1"/>
    <col min="5121" max="5121" width="9.81640625" bestFit="1" customWidth="1"/>
    <col min="5122" max="5122" width="10.26953125" bestFit="1" customWidth="1"/>
    <col min="5123" max="5123" width="11.54296875" bestFit="1" customWidth="1"/>
    <col min="5124" max="5124" width="29.36328125" bestFit="1" customWidth="1"/>
    <col min="5125" max="5125" width="20.36328125" bestFit="1" customWidth="1"/>
    <col min="5126" max="5126" width="22.54296875" bestFit="1" customWidth="1"/>
    <col min="5127" max="5127" width="5.36328125" bestFit="1" customWidth="1"/>
    <col min="5128" max="5128" width="8.08984375" bestFit="1" customWidth="1"/>
    <col min="5129" max="5129" width="13.36328125" bestFit="1" customWidth="1"/>
    <col min="5130" max="5130" width="12.7265625" bestFit="1" customWidth="1"/>
    <col min="5131" max="5132" width="10.7265625" bestFit="1" customWidth="1"/>
    <col min="5133" max="5133" width="15" customWidth="1"/>
    <col min="5134" max="5134" width="34.90625" bestFit="1" customWidth="1"/>
    <col min="5135" max="5135" width="11.81640625" bestFit="1" customWidth="1"/>
    <col min="5136" max="5136" width="14.453125" bestFit="1" customWidth="1"/>
    <col min="5137" max="5137" width="10.26953125" bestFit="1" customWidth="1"/>
    <col min="5138" max="5138" width="11.1796875" bestFit="1" customWidth="1"/>
    <col min="5139" max="5139" width="12.81640625" bestFit="1" customWidth="1"/>
    <col min="5140" max="5140" width="3.08984375" bestFit="1" customWidth="1"/>
    <col min="5141" max="5141" width="16.08984375" bestFit="1" customWidth="1"/>
    <col min="5142" max="5142" width="11.54296875" bestFit="1" customWidth="1"/>
    <col min="5143" max="5143" width="15.453125" bestFit="1" customWidth="1"/>
    <col min="5144" max="5145" width="17.08984375" bestFit="1" customWidth="1"/>
    <col min="5146" max="5146" width="21.26953125" bestFit="1" customWidth="1"/>
    <col min="5377" max="5377" width="9.81640625" bestFit="1" customWidth="1"/>
    <col min="5378" max="5378" width="10.26953125" bestFit="1" customWidth="1"/>
    <col min="5379" max="5379" width="11.54296875" bestFit="1" customWidth="1"/>
    <col min="5380" max="5380" width="29.36328125" bestFit="1" customWidth="1"/>
    <col min="5381" max="5381" width="20.36328125" bestFit="1" customWidth="1"/>
    <col min="5382" max="5382" width="22.54296875" bestFit="1" customWidth="1"/>
    <col min="5383" max="5383" width="5.36328125" bestFit="1" customWidth="1"/>
    <col min="5384" max="5384" width="8.08984375" bestFit="1" customWidth="1"/>
    <col min="5385" max="5385" width="13.36328125" bestFit="1" customWidth="1"/>
    <col min="5386" max="5386" width="12.7265625" bestFit="1" customWidth="1"/>
    <col min="5387" max="5388" width="10.7265625" bestFit="1" customWidth="1"/>
    <col min="5389" max="5389" width="15" customWidth="1"/>
    <col min="5390" max="5390" width="34.90625" bestFit="1" customWidth="1"/>
    <col min="5391" max="5391" width="11.81640625" bestFit="1" customWidth="1"/>
    <col min="5392" max="5392" width="14.453125" bestFit="1" customWidth="1"/>
    <col min="5393" max="5393" width="10.26953125" bestFit="1" customWidth="1"/>
    <col min="5394" max="5394" width="11.1796875" bestFit="1" customWidth="1"/>
    <col min="5395" max="5395" width="12.81640625" bestFit="1" customWidth="1"/>
    <col min="5396" max="5396" width="3.08984375" bestFit="1" customWidth="1"/>
    <col min="5397" max="5397" width="16.08984375" bestFit="1" customWidth="1"/>
    <col min="5398" max="5398" width="11.54296875" bestFit="1" customWidth="1"/>
    <col min="5399" max="5399" width="15.453125" bestFit="1" customWidth="1"/>
    <col min="5400" max="5401" width="17.08984375" bestFit="1" customWidth="1"/>
    <col min="5402" max="5402" width="21.26953125" bestFit="1" customWidth="1"/>
    <col min="5633" max="5633" width="9.81640625" bestFit="1" customWidth="1"/>
    <col min="5634" max="5634" width="10.26953125" bestFit="1" customWidth="1"/>
    <col min="5635" max="5635" width="11.54296875" bestFit="1" customWidth="1"/>
    <col min="5636" max="5636" width="29.36328125" bestFit="1" customWidth="1"/>
    <col min="5637" max="5637" width="20.36328125" bestFit="1" customWidth="1"/>
    <col min="5638" max="5638" width="22.54296875" bestFit="1" customWidth="1"/>
    <col min="5639" max="5639" width="5.36328125" bestFit="1" customWidth="1"/>
    <col min="5640" max="5640" width="8.08984375" bestFit="1" customWidth="1"/>
    <col min="5641" max="5641" width="13.36328125" bestFit="1" customWidth="1"/>
    <col min="5642" max="5642" width="12.7265625" bestFit="1" customWidth="1"/>
    <col min="5643" max="5644" width="10.7265625" bestFit="1" customWidth="1"/>
    <col min="5645" max="5645" width="15" customWidth="1"/>
    <col min="5646" max="5646" width="34.90625" bestFit="1" customWidth="1"/>
    <col min="5647" max="5647" width="11.81640625" bestFit="1" customWidth="1"/>
    <col min="5648" max="5648" width="14.453125" bestFit="1" customWidth="1"/>
    <col min="5649" max="5649" width="10.26953125" bestFit="1" customWidth="1"/>
    <col min="5650" max="5650" width="11.1796875" bestFit="1" customWidth="1"/>
    <col min="5651" max="5651" width="12.81640625" bestFit="1" customWidth="1"/>
    <col min="5652" max="5652" width="3.08984375" bestFit="1" customWidth="1"/>
    <col min="5653" max="5653" width="16.08984375" bestFit="1" customWidth="1"/>
    <col min="5654" max="5654" width="11.54296875" bestFit="1" customWidth="1"/>
    <col min="5655" max="5655" width="15.453125" bestFit="1" customWidth="1"/>
    <col min="5656" max="5657" width="17.08984375" bestFit="1" customWidth="1"/>
    <col min="5658" max="5658" width="21.26953125" bestFit="1" customWidth="1"/>
    <col min="5889" max="5889" width="9.81640625" bestFit="1" customWidth="1"/>
    <col min="5890" max="5890" width="10.26953125" bestFit="1" customWidth="1"/>
    <col min="5891" max="5891" width="11.54296875" bestFit="1" customWidth="1"/>
    <col min="5892" max="5892" width="29.36328125" bestFit="1" customWidth="1"/>
    <col min="5893" max="5893" width="20.36328125" bestFit="1" customWidth="1"/>
    <col min="5894" max="5894" width="22.54296875" bestFit="1" customWidth="1"/>
    <col min="5895" max="5895" width="5.36328125" bestFit="1" customWidth="1"/>
    <col min="5896" max="5896" width="8.08984375" bestFit="1" customWidth="1"/>
    <col min="5897" max="5897" width="13.36328125" bestFit="1" customWidth="1"/>
    <col min="5898" max="5898" width="12.7265625" bestFit="1" customWidth="1"/>
    <col min="5899" max="5900" width="10.7265625" bestFit="1" customWidth="1"/>
    <col min="5901" max="5901" width="15" customWidth="1"/>
    <col min="5902" max="5902" width="34.90625" bestFit="1" customWidth="1"/>
    <col min="5903" max="5903" width="11.81640625" bestFit="1" customWidth="1"/>
    <col min="5904" max="5904" width="14.453125" bestFit="1" customWidth="1"/>
    <col min="5905" max="5905" width="10.26953125" bestFit="1" customWidth="1"/>
    <col min="5906" max="5906" width="11.1796875" bestFit="1" customWidth="1"/>
    <col min="5907" max="5907" width="12.81640625" bestFit="1" customWidth="1"/>
    <col min="5908" max="5908" width="3.08984375" bestFit="1" customWidth="1"/>
    <col min="5909" max="5909" width="16.08984375" bestFit="1" customWidth="1"/>
    <col min="5910" max="5910" width="11.54296875" bestFit="1" customWidth="1"/>
    <col min="5911" max="5911" width="15.453125" bestFit="1" customWidth="1"/>
    <col min="5912" max="5913" width="17.08984375" bestFit="1" customWidth="1"/>
    <col min="5914" max="5914" width="21.26953125" bestFit="1" customWidth="1"/>
    <col min="6145" max="6145" width="9.81640625" bestFit="1" customWidth="1"/>
    <col min="6146" max="6146" width="10.26953125" bestFit="1" customWidth="1"/>
    <col min="6147" max="6147" width="11.54296875" bestFit="1" customWidth="1"/>
    <col min="6148" max="6148" width="29.36328125" bestFit="1" customWidth="1"/>
    <col min="6149" max="6149" width="20.36328125" bestFit="1" customWidth="1"/>
    <col min="6150" max="6150" width="22.54296875" bestFit="1" customWidth="1"/>
    <col min="6151" max="6151" width="5.36328125" bestFit="1" customWidth="1"/>
    <col min="6152" max="6152" width="8.08984375" bestFit="1" customWidth="1"/>
    <col min="6153" max="6153" width="13.36328125" bestFit="1" customWidth="1"/>
    <col min="6154" max="6154" width="12.7265625" bestFit="1" customWidth="1"/>
    <col min="6155" max="6156" width="10.7265625" bestFit="1" customWidth="1"/>
    <col min="6157" max="6157" width="15" customWidth="1"/>
    <col min="6158" max="6158" width="34.90625" bestFit="1" customWidth="1"/>
    <col min="6159" max="6159" width="11.81640625" bestFit="1" customWidth="1"/>
    <col min="6160" max="6160" width="14.453125" bestFit="1" customWidth="1"/>
    <col min="6161" max="6161" width="10.26953125" bestFit="1" customWidth="1"/>
    <col min="6162" max="6162" width="11.1796875" bestFit="1" customWidth="1"/>
    <col min="6163" max="6163" width="12.81640625" bestFit="1" customWidth="1"/>
    <col min="6164" max="6164" width="3.08984375" bestFit="1" customWidth="1"/>
    <col min="6165" max="6165" width="16.08984375" bestFit="1" customWidth="1"/>
    <col min="6166" max="6166" width="11.54296875" bestFit="1" customWidth="1"/>
    <col min="6167" max="6167" width="15.453125" bestFit="1" customWidth="1"/>
    <col min="6168" max="6169" width="17.08984375" bestFit="1" customWidth="1"/>
    <col min="6170" max="6170" width="21.26953125" bestFit="1" customWidth="1"/>
    <col min="6401" max="6401" width="9.81640625" bestFit="1" customWidth="1"/>
    <col min="6402" max="6402" width="10.26953125" bestFit="1" customWidth="1"/>
    <col min="6403" max="6403" width="11.54296875" bestFit="1" customWidth="1"/>
    <col min="6404" max="6404" width="29.36328125" bestFit="1" customWidth="1"/>
    <col min="6405" max="6405" width="20.36328125" bestFit="1" customWidth="1"/>
    <col min="6406" max="6406" width="22.54296875" bestFit="1" customWidth="1"/>
    <col min="6407" max="6407" width="5.36328125" bestFit="1" customWidth="1"/>
    <col min="6408" max="6408" width="8.08984375" bestFit="1" customWidth="1"/>
    <col min="6409" max="6409" width="13.36328125" bestFit="1" customWidth="1"/>
    <col min="6410" max="6410" width="12.7265625" bestFit="1" customWidth="1"/>
    <col min="6411" max="6412" width="10.7265625" bestFit="1" customWidth="1"/>
    <col min="6413" max="6413" width="15" customWidth="1"/>
    <col min="6414" max="6414" width="34.90625" bestFit="1" customWidth="1"/>
    <col min="6415" max="6415" width="11.81640625" bestFit="1" customWidth="1"/>
    <col min="6416" max="6416" width="14.453125" bestFit="1" customWidth="1"/>
    <col min="6417" max="6417" width="10.26953125" bestFit="1" customWidth="1"/>
    <col min="6418" max="6418" width="11.1796875" bestFit="1" customWidth="1"/>
    <col min="6419" max="6419" width="12.81640625" bestFit="1" customWidth="1"/>
    <col min="6420" max="6420" width="3.08984375" bestFit="1" customWidth="1"/>
    <col min="6421" max="6421" width="16.08984375" bestFit="1" customWidth="1"/>
    <col min="6422" max="6422" width="11.54296875" bestFit="1" customWidth="1"/>
    <col min="6423" max="6423" width="15.453125" bestFit="1" customWidth="1"/>
    <col min="6424" max="6425" width="17.08984375" bestFit="1" customWidth="1"/>
    <col min="6426" max="6426" width="21.26953125" bestFit="1" customWidth="1"/>
    <col min="6657" max="6657" width="9.81640625" bestFit="1" customWidth="1"/>
    <col min="6658" max="6658" width="10.26953125" bestFit="1" customWidth="1"/>
    <col min="6659" max="6659" width="11.54296875" bestFit="1" customWidth="1"/>
    <col min="6660" max="6660" width="29.36328125" bestFit="1" customWidth="1"/>
    <col min="6661" max="6661" width="20.36328125" bestFit="1" customWidth="1"/>
    <col min="6662" max="6662" width="22.54296875" bestFit="1" customWidth="1"/>
    <col min="6663" max="6663" width="5.36328125" bestFit="1" customWidth="1"/>
    <col min="6664" max="6664" width="8.08984375" bestFit="1" customWidth="1"/>
    <col min="6665" max="6665" width="13.36328125" bestFit="1" customWidth="1"/>
    <col min="6666" max="6666" width="12.7265625" bestFit="1" customWidth="1"/>
    <col min="6667" max="6668" width="10.7265625" bestFit="1" customWidth="1"/>
    <col min="6669" max="6669" width="15" customWidth="1"/>
    <col min="6670" max="6670" width="34.90625" bestFit="1" customWidth="1"/>
    <col min="6671" max="6671" width="11.81640625" bestFit="1" customWidth="1"/>
    <col min="6672" max="6672" width="14.453125" bestFit="1" customWidth="1"/>
    <col min="6673" max="6673" width="10.26953125" bestFit="1" customWidth="1"/>
    <col min="6674" max="6674" width="11.1796875" bestFit="1" customWidth="1"/>
    <col min="6675" max="6675" width="12.81640625" bestFit="1" customWidth="1"/>
    <col min="6676" max="6676" width="3.08984375" bestFit="1" customWidth="1"/>
    <col min="6677" max="6677" width="16.08984375" bestFit="1" customWidth="1"/>
    <col min="6678" max="6678" width="11.54296875" bestFit="1" customWidth="1"/>
    <col min="6679" max="6679" width="15.453125" bestFit="1" customWidth="1"/>
    <col min="6680" max="6681" width="17.08984375" bestFit="1" customWidth="1"/>
    <col min="6682" max="6682" width="21.26953125" bestFit="1" customWidth="1"/>
    <col min="6913" max="6913" width="9.81640625" bestFit="1" customWidth="1"/>
    <col min="6914" max="6914" width="10.26953125" bestFit="1" customWidth="1"/>
    <col min="6915" max="6915" width="11.54296875" bestFit="1" customWidth="1"/>
    <col min="6916" max="6916" width="29.36328125" bestFit="1" customWidth="1"/>
    <col min="6917" max="6917" width="20.36328125" bestFit="1" customWidth="1"/>
    <col min="6918" max="6918" width="22.54296875" bestFit="1" customWidth="1"/>
    <col min="6919" max="6919" width="5.36328125" bestFit="1" customWidth="1"/>
    <col min="6920" max="6920" width="8.08984375" bestFit="1" customWidth="1"/>
    <col min="6921" max="6921" width="13.36328125" bestFit="1" customWidth="1"/>
    <col min="6922" max="6922" width="12.7265625" bestFit="1" customWidth="1"/>
    <col min="6923" max="6924" width="10.7265625" bestFit="1" customWidth="1"/>
    <col min="6925" max="6925" width="15" customWidth="1"/>
    <col min="6926" max="6926" width="34.90625" bestFit="1" customWidth="1"/>
    <col min="6927" max="6927" width="11.81640625" bestFit="1" customWidth="1"/>
    <col min="6928" max="6928" width="14.453125" bestFit="1" customWidth="1"/>
    <col min="6929" max="6929" width="10.26953125" bestFit="1" customWidth="1"/>
    <col min="6930" max="6930" width="11.1796875" bestFit="1" customWidth="1"/>
    <col min="6931" max="6931" width="12.81640625" bestFit="1" customWidth="1"/>
    <col min="6932" max="6932" width="3.08984375" bestFit="1" customWidth="1"/>
    <col min="6933" max="6933" width="16.08984375" bestFit="1" customWidth="1"/>
    <col min="6934" max="6934" width="11.54296875" bestFit="1" customWidth="1"/>
    <col min="6935" max="6935" width="15.453125" bestFit="1" customWidth="1"/>
    <col min="6936" max="6937" width="17.08984375" bestFit="1" customWidth="1"/>
    <col min="6938" max="6938" width="21.26953125" bestFit="1" customWidth="1"/>
    <col min="7169" max="7169" width="9.81640625" bestFit="1" customWidth="1"/>
    <col min="7170" max="7170" width="10.26953125" bestFit="1" customWidth="1"/>
    <col min="7171" max="7171" width="11.54296875" bestFit="1" customWidth="1"/>
    <col min="7172" max="7172" width="29.36328125" bestFit="1" customWidth="1"/>
    <col min="7173" max="7173" width="20.36328125" bestFit="1" customWidth="1"/>
    <col min="7174" max="7174" width="22.54296875" bestFit="1" customWidth="1"/>
    <col min="7175" max="7175" width="5.36328125" bestFit="1" customWidth="1"/>
    <col min="7176" max="7176" width="8.08984375" bestFit="1" customWidth="1"/>
    <col min="7177" max="7177" width="13.36328125" bestFit="1" customWidth="1"/>
    <col min="7178" max="7178" width="12.7265625" bestFit="1" customWidth="1"/>
    <col min="7179" max="7180" width="10.7265625" bestFit="1" customWidth="1"/>
    <col min="7181" max="7181" width="15" customWidth="1"/>
    <col min="7182" max="7182" width="34.90625" bestFit="1" customWidth="1"/>
    <col min="7183" max="7183" width="11.81640625" bestFit="1" customWidth="1"/>
    <col min="7184" max="7184" width="14.453125" bestFit="1" customWidth="1"/>
    <col min="7185" max="7185" width="10.26953125" bestFit="1" customWidth="1"/>
    <col min="7186" max="7186" width="11.1796875" bestFit="1" customWidth="1"/>
    <col min="7187" max="7187" width="12.81640625" bestFit="1" customWidth="1"/>
    <col min="7188" max="7188" width="3.08984375" bestFit="1" customWidth="1"/>
    <col min="7189" max="7189" width="16.08984375" bestFit="1" customWidth="1"/>
    <col min="7190" max="7190" width="11.54296875" bestFit="1" customWidth="1"/>
    <col min="7191" max="7191" width="15.453125" bestFit="1" customWidth="1"/>
    <col min="7192" max="7193" width="17.08984375" bestFit="1" customWidth="1"/>
    <col min="7194" max="7194" width="21.26953125" bestFit="1" customWidth="1"/>
    <col min="7425" max="7425" width="9.81640625" bestFit="1" customWidth="1"/>
    <col min="7426" max="7426" width="10.26953125" bestFit="1" customWidth="1"/>
    <col min="7427" max="7427" width="11.54296875" bestFit="1" customWidth="1"/>
    <col min="7428" max="7428" width="29.36328125" bestFit="1" customWidth="1"/>
    <col min="7429" max="7429" width="20.36328125" bestFit="1" customWidth="1"/>
    <col min="7430" max="7430" width="22.54296875" bestFit="1" customWidth="1"/>
    <col min="7431" max="7431" width="5.36328125" bestFit="1" customWidth="1"/>
    <col min="7432" max="7432" width="8.08984375" bestFit="1" customWidth="1"/>
    <col min="7433" max="7433" width="13.36328125" bestFit="1" customWidth="1"/>
    <col min="7434" max="7434" width="12.7265625" bestFit="1" customWidth="1"/>
    <col min="7435" max="7436" width="10.7265625" bestFit="1" customWidth="1"/>
    <col min="7437" max="7437" width="15" customWidth="1"/>
    <col min="7438" max="7438" width="34.90625" bestFit="1" customWidth="1"/>
    <col min="7439" max="7439" width="11.81640625" bestFit="1" customWidth="1"/>
    <col min="7440" max="7440" width="14.453125" bestFit="1" customWidth="1"/>
    <col min="7441" max="7441" width="10.26953125" bestFit="1" customWidth="1"/>
    <col min="7442" max="7442" width="11.1796875" bestFit="1" customWidth="1"/>
    <col min="7443" max="7443" width="12.81640625" bestFit="1" customWidth="1"/>
    <col min="7444" max="7444" width="3.08984375" bestFit="1" customWidth="1"/>
    <col min="7445" max="7445" width="16.08984375" bestFit="1" customWidth="1"/>
    <col min="7446" max="7446" width="11.54296875" bestFit="1" customWidth="1"/>
    <col min="7447" max="7447" width="15.453125" bestFit="1" customWidth="1"/>
    <col min="7448" max="7449" width="17.08984375" bestFit="1" customWidth="1"/>
    <col min="7450" max="7450" width="21.26953125" bestFit="1" customWidth="1"/>
    <col min="7681" max="7681" width="9.81640625" bestFit="1" customWidth="1"/>
    <col min="7682" max="7682" width="10.26953125" bestFit="1" customWidth="1"/>
    <col min="7683" max="7683" width="11.54296875" bestFit="1" customWidth="1"/>
    <col min="7684" max="7684" width="29.36328125" bestFit="1" customWidth="1"/>
    <col min="7685" max="7685" width="20.36328125" bestFit="1" customWidth="1"/>
    <col min="7686" max="7686" width="22.54296875" bestFit="1" customWidth="1"/>
    <col min="7687" max="7687" width="5.36328125" bestFit="1" customWidth="1"/>
    <col min="7688" max="7688" width="8.08984375" bestFit="1" customWidth="1"/>
    <col min="7689" max="7689" width="13.36328125" bestFit="1" customWidth="1"/>
    <col min="7690" max="7690" width="12.7265625" bestFit="1" customWidth="1"/>
    <col min="7691" max="7692" width="10.7265625" bestFit="1" customWidth="1"/>
    <col min="7693" max="7693" width="15" customWidth="1"/>
    <col min="7694" max="7694" width="34.90625" bestFit="1" customWidth="1"/>
    <col min="7695" max="7695" width="11.81640625" bestFit="1" customWidth="1"/>
    <col min="7696" max="7696" width="14.453125" bestFit="1" customWidth="1"/>
    <col min="7697" max="7697" width="10.26953125" bestFit="1" customWidth="1"/>
    <col min="7698" max="7698" width="11.1796875" bestFit="1" customWidth="1"/>
    <col min="7699" max="7699" width="12.81640625" bestFit="1" customWidth="1"/>
    <col min="7700" max="7700" width="3.08984375" bestFit="1" customWidth="1"/>
    <col min="7701" max="7701" width="16.08984375" bestFit="1" customWidth="1"/>
    <col min="7702" max="7702" width="11.54296875" bestFit="1" customWidth="1"/>
    <col min="7703" max="7703" width="15.453125" bestFit="1" customWidth="1"/>
    <col min="7704" max="7705" width="17.08984375" bestFit="1" customWidth="1"/>
    <col min="7706" max="7706" width="21.26953125" bestFit="1" customWidth="1"/>
    <col min="7937" max="7937" width="9.81640625" bestFit="1" customWidth="1"/>
    <col min="7938" max="7938" width="10.26953125" bestFit="1" customWidth="1"/>
    <col min="7939" max="7939" width="11.54296875" bestFit="1" customWidth="1"/>
    <col min="7940" max="7940" width="29.36328125" bestFit="1" customWidth="1"/>
    <col min="7941" max="7941" width="20.36328125" bestFit="1" customWidth="1"/>
    <col min="7942" max="7942" width="22.54296875" bestFit="1" customWidth="1"/>
    <col min="7943" max="7943" width="5.36328125" bestFit="1" customWidth="1"/>
    <col min="7944" max="7944" width="8.08984375" bestFit="1" customWidth="1"/>
    <col min="7945" max="7945" width="13.36328125" bestFit="1" customWidth="1"/>
    <col min="7946" max="7946" width="12.7265625" bestFit="1" customWidth="1"/>
    <col min="7947" max="7948" width="10.7265625" bestFit="1" customWidth="1"/>
    <col min="7949" max="7949" width="15" customWidth="1"/>
    <col min="7950" max="7950" width="34.90625" bestFit="1" customWidth="1"/>
    <col min="7951" max="7951" width="11.81640625" bestFit="1" customWidth="1"/>
    <col min="7952" max="7952" width="14.453125" bestFit="1" customWidth="1"/>
    <col min="7953" max="7953" width="10.26953125" bestFit="1" customWidth="1"/>
    <col min="7954" max="7954" width="11.1796875" bestFit="1" customWidth="1"/>
    <col min="7955" max="7955" width="12.81640625" bestFit="1" customWidth="1"/>
    <col min="7956" max="7956" width="3.08984375" bestFit="1" customWidth="1"/>
    <col min="7957" max="7957" width="16.08984375" bestFit="1" customWidth="1"/>
    <col min="7958" max="7958" width="11.54296875" bestFit="1" customWidth="1"/>
    <col min="7959" max="7959" width="15.453125" bestFit="1" customWidth="1"/>
    <col min="7960" max="7961" width="17.08984375" bestFit="1" customWidth="1"/>
    <col min="7962" max="7962" width="21.26953125" bestFit="1" customWidth="1"/>
    <col min="8193" max="8193" width="9.81640625" bestFit="1" customWidth="1"/>
    <col min="8194" max="8194" width="10.26953125" bestFit="1" customWidth="1"/>
    <col min="8195" max="8195" width="11.54296875" bestFit="1" customWidth="1"/>
    <col min="8196" max="8196" width="29.36328125" bestFit="1" customWidth="1"/>
    <col min="8197" max="8197" width="20.36328125" bestFit="1" customWidth="1"/>
    <col min="8198" max="8198" width="22.54296875" bestFit="1" customWidth="1"/>
    <col min="8199" max="8199" width="5.36328125" bestFit="1" customWidth="1"/>
    <col min="8200" max="8200" width="8.08984375" bestFit="1" customWidth="1"/>
    <col min="8201" max="8201" width="13.36328125" bestFit="1" customWidth="1"/>
    <col min="8202" max="8202" width="12.7265625" bestFit="1" customWidth="1"/>
    <col min="8203" max="8204" width="10.7265625" bestFit="1" customWidth="1"/>
    <col min="8205" max="8205" width="15" customWidth="1"/>
    <col min="8206" max="8206" width="34.90625" bestFit="1" customWidth="1"/>
    <col min="8207" max="8207" width="11.81640625" bestFit="1" customWidth="1"/>
    <col min="8208" max="8208" width="14.453125" bestFit="1" customWidth="1"/>
    <col min="8209" max="8209" width="10.26953125" bestFit="1" customWidth="1"/>
    <col min="8210" max="8210" width="11.1796875" bestFit="1" customWidth="1"/>
    <col min="8211" max="8211" width="12.81640625" bestFit="1" customWidth="1"/>
    <col min="8212" max="8212" width="3.08984375" bestFit="1" customWidth="1"/>
    <col min="8213" max="8213" width="16.08984375" bestFit="1" customWidth="1"/>
    <col min="8214" max="8214" width="11.54296875" bestFit="1" customWidth="1"/>
    <col min="8215" max="8215" width="15.453125" bestFit="1" customWidth="1"/>
    <col min="8216" max="8217" width="17.08984375" bestFit="1" customWidth="1"/>
    <col min="8218" max="8218" width="21.26953125" bestFit="1" customWidth="1"/>
    <col min="8449" max="8449" width="9.81640625" bestFit="1" customWidth="1"/>
    <col min="8450" max="8450" width="10.26953125" bestFit="1" customWidth="1"/>
    <col min="8451" max="8451" width="11.54296875" bestFit="1" customWidth="1"/>
    <col min="8452" max="8452" width="29.36328125" bestFit="1" customWidth="1"/>
    <col min="8453" max="8453" width="20.36328125" bestFit="1" customWidth="1"/>
    <col min="8454" max="8454" width="22.54296875" bestFit="1" customWidth="1"/>
    <col min="8455" max="8455" width="5.36328125" bestFit="1" customWidth="1"/>
    <col min="8456" max="8456" width="8.08984375" bestFit="1" customWidth="1"/>
    <col min="8457" max="8457" width="13.36328125" bestFit="1" customWidth="1"/>
    <col min="8458" max="8458" width="12.7265625" bestFit="1" customWidth="1"/>
    <col min="8459" max="8460" width="10.7265625" bestFit="1" customWidth="1"/>
    <col min="8461" max="8461" width="15" customWidth="1"/>
    <col min="8462" max="8462" width="34.90625" bestFit="1" customWidth="1"/>
    <col min="8463" max="8463" width="11.81640625" bestFit="1" customWidth="1"/>
    <col min="8464" max="8464" width="14.453125" bestFit="1" customWidth="1"/>
    <col min="8465" max="8465" width="10.26953125" bestFit="1" customWidth="1"/>
    <col min="8466" max="8466" width="11.1796875" bestFit="1" customWidth="1"/>
    <col min="8467" max="8467" width="12.81640625" bestFit="1" customWidth="1"/>
    <col min="8468" max="8468" width="3.08984375" bestFit="1" customWidth="1"/>
    <col min="8469" max="8469" width="16.08984375" bestFit="1" customWidth="1"/>
    <col min="8470" max="8470" width="11.54296875" bestFit="1" customWidth="1"/>
    <col min="8471" max="8471" width="15.453125" bestFit="1" customWidth="1"/>
    <col min="8472" max="8473" width="17.08984375" bestFit="1" customWidth="1"/>
    <col min="8474" max="8474" width="21.26953125" bestFit="1" customWidth="1"/>
    <col min="8705" max="8705" width="9.81640625" bestFit="1" customWidth="1"/>
    <col min="8706" max="8706" width="10.26953125" bestFit="1" customWidth="1"/>
    <col min="8707" max="8707" width="11.54296875" bestFit="1" customWidth="1"/>
    <col min="8708" max="8708" width="29.36328125" bestFit="1" customWidth="1"/>
    <col min="8709" max="8709" width="20.36328125" bestFit="1" customWidth="1"/>
    <col min="8710" max="8710" width="22.54296875" bestFit="1" customWidth="1"/>
    <col min="8711" max="8711" width="5.36328125" bestFit="1" customWidth="1"/>
    <col min="8712" max="8712" width="8.08984375" bestFit="1" customWidth="1"/>
    <col min="8713" max="8713" width="13.36328125" bestFit="1" customWidth="1"/>
    <col min="8714" max="8714" width="12.7265625" bestFit="1" customWidth="1"/>
    <col min="8715" max="8716" width="10.7265625" bestFit="1" customWidth="1"/>
    <col min="8717" max="8717" width="15" customWidth="1"/>
    <col min="8718" max="8718" width="34.90625" bestFit="1" customWidth="1"/>
    <col min="8719" max="8719" width="11.81640625" bestFit="1" customWidth="1"/>
    <col min="8720" max="8720" width="14.453125" bestFit="1" customWidth="1"/>
    <col min="8721" max="8721" width="10.26953125" bestFit="1" customWidth="1"/>
    <col min="8722" max="8722" width="11.1796875" bestFit="1" customWidth="1"/>
    <col min="8723" max="8723" width="12.81640625" bestFit="1" customWidth="1"/>
    <col min="8724" max="8724" width="3.08984375" bestFit="1" customWidth="1"/>
    <col min="8725" max="8725" width="16.08984375" bestFit="1" customWidth="1"/>
    <col min="8726" max="8726" width="11.54296875" bestFit="1" customWidth="1"/>
    <col min="8727" max="8727" width="15.453125" bestFit="1" customWidth="1"/>
    <col min="8728" max="8729" width="17.08984375" bestFit="1" customWidth="1"/>
    <col min="8730" max="8730" width="21.26953125" bestFit="1" customWidth="1"/>
    <col min="8961" max="8961" width="9.81640625" bestFit="1" customWidth="1"/>
    <col min="8962" max="8962" width="10.26953125" bestFit="1" customWidth="1"/>
    <col min="8963" max="8963" width="11.54296875" bestFit="1" customWidth="1"/>
    <col min="8964" max="8964" width="29.36328125" bestFit="1" customWidth="1"/>
    <col min="8965" max="8965" width="20.36328125" bestFit="1" customWidth="1"/>
    <col min="8966" max="8966" width="22.54296875" bestFit="1" customWidth="1"/>
    <col min="8967" max="8967" width="5.36328125" bestFit="1" customWidth="1"/>
    <col min="8968" max="8968" width="8.08984375" bestFit="1" customWidth="1"/>
    <col min="8969" max="8969" width="13.36328125" bestFit="1" customWidth="1"/>
    <col min="8970" max="8970" width="12.7265625" bestFit="1" customWidth="1"/>
    <col min="8971" max="8972" width="10.7265625" bestFit="1" customWidth="1"/>
    <col min="8973" max="8973" width="15" customWidth="1"/>
    <col min="8974" max="8974" width="34.90625" bestFit="1" customWidth="1"/>
    <col min="8975" max="8975" width="11.81640625" bestFit="1" customWidth="1"/>
    <col min="8976" max="8976" width="14.453125" bestFit="1" customWidth="1"/>
    <col min="8977" max="8977" width="10.26953125" bestFit="1" customWidth="1"/>
    <col min="8978" max="8978" width="11.1796875" bestFit="1" customWidth="1"/>
    <col min="8979" max="8979" width="12.81640625" bestFit="1" customWidth="1"/>
    <col min="8980" max="8980" width="3.08984375" bestFit="1" customWidth="1"/>
    <col min="8981" max="8981" width="16.08984375" bestFit="1" customWidth="1"/>
    <col min="8982" max="8982" width="11.54296875" bestFit="1" customWidth="1"/>
    <col min="8983" max="8983" width="15.453125" bestFit="1" customWidth="1"/>
    <col min="8984" max="8985" width="17.08984375" bestFit="1" customWidth="1"/>
    <col min="8986" max="8986" width="21.26953125" bestFit="1" customWidth="1"/>
    <col min="9217" max="9217" width="9.81640625" bestFit="1" customWidth="1"/>
    <col min="9218" max="9218" width="10.26953125" bestFit="1" customWidth="1"/>
    <col min="9219" max="9219" width="11.54296875" bestFit="1" customWidth="1"/>
    <col min="9220" max="9220" width="29.36328125" bestFit="1" customWidth="1"/>
    <col min="9221" max="9221" width="20.36328125" bestFit="1" customWidth="1"/>
    <col min="9222" max="9222" width="22.54296875" bestFit="1" customWidth="1"/>
    <col min="9223" max="9223" width="5.36328125" bestFit="1" customWidth="1"/>
    <col min="9224" max="9224" width="8.08984375" bestFit="1" customWidth="1"/>
    <col min="9225" max="9225" width="13.36328125" bestFit="1" customWidth="1"/>
    <col min="9226" max="9226" width="12.7265625" bestFit="1" customWidth="1"/>
    <col min="9227" max="9228" width="10.7265625" bestFit="1" customWidth="1"/>
    <col min="9229" max="9229" width="15" customWidth="1"/>
    <col min="9230" max="9230" width="34.90625" bestFit="1" customWidth="1"/>
    <col min="9231" max="9231" width="11.81640625" bestFit="1" customWidth="1"/>
    <col min="9232" max="9232" width="14.453125" bestFit="1" customWidth="1"/>
    <col min="9233" max="9233" width="10.26953125" bestFit="1" customWidth="1"/>
    <col min="9234" max="9234" width="11.1796875" bestFit="1" customWidth="1"/>
    <col min="9235" max="9235" width="12.81640625" bestFit="1" customWidth="1"/>
    <col min="9236" max="9236" width="3.08984375" bestFit="1" customWidth="1"/>
    <col min="9237" max="9237" width="16.08984375" bestFit="1" customWidth="1"/>
    <col min="9238" max="9238" width="11.54296875" bestFit="1" customWidth="1"/>
    <col min="9239" max="9239" width="15.453125" bestFit="1" customWidth="1"/>
    <col min="9240" max="9241" width="17.08984375" bestFit="1" customWidth="1"/>
    <col min="9242" max="9242" width="21.26953125" bestFit="1" customWidth="1"/>
    <col min="9473" max="9473" width="9.81640625" bestFit="1" customWidth="1"/>
    <col min="9474" max="9474" width="10.26953125" bestFit="1" customWidth="1"/>
    <col min="9475" max="9475" width="11.54296875" bestFit="1" customWidth="1"/>
    <col min="9476" max="9476" width="29.36328125" bestFit="1" customWidth="1"/>
    <col min="9477" max="9477" width="20.36328125" bestFit="1" customWidth="1"/>
    <col min="9478" max="9478" width="22.54296875" bestFit="1" customWidth="1"/>
    <col min="9479" max="9479" width="5.36328125" bestFit="1" customWidth="1"/>
    <col min="9480" max="9480" width="8.08984375" bestFit="1" customWidth="1"/>
    <col min="9481" max="9481" width="13.36328125" bestFit="1" customWidth="1"/>
    <col min="9482" max="9482" width="12.7265625" bestFit="1" customWidth="1"/>
    <col min="9483" max="9484" width="10.7265625" bestFit="1" customWidth="1"/>
    <col min="9485" max="9485" width="15" customWidth="1"/>
    <col min="9486" max="9486" width="34.90625" bestFit="1" customWidth="1"/>
    <col min="9487" max="9487" width="11.81640625" bestFit="1" customWidth="1"/>
    <col min="9488" max="9488" width="14.453125" bestFit="1" customWidth="1"/>
    <col min="9489" max="9489" width="10.26953125" bestFit="1" customWidth="1"/>
    <col min="9490" max="9490" width="11.1796875" bestFit="1" customWidth="1"/>
    <col min="9491" max="9491" width="12.81640625" bestFit="1" customWidth="1"/>
    <col min="9492" max="9492" width="3.08984375" bestFit="1" customWidth="1"/>
    <col min="9493" max="9493" width="16.08984375" bestFit="1" customWidth="1"/>
    <col min="9494" max="9494" width="11.54296875" bestFit="1" customWidth="1"/>
    <col min="9495" max="9495" width="15.453125" bestFit="1" customWidth="1"/>
    <col min="9496" max="9497" width="17.08984375" bestFit="1" customWidth="1"/>
    <col min="9498" max="9498" width="21.26953125" bestFit="1" customWidth="1"/>
    <col min="9729" max="9729" width="9.81640625" bestFit="1" customWidth="1"/>
    <col min="9730" max="9730" width="10.26953125" bestFit="1" customWidth="1"/>
    <col min="9731" max="9731" width="11.54296875" bestFit="1" customWidth="1"/>
    <col min="9732" max="9732" width="29.36328125" bestFit="1" customWidth="1"/>
    <col min="9733" max="9733" width="20.36328125" bestFit="1" customWidth="1"/>
    <col min="9734" max="9734" width="22.54296875" bestFit="1" customWidth="1"/>
    <col min="9735" max="9735" width="5.36328125" bestFit="1" customWidth="1"/>
    <col min="9736" max="9736" width="8.08984375" bestFit="1" customWidth="1"/>
    <col min="9737" max="9737" width="13.36328125" bestFit="1" customWidth="1"/>
    <col min="9738" max="9738" width="12.7265625" bestFit="1" customWidth="1"/>
    <col min="9739" max="9740" width="10.7265625" bestFit="1" customWidth="1"/>
    <col min="9741" max="9741" width="15" customWidth="1"/>
    <col min="9742" max="9742" width="34.90625" bestFit="1" customWidth="1"/>
    <col min="9743" max="9743" width="11.81640625" bestFit="1" customWidth="1"/>
    <col min="9744" max="9744" width="14.453125" bestFit="1" customWidth="1"/>
    <col min="9745" max="9745" width="10.26953125" bestFit="1" customWidth="1"/>
    <col min="9746" max="9746" width="11.1796875" bestFit="1" customWidth="1"/>
    <col min="9747" max="9747" width="12.81640625" bestFit="1" customWidth="1"/>
    <col min="9748" max="9748" width="3.08984375" bestFit="1" customWidth="1"/>
    <col min="9749" max="9749" width="16.08984375" bestFit="1" customWidth="1"/>
    <col min="9750" max="9750" width="11.54296875" bestFit="1" customWidth="1"/>
    <col min="9751" max="9751" width="15.453125" bestFit="1" customWidth="1"/>
    <col min="9752" max="9753" width="17.08984375" bestFit="1" customWidth="1"/>
    <col min="9754" max="9754" width="21.26953125" bestFit="1" customWidth="1"/>
    <col min="9985" max="9985" width="9.81640625" bestFit="1" customWidth="1"/>
    <col min="9986" max="9986" width="10.26953125" bestFit="1" customWidth="1"/>
    <col min="9987" max="9987" width="11.54296875" bestFit="1" customWidth="1"/>
    <col min="9988" max="9988" width="29.36328125" bestFit="1" customWidth="1"/>
    <col min="9989" max="9989" width="20.36328125" bestFit="1" customWidth="1"/>
    <col min="9990" max="9990" width="22.54296875" bestFit="1" customWidth="1"/>
    <col min="9991" max="9991" width="5.36328125" bestFit="1" customWidth="1"/>
    <col min="9992" max="9992" width="8.08984375" bestFit="1" customWidth="1"/>
    <col min="9993" max="9993" width="13.36328125" bestFit="1" customWidth="1"/>
    <col min="9994" max="9994" width="12.7265625" bestFit="1" customWidth="1"/>
    <col min="9995" max="9996" width="10.7265625" bestFit="1" customWidth="1"/>
    <col min="9997" max="9997" width="15" customWidth="1"/>
    <col min="9998" max="9998" width="34.90625" bestFit="1" customWidth="1"/>
    <col min="9999" max="9999" width="11.81640625" bestFit="1" customWidth="1"/>
    <col min="10000" max="10000" width="14.453125" bestFit="1" customWidth="1"/>
    <col min="10001" max="10001" width="10.26953125" bestFit="1" customWidth="1"/>
    <col min="10002" max="10002" width="11.1796875" bestFit="1" customWidth="1"/>
    <col min="10003" max="10003" width="12.81640625" bestFit="1" customWidth="1"/>
    <col min="10004" max="10004" width="3.08984375" bestFit="1" customWidth="1"/>
    <col min="10005" max="10005" width="16.08984375" bestFit="1" customWidth="1"/>
    <col min="10006" max="10006" width="11.54296875" bestFit="1" customWidth="1"/>
    <col min="10007" max="10007" width="15.453125" bestFit="1" customWidth="1"/>
    <col min="10008" max="10009" width="17.08984375" bestFit="1" customWidth="1"/>
    <col min="10010" max="10010" width="21.26953125" bestFit="1" customWidth="1"/>
    <col min="10241" max="10241" width="9.81640625" bestFit="1" customWidth="1"/>
    <col min="10242" max="10242" width="10.26953125" bestFit="1" customWidth="1"/>
    <col min="10243" max="10243" width="11.54296875" bestFit="1" customWidth="1"/>
    <col min="10244" max="10244" width="29.36328125" bestFit="1" customWidth="1"/>
    <col min="10245" max="10245" width="20.36328125" bestFit="1" customWidth="1"/>
    <col min="10246" max="10246" width="22.54296875" bestFit="1" customWidth="1"/>
    <col min="10247" max="10247" width="5.36328125" bestFit="1" customWidth="1"/>
    <col min="10248" max="10248" width="8.08984375" bestFit="1" customWidth="1"/>
    <col min="10249" max="10249" width="13.36328125" bestFit="1" customWidth="1"/>
    <col min="10250" max="10250" width="12.7265625" bestFit="1" customWidth="1"/>
    <col min="10251" max="10252" width="10.7265625" bestFit="1" customWidth="1"/>
    <col min="10253" max="10253" width="15" customWidth="1"/>
    <col min="10254" max="10254" width="34.90625" bestFit="1" customWidth="1"/>
    <col min="10255" max="10255" width="11.81640625" bestFit="1" customWidth="1"/>
    <col min="10256" max="10256" width="14.453125" bestFit="1" customWidth="1"/>
    <col min="10257" max="10257" width="10.26953125" bestFit="1" customWidth="1"/>
    <col min="10258" max="10258" width="11.1796875" bestFit="1" customWidth="1"/>
    <col min="10259" max="10259" width="12.81640625" bestFit="1" customWidth="1"/>
    <col min="10260" max="10260" width="3.08984375" bestFit="1" customWidth="1"/>
    <col min="10261" max="10261" width="16.08984375" bestFit="1" customWidth="1"/>
    <col min="10262" max="10262" width="11.54296875" bestFit="1" customWidth="1"/>
    <col min="10263" max="10263" width="15.453125" bestFit="1" customWidth="1"/>
    <col min="10264" max="10265" width="17.08984375" bestFit="1" customWidth="1"/>
    <col min="10266" max="10266" width="21.26953125" bestFit="1" customWidth="1"/>
    <col min="10497" max="10497" width="9.81640625" bestFit="1" customWidth="1"/>
    <col min="10498" max="10498" width="10.26953125" bestFit="1" customWidth="1"/>
    <col min="10499" max="10499" width="11.54296875" bestFit="1" customWidth="1"/>
    <col min="10500" max="10500" width="29.36328125" bestFit="1" customWidth="1"/>
    <col min="10501" max="10501" width="20.36328125" bestFit="1" customWidth="1"/>
    <col min="10502" max="10502" width="22.54296875" bestFit="1" customWidth="1"/>
    <col min="10503" max="10503" width="5.36328125" bestFit="1" customWidth="1"/>
    <col min="10504" max="10504" width="8.08984375" bestFit="1" customWidth="1"/>
    <col min="10505" max="10505" width="13.36328125" bestFit="1" customWidth="1"/>
    <col min="10506" max="10506" width="12.7265625" bestFit="1" customWidth="1"/>
    <col min="10507" max="10508" width="10.7265625" bestFit="1" customWidth="1"/>
    <col min="10509" max="10509" width="15" customWidth="1"/>
    <col min="10510" max="10510" width="34.90625" bestFit="1" customWidth="1"/>
    <col min="10511" max="10511" width="11.81640625" bestFit="1" customWidth="1"/>
    <col min="10512" max="10512" width="14.453125" bestFit="1" customWidth="1"/>
    <col min="10513" max="10513" width="10.26953125" bestFit="1" customWidth="1"/>
    <col min="10514" max="10514" width="11.1796875" bestFit="1" customWidth="1"/>
    <col min="10515" max="10515" width="12.81640625" bestFit="1" customWidth="1"/>
    <col min="10516" max="10516" width="3.08984375" bestFit="1" customWidth="1"/>
    <col min="10517" max="10517" width="16.08984375" bestFit="1" customWidth="1"/>
    <col min="10518" max="10518" width="11.54296875" bestFit="1" customWidth="1"/>
    <col min="10519" max="10519" width="15.453125" bestFit="1" customWidth="1"/>
    <col min="10520" max="10521" width="17.08984375" bestFit="1" customWidth="1"/>
    <col min="10522" max="10522" width="21.26953125" bestFit="1" customWidth="1"/>
    <col min="10753" max="10753" width="9.81640625" bestFit="1" customWidth="1"/>
    <col min="10754" max="10754" width="10.26953125" bestFit="1" customWidth="1"/>
    <col min="10755" max="10755" width="11.54296875" bestFit="1" customWidth="1"/>
    <col min="10756" max="10756" width="29.36328125" bestFit="1" customWidth="1"/>
    <col min="10757" max="10757" width="20.36328125" bestFit="1" customWidth="1"/>
    <col min="10758" max="10758" width="22.54296875" bestFit="1" customWidth="1"/>
    <col min="10759" max="10759" width="5.36328125" bestFit="1" customWidth="1"/>
    <col min="10760" max="10760" width="8.08984375" bestFit="1" customWidth="1"/>
    <col min="10761" max="10761" width="13.36328125" bestFit="1" customWidth="1"/>
    <col min="10762" max="10762" width="12.7265625" bestFit="1" customWidth="1"/>
    <col min="10763" max="10764" width="10.7265625" bestFit="1" customWidth="1"/>
    <col min="10765" max="10765" width="15" customWidth="1"/>
    <col min="10766" max="10766" width="34.90625" bestFit="1" customWidth="1"/>
    <col min="10767" max="10767" width="11.81640625" bestFit="1" customWidth="1"/>
    <col min="10768" max="10768" width="14.453125" bestFit="1" customWidth="1"/>
    <col min="10769" max="10769" width="10.26953125" bestFit="1" customWidth="1"/>
    <col min="10770" max="10770" width="11.1796875" bestFit="1" customWidth="1"/>
    <col min="10771" max="10771" width="12.81640625" bestFit="1" customWidth="1"/>
    <col min="10772" max="10772" width="3.08984375" bestFit="1" customWidth="1"/>
    <col min="10773" max="10773" width="16.08984375" bestFit="1" customWidth="1"/>
    <col min="10774" max="10774" width="11.54296875" bestFit="1" customWidth="1"/>
    <col min="10775" max="10775" width="15.453125" bestFit="1" customWidth="1"/>
    <col min="10776" max="10777" width="17.08984375" bestFit="1" customWidth="1"/>
    <col min="10778" max="10778" width="21.26953125" bestFit="1" customWidth="1"/>
    <col min="11009" max="11009" width="9.81640625" bestFit="1" customWidth="1"/>
    <col min="11010" max="11010" width="10.26953125" bestFit="1" customWidth="1"/>
    <col min="11011" max="11011" width="11.54296875" bestFit="1" customWidth="1"/>
    <col min="11012" max="11012" width="29.36328125" bestFit="1" customWidth="1"/>
    <col min="11013" max="11013" width="20.36328125" bestFit="1" customWidth="1"/>
    <col min="11014" max="11014" width="22.54296875" bestFit="1" customWidth="1"/>
    <col min="11015" max="11015" width="5.36328125" bestFit="1" customWidth="1"/>
    <col min="11016" max="11016" width="8.08984375" bestFit="1" customWidth="1"/>
    <col min="11017" max="11017" width="13.36328125" bestFit="1" customWidth="1"/>
    <col min="11018" max="11018" width="12.7265625" bestFit="1" customWidth="1"/>
    <col min="11019" max="11020" width="10.7265625" bestFit="1" customWidth="1"/>
    <col min="11021" max="11021" width="15" customWidth="1"/>
    <col min="11022" max="11022" width="34.90625" bestFit="1" customWidth="1"/>
    <col min="11023" max="11023" width="11.81640625" bestFit="1" customWidth="1"/>
    <col min="11024" max="11024" width="14.453125" bestFit="1" customWidth="1"/>
    <col min="11025" max="11025" width="10.26953125" bestFit="1" customWidth="1"/>
    <col min="11026" max="11026" width="11.1796875" bestFit="1" customWidth="1"/>
    <col min="11027" max="11027" width="12.81640625" bestFit="1" customWidth="1"/>
    <col min="11028" max="11028" width="3.08984375" bestFit="1" customWidth="1"/>
    <col min="11029" max="11029" width="16.08984375" bestFit="1" customWidth="1"/>
    <col min="11030" max="11030" width="11.54296875" bestFit="1" customWidth="1"/>
    <col min="11031" max="11031" width="15.453125" bestFit="1" customWidth="1"/>
    <col min="11032" max="11033" width="17.08984375" bestFit="1" customWidth="1"/>
    <col min="11034" max="11034" width="21.26953125" bestFit="1" customWidth="1"/>
    <col min="11265" max="11265" width="9.81640625" bestFit="1" customWidth="1"/>
    <col min="11266" max="11266" width="10.26953125" bestFit="1" customWidth="1"/>
    <col min="11267" max="11267" width="11.54296875" bestFit="1" customWidth="1"/>
    <col min="11268" max="11268" width="29.36328125" bestFit="1" customWidth="1"/>
    <col min="11269" max="11269" width="20.36328125" bestFit="1" customWidth="1"/>
    <col min="11270" max="11270" width="22.54296875" bestFit="1" customWidth="1"/>
    <col min="11271" max="11271" width="5.36328125" bestFit="1" customWidth="1"/>
    <col min="11272" max="11272" width="8.08984375" bestFit="1" customWidth="1"/>
    <col min="11273" max="11273" width="13.36328125" bestFit="1" customWidth="1"/>
    <col min="11274" max="11274" width="12.7265625" bestFit="1" customWidth="1"/>
    <col min="11275" max="11276" width="10.7265625" bestFit="1" customWidth="1"/>
    <col min="11277" max="11277" width="15" customWidth="1"/>
    <col min="11278" max="11278" width="34.90625" bestFit="1" customWidth="1"/>
    <col min="11279" max="11279" width="11.81640625" bestFit="1" customWidth="1"/>
    <col min="11280" max="11280" width="14.453125" bestFit="1" customWidth="1"/>
    <col min="11281" max="11281" width="10.26953125" bestFit="1" customWidth="1"/>
    <col min="11282" max="11282" width="11.1796875" bestFit="1" customWidth="1"/>
    <col min="11283" max="11283" width="12.81640625" bestFit="1" customWidth="1"/>
    <col min="11284" max="11284" width="3.08984375" bestFit="1" customWidth="1"/>
    <col min="11285" max="11285" width="16.08984375" bestFit="1" customWidth="1"/>
    <col min="11286" max="11286" width="11.54296875" bestFit="1" customWidth="1"/>
    <col min="11287" max="11287" width="15.453125" bestFit="1" customWidth="1"/>
    <col min="11288" max="11289" width="17.08984375" bestFit="1" customWidth="1"/>
    <col min="11290" max="11290" width="21.26953125" bestFit="1" customWidth="1"/>
    <col min="11521" max="11521" width="9.81640625" bestFit="1" customWidth="1"/>
    <col min="11522" max="11522" width="10.26953125" bestFit="1" customWidth="1"/>
    <col min="11523" max="11523" width="11.54296875" bestFit="1" customWidth="1"/>
    <col min="11524" max="11524" width="29.36328125" bestFit="1" customWidth="1"/>
    <col min="11525" max="11525" width="20.36328125" bestFit="1" customWidth="1"/>
    <col min="11526" max="11526" width="22.54296875" bestFit="1" customWidth="1"/>
    <col min="11527" max="11527" width="5.36328125" bestFit="1" customWidth="1"/>
    <col min="11528" max="11528" width="8.08984375" bestFit="1" customWidth="1"/>
    <col min="11529" max="11529" width="13.36328125" bestFit="1" customWidth="1"/>
    <col min="11530" max="11530" width="12.7265625" bestFit="1" customWidth="1"/>
    <col min="11531" max="11532" width="10.7265625" bestFit="1" customWidth="1"/>
    <col min="11533" max="11533" width="15" customWidth="1"/>
    <col min="11534" max="11534" width="34.90625" bestFit="1" customWidth="1"/>
    <col min="11535" max="11535" width="11.81640625" bestFit="1" customWidth="1"/>
    <col min="11536" max="11536" width="14.453125" bestFit="1" customWidth="1"/>
    <col min="11537" max="11537" width="10.26953125" bestFit="1" customWidth="1"/>
    <col min="11538" max="11538" width="11.1796875" bestFit="1" customWidth="1"/>
    <col min="11539" max="11539" width="12.81640625" bestFit="1" customWidth="1"/>
    <col min="11540" max="11540" width="3.08984375" bestFit="1" customWidth="1"/>
    <col min="11541" max="11541" width="16.08984375" bestFit="1" customWidth="1"/>
    <col min="11542" max="11542" width="11.54296875" bestFit="1" customWidth="1"/>
    <col min="11543" max="11543" width="15.453125" bestFit="1" customWidth="1"/>
    <col min="11544" max="11545" width="17.08984375" bestFit="1" customWidth="1"/>
    <col min="11546" max="11546" width="21.26953125" bestFit="1" customWidth="1"/>
    <col min="11777" max="11777" width="9.81640625" bestFit="1" customWidth="1"/>
    <col min="11778" max="11778" width="10.26953125" bestFit="1" customWidth="1"/>
    <col min="11779" max="11779" width="11.54296875" bestFit="1" customWidth="1"/>
    <col min="11780" max="11780" width="29.36328125" bestFit="1" customWidth="1"/>
    <col min="11781" max="11781" width="20.36328125" bestFit="1" customWidth="1"/>
    <col min="11782" max="11782" width="22.54296875" bestFit="1" customWidth="1"/>
    <col min="11783" max="11783" width="5.36328125" bestFit="1" customWidth="1"/>
    <col min="11784" max="11784" width="8.08984375" bestFit="1" customWidth="1"/>
    <col min="11785" max="11785" width="13.36328125" bestFit="1" customWidth="1"/>
    <col min="11786" max="11786" width="12.7265625" bestFit="1" customWidth="1"/>
    <col min="11787" max="11788" width="10.7265625" bestFit="1" customWidth="1"/>
    <col min="11789" max="11789" width="15" customWidth="1"/>
    <col min="11790" max="11790" width="34.90625" bestFit="1" customWidth="1"/>
    <col min="11791" max="11791" width="11.81640625" bestFit="1" customWidth="1"/>
    <col min="11792" max="11792" width="14.453125" bestFit="1" customWidth="1"/>
    <col min="11793" max="11793" width="10.26953125" bestFit="1" customWidth="1"/>
    <col min="11794" max="11794" width="11.1796875" bestFit="1" customWidth="1"/>
    <col min="11795" max="11795" width="12.81640625" bestFit="1" customWidth="1"/>
    <col min="11796" max="11796" width="3.08984375" bestFit="1" customWidth="1"/>
    <col min="11797" max="11797" width="16.08984375" bestFit="1" customWidth="1"/>
    <col min="11798" max="11798" width="11.54296875" bestFit="1" customWidth="1"/>
    <col min="11799" max="11799" width="15.453125" bestFit="1" customWidth="1"/>
    <col min="11800" max="11801" width="17.08984375" bestFit="1" customWidth="1"/>
    <col min="11802" max="11802" width="21.26953125" bestFit="1" customWidth="1"/>
    <col min="12033" max="12033" width="9.81640625" bestFit="1" customWidth="1"/>
    <col min="12034" max="12034" width="10.26953125" bestFit="1" customWidth="1"/>
    <col min="12035" max="12035" width="11.54296875" bestFit="1" customWidth="1"/>
    <col min="12036" max="12036" width="29.36328125" bestFit="1" customWidth="1"/>
    <col min="12037" max="12037" width="20.36328125" bestFit="1" customWidth="1"/>
    <col min="12038" max="12038" width="22.54296875" bestFit="1" customWidth="1"/>
    <col min="12039" max="12039" width="5.36328125" bestFit="1" customWidth="1"/>
    <col min="12040" max="12040" width="8.08984375" bestFit="1" customWidth="1"/>
    <col min="12041" max="12041" width="13.36328125" bestFit="1" customWidth="1"/>
    <col min="12042" max="12042" width="12.7265625" bestFit="1" customWidth="1"/>
    <col min="12043" max="12044" width="10.7265625" bestFit="1" customWidth="1"/>
    <col min="12045" max="12045" width="15" customWidth="1"/>
    <col min="12046" max="12046" width="34.90625" bestFit="1" customWidth="1"/>
    <col min="12047" max="12047" width="11.81640625" bestFit="1" customWidth="1"/>
    <col min="12048" max="12048" width="14.453125" bestFit="1" customWidth="1"/>
    <col min="12049" max="12049" width="10.26953125" bestFit="1" customWidth="1"/>
    <col min="12050" max="12050" width="11.1796875" bestFit="1" customWidth="1"/>
    <col min="12051" max="12051" width="12.81640625" bestFit="1" customWidth="1"/>
    <col min="12052" max="12052" width="3.08984375" bestFit="1" customWidth="1"/>
    <col min="12053" max="12053" width="16.08984375" bestFit="1" customWidth="1"/>
    <col min="12054" max="12054" width="11.54296875" bestFit="1" customWidth="1"/>
    <col min="12055" max="12055" width="15.453125" bestFit="1" customWidth="1"/>
    <col min="12056" max="12057" width="17.08984375" bestFit="1" customWidth="1"/>
    <col min="12058" max="12058" width="21.26953125" bestFit="1" customWidth="1"/>
    <col min="12289" max="12289" width="9.81640625" bestFit="1" customWidth="1"/>
    <col min="12290" max="12290" width="10.26953125" bestFit="1" customWidth="1"/>
    <col min="12291" max="12291" width="11.54296875" bestFit="1" customWidth="1"/>
    <col min="12292" max="12292" width="29.36328125" bestFit="1" customWidth="1"/>
    <col min="12293" max="12293" width="20.36328125" bestFit="1" customWidth="1"/>
    <col min="12294" max="12294" width="22.54296875" bestFit="1" customWidth="1"/>
    <col min="12295" max="12295" width="5.36328125" bestFit="1" customWidth="1"/>
    <col min="12296" max="12296" width="8.08984375" bestFit="1" customWidth="1"/>
    <col min="12297" max="12297" width="13.36328125" bestFit="1" customWidth="1"/>
    <col min="12298" max="12298" width="12.7265625" bestFit="1" customWidth="1"/>
    <col min="12299" max="12300" width="10.7265625" bestFit="1" customWidth="1"/>
    <col min="12301" max="12301" width="15" customWidth="1"/>
    <col min="12302" max="12302" width="34.90625" bestFit="1" customWidth="1"/>
    <col min="12303" max="12303" width="11.81640625" bestFit="1" customWidth="1"/>
    <col min="12304" max="12304" width="14.453125" bestFit="1" customWidth="1"/>
    <col min="12305" max="12305" width="10.26953125" bestFit="1" customWidth="1"/>
    <col min="12306" max="12306" width="11.1796875" bestFit="1" customWidth="1"/>
    <col min="12307" max="12307" width="12.81640625" bestFit="1" customWidth="1"/>
    <col min="12308" max="12308" width="3.08984375" bestFit="1" customWidth="1"/>
    <col min="12309" max="12309" width="16.08984375" bestFit="1" customWidth="1"/>
    <col min="12310" max="12310" width="11.54296875" bestFit="1" customWidth="1"/>
    <col min="12311" max="12311" width="15.453125" bestFit="1" customWidth="1"/>
    <col min="12312" max="12313" width="17.08984375" bestFit="1" customWidth="1"/>
    <col min="12314" max="12314" width="21.26953125" bestFit="1" customWidth="1"/>
    <col min="12545" max="12545" width="9.81640625" bestFit="1" customWidth="1"/>
    <col min="12546" max="12546" width="10.26953125" bestFit="1" customWidth="1"/>
    <col min="12547" max="12547" width="11.54296875" bestFit="1" customWidth="1"/>
    <col min="12548" max="12548" width="29.36328125" bestFit="1" customWidth="1"/>
    <col min="12549" max="12549" width="20.36328125" bestFit="1" customWidth="1"/>
    <col min="12550" max="12550" width="22.54296875" bestFit="1" customWidth="1"/>
    <col min="12551" max="12551" width="5.36328125" bestFit="1" customWidth="1"/>
    <col min="12552" max="12552" width="8.08984375" bestFit="1" customWidth="1"/>
    <col min="12553" max="12553" width="13.36328125" bestFit="1" customWidth="1"/>
    <col min="12554" max="12554" width="12.7265625" bestFit="1" customWidth="1"/>
    <col min="12555" max="12556" width="10.7265625" bestFit="1" customWidth="1"/>
    <col min="12557" max="12557" width="15" customWidth="1"/>
    <col min="12558" max="12558" width="34.90625" bestFit="1" customWidth="1"/>
    <col min="12559" max="12559" width="11.81640625" bestFit="1" customWidth="1"/>
    <col min="12560" max="12560" width="14.453125" bestFit="1" customWidth="1"/>
    <col min="12561" max="12561" width="10.26953125" bestFit="1" customWidth="1"/>
    <col min="12562" max="12562" width="11.1796875" bestFit="1" customWidth="1"/>
    <col min="12563" max="12563" width="12.81640625" bestFit="1" customWidth="1"/>
    <col min="12564" max="12564" width="3.08984375" bestFit="1" customWidth="1"/>
    <col min="12565" max="12565" width="16.08984375" bestFit="1" customWidth="1"/>
    <col min="12566" max="12566" width="11.54296875" bestFit="1" customWidth="1"/>
    <col min="12567" max="12567" width="15.453125" bestFit="1" customWidth="1"/>
    <col min="12568" max="12569" width="17.08984375" bestFit="1" customWidth="1"/>
    <col min="12570" max="12570" width="21.26953125" bestFit="1" customWidth="1"/>
    <col min="12801" max="12801" width="9.81640625" bestFit="1" customWidth="1"/>
    <col min="12802" max="12802" width="10.26953125" bestFit="1" customWidth="1"/>
    <col min="12803" max="12803" width="11.54296875" bestFit="1" customWidth="1"/>
    <col min="12804" max="12804" width="29.36328125" bestFit="1" customWidth="1"/>
    <col min="12805" max="12805" width="20.36328125" bestFit="1" customWidth="1"/>
    <col min="12806" max="12806" width="22.54296875" bestFit="1" customWidth="1"/>
    <col min="12807" max="12807" width="5.36328125" bestFit="1" customWidth="1"/>
    <col min="12808" max="12808" width="8.08984375" bestFit="1" customWidth="1"/>
    <col min="12809" max="12809" width="13.36328125" bestFit="1" customWidth="1"/>
    <col min="12810" max="12810" width="12.7265625" bestFit="1" customWidth="1"/>
    <col min="12811" max="12812" width="10.7265625" bestFit="1" customWidth="1"/>
    <col min="12813" max="12813" width="15" customWidth="1"/>
    <col min="12814" max="12814" width="34.90625" bestFit="1" customWidth="1"/>
    <col min="12815" max="12815" width="11.81640625" bestFit="1" customWidth="1"/>
    <col min="12816" max="12816" width="14.453125" bestFit="1" customWidth="1"/>
    <col min="12817" max="12817" width="10.26953125" bestFit="1" customWidth="1"/>
    <col min="12818" max="12818" width="11.1796875" bestFit="1" customWidth="1"/>
    <col min="12819" max="12819" width="12.81640625" bestFit="1" customWidth="1"/>
    <col min="12820" max="12820" width="3.08984375" bestFit="1" customWidth="1"/>
    <col min="12821" max="12821" width="16.08984375" bestFit="1" customWidth="1"/>
    <col min="12822" max="12822" width="11.54296875" bestFit="1" customWidth="1"/>
    <col min="12823" max="12823" width="15.453125" bestFit="1" customWidth="1"/>
    <col min="12824" max="12825" width="17.08984375" bestFit="1" customWidth="1"/>
    <col min="12826" max="12826" width="21.26953125" bestFit="1" customWidth="1"/>
    <col min="13057" max="13057" width="9.81640625" bestFit="1" customWidth="1"/>
    <col min="13058" max="13058" width="10.26953125" bestFit="1" customWidth="1"/>
    <col min="13059" max="13059" width="11.54296875" bestFit="1" customWidth="1"/>
    <col min="13060" max="13060" width="29.36328125" bestFit="1" customWidth="1"/>
    <col min="13061" max="13061" width="20.36328125" bestFit="1" customWidth="1"/>
    <col min="13062" max="13062" width="22.54296875" bestFit="1" customWidth="1"/>
    <col min="13063" max="13063" width="5.36328125" bestFit="1" customWidth="1"/>
    <col min="13064" max="13064" width="8.08984375" bestFit="1" customWidth="1"/>
    <col min="13065" max="13065" width="13.36328125" bestFit="1" customWidth="1"/>
    <col min="13066" max="13066" width="12.7265625" bestFit="1" customWidth="1"/>
    <col min="13067" max="13068" width="10.7265625" bestFit="1" customWidth="1"/>
    <col min="13069" max="13069" width="15" customWidth="1"/>
    <col min="13070" max="13070" width="34.90625" bestFit="1" customWidth="1"/>
    <col min="13071" max="13071" width="11.81640625" bestFit="1" customWidth="1"/>
    <col min="13072" max="13072" width="14.453125" bestFit="1" customWidth="1"/>
    <col min="13073" max="13073" width="10.26953125" bestFit="1" customWidth="1"/>
    <col min="13074" max="13074" width="11.1796875" bestFit="1" customWidth="1"/>
    <col min="13075" max="13075" width="12.81640625" bestFit="1" customWidth="1"/>
    <col min="13076" max="13076" width="3.08984375" bestFit="1" customWidth="1"/>
    <col min="13077" max="13077" width="16.08984375" bestFit="1" customWidth="1"/>
    <col min="13078" max="13078" width="11.54296875" bestFit="1" customWidth="1"/>
    <col min="13079" max="13079" width="15.453125" bestFit="1" customWidth="1"/>
    <col min="13080" max="13081" width="17.08984375" bestFit="1" customWidth="1"/>
    <col min="13082" max="13082" width="21.26953125" bestFit="1" customWidth="1"/>
    <col min="13313" max="13313" width="9.81640625" bestFit="1" customWidth="1"/>
    <col min="13314" max="13314" width="10.26953125" bestFit="1" customWidth="1"/>
    <col min="13315" max="13315" width="11.54296875" bestFit="1" customWidth="1"/>
    <col min="13316" max="13316" width="29.36328125" bestFit="1" customWidth="1"/>
    <col min="13317" max="13317" width="20.36328125" bestFit="1" customWidth="1"/>
    <col min="13318" max="13318" width="22.54296875" bestFit="1" customWidth="1"/>
    <col min="13319" max="13319" width="5.36328125" bestFit="1" customWidth="1"/>
    <col min="13320" max="13320" width="8.08984375" bestFit="1" customWidth="1"/>
    <col min="13321" max="13321" width="13.36328125" bestFit="1" customWidth="1"/>
    <col min="13322" max="13322" width="12.7265625" bestFit="1" customWidth="1"/>
    <col min="13323" max="13324" width="10.7265625" bestFit="1" customWidth="1"/>
    <col min="13325" max="13325" width="15" customWidth="1"/>
    <col min="13326" max="13326" width="34.90625" bestFit="1" customWidth="1"/>
    <col min="13327" max="13327" width="11.81640625" bestFit="1" customWidth="1"/>
    <col min="13328" max="13328" width="14.453125" bestFit="1" customWidth="1"/>
    <col min="13329" max="13329" width="10.26953125" bestFit="1" customWidth="1"/>
    <col min="13330" max="13330" width="11.1796875" bestFit="1" customWidth="1"/>
    <col min="13331" max="13331" width="12.81640625" bestFit="1" customWidth="1"/>
    <col min="13332" max="13332" width="3.08984375" bestFit="1" customWidth="1"/>
    <col min="13333" max="13333" width="16.08984375" bestFit="1" customWidth="1"/>
    <col min="13334" max="13334" width="11.54296875" bestFit="1" customWidth="1"/>
    <col min="13335" max="13335" width="15.453125" bestFit="1" customWidth="1"/>
    <col min="13336" max="13337" width="17.08984375" bestFit="1" customWidth="1"/>
    <col min="13338" max="13338" width="21.26953125" bestFit="1" customWidth="1"/>
    <col min="13569" max="13569" width="9.81640625" bestFit="1" customWidth="1"/>
    <col min="13570" max="13570" width="10.26953125" bestFit="1" customWidth="1"/>
    <col min="13571" max="13571" width="11.54296875" bestFit="1" customWidth="1"/>
    <col min="13572" max="13572" width="29.36328125" bestFit="1" customWidth="1"/>
    <col min="13573" max="13573" width="20.36328125" bestFit="1" customWidth="1"/>
    <col min="13574" max="13574" width="22.54296875" bestFit="1" customWidth="1"/>
    <col min="13575" max="13575" width="5.36328125" bestFit="1" customWidth="1"/>
    <col min="13576" max="13576" width="8.08984375" bestFit="1" customWidth="1"/>
    <col min="13577" max="13577" width="13.36328125" bestFit="1" customWidth="1"/>
    <col min="13578" max="13578" width="12.7265625" bestFit="1" customWidth="1"/>
    <col min="13579" max="13580" width="10.7265625" bestFit="1" customWidth="1"/>
    <col min="13581" max="13581" width="15" customWidth="1"/>
    <col min="13582" max="13582" width="34.90625" bestFit="1" customWidth="1"/>
    <col min="13583" max="13583" width="11.81640625" bestFit="1" customWidth="1"/>
    <col min="13584" max="13584" width="14.453125" bestFit="1" customWidth="1"/>
    <col min="13585" max="13585" width="10.26953125" bestFit="1" customWidth="1"/>
    <col min="13586" max="13586" width="11.1796875" bestFit="1" customWidth="1"/>
    <col min="13587" max="13587" width="12.81640625" bestFit="1" customWidth="1"/>
    <col min="13588" max="13588" width="3.08984375" bestFit="1" customWidth="1"/>
    <col min="13589" max="13589" width="16.08984375" bestFit="1" customWidth="1"/>
    <col min="13590" max="13590" width="11.54296875" bestFit="1" customWidth="1"/>
    <col min="13591" max="13591" width="15.453125" bestFit="1" customWidth="1"/>
    <col min="13592" max="13593" width="17.08984375" bestFit="1" customWidth="1"/>
    <col min="13594" max="13594" width="21.26953125" bestFit="1" customWidth="1"/>
    <col min="13825" max="13825" width="9.81640625" bestFit="1" customWidth="1"/>
    <col min="13826" max="13826" width="10.26953125" bestFit="1" customWidth="1"/>
    <col min="13827" max="13827" width="11.54296875" bestFit="1" customWidth="1"/>
    <col min="13828" max="13828" width="29.36328125" bestFit="1" customWidth="1"/>
    <col min="13829" max="13829" width="20.36328125" bestFit="1" customWidth="1"/>
    <col min="13830" max="13830" width="22.54296875" bestFit="1" customWidth="1"/>
    <col min="13831" max="13831" width="5.36328125" bestFit="1" customWidth="1"/>
    <col min="13832" max="13832" width="8.08984375" bestFit="1" customWidth="1"/>
    <col min="13833" max="13833" width="13.36328125" bestFit="1" customWidth="1"/>
    <col min="13834" max="13834" width="12.7265625" bestFit="1" customWidth="1"/>
    <col min="13835" max="13836" width="10.7265625" bestFit="1" customWidth="1"/>
    <col min="13837" max="13837" width="15" customWidth="1"/>
    <col min="13838" max="13838" width="34.90625" bestFit="1" customWidth="1"/>
    <col min="13839" max="13839" width="11.81640625" bestFit="1" customWidth="1"/>
    <col min="13840" max="13840" width="14.453125" bestFit="1" customWidth="1"/>
    <col min="13841" max="13841" width="10.26953125" bestFit="1" customWidth="1"/>
    <col min="13842" max="13842" width="11.1796875" bestFit="1" customWidth="1"/>
    <col min="13843" max="13843" width="12.81640625" bestFit="1" customWidth="1"/>
    <col min="13844" max="13844" width="3.08984375" bestFit="1" customWidth="1"/>
    <col min="13845" max="13845" width="16.08984375" bestFit="1" customWidth="1"/>
    <col min="13846" max="13846" width="11.54296875" bestFit="1" customWidth="1"/>
    <col min="13847" max="13847" width="15.453125" bestFit="1" customWidth="1"/>
    <col min="13848" max="13849" width="17.08984375" bestFit="1" customWidth="1"/>
    <col min="13850" max="13850" width="21.26953125" bestFit="1" customWidth="1"/>
    <col min="14081" max="14081" width="9.81640625" bestFit="1" customWidth="1"/>
    <col min="14082" max="14082" width="10.26953125" bestFit="1" customWidth="1"/>
    <col min="14083" max="14083" width="11.54296875" bestFit="1" customWidth="1"/>
    <col min="14084" max="14084" width="29.36328125" bestFit="1" customWidth="1"/>
    <col min="14085" max="14085" width="20.36328125" bestFit="1" customWidth="1"/>
    <col min="14086" max="14086" width="22.54296875" bestFit="1" customWidth="1"/>
    <col min="14087" max="14087" width="5.36328125" bestFit="1" customWidth="1"/>
    <col min="14088" max="14088" width="8.08984375" bestFit="1" customWidth="1"/>
    <col min="14089" max="14089" width="13.36328125" bestFit="1" customWidth="1"/>
    <col min="14090" max="14090" width="12.7265625" bestFit="1" customWidth="1"/>
    <col min="14091" max="14092" width="10.7265625" bestFit="1" customWidth="1"/>
    <col min="14093" max="14093" width="15" customWidth="1"/>
    <col min="14094" max="14094" width="34.90625" bestFit="1" customWidth="1"/>
    <col min="14095" max="14095" width="11.81640625" bestFit="1" customWidth="1"/>
    <col min="14096" max="14096" width="14.453125" bestFit="1" customWidth="1"/>
    <col min="14097" max="14097" width="10.26953125" bestFit="1" customWidth="1"/>
    <col min="14098" max="14098" width="11.1796875" bestFit="1" customWidth="1"/>
    <col min="14099" max="14099" width="12.81640625" bestFit="1" customWidth="1"/>
    <col min="14100" max="14100" width="3.08984375" bestFit="1" customWidth="1"/>
    <col min="14101" max="14101" width="16.08984375" bestFit="1" customWidth="1"/>
    <col min="14102" max="14102" width="11.54296875" bestFit="1" customWidth="1"/>
    <col min="14103" max="14103" width="15.453125" bestFit="1" customWidth="1"/>
    <col min="14104" max="14105" width="17.08984375" bestFit="1" customWidth="1"/>
    <col min="14106" max="14106" width="21.26953125" bestFit="1" customWidth="1"/>
    <col min="14337" max="14337" width="9.81640625" bestFit="1" customWidth="1"/>
    <col min="14338" max="14338" width="10.26953125" bestFit="1" customWidth="1"/>
    <col min="14339" max="14339" width="11.54296875" bestFit="1" customWidth="1"/>
    <col min="14340" max="14340" width="29.36328125" bestFit="1" customWidth="1"/>
    <col min="14341" max="14341" width="20.36328125" bestFit="1" customWidth="1"/>
    <col min="14342" max="14342" width="22.54296875" bestFit="1" customWidth="1"/>
    <col min="14343" max="14343" width="5.36328125" bestFit="1" customWidth="1"/>
    <col min="14344" max="14344" width="8.08984375" bestFit="1" customWidth="1"/>
    <col min="14345" max="14345" width="13.36328125" bestFit="1" customWidth="1"/>
    <col min="14346" max="14346" width="12.7265625" bestFit="1" customWidth="1"/>
    <col min="14347" max="14348" width="10.7265625" bestFit="1" customWidth="1"/>
    <col min="14349" max="14349" width="15" customWidth="1"/>
    <col min="14350" max="14350" width="34.90625" bestFit="1" customWidth="1"/>
    <col min="14351" max="14351" width="11.81640625" bestFit="1" customWidth="1"/>
    <col min="14352" max="14352" width="14.453125" bestFit="1" customWidth="1"/>
    <col min="14353" max="14353" width="10.26953125" bestFit="1" customWidth="1"/>
    <col min="14354" max="14354" width="11.1796875" bestFit="1" customWidth="1"/>
    <col min="14355" max="14355" width="12.81640625" bestFit="1" customWidth="1"/>
    <col min="14356" max="14356" width="3.08984375" bestFit="1" customWidth="1"/>
    <col min="14357" max="14357" width="16.08984375" bestFit="1" customWidth="1"/>
    <col min="14358" max="14358" width="11.54296875" bestFit="1" customWidth="1"/>
    <col min="14359" max="14359" width="15.453125" bestFit="1" customWidth="1"/>
    <col min="14360" max="14361" width="17.08984375" bestFit="1" customWidth="1"/>
    <col min="14362" max="14362" width="21.26953125" bestFit="1" customWidth="1"/>
    <col min="14593" max="14593" width="9.81640625" bestFit="1" customWidth="1"/>
    <col min="14594" max="14594" width="10.26953125" bestFit="1" customWidth="1"/>
    <col min="14595" max="14595" width="11.54296875" bestFit="1" customWidth="1"/>
    <col min="14596" max="14596" width="29.36328125" bestFit="1" customWidth="1"/>
    <col min="14597" max="14597" width="20.36328125" bestFit="1" customWidth="1"/>
    <col min="14598" max="14598" width="22.54296875" bestFit="1" customWidth="1"/>
    <col min="14599" max="14599" width="5.36328125" bestFit="1" customWidth="1"/>
    <col min="14600" max="14600" width="8.08984375" bestFit="1" customWidth="1"/>
    <col min="14601" max="14601" width="13.36328125" bestFit="1" customWidth="1"/>
    <col min="14602" max="14602" width="12.7265625" bestFit="1" customWidth="1"/>
    <col min="14603" max="14604" width="10.7265625" bestFit="1" customWidth="1"/>
    <col min="14605" max="14605" width="15" customWidth="1"/>
    <col min="14606" max="14606" width="34.90625" bestFit="1" customWidth="1"/>
    <col min="14607" max="14607" width="11.81640625" bestFit="1" customWidth="1"/>
    <col min="14608" max="14608" width="14.453125" bestFit="1" customWidth="1"/>
    <col min="14609" max="14609" width="10.26953125" bestFit="1" customWidth="1"/>
    <col min="14610" max="14610" width="11.1796875" bestFit="1" customWidth="1"/>
    <col min="14611" max="14611" width="12.81640625" bestFit="1" customWidth="1"/>
    <col min="14612" max="14612" width="3.08984375" bestFit="1" customWidth="1"/>
    <col min="14613" max="14613" width="16.08984375" bestFit="1" customWidth="1"/>
    <col min="14614" max="14614" width="11.54296875" bestFit="1" customWidth="1"/>
    <col min="14615" max="14615" width="15.453125" bestFit="1" customWidth="1"/>
    <col min="14616" max="14617" width="17.08984375" bestFit="1" customWidth="1"/>
    <col min="14618" max="14618" width="21.26953125" bestFit="1" customWidth="1"/>
    <col min="14849" max="14849" width="9.81640625" bestFit="1" customWidth="1"/>
    <col min="14850" max="14850" width="10.26953125" bestFit="1" customWidth="1"/>
    <col min="14851" max="14851" width="11.54296875" bestFit="1" customWidth="1"/>
    <col min="14852" max="14852" width="29.36328125" bestFit="1" customWidth="1"/>
    <col min="14853" max="14853" width="20.36328125" bestFit="1" customWidth="1"/>
    <col min="14854" max="14854" width="22.54296875" bestFit="1" customWidth="1"/>
    <col min="14855" max="14855" width="5.36328125" bestFit="1" customWidth="1"/>
    <col min="14856" max="14856" width="8.08984375" bestFit="1" customWidth="1"/>
    <col min="14857" max="14857" width="13.36328125" bestFit="1" customWidth="1"/>
    <col min="14858" max="14858" width="12.7265625" bestFit="1" customWidth="1"/>
    <col min="14859" max="14860" width="10.7265625" bestFit="1" customWidth="1"/>
    <col min="14861" max="14861" width="15" customWidth="1"/>
    <col min="14862" max="14862" width="34.90625" bestFit="1" customWidth="1"/>
    <col min="14863" max="14863" width="11.81640625" bestFit="1" customWidth="1"/>
    <col min="14864" max="14864" width="14.453125" bestFit="1" customWidth="1"/>
    <col min="14865" max="14865" width="10.26953125" bestFit="1" customWidth="1"/>
    <col min="14866" max="14866" width="11.1796875" bestFit="1" customWidth="1"/>
    <col min="14867" max="14867" width="12.81640625" bestFit="1" customWidth="1"/>
    <col min="14868" max="14868" width="3.08984375" bestFit="1" customWidth="1"/>
    <col min="14869" max="14869" width="16.08984375" bestFit="1" customWidth="1"/>
    <col min="14870" max="14870" width="11.54296875" bestFit="1" customWidth="1"/>
    <col min="14871" max="14871" width="15.453125" bestFit="1" customWidth="1"/>
    <col min="14872" max="14873" width="17.08984375" bestFit="1" customWidth="1"/>
    <col min="14874" max="14874" width="21.26953125" bestFit="1" customWidth="1"/>
    <col min="15105" max="15105" width="9.81640625" bestFit="1" customWidth="1"/>
    <col min="15106" max="15106" width="10.26953125" bestFit="1" customWidth="1"/>
    <col min="15107" max="15107" width="11.54296875" bestFit="1" customWidth="1"/>
    <col min="15108" max="15108" width="29.36328125" bestFit="1" customWidth="1"/>
    <col min="15109" max="15109" width="20.36328125" bestFit="1" customWidth="1"/>
    <col min="15110" max="15110" width="22.54296875" bestFit="1" customWidth="1"/>
    <col min="15111" max="15111" width="5.36328125" bestFit="1" customWidth="1"/>
    <col min="15112" max="15112" width="8.08984375" bestFit="1" customWidth="1"/>
    <col min="15113" max="15113" width="13.36328125" bestFit="1" customWidth="1"/>
    <col min="15114" max="15114" width="12.7265625" bestFit="1" customWidth="1"/>
    <col min="15115" max="15116" width="10.7265625" bestFit="1" customWidth="1"/>
    <col min="15117" max="15117" width="15" customWidth="1"/>
    <col min="15118" max="15118" width="34.90625" bestFit="1" customWidth="1"/>
    <col min="15119" max="15119" width="11.81640625" bestFit="1" customWidth="1"/>
    <col min="15120" max="15120" width="14.453125" bestFit="1" customWidth="1"/>
    <col min="15121" max="15121" width="10.26953125" bestFit="1" customWidth="1"/>
    <col min="15122" max="15122" width="11.1796875" bestFit="1" customWidth="1"/>
    <col min="15123" max="15123" width="12.81640625" bestFit="1" customWidth="1"/>
    <col min="15124" max="15124" width="3.08984375" bestFit="1" customWidth="1"/>
    <col min="15125" max="15125" width="16.08984375" bestFit="1" customWidth="1"/>
    <col min="15126" max="15126" width="11.54296875" bestFit="1" customWidth="1"/>
    <col min="15127" max="15127" width="15.453125" bestFit="1" customWidth="1"/>
    <col min="15128" max="15129" width="17.08984375" bestFit="1" customWidth="1"/>
    <col min="15130" max="15130" width="21.26953125" bestFit="1" customWidth="1"/>
    <col min="15361" max="15361" width="9.81640625" bestFit="1" customWidth="1"/>
    <col min="15362" max="15362" width="10.26953125" bestFit="1" customWidth="1"/>
    <col min="15363" max="15363" width="11.54296875" bestFit="1" customWidth="1"/>
    <col min="15364" max="15364" width="29.36328125" bestFit="1" customWidth="1"/>
    <col min="15365" max="15365" width="20.36328125" bestFit="1" customWidth="1"/>
    <col min="15366" max="15366" width="22.54296875" bestFit="1" customWidth="1"/>
    <col min="15367" max="15367" width="5.36328125" bestFit="1" customWidth="1"/>
    <col min="15368" max="15368" width="8.08984375" bestFit="1" customWidth="1"/>
    <col min="15369" max="15369" width="13.36328125" bestFit="1" customWidth="1"/>
    <col min="15370" max="15370" width="12.7265625" bestFit="1" customWidth="1"/>
    <col min="15371" max="15372" width="10.7265625" bestFit="1" customWidth="1"/>
    <col min="15373" max="15373" width="15" customWidth="1"/>
    <col min="15374" max="15374" width="34.90625" bestFit="1" customWidth="1"/>
    <col min="15375" max="15375" width="11.81640625" bestFit="1" customWidth="1"/>
    <col min="15376" max="15376" width="14.453125" bestFit="1" customWidth="1"/>
    <col min="15377" max="15377" width="10.26953125" bestFit="1" customWidth="1"/>
    <col min="15378" max="15378" width="11.1796875" bestFit="1" customWidth="1"/>
    <col min="15379" max="15379" width="12.81640625" bestFit="1" customWidth="1"/>
    <col min="15380" max="15380" width="3.08984375" bestFit="1" customWidth="1"/>
    <col min="15381" max="15381" width="16.08984375" bestFit="1" customWidth="1"/>
    <col min="15382" max="15382" width="11.54296875" bestFit="1" customWidth="1"/>
    <col min="15383" max="15383" width="15.453125" bestFit="1" customWidth="1"/>
    <col min="15384" max="15385" width="17.08984375" bestFit="1" customWidth="1"/>
    <col min="15386" max="15386" width="21.26953125" bestFit="1" customWidth="1"/>
    <col min="15617" max="15617" width="9.81640625" bestFit="1" customWidth="1"/>
    <col min="15618" max="15618" width="10.26953125" bestFit="1" customWidth="1"/>
    <col min="15619" max="15619" width="11.54296875" bestFit="1" customWidth="1"/>
    <col min="15620" max="15620" width="29.36328125" bestFit="1" customWidth="1"/>
    <col min="15621" max="15621" width="20.36328125" bestFit="1" customWidth="1"/>
    <col min="15622" max="15622" width="22.54296875" bestFit="1" customWidth="1"/>
    <col min="15623" max="15623" width="5.36328125" bestFit="1" customWidth="1"/>
    <col min="15624" max="15624" width="8.08984375" bestFit="1" customWidth="1"/>
    <col min="15625" max="15625" width="13.36328125" bestFit="1" customWidth="1"/>
    <col min="15626" max="15626" width="12.7265625" bestFit="1" customWidth="1"/>
    <col min="15627" max="15628" width="10.7265625" bestFit="1" customWidth="1"/>
    <col min="15629" max="15629" width="15" customWidth="1"/>
    <col min="15630" max="15630" width="34.90625" bestFit="1" customWidth="1"/>
    <col min="15631" max="15631" width="11.81640625" bestFit="1" customWidth="1"/>
    <col min="15632" max="15632" width="14.453125" bestFit="1" customWidth="1"/>
    <col min="15633" max="15633" width="10.26953125" bestFit="1" customWidth="1"/>
    <col min="15634" max="15634" width="11.1796875" bestFit="1" customWidth="1"/>
    <col min="15635" max="15635" width="12.81640625" bestFit="1" customWidth="1"/>
    <col min="15636" max="15636" width="3.08984375" bestFit="1" customWidth="1"/>
    <col min="15637" max="15637" width="16.08984375" bestFit="1" customWidth="1"/>
    <col min="15638" max="15638" width="11.54296875" bestFit="1" customWidth="1"/>
    <col min="15639" max="15639" width="15.453125" bestFit="1" customWidth="1"/>
    <col min="15640" max="15641" width="17.08984375" bestFit="1" customWidth="1"/>
    <col min="15642" max="15642" width="21.26953125" bestFit="1" customWidth="1"/>
    <col min="15873" max="15873" width="9.81640625" bestFit="1" customWidth="1"/>
    <col min="15874" max="15874" width="10.26953125" bestFit="1" customWidth="1"/>
    <col min="15875" max="15875" width="11.54296875" bestFit="1" customWidth="1"/>
    <col min="15876" max="15876" width="29.36328125" bestFit="1" customWidth="1"/>
    <col min="15877" max="15877" width="20.36328125" bestFit="1" customWidth="1"/>
    <col min="15878" max="15878" width="22.54296875" bestFit="1" customWidth="1"/>
    <col min="15879" max="15879" width="5.36328125" bestFit="1" customWidth="1"/>
    <col min="15880" max="15880" width="8.08984375" bestFit="1" customWidth="1"/>
    <col min="15881" max="15881" width="13.36328125" bestFit="1" customWidth="1"/>
    <col min="15882" max="15882" width="12.7265625" bestFit="1" customWidth="1"/>
    <col min="15883" max="15884" width="10.7265625" bestFit="1" customWidth="1"/>
    <col min="15885" max="15885" width="15" customWidth="1"/>
    <col min="15886" max="15886" width="34.90625" bestFit="1" customWidth="1"/>
    <col min="15887" max="15887" width="11.81640625" bestFit="1" customWidth="1"/>
    <col min="15888" max="15888" width="14.453125" bestFit="1" customWidth="1"/>
    <col min="15889" max="15889" width="10.26953125" bestFit="1" customWidth="1"/>
    <col min="15890" max="15890" width="11.1796875" bestFit="1" customWidth="1"/>
    <col min="15891" max="15891" width="12.81640625" bestFit="1" customWidth="1"/>
    <col min="15892" max="15892" width="3.08984375" bestFit="1" customWidth="1"/>
    <col min="15893" max="15893" width="16.08984375" bestFit="1" customWidth="1"/>
    <col min="15894" max="15894" width="11.54296875" bestFit="1" customWidth="1"/>
    <col min="15895" max="15895" width="15.453125" bestFit="1" customWidth="1"/>
    <col min="15896" max="15897" width="17.08984375" bestFit="1" customWidth="1"/>
    <col min="15898" max="15898" width="21.26953125" bestFit="1" customWidth="1"/>
    <col min="16129" max="16129" width="9.81640625" bestFit="1" customWidth="1"/>
    <col min="16130" max="16130" width="10.26953125" bestFit="1" customWidth="1"/>
    <col min="16131" max="16131" width="11.54296875" bestFit="1" customWidth="1"/>
    <col min="16132" max="16132" width="29.36328125" bestFit="1" customWidth="1"/>
    <col min="16133" max="16133" width="20.36328125" bestFit="1" customWidth="1"/>
    <col min="16134" max="16134" width="22.54296875" bestFit="1" customWidth="1"/>
    <col min="16135" max="16135" width="5.36328125" bestFit="1" customWidth="1"/>
    <col min="16136" max="16136" width="8.08984375" bestFit="1" customWidth="1"/>
    <col min="16137" max="16137" width="13.36328125" bestFit="1" customWidth="1"/>
    <col min="16138" max="16138" width="12.7265625" bestFit="1" customWidth="1"/>
    <col min="16139" max="16140" width="10.7265625" bestFit="1" customWidth="1"/>
    <col min="16141" max="16141" width="15" customWidth="1"/>
    <col min="16142" max="16142" width="34.90625" bestFit="1" customWidth="1"/>
    <col min="16143" max="16143" width="11.81640625" bestFit="1" customWidth="1"/>
    <col min="16144" max="16144" width="14.453125" bestFit="1" customWidth="1"/>
    <col min="16145" max="16145" width="10.26953125" bestFit="1" customWidth="1"/>
    <col min="16146" max="16146" width="11.1796875" bestFit="1" customWidth="1"/>
    <col min="16147" max="16147" width="12.81640625" bestFit="1" customWidth="1"/>
    <col min="16148" max="16148" width="3.08984375" bestFit="1" customWidth="1"/>
    <col min="16149" max="16149" width="16.08984375" bestFit="1" customWidth="1"/>
    <col min="16150" max="16150" width="11.54296875" bestFit="1" customWidth="1"/>
    <col min="16151" max="16151" width="15.453125" bestFit="1" customWidth="1"/>
    <col min="16152" max="16153" width="17.08984375" bestFit="1" customWidth="1"/>
    <col min="16154" max="16154" width="21.26953125" bestFit="1" customWidth="1"/>
  </cols>
  <sheetData>
    <row r="1" spans="1:26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  <c r="Z1" s="4"/>
    </row>
    <row r="2" spans="1:26" x14ac:dyDescent="0.3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  <c r="Z2" s="5"/>
    </row>
    <row r="3" spans="1:26" x14ac:dyDescent="0.3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  <c r="K3" s="6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6" t="s">
        <v>16</v>
      </c>
      <c r="Q3" s="6" t="s">
        <v>17</v>
      </c>
      <c r="R3" s="6" t="s">
        <v>18</v>
      </c>
      <c r="S3" s="6" t="s">
        <v>19</v>
      </c>
      <c r="T3" s="6" t="s">
        <v>20</v>
      </c>
      <c r="U3" s="6" t="s">
        <v>21</v>
      </c>
      <c r="V3" s="6" t="s">
        <v>22</v>
      </c>
      <c r="W3" s="6" t="s">
        <v>23</v>
      </c>
      <c r="X3" s="6" t="s">
        <v>24</v>
      </c>
      <c r="Y3" s="6" t="s">
        <v>25</v>
      </c>
      <c r="Z3" s="6" t="s">
        <v>26</v>
      </c>
    </row>
    <row r="4" spans="1:26" x14ac:dyDescent="0.35">
      <c r="A4" s="7" t="s">
        <v>27</v>
      </c>
      <c r="B4" s="7" t="s">
        <v>36</v>
      </c>
      <c r="C4" s="7" t="s">
        <v>47</v>
      </c>
      <c r="D4" s="7" t="s">
        <v>48</v>
      </c>
      <c r="E4" s="7" t="s">
        <v>43</v>
      </c>
      <c r="F4" s="7" t="s">
        <v>43</v>
      </c>
      <c r="G4" s="7">
        <v>2021</v>
      </c>
      <c r="H4" s="7" t="str">
        <f>CONCATENATE("14240483033")</f>
        <v>14240483033</v>
      </c>
      <c r="I4" s="7" t="s">
        <v>40</v>
      </c>
      <c r="J4" s="7" t="s">
        <v>31</v>
      </c>
      <c r="K4" s="7" t="str">
        <f>CONCATENATE("")</f>
        <v/>
      </c>
      <c r="L4" s="7" t="str">
        <f>CONCATENATE("10 10.1 4a")</f>
        <v>10 10.1 4a</v>
      </c>
      <c r="M4" s="7" t="str">
        <f>CONCATENATE("SCLRRT58P14D024H")</f>
        <v>SCLRRT58P14D024H</v>
      </c>
      <c r="N4" s="7" t="s">
        <v>49</v>
      </c>
      <c r="O4" s="7" t="s">
        <v>50</v>
      </c>
      <c r="P4" s="8">
        <v>44700</v>
      </c>
      <c r="Q4" s="7" t="s">
        <v>32</v>
      </c>
      <c r="R4" s="7" t="s">
        <v>33</v>
      </c>
      <c r="S4" s="7" t="s">
        <v>34</v>
      </c>
      <c r="T4" s="7"/>
      <c r="U4" s="7" t="s">
        <v>35</v>
      </c>
      <c r="V4" s="9">
        <v>2185.7800000000002</v>
      </c>
      <c r="W4" s="7">
        <v>942.51</v>
      </c>
      <c r="X4" s="7">
        <v>870.38</v>
      </c>
      <c r="Y4" s="7">
        <v>0</v>
      </c>
      <c r="Z4" s="7">
        <v>372.89</v>
      </c>
    </row>
    <row r="5" spans="1:26" x14ac:dyDescent="0.35">
      <c r="A5" s="7" t="s">
        <v>27</v>
      </c>
      <c r="B5" s="7" t="s">
        <v>36</v>
      </c>
      <c r="C5" s="7" t="s">
        <v>47</v>
      </c>
      <c r="D5" s="7" t="s">
        <v>48</v>
      </c>
      <c r="E5" s="7" t="s">
        <v>43</v>
      </c>
      <c r="F5" s="7" t="s">
        <v>43</v>
      </c>
      <c r="G5" s="7">
        <v>2021</v>
      </c>
      <c r="H5" s="7" t="str">
        <f>CONCATENATE("14240485848")</f>
        <v>14240485848</v>
      </c>
      <c r="I5" s="7" t="s">
        <v>40</v>
      </c>
      <c r="J5" s="7" t="s">
        <v>31</v>
      </c>
      <c r="K5" s="7" t="str">
        <f>CONCATENATE("")</f>
        <v/>
      </c>
      <c r="L5" s="7" t="str">
        <f>CONCATENATE("10 10.1 4a")</f>
        <v>10 10.1 4a</v>
      </c>
      <c r="M5" s="7" t="str">
        <f>CONCATENATE("SCLRRT58P14D024H")</f>
        <v>SCLRRT58P14D024H</v>
      </c>
      <c r="N5" s="7" t="s">
        <v>49</v>
      </c>
      <c r="O5" s="7" t="s">
        <v>50</v>
      </c>
      <c r="P5" s="8">
        <v>44700</v>
      </c>
      <c r="Q5" s="7" t="s">
        <v>32</v>
      </c>
      <c r="R5" s="7" t="s">
        <v>33</v>
      </c>
      <c r="S5" s="7" t="s">
        <v>34</v>
      </c>
      <c r="T5" s="7"/>
      <c r="U5" s="7" t="s">
        <v>35</v>
      </c>
      <c r="V5" s="9">
        <v>1122.69</v>
      </c>
      <c r="W5" s="7">
        <v>484.1</v>
      </c>
      <c r="X5" s="7">
        <v>447.06</v>
      </c>
      <c r="Y5" s="7">
        <v>0</v>
      </c>
      <c r="Z5" s="7">
        <v>191.53</v>
      </c>
    </row>
    <row r="6" spans="1:26" x14ac:dyDescent="0.35">
      <c r="A6" s="7" t="s">
        <v>27</v>
      </c>
      <c r="B6" s="7" t="s">
        <v>36</v>
      </c>
      <c r="C6" s="7" t="s">
        <v>47</v>
      </c>
      <c r="D6" s="7" t="s">
        <v>51</v>
      </c>
      <c r="E6" s="7" t="s">
        <v>39</v>
      </c>
      <c r="F6" s="7" t="s">
        <v>52</v>
      </c>
      <c r="G6" s="7">
        <v>2021</v>
      </c>
      <c r="H6" s="7" t="str">
        <f>CONCATENATE("14240554882")</f>
        <v>14240554882</v>
      </c>
      <c r="I6" s="7" t="s">
        <v>40</v>
      </c>
      <c r="J6" s="7" t="s">
        <v>31</v>
      </c>
      <c r="K6" s="7" t="str">
        <f>CONCATENATE("")</f>
        <v/>
      </c>
      <c r="L6" s="7" t="str">
        <f>CONCATENATE("10 10.1 4a")</f>
        <v>10 10.1 4a</v>
      </c>
      <c r="M6" s="7" t="str">
        <f>CONCATENATE("TRNDNL94R03I608L")</f>
        <v>TRNDNL94R03I608L</v>
      </c>
      <c r="N6" s="7" t="s">
        <v>53</v>
      </c>
      <c r="O6" s="7" t="s">
        <v>50</v>
      </c>
      <c r="P6" s="8">
        <v>44700</v>
      </c>
      <c r="Q6" s="7" t="s">
        <v>32</v>
      </c>
      <c r="R6" s="7" t="s">
        <v>33</v>
      </c>
      <c r="S6" s="7" t="s">
        <v>34</v>
      </c>
      <c r="T6" s="7"/>
      <c r="U6" s="7" t="s">
        <v>35</v>
      </c>
      <c r="V6" s="7">
        <v>450.03</v>
      </c>
      <c r="W6" s="7">
        <v>194.05</v>
      </c>
      <c r="X6" s="7">
        <v>179.2</v>
      </c>
      <c r="Y6" s="7">
        <v>0</v>
      </c>
      <c r="Z6" s="7">
        <v>76.78</v>
      </c>
    </row>
    <row r="7" spans="1:26" x14ac:dyDescent="0.35">
      <c r="A7" s="7" t="s">
        <v>27</v>
      </c>
      <c r="B7" s="7" t="s">
        <v>36</v>
      </c>
      <c r="C7" s="7" t="s">
        <v>47</v>
      </c>
      <c r="D7" s="7" t="s">
        <v>51</v>
      </c>
      <c r="E7" s="7" t="s">
        <v>39</v>
      </c>
      <c r="F7" s="7" t="s">
        <v>54</v>
      </c>
      <c r="G7" s="7">
        <v>2021</v>
      </c>
      <c r="H7" s="7" t="str">
        <f>CONCATENATE("14240801788")</f>
        <v>14240801788</v>
      </c>
      <c r="I7" s="7" t="s">
        <v>30</v>
      </c>
      <c r="J7" s="7" t="s">
        <v>31</v>
      </c>
      <c r="K7" s="7" t="str">
        <f>CONCATENATE("")</f>
        <v/>
      </c>
      <c r="L7" s="7" t="str">
        <f>CONCATENATE("10 10.1 4b")</f>
        <v>10 10.1 4b</v>
      </c>
      <c r="M7" s="7" t="str">
        <f>CONCATENATE("BLTDEI56T01Z103G")</f>
        <v>BLTDEI56T01Z103G</v>
      </c>
      <c r="N7" s="7" t="s">
        <v>55</v>
      </c>
      <c r="O7" s="7" t="s">
        <v>50</v>
      </c>
      <c r="P7" s="8">
        <v>44700</v>
      </c>
      <c r="Q7" s="7" t="s">
        <v>32</v>
      </c>
      <c r="R7" s="7" t="s">
        <v>33</v>
      </c>
      <c r="S7" s="7" t="s">
        <v>34</v>
      </c>
      <c r="T7" s="7"/>
      <c r="U7" s="7" t="s">
        <v>35</v>
      </c>
      <c r="V7" s="9">
        <v>2779.69</v>
      </c>
      <c r="W7" s="9">
        <v>1198.5999999999999</v>
      </c>
      <c r="X7" s="9">
        <v>1106.8699999999999</v>
      </c>
      <c r="Y7" s="7">
        <v>0</v>
      </c>
      <c r="Z7" s="7">
        <v>474.22</v>
      </c>
    </row>
    <row r="8" spans="1:26" x14ac:dyDescent="0.35">
      <c r="A8" s="7" t="s">
        <v>27</v>
      </c>
      <c r="B8" s="7" t="s">
        <v>36</v>
      </c>
      <c r="C8" s="7" t="s">
        <v>47</v>
      </c>
      <c r="D8" s="7" t="s">
        <v>48</v>
      </c>
      <c r="E8" s="7" t="s">
        <v>43</v>
      </c>
      <c r="F8" s="7" t="s">
        <v>43</v>
      </c>
      <c r="G8" s="7">
        <v>2021</v>
      </c>
      <c r="H8" s="7" t="str">
        <f>CONCATENATE("14240871112")</f>
        <v>14240871112</v>
      </c>
      <c r="I8" s="7" t="s">
        <v>40</v>
      </c>
      <c r="J8" s="7" t="s">
        <v>31</v>
      </c>
      <c r="K8" s="7" t="str">
        <f>CONCATENATE("")</f>
        <v/>
      </c>
      <c r="L8" s="7" t="str">
        <f>CONCATENATE("10 10.1 4a")</f>
        <v>10 10.1 4a</v>
      </c>
      <c r="M8" s="7" t="str">
        <f>CONCATENATE("SCLMRC88D03D024S")</f>
        <v>SCLMRC88D03D024S</v>
      </c>
      <c r="N8" s="7" t="s">
        <v>56</v>
      </c>
      <c r="O8" s="7" t="s">
        <v>50</v>
      </c>
      <c r="P8" s="8">
        <v>44700</v>
      </c>
      <c r="Q8" s="7" t="s">
        <v>32</v>
      </c>
      <c r="R8" s="7" t="s">
        <v>33</v>
      </c>
      <c r="S8" s="7" t="s">
        <v>34</v>
      </c>
      <c r="T8" s="7"/>
      <c r="U8" s="7" t="s">
        <v>35</v>
      </c>
      <c r="V8" s="9">
        <v>1611.25</v>
      </c>
      <c r="W8" s="7">
        <v>694.77</v>
      </c>
      <c r="X8" s="7">
        <v>641.6</v>
      </c>
      <c r="Y8" s="7">
        <v>0</v>
      </c>
      <c r="Z8" s="7">
        <v>274.88</v>
      </c>
    </row>
    <row r="9" spans="1:26" x14ac:dyDescent="0.35">
      <c r="A9" s="7" t="s">
        <v>27</v>
      </c>
      <c r="B9" s="7" t="s">
        <v>36</v>
      </c>
      <c r="C9" s="7" t="s">
        <v>47</v>
      </c>
      <c r="D9" s="7" t="s">
        <v>48</v>
      </c>
      <c r="E9" s="7" t="s">
        <v>43</v>
      </c>
      <c r="F9" s="7" t="s">
        <v>43</v>
      </c>
      <c r="G9" s="7">
        <v>2021</v>
      </c>
      <c r="H9" s="7" t="str">
        <f>CONCATENATE("14240871278")</f>
        <v>14240871278</v>
      </c>
      <c r="I9" s="7" t="s">
        <v>40</v>
      </c>
      <c r="J9" s="7" t="s">
        <v>31</v>
      </c>
      <c r="K9" s="7" t="str">
        <f>CONCATENATE("")</f>
        <v/>
      </c>
      <c r="L9" s="7" t="str">
        <f>CONCATENATE("10 10.1 4a")</f>
        <v>10 10.1 4a</v>
      </c>
      <c r="M9" s="7" t="str">
        <f>CONCATENATE("SCLMRC88D03D024S")</f>
        <v>SCLMRC88D03D024S</v>
      </c>
      <c r="N9" s="7" t="s">
        <v>56</v>
      </c>
      <c r="O9" s="7" t="s">
        <v>50</v>
      </c>
      <c r="P9" s="8">
        <v>44700</v>
      </c>
      <c r="Q9" s="7" t="s">
        <v>32</v>
      </c>
      <c r="R9" s="7" t="s">
        <v>33</v>
      </c>
      <c r="S9" s="7" t="s">
        <v>34</v>
      </c>
      <c r="T9" s="7"/>
      <c r="U9" s="7" t="s">
        <v>35</v>
      </c>
      <c r="V9" s="9">
        <v>4147.49</v>
      </c>
      <c r="W9" s="9">
        <v>1788.4</v>
      </c>
      <c r="X9" s="9">
        <v>1651.53</v>
      </c>
      <c r="Y9" s="7">
        <v>0</v>
      </c>
      <c r="Z9" s="7">
        <v>707.56</v>
      </c>
    </row>
    <row r="10" spans="1:26" x14ac:dyDescent="0.35">
      <c r="A10" s="7" t="s">
        <v>27</v>
      </c>
      <c r="B10" s="7" t="s">
        <v>36</v>
      </c>
      <c r="C10" s="7" t="s">
        <v>47</v>
      </c>
      <c r="D10" s="7" t="s">
        <v>48</v>
      </c>
      <c r="E10" s="7" t="s">
        <v>38</v>
      </c>
      <c r="F10" s="7" t="s">
        <v>57</v>
      </c>
      <c r="G10" s="7">
        <v>2021</v>
      </c>
      <c r="H10" s="7" t="str">
        <f>CONCATENATE("14240711367")</f>
        <v>14240711367</v>
      </c>
      <c r="I10" s="7" t="s">
        <v>40</v>
      </c>
      <c r="J10" s="7" t="s">
        <v>31</v>
      </c>
      <c r="K10" s="7" t="str">
        <f>CONCATENATE("")</f>
        <v/>
      </c>
      <c r="L10" s="7" t="str">
        <f>CONCATENATE("10 10.1 4a")</f>
        <v>10 10.1 4a</v>
      </c>
      <c r="M10" s="7" t="str">
        <f>CONCATENATE("SBRLBR49L31B474W")</f>
        <v>SBRLBR49L31B474W</v>
      </c>
      <c r="N10" s="7" t="s">
        <v>58</v>
      </c>
      <c r="O10" s="7" t="s">
        <v>50</v>
      </c>
      <c r="P10" s="8">
        <v>44700</v>
      </c>
      <c r="Q10" s="7" t="s">
        <v>32</v>
      </c>
      <c r="R10" s="7" t="s">
        <v>33</v>
      </c>
      <c r="S10" s="7" t="s">
        <v>34</v>
      </c>
      <c r="T10" s="7"/>
      <c r="U10" s="7" t="s">
        <v>35</v>
      </c>
      <c r="V10" s="9">
        <v>1380.23</v>
      </c>
      <c r="W10" s="7">
        <v>595.16</v>
      </c>
      <c r="X10" s="7">
        <v>549.61</v>
      </c>
      <c r="Y10" s="7">
        <v>0</v>
      </c>
      <c r="Z10" s="7">
        <v>235.46</v>
      </c>
    </row>
    <row r="11" spans="1:26" x14ac:dyDescent="0.35">
      <c r="A11" s="7" t="s">
        <v>27</v>
      </c>
      <c r="B11" s="7" t="s">
        <v>36</v>
      </c>
      <c r="C11" s="7" t="s">
        <v>47</v>
      </c>
      <c r="D11" s="7" t="s">
        <v>48</v>
      </c>
      <c r="E11" s="7" t="s">
        <v>29</v>
      </c>
      <c r="F11" s="7" t="s">
        <v>59</v>
      </c>
      <c r="G11" s="7">
        <v>2021</v>
      </c>
      <c r="H11" s="7" t="str">
        <f>CONCATENATE("14240473950")</f>
        <v>14240473950</v>
      </c>
      <c r="I11" s="7" t="s">
        <v>40</v>
      </c>
      <c r="J11" s="7" t="s">
        <v>31</v>
      </c>
      <c r="K11" s="7" t="str">
        <f>CONCATENATE("")</f>
        <v/>
      </c>
      <c r="L11" s="7" t="str">
        <f>CONCATENATE("10 10.1 4a")</f>
        <v>10 10.1 4a</v>
      </c>
      <c r="M11" s="7" t="str">
        <f>CONCATENATE("MGGNZR49E24I661D")</f>
        <v>MGGNZR49E24I661D</v>
      </c>
      <c r="N11" s="7" t="s">
        <v>60</v>
      </c>
      <c r="O11" s="7" t="s">
        <v>50</v>
      </c>
      <c r="P11" s="8">
        <v>44700</v>
      </c>
      <c r="Q11" s="7" t="s">
        <v>32</v>
      </c>
      <c r="R11" s="7" t="s">
        <v>33</v>
      </c>
      <c r="S11" s="7" t="s">
        <v>34</v>
      </c>
      <c r="T11" s="7"/>
      <c r="U11" s="7" t="s">
        <v>35</v>
      </c>
      <c r="V11" s="7">
        <v>826.66</v>
      </c>
      <c r="W11" s="7">
        <v>356.46</v>
      </c>
      <c r="X11" s="7">
        <v>329.18</v>
      </c>
      <c r="Y11" s="7">
        <v>0</v>
      </c>
      <c r="Z11" s="7">
        <v>141.02000000000001</v>
      </c>
    </row>
    <row r="12" spans="1:26" x14ac:dyDescent="0.35">
      <c r="A12" s="7" t="s">
        <v>27</v>
      </c>
      <c r="B12" s="7" t="s">
        <v>36</v>
      </c>
      <c r="C12" s="7" t="s">
        <v>47</v>
      </c>
      <c r="D12" s="7" t="s">
        <v>48</v>
      </c>
      <c r="E12" s="7" t="s">
        <v>43</v>
      </c>
      <c r="F12" s="7" t="s">
        <v>43</v>
      </c>
      <c r="G12" s="7">
        <v>2021</v>
      </c>
      <c r="H12" s="7" t="str">
        <f>CONCATENATE("14241228676")</f>
        <v>14241228676</v>
      </c>
      <c r="I12" s="7" t="s">
        <v>40</v>
      </c>
      <c r="J12" s="7" t="s">
        <v>31</v>
      </c>
      <c r="K12" s="7" t="str">
        <f>CONCATENATE("")</f>
        <v/>
      </c>
      <c r="L12" s="7" t="str">
        <f>CONCATENATE("10 10.1 4a")</f>
        <v>10 10.1 4a</v>
      </c>
      <c r="M12" s="7" t="str">
        <f>CONCATENATE("01297880435")</f>
        <v>01297880435</v>
      </c>
      <c r="N12" s="7" t="s">
        <v>61</v>
      </c>
      <c r="O12" s="7" t="s">
        <v>50</v>
      </c>
      <c r="P12" s="8">
        <v>44700</v>
      </c>
      <c r="Q12" s="7" t="s">
        <v>32</v>
      </c>
      <c r="R12" s="7" t="s">
        <v>33</v>
      </c>
      <c r="S12" s="7" t="s">
        <v>34</v>
      </c>
      <c r="T12" s="7"/>
      <c r="U12" s="7" t="s">
        <v>35</v>
      </c>
      <c r="V12" s="9">
        <v>9180.33</v>
      </c>
      <c r="W12" s="9">
        <v>3958.56</v>
      </c>
      <c r="X12" s="9">
        <v>3655.61</v>
      </c>
      <c r="Y12" s="7">
        <v>0</v>
      </c>
      <c r="Z12" s="9">
        <v>1566.16</v>
      </c>
    </row>
    <row r="13" spans="1:26" x14ac:dyDescent="0.35">
      <c r="A13" s="7" t="s">
        <v>27</v>
      </c>
      <c r="B13" s="7" t="s">
        <v>36</v>
      </c>
      <c r="C13" s="7" t="s">
        <v>47</v>
      </c>
      <c r="D13" s="7" t="s">
        <v>62</v>
      </c>
      <c r="E13" s="7" t="s">
        <v>39</v>
      </c>
      <c r="F13" s="7" t="s">
        <v>63</v>
      </c>
      <c r="G13" s="7">
        <v>2021</v>
      </c>
      <c r="H13" s="7" t="str">
        <f>CONCATENATE("14240089244")</f>
        <v>14240089244</v>
      </c>
      <c r="I13" s="7" t="s">
        <v>30</v>
      </c>
      <c r="J13" s="7" t="s">
        <v>31</v>
      </c>
      <c r="K13" s="7" t="str">
        <f>CONCATENATE("")</f>
        <v/>
      </c>
      <c r="L13" s="7" t="str">
        <f>CONCATENATE("10 10.1 4a")</f>
        <v>10 10.1 4a</v>
      </c>
      <c r="M13" s="7" t="str">
        <f>CONCATENATE("MRTSNT80P45E388B")</f>
        <v>MRTSNT80P45E388B</v>
      </c>
      <c r="N13" s="7" t="s">
        <v>64</v>
      </c>
      <c r="O13" s="7" t="s">
        <v>50</v>
      </c>
      <c r="P13" s="8">
        <v>44700</v>
      </c>
      <c r="Q13" s="7" t="s">
        <v>32</v>
      </c>
      <c r="R13" s="7" t="s">
        <v>33</v>
      </c>
      <c r="S13" s="7" t="s">
        <v>34</v>
      </c>
      <c r="T13" s="7"/>
      <c r="U13" s="7" t="s">
        <v>35</v>
      </c>
      <c r="V13" s="7">
        <v>167.04</v>
      </c>
      <c r="W13" s="7">
        <v>72.03</v>
      </c>
      <c r="X13" s="7">
        <v>66.52</v>
      </c>
      <c r="Y13" s="7">
        <v>0</v>
      </c>
      <c r="Z13" s="7">
        <v>28.49</v>
      </c>
    </row>
    <row r="14" spans="1:26" x14ac:dyDescent="0.35">
      <c r="A14" s="7" t="s">
        <v>27</v>
      </c>
      <c r="B14" s="7" t="s">
        <v>36</v>
      </c>
      <c r="C14" s="7" t="s">
        <v>47</v>
      </c>
      <c r="D14" s="7" t="s">
        <v>48</v>
      </c>
      <c r="E14" s="7" t="s">
        <v>42</v>
      </c>
      <c r="F14" s="7" t="s">
        <v>65</v>
      </c>
      <c r="G14" s="7">
        <v>2021</v>
      </c>
      <c r="H14" s="7" t="str">
        <f>CONCATENATE("14240866492")</f>
        <v>14240866492</v>
      </c>
      <c r="I14" s="7" t="s">
        <v>40</v>
      </c>
      <c r="J14" s="7" t="s">
        <v>31</v>
      </c>
      <c r="K14" s="7" t="str">
        <f>CONCATENATE("")</f>
        <v/>
      </c>
      <c r="L14" s="7" t="str">
        <f>CONCATENATE("10 10.1 4a")</f>
        <v>10 10.1 4a</v>
      </c>
      <c r="M14" s="7" t="str">
        <f>CONCATENATE("SBBMTT98H09G478K")</f>
        <v>SBBMTT98H09G478K</v>
      </c>
      <c r="N14" s="7" t="s">
        <v>66</v>
      </c>
      <c r="O14" s="7" t="s">
        <v>50</v>
      </c>
      <c r="P14" s="8">
        <v>44700</v>
      </c>
      <c r="Q14" s="7" t="s">
        <v>32</v>
      </c>
      <c r="R14" s="7" t="s">
        <v>33</v>
      </c>
      <c r="S14" s="7" t="s">
        <v>34</v>
      </c>
      <c r="T14" s="7"/>
      <c r="U14" s="7" t="s">
        <v>35</v>
      </c>
      <c r="V14" s="7">
        <v>708.26</v>
      </c>
      <c r="W14" s="7">
        <v>305.39999999999998</v>
      </c>
      <c r="X14" s="7">
        <v>282.02999999999997</v>
      </c>
      <c r="Y14" s="7">
        <v>0</v>
      </c>
      <c r="Z14" s="7">
        <v>120.83</v>
      </c>
    </row>
    <row r="15" spans="1:26" x14ac:dyDescent="0.35">
      <c r="A15" s="7" t="s">
        <v>27</v>
      </c>
      <c r="B15" s="7" t="s">
        <v>36</v>
      </c>
      <c r="C15" s="7" t="s">
        <v>47</v>
      </c>
      <c r="D15" s="7" t="s">
        <v>48</v>
      </c>
      <c r="E15" s="7" t="s">
        <v>42</v>
      </c>
      <c r="F15" s="7" t="s">
        <v>65</v>
      </c>
      <c r="G15" s="7">
        <v>2021</v>
      </c>
      <c r="H15" s="7" t="str">
        <f>CONCATENATE("14240867060")</f>
        <v>14240867060</v>
      </c>
      <c r="I15" s="7" t="s">
        <v>40</v>
      </c>
      <c r="J15" s="7" t="s">
        <v>31</v>
      </c>
      <c r="K15" s="7" t="str">
        <f>CONCATENATE("")</f>
        <v/>
      </c>
      <c r="L15" s="7" t="str">
        <f>CONCATENATE("10 10.1 4a")</f>
        <v>10 10.1 4a</v>
      </c>
      <c r="M15" s="7" t="str">
        <f>CONCATENATE("SBBMTT98H09G478K")</f>
        <v>SBBMTT98H09G478K</v>
      </c>
      <c r="N15" s="7" t="s">
        <v>66</v>
      </c>
      <c r="O15" s="7" t="s">
        <v>50</v>
      </c>
      <c r="P15" s="8">
        <v>44700</v>
      </c>
      <c r="Q15" s="7" t="s">
        <v>32</v>
      </c>
      <c r="R15" s="7" t="s">
        <v>33</v>
      </c>
      <c r="S15" s="7" t="s">
        <v>34</v>
      </c>
      <c r="T15" s="7"/>
      <c r="U15" s="7" t="s">
        <v>35</v>
      </c>
      <c r="V15" s="7">
        <v>764.83</v>
      </c>
      <c r="W15" s="7">
        <v>329.79</v>
      </c>
      <c r="X15" s="7">
        <v>304.56</v>
      </c>
      <c r="Y15" s="7">
        <v>0</v>
      </c>
      <c r="Z15" s="7">
        <v>130.47999999999999</v>
      </c>
    </row>
    <row r="16" spans="1:26" x14ac:dyDescent="0.35">
      <c r="A16" s="7" t="s">
        <v>27</v>
      </c>
      <c r="B16" s="7" t="s">
        <v>36</v>
      </c>
      <c r="C16" s="7" t="s">
        <v>47</v>
      </c>
      <c r="D16" s="7" t="s">
        <v>48</v>
      </c>
      <c r="E16" s="7" t="s">
        <v>38</v>
      </c>
      <c r="F16" s="7" t="s">
        <v>57</v>
      </c>
      <c r="G16" s="7">
        <v>2021</v>
      </c>
      <c r="H16" s="7" t="str">
        <f>CONCATENATE("14240706813")</f>
        <v>14240706813</v>
      </c>
      <c r="I16" s="7" t="s">
        <v>40</v>
      </c>
      <c r="J16" s="7" t="s">
        <v>31</v>
      </c>
      <c r="K16" s="7" t="str">
        <f>CONCATENATE("")</f>
        <v/>
      </c>
      <c r="L16" s="7" t="str">
        <f>CONCATENATE("10 10.1 4a")</f>
        <v>10 10.1 4a</v>
      </c>
      <c r="M16" s="7" t="str">
        <f>CONCATENATE("CPTGRG77S13B474U")</f>
        <v>CPTGRG77S13B474U</v>
      </c>
      <c r="N16" s="7" t="s">
        <v>67</v>
      </c>
      <c r="O16" s="7" t="s">
        <v>50</v>
      </c>
      <c r="P16" s="8">
        <v>44700</v>
      </c>
      <c r="Q16" s="7" t="s">
        <v>32</v>
      </c>
      <c r="R16" s="7" t="s">
        <v>33</v>
      </c>
      <c r="S16" s="7" t="s">
        <v>34</v>
      </c>
      <c r="T16" s="7"/>
      <c r="U16" s="7" t="s">
        <v>35</v>
      </c>
      <c r="V16" s="7">
        <v>172.19</v>
      </c>
      <c r="W16" s="7">
        <v>74.25</v>
      </c>
      <c r="X16" s="7">
        <v>68.569999999999993</v>
      </c>
      <c r="Y16" s="7">
        <v>0</v>
      </c>
      <c r="Z16" s="7">
        <v>29.37</v>
      </c>
    </row>
    <row r="17" spans="1:26" x14ac:dyDescent="0.35">
      <c r="A17" s="7" t="s">
        <v>27</v>
      </c>
      <c r="B17" s="7" t="s">
        <v>36</v>
      </c>
      <c r="C17" s="7" t="s">
        <v>47</v>
      </c>
      <c r="D17" s="7" t="s">
        <v>48</v>
      </c>
      <c r="E17" s="7" t="s">
        <v>38</v>
      </c>
      <c r="F17" s="7" t="s">
        <v>57</v>
      </c>
      <c r="G17" s="7">
        <v>2021</v>
      </c>
      <c r="H17" s="7" t="str">
        <f>CONCATENATE("14241377705")</f>
        <v>14241377705</v>
      </c>
      <c r="I17" s="7" t="s">
        <v>40</v>
      </c>
      <c r="J17" s="7" t="s">
        <v>31</v>
      </c>
      <c r="K17" s="7" t="str">
        <f>CONCATENATE("")</f>
        <v/>
      </c>
      <c r="L17" s="7" t="str">
        <f>CONCATENATE("10 10.1 4a")</f>
        <v>10 10.1 4a</v>
      </c>
      <c r="M17" s="7" t="str">
        <f>CONCATENATE("PSLLSE01S52I156A")</f>
        <v>PSLLSE01S52I156A</v>
      </c>
      <c r="N17" s="7" t="s">
        <v>68</v>
      </c>
      <c r="O17" s="7" t="s">
        <v>50</v>
      </c>
      <c r="P17" s="8">
        <v>44700</v>
      </c>
      <c r="Q17" s="7" t="s">
        <v>32</v>
      </c>
      <c r="R17" s="7" t="s">
        <v>33</v>
      </c>
      <c r="S17" s="7" t="s">
        <v>34</v>
      </c>
      <c r="T17" s="7"/>
      <c r="U17" s="7" t="s">
        <v>35</v>
      </c>
      <c r="V17" s="7">
        <v>300.88</v>
      </c>
      <c r="W17" s="7">
        <v>129.74</v>
      </c>
      <c r="X17" s="7">
        <v>119.81</v>
      </c>
      <c r="Y17" s="7">
        <v>0</v>
      </c>
      <c r="Z17" s="7">
        <v>51.33</v>
      </c>
    </row>
    <row r="18" spans="1:26" x14ac:dyDescent="0.35">
      <c r="A18" s="7" t="s">
        <v>27</v>
      </c>
      <c r="B18" s="7" t="s">
        <v>36</v>
      </c>
      <c r="C18" s="7" t="s">
        <v>47</v>
      </c>
      <c r="D18" s="7" t="s">
        <v>48</v>
      </c>
      <c r="E18" s="7" t="s">
        <v>38</v>
      </c>
      <c r="F18" s="7" t="s">
        <v>57</v>
      </c>
      <c r="G18" s="7">
        <v>2021</v>
      </c>
      <c r="H18" s="7" t="str">
        <f>CONCATENATE("14241512129")</f>
        <v>14241512129</v>
      </c>
      <c r="I18" s="7" t="s">
        <v>40</v>
      </c>
      <c r="J18" s="7" t="s">
        <v>31</v>
      </c>
      <c r="K18" s="7" t="str">
        <f>CONCATENATE("")</f>
        <v/>
      </c>
      <c r="L18" s="7" t="str">
        <f>CONCATENATE("10 10.1 4a")</f>
        <v>10 10.1 4a</v>
      </c>
      <c r="M18" s="7" t="str">
        <f>CONCATENATE("SPEMNL95C17B474Y")</f>
        <v>SPEMNL95C17B474Y</v>
      </c>
      <c r="N18" s="7" t="s">
        <v>69</v>
      </c>
      <c r="O18" s="7" t="s">
        <v>50</v>
      </c>
      <c r="P18" s="8">
        <v>44700</v>
      </c>
      <c r="Q18" s="7" t="s">
        <v>32</v>
      </c>
      <c r="R18" s="7" t="s">
        <v>33</v>
      </c>
      <c r="S18" s="7" t="s">
        <v>34</v>
      </c>
      <c r="T18" s="7"/>
      <c r="U18" s="7" t="s">
        <v>35</v>
      </c>
      <c r="V18" s="7">
        <v>339.88</v>
      </c>
      <c r="W18" s="7">
        <v>146.56</v>
      </c>
      <c r="X18" s="7">
        <v>135.34</v>
      </c>
      <c r="Y18" s="7">
        <v>0</v>
      </c>
      <c r="Z18" s="7">
        <v>57.98</v>
      </c>
    </row>
    <row r="19" spans="1:26" x14ac:dyDescent="0.35">
      <c r="A19" s="7" t="s">
        <v>27</v>
      </c>
      <c r="B19" s="7" t="s">
        <v>36</v>
      </c>
      <c r="C19" s="7" t="s">
        <v>47</v>
      </c>
      <c r="D19" s="7" t="s">
        <v>48</v>
      </c>
      <c r="E19" s="7" t="s">
        <v>38</v>
      </c>
      <c r="F19" s="7" t="s">
        <v>57</v>
      </c>
      <c r="G19" s="7">
        <v>2021</v>
      </c>
      <c r="H19" s="7" t="str">
        <f>CONCATENATE("14241438697")</f>
        <v>14241438697</v>
      </c>
      <c r="I19" s="7" t="s">
        <v>40</v>
      </c>
      <c r="J19" s="7" t="s">
        <v>31</v>
      </c>
      <c r="K19" s="7" t="str">
        <f>CONCATENATE("")</f>
        <v/>
      </c>
      <c r="L19" s="7" t="str">
        <f>CONCATENATE("10 10.1 4a")</f>
        <v>10 10.1 4a</v>
      </c>
      <c r="M19" s="7" t="str">
        <f>CONCATENATE("SPEMNL95C17B474Y")</f>
        <v>SPEMNL95C17B474Y</v>
      </c>
      <c r="N19" s="7" t="s">
        <v>69</v>
      </c>
      <c r="O19" s="7" t="s">
        <v>50</v>
      </c>
      <c r="P19" s="8">
        <v>44700</v>
      </c>
      <c r="Q19" s="7" t="s">
        <v>32</v>
      </c>
      <c r="R19" s="7" t="s">
        <v>33</v>
      </c>
      <c r="S19" s="7" t="s">
        <v>34</v>
      </c>
      <c r="T19" s="7"/>
      <c r="U19" s="7" t="s">
        <v>35</v>
      </c>
      <c r="V19" s="7">
        <v>600.76</v>
      </c>
      <c r="W19" s="7">
        <v>259.05</v>
      </c>
      <c r="X19" s="7">
        <v>239.22</v>
      </c>
      <c r="Y19" s="7">
        <v>0</v>
      </c>
      <c r="Z19" s="7">
        <v>102.49</v>
      </c>
    </row>
    <row r="20" spans="1:26" x14ac:dyDescent="0.35">
      <c r="A20" s="7" t="s">
        <v>27</v>
      </c>
      <c r="B20" s="7" t="s">
        <v>36</v>
      </c>
      <c r="C20" s="7" t="s">
        <v>47</v>
      </c>
      <c r="D20" s="7" t="s">
        <v>48</v>
      </c>
      <c r="E20" s="7" t="s">
        <v>38</v>
      </c>
      <c r="F20" s="7" t="s">
        <v>57</v>
      </c>
      <c r="G20" s="7">
        <v>2021</v>
      </c>
      <c r="H20" s="7" t="str">
        <f>CONCATENATE("14240959461")</f>
        <v>14240959461</v>
      </c>
      <c r="I20" s="7" t="s">
        <v>40</v>
      </c>
      <c r="J20" s="7" t="s">
        <v>31</v>
      </c>
      <c r="K20" s="7" t="str">
        <f>CONCATENATE("")</f>
        <v/>
      </c>
      <c r="L20" s="7" t="str">
        <f>CONCATENATE("10 10.1 4a")</f>
        <v>10 10.1 4a</v>
      </c>
      <c r="M20" s="7" t="str">
        <f>CONCATENATE("SBBLCU94S41B474M")</f>
        <v>SBBLCU94S41B474M</v>
      </c>
      <c r="N20" s="7" t="s">
        <v>70</v>
      </c>
      <c r="O20" s="7" t="s">
        <v>50</v>
      </c>
      <c r="P20" s="8">
        <v>44700</v>
      </c>
      <c r="Q20" s="7" t="s">
        <v>32</v>
      </c>
      <c r="R20" s="7" t="s">
        <v>33</v>
      </c>
      <c r="S20" s="7" t="s">
        <v>34</v>
      </c>
      <c r="T20" s="7"/>
      <c r="U20" s="7" t="s">
        <v>35</v>
      </c>
      <c r="V20" s="9">
        <v>1408.27</v>
      </c>
      <c r="W20" s="7">
        <v>607.25</v>
      </c>
      <c r="X20" s="7">
        <v>560.77</v>
      </c>
      <c r="Y20" s="7">
        <v>0</v>
      </c>
      <c r="Z20" s="7">
        <v>240.25</v>
      </c>
    </row>
    <row r="21" spans="1:26" x14ac:dyDescent="0.35">
      <c r="A21" s="7" t="s">
        <v>27</v>
      </c>
      <c r="B21" s="7" t="s">
        <v>28</v>
      </c>
      <c r="C21" s="7" t="s">
        <v>47</v>
      </c>
      <c r="D21" s="7" t="s">
        <v>51</v>
      </c>
      <c r="E21" s="7" t="s">
        <v>43</v>
      </c>
      <c r="F21" s="7" t="s">
        <v>43</v>
      </c>
      <c r="G21" s="7">
        <v>2017</v>
      </c>
      <c r="H21" s="7" t="str">
        <f>CONCATENATE("14270364095")</f>
        <v>14270364095</v>
      </c>
      <c r="I21" s="7" t="s">
        <v>30</v>
      </c>
      <c r="J21" s="7" t="s">
        <v>31</v>
      </c>
      <c r="K21" s="7" t="str">
        <f>CONCATENATE("")</f>
        <v/>
      </c>
      <c r="L21" s="7" t="str">
        <f>CONCATENATE("6 6.1 2b")</f>
        <v>6 6.1 2b</v>
      </c>
      <c r="M21" s="7" t="str">
        <f>CONCATENATE("VNGLCU77P23H501A")</f>
        <v>VNGLCU77P23H501A</v>
      </c>
      <c r="N21" s="7" t="s">
        <v>71</v>
      </c>
      <c r="O21" s="7" t="s">
        <v>72</v>
      </c>
      <c r="P21" s="8">
        <v>44701</v>
      </c>
      <c r="Q21" s="7" t="s">
        <v>32</v>
      </c>
      <c r="R21" s="7" t="s">
        <v>33</v>
      </c>
      <c r="S21" s="7" t="s">
        <v>34</v>
      </c>
      <c r="T21" s="7"/>
      <c r="U21" s="7" t="s">
        <v>35</v>
      </c>
      <c r="V21" s="9">
        <v>14550</v>
      </c>
      <c r="W21" s="9">
        <v>6273.96</v>
      </c>
      <c r="X21" s="9">
        <v>5793.81</v>
      </c>
      <c r="Y21" s="7">
        <v>0</v>
      </c>
      <c r="Z21" s="9">
        <v>2482.23</v>
      </c>
    </row>
    <row r="22" spans="1:26" x14ac:dyDescent="0.35">
      <c r="A22" s="7" t="s">
        <v>27</v>
      </c>
      <c r="B22" s="7" t="s">
        <v>36</v>
      </c>
      <c r="C22" s="7" t="s">
        <v>47</v>
      </c>
      <c r="D22" s="7" t="s">
        <v>48</v>
      </c>
      <c r="E22" s="7" t="s">
        <v>43</v>
      </c>
      <c r="F22" s="7" t="s">
        <v>43</v>
      </c>
      <c r="G22" s="7">
        <v>2021</v>
      </c>
      <c r="H22" s="7" t="str">
        <f>CONCATENATE("14240485863")</f>
        <v>14240485863</v>
      </c>
      <c r="I22" s="7" t="s">
        <v>40</v>
      </c>
      <c r="J22" s="7" t="s">
        <v>31</v>
      </c>
      <c r="K22" s="7" t="str">
        <f>CONCATENATE("")</f>
        <v/>
      </c>
      <c r="L22" s="7" t="str">
        <f>CONCATENATE("11 11.2 4b")</f>
        <v>11 11.2 4b</v>
      </c>
      <c r="M22" s="7" t="str">
        <f>CONCATENATE("SCLRRT58P14D024H")</f>
        <v>SCLRRT58P14D024H</v>
      </c>
      <c r="N22" s="7" t="s">
        <v>49</v>
      </c>
      <c r="O22" s="7" t="s">
        <v>73</v>
      </c>
      <c r="P22" s="8">
        <v>44700</v>
      </c>
      <c r="Q22" s="7" t="s">
        <v>32</v>
      </c>
      <c r="R22" s="7" t="s">
        <v>33</v>
      </c>
      <c r="S22" s="7" t="s">
        <v>34</v>
      </c>
      <c r="T22" s="7"/>
      <c r="U22" s="7" t="s">
        <v>35</v>
      </c>
      <c r="V22" s="9">
        <v>3997.42</v>
      </c>
      <c r="W22" s="9">
        <v>1723.69</v>
      </c>
      <c r="X22" s="9">
        <v>1591.77</v>
      </c>
      <c r="Y22" s="7">
        <v>0</v>
      </c>
      <c r="Z22" s="7">
        <v>681.96</v>
      </c>
    </row>
    <row r="23" spans="1:26" x14ac:dyDescent="0.35">
      <c r="A23" s="7" t="s">
        <v>27</v>
      </c>
      <c r="B23" s="7" t="s">
        <v>36</v>
      </c>
      <c r="C23" s="7" t="s">
        <v>47</v>
      </c>
      <c r="D23" s="7" t="s">
        <v>48</v>
      </c>
      <c r="E23" s="7" t="s">
        <v>38</v>
      </c>
      <c r="F23" s="7" t="s">
        <v>57</v>
      </c>
      <c r="G23" s="7">
        <v>2021</v>
      </c>
      <c r="H23" s="7" t="str">
        <f>CONCATENATE("14240988577")</f>
        <v>14240988577</v>
      </c>
      <c r="I23" s="7" t="s">
        <v>40</v>
      </c>
      <c r="J23" s="7" t="s">
        <v>31</v>
      </c>
      <c r="K23" s="7" t="str">
        <f>CONCATENATE("")</f>
        <v/>
      </c>
      <c r="L23" s="7" t="str">
        <f>CONCATENATE("11 11.2 4b")</f>
        <v>11 11.2 4b</v>
      </c>
      <c r="M23" s="7" t="str">
        <f>CONCATENATE("SBRLBR49L31B474W")</f>
        <v>SBRLBR49L31B474W</v>
      </c>
      <c r="N23" s="7" t="s">
        <v>58</v>
      </c>
      <c r="O23" s="7" t="s">
        <v>73</v>
      </c>
      <c r="P23" s="8">
        <v>44700</v>
      </c>
      <c r="Q23" s="7" t="s">
        <v>32</v>
      </c>
      <c r="R23" s="7" t="s">
        <v>33</v>
      </c>
      <c r="S23" s="7" t="s">
        <v>34</v>
      </c>
      <c r="T23" s="7"/>
      <c r="U23" s="7" t="s">
        <v>35</v>
      </c>
      <c r="V23" s="7">
        <v>516.37</v>
      </c>
      <c r="W23" s="7">
        <v>222.66</v>
      </c>
      <c r="X23" s="7">
        <v>205.62</v>
      </c>
      <c r="Y23" s="7">
        <v>0</v>
      </c>
      <c r="Z23" s="7">
        <v>88.09</v>
      </c>
    </row>
    <row r="24" spans="1:26" x14ac:dyDescent="0.35">
      <c r="A24" s="7" t="s">
        <v>27</v>
      </c>
      <c r="B24" s="7" t="s">
        <v>36</v>
      </c>
      <c r="C24" s="7" t="s">
        <v>47</v>
      </c>
      <c r="D24" s="7" t="s">
        <v>48</v>
      </c>
      <c r="E24" s="7" t="s">
        <v>38</v>
      </c>
      <c r="F24" s="7" t="s">
        <v>57</v>
      </c>
      <c r="G24" s="7">
        <v>2021</v>
      </c>
      <c r="H24" s="7" t="str">
        <f>CONCATENATE("14241232025")</f>
        <v>14241232025</v>
      </c>
      <c r="I24" s="7" t="s">
        <v>40</v>
      </c>
      <c r="J24" s="7" t="s">
        <v>31</v>
      </c>
      <c r="K24" s="7" t="str">
        <f>CONCATENATE("")</f>
        <v/>
      </c>
      <c r="L24" s="7" t="str">
        <f>CONCATENATE("11 11.2 4b")</f>
        <v>11 11.2 4b</v>
      </c>
      <c r="M24" s="7" t="str">
        <f>CONCATENATE("PSLLSE01S52I156A")</f>
        <v>PSLLSE01S52I156A</v>
      </c>
      <c r="N24" s="7" t="s">
        <v>68</v>
      </c>
      <c r="O24" s="7" t="s">
        <v>73</v>
      </c>
      <c r="P24" s="8">
        <v>44700</v>
      </c>
      <c r="Q24" s="7" t="s">
        <v>32</v>
      </c>
      <c r="R24" s="7" t="s">
        <v>33</v>
      </c>
      <c r="S24" s="7" t="s">
        <v>34</v>
      </c>
      <c r="T24" s="7"/>
      <c r="U24" s="7" t="s">
        <v>35</v>
      </c>
      <c r="V24" s="9">
        <v>1082.8699999999999</v>
      </c>
      <c r="W24" s="7">
        <v>466.93</v>
      </c>
      <c r="X24" s="7">
        <v>431.2</v>
      </c>
      <c r="Y24" s="7">
        <v>0</v>
      </c>
      <c r="Z24" s="7">
        <v>184.74</v>
      </c>
    </row>
    <row r="25" spans="1:26" x14ac:dyDescent="0.35">
      <c r="A25" s="7" t="s">
        <v>27</v>
      </c>
      <c r="B25" s="7" t="s">
        <v>36</v>
      </c>
      <c r="C25" s="7" t="s">
        <v>47</v>
      </c>
      <c r="D25" s="7" t="s">
        <v>48</v>
      </c>
      <c r="E25" s="7" t="s">
        <v>37</v>
      </c>
      <c r="F25" s="7" t="s">
        <v>74</v>
      </c>
      <c r="G25" s="7">
        <v>2021</v>
      </c>
      <c r="H25" s="7" t="str">
        <f>CONCATENATE("14240446659")</f>
        <v>14240446659</v>
      </c>
      <c r="I25" s="7" t="s">
        <v>40</v>
      </c>
      <c r="J25" s="7" t="s">
        <v>31</v>
      </c>
      <c r="K25" s="7" t="str">
        <f>CONCATENATE("")</f>
        <v/>
      </c>
      <c r="L25" s="7" t="str">
        <f>CONCATENATE("11 11.2 4b")</f>
        <v>11 11.2 4b</v>
      </c>
      <c r="M25" s="7" t="str">
        <f>CONCATENATE("BCCLCU96H09B474E")</f>
        <v>BCCLCU96H09B474E</v>
      </c>
      <c r="N25" s="7" t="s">
        <v>75</v>
      </c>
      <c r="O25" s="7" t="s">
        <v>73</v>
      </c>
      <c r="P25" s="8">
        <v>44700</v>
      </c>
      <c r="Q25" s="7" t="s">
        <v>32</v>
      </c>
      <c r="R25" s="7" t="s">
        <v>33</v>
      </c>
      <c r="S25" s="7" t="s">
        <v>34</v>
      </c>
      <c r="T25" s="7"/>
      <c r="U25" s="7" t="s">
        <v>35</v>
      </c>
      <c r="V25" s="7">
        <v>81.84</v>
      </c>
      <c r="W25" s="7">
        <v>35.29</v>
      </c>
      <c r="X25" s="7">
        <v>32.590000000000003</v>
      </c>
      <c r="Y25" s="7">
        <v>0</v>
      </c>
      <c r="Z25" s="7">
        <v>13.96</v>
      </c>
    </row>
    <row r="26" spans="1:26" x14ac:dyDescent="0.35">
      <c r="A26" s="7" t="s">
        <v>27</v>
      </c>
      <c r="B26" s="7" t="s">
        <v>36</v>
      </c>
      <c r="C26" s="7" t="s">
        <v>47</v>
      </c>
      <c r="D26" s="7" t="s">
        <v>48</v>
      </c>
      <c r="E26" s="7" t="s">
        <v>37</v>
      </c>
      <c r="F26" s="7" t="s">
        <v>74</v>
      </c>
      <c r="G26" s="7">
        <v>2021</v>
      </c>
      <c r="H26" s="7" t="str">
        <f>CONCATENATE("14240446584")</f>
        <v>14240446584</v>
      </c>
      <c r="I26" s="7" t="s">
        <v>40</v>
      </c>
      <c r="J26" s="7" t="s">
        <v>31</v>
      </c>
      <c r="K26" s="7" t="str">
        <f>CONCATENATE("")</f>
        <v/>
      </c>
      <c r="L26" s="7" t="str">
        <f>CONCATENATE("11 11.2 4b")</f>
        <v>11 11.2 4b</v>
      </c>
      <c r="M26" s="7" t="str">
        <f>CONCATENATE("BCCLCU96H09B474E")</f>
        <v>BCCLCU96H09B474E</v>
      </c>
      <c r="N26" s="7" t="s">
        <v>75</v>
      </c>
      <c r="O26" s="7" t="s">
        <v>73</v>
      </c>
      <c r="P26" s="8">
        <v>44700</v>
      </c>
      <c r="Q26" s="7" t="s">
        <v>32</v>
      </c>
      <c r="R26" s="7" t="s">
        <v>33</v>
      </c>
      <c r="S26" s="7" t="s">
        <v>34</v>
      </c>
      <c r="T26" s="7"/>
      <c r="U26" s="7" t="s">
        <v>35</v>
      </c>
      <c r="V26" s="7">
        <v>158.87</v>
      </c>
      <c r="W26" s="7">
        <v>68.5</v>
      </c>
      <c r="X26" s="7">
        <v>63.26</v>
      </c>
      <c r="Y26" s="7">
        <v>0</v>
      </c>
      <c r="Z26" s="7">
        <v>27.11</v>
      </c>
    </row>
    <row r="27" spans="1:26" x14ac:dyDescent="0.35">
      <c r="A27" s="7" t="s">
        <v>27</v>
      </c>
      <c r="B27" s="7" t="s">
        <v>36</v>
      </c>
      <c r="C27" s="7" t="s">
        <v>47</v>
      </c>
      <c r="D27" s="7" t="s">
        <v>48</v>
      </c>
      <c r="E27" s="7" t="s">
        <v>43</v>
      </c>
      <c r="F27" s="7" t="s">
        <v>43</v>
      </c>
      <c r="G27" s="7">
        <v>2021</v>
      </c>
      <c r="H27" s="7" t="str">
        <f>CONCATENATE("14241241786")</f>
        <v>14241241786</v>
      </c>
      <c r="I27" s="7" t="s">
        <v>40</v>
      </c>
      <c r="J27" s="7" t="s">
        <v>31</v>
      </c>
      <c r="K27" s="7" t="str">
        <f>CONCATENATE("")</f>
        <v/>
      </c>
      <c r="L27" s="7" t="str">
        <f>CONCATENATE("11 11.2 4b")</f>
        <v>11 11.2 4b</v>
      </c>
      <c r="M27" s="7" t="str">
        <f>CONCATENATE("01297880435")</f>
        <v>01297880435</v>
      </c>
      <c r="N27" s="7" t="s">
        <v>61</v>
      </c>
      <c r="O27" s="7" t="s">
        <v>73</v>
      </c>
      <c r="P27" s="8">
        <v>44700</v>
      </c>
      <c r="Q27" s="7" t="s">
        <v>32</v>
      </c>
      <c r="R27" s="7" t="s">
        <v>33</v>
      </c>
      <c r="S27" s="7" t="s">
        <v>34</v>
      </c>
      <c r="T27" s="7"/>
      <c r="U27" s="7" t="s">
        <v>35</v>
      </c>
      <c r="V27" s="9">
        <v>25946.22</v>
      </c>
      <c r="W27" s="9">
        <v>11188.01</v>
      </c>
      <c r="X27" s="9">
        <v>10331.780000000001</v>
      </c>
      <c r="Y27" s="7">
        <v>0</v>
      </c>
      <c r="Z27" s="9">
        <v>4426.43</v>
      </c>
    </row>
    <row r="28" spans="1:26" x14ac:dyDescent="0.35">
      <c r="A28" s="7" t="s">
        <v>27</v>
      </c>
      <c r="B28" s="7" t="s">
        <v>36</v>
      </c>
      <c r="C28" s="7" t="s">
        <v>47</v>
      </c>
      <c r="D28" s="7" t="s">
        <v>48</v>
      </c>
      <c r="E28" s="7" t="s">
        <v>38</v>
      </c>
      <c r="F28" s="7" t="s">
        <v>57</v>
      </c>
      <c r="G28" s="7">
        <v>2021</v>
      </c>
      <c r="H28" s="7" t="str">
        <f>CONCATENATE("14241100685")</f>
        <v>14241100685</v>
      </c>
      <c r="I28" s="7" t="s">
        <v>40</v>
      </c>
      <c r="J28" s="7" t="s">
        <v>31</v>
      </c>
      <c r="K28" s="7" t="str">
        <f>CONCATENATE("")</f>
        <v/>
      </c>
      <c r="L28" s="7" t="str">
        <f>CONCATENATE("11 11.2 4b")</f>
        <v>11 11.2 4b</v>
      </c>
      <c r="M28" s="7" t="str">
        <f>CONCATENATE("RCCNLS55P67D564V")</f>
        <v>RCCNLS55P67D564V</v>
      </c>
      <c r="N28" s="7" t="s">
        <v>76</v>
      </c>
      <c r="O28" s="7" t="s">
        <v>73</v>
      </c>
      <c r="P28" s="8">
        <v>44700</v>
      </c>
      <c r="Q28" s="7" t="s">
        <v>32</v>
      </c>
      <c r="R28" s="7" t="s">
        <v>33</v>
      </c>
      <c r="S28" s="7" t="s">
        <v>34</v>
      </c>
      <c r="T28" s="7"/>
      <c r="U28" s="7" t="s">
        <v>35</v>
      </c>
      <c r="V28" s="9">
        <v>1403.07</v>
      </c>
      <c r="W28" s="7">
        <v>605</v>
      </c>
      <c r="X28" s="7">
        <v>558.70000000000005</v>
      </c>
      <c r="Y28" s="7">
        <v>0</v>
      </c>
      <c r="Z28" s="7">
        <v>239.37</v>
      </c>
    </row>
    <row r="29" spans="1:26" x14ac:dyDescent="0.35">
      <c r="A29" s="7" t="s">
        <v>27</v>
      </c>
      <c r="B29" s="7" t="s">
        <v>36</v>
      </c>
      <c r="C29" s="7" t="s">
        <v>47</v>
      </c>
      <c r="D29" s="7" t="s">
        <v>48</v>
      </c>
      <c r="E29" s="7" t="s">
        <v>38</v>
      </c>
      <c r="F29" s="7" t="s">
        <v>57</v>
      </c>
      <c r="G29" s="7">
        <v>2021</v>
      </c>
      <c r="H29" s="7" t="str">
        <f>CONCATENATE("14240987082")</f>
        <v>14240987082</v>
      </c>
      <c r="I29" s="7" t="s">
        <v>40</v>
      </c>
      <c r="J29" s="7" t="s">
        <v>31</v>
      </c>
      <c r="K29" s="7" t="str">
        <f>CONCATENATE("")</f>
        <v/>
      </c>
      <c r="L29" s="7" t="str">
        <f>CONCATENATE("11 11.2 4b")</f>
        <v>11 11.2 4b</v>
      </c>
      <c r="M29" s="7" t="str">
        <f>CONCATENATE("SBRLBR49L31B474W")</f>
        <v>SBRLBR49L31B474W</v>
      </c>
      <c r="N29" s="7" t="s">
        <v>58</v>
      </c>
      <c r="O29" s="7" t="s">
        <v>73</v>
      </c>
      <c r="P29" s="8">
        <v>44700</v>
      </c>
      <c r="Q29" s="7" t="s">
        <v>32</v>
      </c>
      <c r="R29" s="7" t="s">
        <v>33</v>
      </c>
      <c r="S29" s="7" t="s">
        <v>34</v>
      </c>
      <c r="T29" s="7"/>
      <c r="U29" s="7" t="s">
        <v>35</v>
      </c>
      <c r="V29" s="9">
        <v>3221.34</v>
      </c>
      <c r="W29" s="9">
        <v>1389.04</v>
      </c>
      <c r="X29" s="9">
        <v>1282.74</v>
      </c>
      <c r="Y29" s="7">
        <v>0</v>
      </c>
      <c r="Z29" s="7">
        <v>549.55999999999995</v>
      </c>
    </row>
    <row r="30" spans="1:26" x14ac:dyDescent="0.35">
      <c r="A30" s="7" t="s">
        <v>27</v>
      </c>
      <c r="B30" s="7" t="s">
        <v>36</v>
      </c>
      <c r="C30" s="7" t="s">
        <v>47</v>
      </c>
      <c r="D30" s="7" t="s">
        <v>48</v>
      </c>
      <c r="E30" s="7" t="s">
        <v>38</v>
      </c>
      <c r="F30" s="7" t="s">
        <v>57</v>
      </c>
      <c r="G30" s="7">
        <v>2021</v>
      </c>
      <c r="H30" s="7" t="str">
        <f>CONCATENATE("14241312496")</f>
        <v>14241312496</v>
      </c>
      <c r="I30" s="7" t="s">
        <v>40</v>
      </c>
      <c r="J30" s="7" t="s">
        <v>31</v>
      </c>
      <c r="K30" s="7" t="str">
        <f>CONCATENATE("")</f>
        <v/>
      </c>
      <c r="L30" s="7" t="str">
        <f>CONCATENATE("11 11.2 4b")</f>
        <v>11 11.2 4b</v>
      </c>
      <c r="M30" s="7" t="str">
        <f>CONCATENATE("NGLGNN90P20B474S")</f>
        <v>NGLGNN90P20B474S</v>
      </c>
      <c r="N30" s="7" t="s">
        <v>77</v>
      </c>
      <c r="O30" s="7" t="s">
        <v>73</v>
      </c>
      <c r="P30" s="8">
        <v>44700</v>
      </c>
      <c r="Q30" s="7" t="s">
        <v>32</v>
      </c>
      <c r="R30" s="7" t="s">
        <v>33</v>
      </c>
      <c r="S30" s="7" t="s">
        <v>34</v>
      </c>
      <c r="T30" s="7"/>
      <c r="U30" s="7" t="s">
        <v>35</v>
      </c>
      <c r="V30" s="7">
        <v>703.89</v>
      </c>
      <c r="W30" s="7">
        <v>303.52</v>
      </c>
      <c r="X30" s="7">
        <v>280.29000000000002</v>
      </c>
      <c r="Y30" s="7">
        <v>0</v>
      </c>
      <c r="Z30" s="7">
        <v>120.08</v>
      </c>
    </row>
    <row r="31" spans="1:26" x14ac:dyDescent="0.35">
      <c r="A31" s="7" t="s">
        <v>27</v>
      </c>
      <c r="B31" s="7" t="s">
        <v>36</v>
      </c>
      <c r="C31" s="7" t="s">
        <v>47</v>
      </c>
      <c r="D31" s="7" t="s">
        <v>48</v>
      </c>
      <c r="E31" s="7" t="s">
        <v>38</v>
      </c>
      <c r="F31" s="7" t="s">
        <v>57</v>
      </c>
      <c r="G31" s="7">
        <v>2021</v>
      </c>
      <c r="H31" s="7" t="str">
        <f>CONCATENATE("14241501635")</f>
        <v>14241501635</v>
      </c>
      <c r="I31" s="7" t="s">
        <v>40</v>
      </c>
      <c r="J31" s="7" t="s">
        <v>31</v>
      </c>
      <c r="K31" s="7" t="str">
        <f>CONCATENATE("")</f>
        <v/>
      </c>
      <c r="L31" s="7" t="str">
        <f>CONCATENATE("11 11.2 4b")</f>
        <v>11 11.2 4b</v>
      </c>
      <c r="M31" s="7" t="str">
        <f>CONCATENATE("SPEMNL95C17B474Y")</f>
        <v>SPEMNL95C17B474Y</v>
      </c>
      <c r="N31" s="7" t="s">
        <v>69</v>
      </c>
      <c r="O31" s="7" t="s">
        <v>73</v>
      </c>
      <c r="P31" s="8">
        <v>44700</v>
      </c>
      <c r="Q31" s="7" t="s">
        <v>32</v>
      </c>
      <c r="R31" s="7" t="s">
        <v>33</v>
      </c>
      <c r="S31" s="7" t="s">
        <v>34</v>
      </c>
      <c r="T31" s="7"/>
      <c r="U31" s="7" t="s">
        <v>35</v>
      </c>
      <c r="V31" s="9">
        <v>8731.1200000000008</v>
      </c>
      <c r="W31" s="9">
        <v>3764.86</v>
      </c>
      <c r="X31" s="9">
        <v>3476.73</v>
      </c>
      <c r="Y31" s="7">
        <v>0</v>
      </c>
      <c r="Z31" s="9">
        <v>1489.53</v>
      </c>
    </row>
    <row r="32" spans="1:26" x14ac:dyDescent="0.35">
      <c r="A32" s="7" t="s">
        <v>27</v>
      </c>
      <c r="B32" s="7" t="s">
        <v>36</v>
      </c>
      <c r="C32" s="7" t="s">
        <v>47</v>
      </c>
      <c r="D32" s="7" t="s">
        <v>62</v>
      </c>
      <c r="E32" s="7" t="s">
        <v>39</v>
      </c>
      <c r="F32" s="7" t="s">
        <v>63</v>
      </c>
      <c r="G32" s="7">
        <v>2021</v>
      </c>
      <c r="H32" s="7" t="str">
        <f>CONCATENATE("14240399882")</f>
        <v>14240399882</v>
      </c>
      <c r="I32" s="7" t="s">
        <v>30</v>
      </c>
      <c r="J32" s="7" t="s">
        <v>31</v>
      </c>
      <c r="K32" s="7" t="str">
        <f>CONCATENATE("")</f>
        <v/>
      </c>
      <c r="L32" s="7" t="str">
        <f>CONCATENATE("11 11.1 4b")</f>
        <v>11 11.1 4b</v>
      </c>
      <c r="M32" s="7" t="str">
        <f>CONCATENATE("02519260422")</f>
        <v>02519260422</v>
      </c>
      <c r="N32" s="7" t="s">
        <v>78</v>
      </c>
      <c r="O32" s="7" t="s">
        <v>73</v>
      </c>
      <c r="P32" s="8">
        <v>44700</v>
      </c>
      <c r="Q32" s="7" t="s">
        <v>32</v>
      </c>
      <c r="R32" s="7" t="s">
        <v>33</v>
      </c>
      <c r="S32" s="7" t="s">
        <v>34</v>
      </c>
      <c r="T32" s="7"/>
      <c r="U32" s="7" t="s">
        <v>35</v>
      </c>
      <c r="V32" s="9">
        <v>2193.09</v>
      </c>
      <c r="W32" s="7">
        <v>945.66</v>
      </c>
      <c r="X32" s="7">
        <v>873.29</v>
      </c>
      <c r="Y32" s="7">
        <v>0</v>
      </c>
      <c r="Z32" s="7">
        <v>374.14</v>
      </c>
    </row>
    <row r="33" spans="1:26" x14ac:dyDescent="0.35">
      <c r="A33" s="7" t="s">
        <v>27</v>
      </c>
      <c r="B33" s="7" t="s">
        <v>36</v>
      </c>
      <c r="C33" s="7" t="s">
        <v>47</v>
      </c>
      <c r="D33" s="7" t="s">
        <v>51</v>
      </c>
      <c r="E33" s="7" t="s">
        <v>39</v>
      </c>
      <c r="F33" s="7" t="s">
        <v>79</v>
      </c>
      <c r="G33" s="7">
        <v>2021</v>
      </c>
      <c r="H33" s="7" t="str">
        <f>CONCATENATE("14240747353")</f>
        <v>14240747353</v>
      </c>
      <c r="I33" s="7" t="s">
        <v>30</v>
      </c>
      <c r="J33" s="7" t="s">
        <v>31</v>
      </c>
      <c r="K33" s="7" t="str">
        <f>CONCATENATE("")</f>
        <v/>
      </c>
      <c r="L33" s="7" t="str">
        <f>CONCATENATE("11 11.2 4b")</f>
        <v>11 11.2 4b</v>
      </c>
      <c r="M33" s="7" t="str">
        <f>CONCATENATE("02466470412")</f>
        <v>02466470412</v>
      </c>
      <c r="N33" s="7" t="s">
        <v>80</v>
      </c>
      <c r="O33" s="7" t="s">
        <v>73</v>
      </c>
      <c r="P33" s="8">
        <v>44700</v>
      </c>
      <c r="Q33" s="7" t="s">
        <v>32</v>
      </c>
      <c r="R33" s="7" t="s">
        <v>33</v>
      </c>
      <c r="S33" s="7" t="s">
        <v>34</v>
      </c>
      <c r="T33" s="7"/>
      <c r="U33" s="7" t="s">
        <v>35</v>
      </c>
      <c r="V33" s="9">
        <v>1052.3900000000001</v>
      </c>
      <c r="W33" s="7">
        <v>453.79</v>
      </c>
      <c r="X33" s="7">
        <v>419.06</v>
      </c>
      <c r="Y33" s="7">
        <v>0</v>
      </c>
      <c r="Z33" s="7">
        <v>179.54</v>
      </c>
    </row>
    <row r="34" spans="1:26" x14ac:dyDescent="0.35">
      <c r="A34" s="7" t="s">
        <v>27</v>
      </c>
      <c r="B34" s="7" t="s">
        <v>36</v>
      </c>
      <c r="C34" s="7" t="s">
        <v>47</v>
      </c>
      <c r="D34" s="7" t="s">
        <v>48</v>
      </c>
      <c r="E34" s="7" t="s">
        <v>38</v>
      </c>
      <c r="F34" s="7" t="s">
        <v>81</v>
      </c>
      <c r="G34" s="7">
        <v>2021</v>
      </c>
      <c r="H34" s="7" t="str">
        <f>CONCATENATE("14241037721")</f>
        <v>14241037721</v>
      </c>
      <c r="I34" s="7" t="s">
        <v>30</v>
      </c>
      <c r="J34" s="7" t="s">
        <v>31</v>
      </c>
      <c r="K34" s="7" t="str">
        <f>CONCATENATE("")</f>
        <v/>
      </c>
      <c r="L34" s="7" t="str">
        <f>CONCATENATE("11 11.2 4b")</f>
        <v>11 11.2 4b</v>
      </c>
      <c r="M34" s="7" t="str">
        <f>CONCATENATE("SNTLRT55E10H323Z")</f>
        <v>SNTLRT55E10H323Z</v>
      </c>
      <c r="N34" s="7" t="s">
        <v>82</v>
      </c>
      <c r="O34" s="7" t="s">
        <v>73</v>
      </c>
      <c r="P34" s="8">
        <v>44700</v>
      </c>
      <c r="Q34" s="7" t="s">
        <v>32</v>
      </c>
      <c r="R34" s="7" t="s">
        <v>33</v>
      </c>
      <c r="S34" s="7" t="s">
        <v>34</v>
      </c>
      <c r="T34" s="7"/>
      <c r="U34" s="7" t="s">
        <v>35</v>
      </c>
      <c r="V34" s="9">
        <v>5255.54</v>
      </c>
      <c r="W34" s="9">
        <v>2266.19</v>
      </c>
      <c r="X34" s="9">
        <v>2092.7600000000002</v>
      </c>
      <c r="Y34" s="7">
        <v>0</v>
      </c>
      <c r="Z34" s="7">
        <v>896.59</v>
      </c>
    </row>
    <row r="35" spans="1:26" x14ac:dyDescent="0.35">
      <c r="A35" s="7" t="s">
        <v>27</v>
      </c>
      <c r="B35" s="7" t="s">
        <v>36</v>
      </c>
      <c r="C35" s="7" t="s">
        <v>47</v>
      </c>
      <c r="D35" s="7" t="s">
        <v>48</v>
      </c>
      <c r="E35" s="7" t="s">
        <v>38</v>
      </c>
      <c r="F35" s="7" t="s">
        <v>57</v>
      </c>
      <c r="G35" s="7">
        <v>2021</v>
      </c>
      <c r="H35" s="7" t="str">
        <f>CONCATENATE("14240203316")</f>
        <v>14240203316</v>
      </c>
      <c r="I35" s="7" t="s">
        <v>30</v>
      </c>
      <c r="J35" s="7" t="s">
        <v>31</v>
      </c>
      <c r="K35" s="7" t="str">
        <f>CONCATENATE("")</f>
        <v/>
      </c>
      <c r="L35" s="7" t="str">
        <f>CONCATENATE("11 11.2 4b")</f>
        <v>11 11.2 4b</v>
      </c>
      <c r="M35" s="7" t="str">
        <f>CONCATENATE("NGLRRT54H07H501P")</f>
        <v>NGLRRT54H07H501P</v>
      </c>
      <c r="N35" s="7" t="s">
        <v>83</v>
      </c>
      <c r="O35" s="7" t="s">
        <v>73</v>
      </c>
      <c r="P35" s="8">
        <v>44700</v>
      </c>
      <c r="Q35" s="7" t="s">
        <v>32</v>
      </c>
      <c r="R35" s="7" t="s">
        <v>33</v>
      </c>
      <c r="S35" s="7" t="s">
        <v>34</v>
      </c>
      <c r="T35" s="7"/>
      <c r="U35" s="7" t="s">
        <v>35</v>
      </c>
      <c r="V35" s="9">
        <v>12026.46</v>
      </c>
      <c r="W35" s="9">
        <v>5185.8100000000004</v>
      </c>
      <c r="X35" s="9">
        <v>4788.9399999999996</v>
      </c>
      <c r="Y35" s="7">
        <v>0</v>
      </c>
      <c r="Z35" s="9">
        <v>2051.71</v>
      </c>
    </row>
    <row r="36" spans="1:26" x14ac:dyDescent="0.35">
      <c r="A36" s="7" t="s">
        <v>27</v>
      </c>
      <c r="B36" s="7" t="s">
        <v>36</v>
      </c>
      <c r="C36" s="7" t="s">
        <v>47</v>
      </c>
      <c r="D36" s="7" t="s">
        <v>48</v>
      </c>
      <c r="E36" s="7" t="s">
        <v>29</v>
      </c>
      <c r="F36" s="7" t="s">
        <v>84</v>
      </c>
      <c r="G36" s="7">
        <v>2021</v>
      </c>
      <c r="H36" s="7" t="str">
        <f>CONCATENATE("14240722588")</f>
        <v>14240722588</v>
      </c>
      <c r="I36" s="7" t="s">
        <v>40</v>
      </c>
      <c r="J36" s="7" t="s">
        <v>31</v>
      </c>
      <c r="K36" s="7" t="str">
        <f>CONCATENATE("")</f>
        <v/>
      </c>
      <c r="L36" s="7" t="str">
        <f>CONCATENATE("11 11.2 4b")</f>
        <v>11 11.2 4b</v>
      </c>
      <c r="M36" s="7" t="str">
        <f>CONCATENATE("LSSDNC80P19D653D")</f>
        <v>LSSDNC80P19D653D</v>
      </c>
      <c r="N36" s="7" t="s">
        <v>85</v>
      </c>
      <c r="O36" s="7" t="s">
        <v>73</v>
      </c>
      <c r="P36" s="8">
        <v>44700</v>
      </c>
      <c r="Q36" s="7" t="s">
        <v>32</v>
      </c>
      <c r="R36" s="7" t="s">
        <v>33</v>
      </c>
      <c r="S36" s="7" t="s">
        <v>34</v>
      </c>
      <c r="T36" s="7"/>
      <c r="U36" s="7" t="s">
        <v>35</v>
      </c>
      <c r="V36" s="9">
        <v>4512.5600000000004</v>
      </c>
      <c r="W36" s="9">
        <v>1945.82</v>
      </c>
      <c r="X36" s="9">
        <v>1796.9</v>
      </c>
      <c r="Y36" s="7">
        <v>0</v>
      </c>
      <c r="Z36" s="7">
        <v>769.84</v>
      </c>
    </row>
    <row r="37" spans="1:26" x14ac:dyDescent="0.35">
      <c r="A37" s="7" t="s">
        <v>27</v>
      </c>
      <c r="B37" s="7" t="s">
        <v>36</v>
      </c>
      <c r="C37" s="7" t="s">
        <v>47</v>
      </c>
      <c r="D37" s="7" t="s">
        <v>51</v>
      </c>
      <c r="E37" s="7" t="s">
        <v>38</v>
      </c>
      <c r="F37" s="7" t="s">
        <v>86</v>
      </c>
      <c r="G37" s="7">
        <v>2021</v>
      </c>
      <c r="H37" s="7" t="str">
        <f>CONCATENATE("14240708413")</f>
        <v>14240708413</v>
      </c>
      <c r="I37" s="7" t="s">
        <v>40</v>
      </c>
      <c r="J37" s="7" t="s">
        <v>31</v>
      </c>
      <c r="K37" s="7" t="str">
        <f>CONCATENATE("")</f>
        <v/>
      </c>
      <c r="L37" s="7" t="str">
        <f>CONCATENATE("11 11.1 4b")</f>
        <v>11 11.1 4b</v>
      </c>
      <c r="M37" s="7" t="str">
        <f>CONCATENATE("GRGMCL49R06D749F")</f>
        <v>GRGMCL49R06D749F</v>
      </c>
      <c r="N37" s="7" t="s">
        <v>87</v>
      </c>
      <c r="O37" s="7" t="s">
        <v>73</v>
      </c>
      <c r="P37" s="8">
        <v>44700</v>
      </c>
      <c r="Q37" s="7" t="s">
        <v>32</v>
      </c>
      <c r="R37" s="7" t="s">
        <v>33</v>
      </c>
      <c r="S37" s="7" t="s">
        <v>34</v>
      </c>
      <c r="T37" s="7"/>
      <c r="U37" s="7" t="s">
        <v>35</v>
      </c>
      <c r="V37" s="7">
        <v>310.58999999999997</v>
      </c>
      <c r="W37" s="7">
        <v>133.93</v>
      </c>
      <c r="X37" s="7">
        <v>123.68</v>
      </c>
      <c r="Y37" s="7">
        <v>0</v>
      </c>
      <c r="Z37" s="7">
        <v>52.98</v>
      </c>
    </row>
    <row r="38" spans="1:26" x14ac:dyDescent="0.35">
      <c r="A38" s="7" t="s">
        <v>27</v>
      </c>
      <c r="B38" s="7" t="s">
        <v>36</v>
      </c>
      <c r="C38" s="7" t="s">
        <v>47</v>
      </c>
      <c r="D38" s="7" t="s">
        <v>48</v>
      </c>
      <c r="E38" s="7" t="s">
        <v>37</v>
      </c>
      <c r="F38" s="7" t="s">
        <v>74</v>
      </c>
      <c r="G38" s="7">
        <v>2021</v>
      </c>
      <c r="H38" s="7" t="str">
        <f>CONCATENATE("14240552993")</f>
        <v>14240552993</v>
      </c>
      <c r="I38" s="7" t="s">
        <v>40</v>
      </c>
      <c r="J38" s="7" t="s">
        <v>31</v>
      </c>
      <c r="K38" s="7" t="str">
        <f>CONCATENATE("")</f>
        <v/>
      </c>
      <c r="L38" s="7" t="str">
        <f>CONCATENATE("11 11.2 4b")</f>
        <v>11 11.2 4b</v>
      </c>
      <c r="M38" s="7" t="str">
        <f>CONCATENATE("PNTSTD94A05B474A")</f>
        <v>PNTSTD94A05B474A</v>
      </c>
      <c r="N38" s="7" t="s">
        <v>88</v>
      </c>
      <c r="O38" s="7" t="s">
        <v>73</v>
      </c>
      <c r="P38" s="8">
        <v>44700</v>
      </c>
      <c r="Q38" s="7" t="s">
        <v>32</v>
      </c>
      <c r="R38" s="7" t="s">
        <v>33</v>
      </c>
      <c r="S38" s="7" t="s">
        <v>34</v>
      </c>
      <c r="T38" s="7"/>
      <c r="U38" s="7" t="s">
        <v>35</v>
      </c>
      <c r="V38" s="7">
        <v>507.24</v>
      </c>
      <c r="W38" s="7">
        <v>218.72</v>
      </c>
      <c r="X38" s="7">
        <v>201.98</v>
      </c>
      <c r="Y38" s="7">
        <v>0</v>
      </c>
      <c r="Z38" s="7">
        <v>86.54</v>
      </c>
    </row>
    <row r="39" spans="1:26" x14ac:dyDescent="0.35">
      <c r="A39" s="7" t="s">
        <v>27</v>
      </c>
      <c r="B39" s="7" t="s">
        <v>36</v>
      </c>
      <c r="C39" s="7" t="s">
        <v>47</v>
      </c>
      <c r="D39" s="7" t="s">
        <v>62</v>
      </c>
      <c r="E39" s="7" t="s">
        <v>39</v>
      </c>
      <c r="F39" s="7" t="s">
        <v>89</v>
      </c>
      <c r="G39" s="7">
        <v>2021</v>
      </c>
      <c r="H39" s="7" t="str">
        <f>CONCATENATE("14240811506")</f>
        <v>14240811506</v>
      </c>
      <c r="I39" s="7" t="s">
        <v>30</v>
      </c>
      <c r="J39" s="7" t="s">
        <v>31</v>
      </c>
      <c r="K39" s="7" t="str">
        <f>CONCATENATE("")</f>
        <v/>
      </c>
      <c r="L39" s="7" t="str">
        <f>CONCATENATE("11 11.2 4b")</f>
        <v>11 11.2 4b</v>
      </c>
      <c r="M39" s="7" t="str">
        <f>CONCATENATE("STRSVN52B65D451B")</f>
        <v>STRSVN52B65D451B</v>
      </c>
      <c r="N39" s="7" t="s">
        <v>90</v>
      </c>
      <c r="O39" s="7" t="s">
        <v>73</v>
      </c>
      <c r="P39" s="8">
        <v>44700</v>
      </c>
      <c r="Q39" s="7" t="s">
        <v>32</v>
      </c>
      <c r="R39" s="7" t="s">
        <v>33</v>
      </c>
      <c r="S39" s="7" t="s">
        <v>34</v>
      </c>
      <c r="T39" s="7"/>
      <c r="U39" s="7" t="s">
        <v>35</v>
      </c>
      <c r="V39" s="9">
        <v>1262.5899999999999</v>
      </c>
      <c r="W39" s="7">
        <v>544.42999999999995</v>
      </c>
      <c r="X39" s="7">
        <v>502.76</v>
      </c>
      <c r="Y39" s="7">
        <v>0</v>
      </c>
      <c r="Z39" s="7">
        <v>215.4</v>
      </c>
    </row>
    <row r="40" spans="1:26" x14ac:dyDescent="0.35">
      <c r="A40" s="7" t="s">
        <v>27</v>
      </c>
      <c r="B40" s="7" t="s">
        <v>36</v>
      </c>
      <c r="C40" s="7" t="s">
        <v>47</v>
      </c>
      <c r="D40" s="7" t="s">
        <v>62</v>
      </c>
      <c r="E40" s="7" t="s">
        <v>38</v>
      </c>
      <c r="F40" s="7" t="s">
        <v>91</v>
      </c>
      <c r="G40" s="7">
        <v>2021</v>
      </c>
      <c r="H40" s="7" t="str">
        <f>CONCATENATE("14240219924")</f>
        <v>14240219924</v>
      </c>
      <c r="I40" s="7" t="s">
        <v>30</v>
      </c>
      <c r="J40" s="7" t="s">
        <v>31</v>
      </c>
      <c r="K40" s="7" t="str">
        <f>CONCATENATE("")</f>
        <v/>
      </c>
      <c r="L40" s="7" t="str">
        <f>CONCATENATE("11 11.2 4b")</f>
        <v>11 11.2 4b</v>
      </c>
      <c r="M40" s="7" t="str">
        <f>CONCATENATE("PLNRFL66B43A271P")</f>
        <v>PLNRFL66B43A271P</v>
      </c>
      <c r="N40" s="7" t="s">
        <v>92</v>
      </c>
      <c r="O40" s="7" t="s">
        <v>73</v>
      </c>
      <c r="P40" s="8">
        <v>44700</v>
      </c>
      <c r="Q40" s="7" t="s">
        <v>32</v>
      </c>
      <c r="R40" s="7" t="s">
        <v>33</v>
      </c>
      <c r="S40" s="7" t="s">
        <v>34</v>
      </c>
      <c r="T40" s="7"/>
      <c r="U40" s="7" t="s">
        <v>35</v>
      </c>
      <c r="V40" s="7">
        <v>826.45</v>
      </c>
      <c r="W40" s="7">
        <v>356.37</v>
      </c>
      <c r="X40" s="7">
        <v>329.09</v>
      </c>
      <c r="Y40" s="7">
        <v>0</v>
      </c>
      <c r="Z40" s="7">
        <v>140.99</v>
      </c>
    </row>
    <row r="41" spans="1:26" x14ac:dyDescent="0.35">
      <c r="A41" s="7" t="s">
        <v>27</v>
      </c>
      <c r="B41" s="7" t="s">
        <v>36</v>
      </c>
      <c r="C41" s="7" t="s">
        <v>47</v>
      </c>
      <c r="D41" s="7" t="s">
        <v>51</v>
      </c>
      <c r="E41" s="7" t="s">
        <v>43</v>
      </c>
      <c r="F41" s="7" t="s">
        <v>43</v>
      </c>
      <c r="G41" s="7">
        <v>2021</v>
      </c>
      <c r="H41" s="7" t="str">
        <f>CONCATENATE("14240733551")</f>
        <v>14240733551</v>
      </c>
      <c r="I41" s="7" t="s">
        <v>40</v>
      </c>
      <c r="J41" s="7" t="s">
        <v>31</v>
      </c>
      <c r="K41" s="7" t="str">
        <f>CONCATENATE("")</f>
        <v/>
      </c>
      <c r="L41" s="7" t="str">
        <f>CONCATENATE("11 11.2 4b")</f>
        <v>11 11.2 4b</v>
      </c>
      <c r="M41" s="7" t="str">
        <f>CONCATENATE("02035550413")</f>
        <v>02035550413</v>
      </c>
      <c r="N41" s="7" t="s">
        <v>93</v>
      </c>
      <c r="O41" s="7" t="s">
        <v>73</v>
      </c>
      <c r="P41" s="8">
        <v>44700</v>
      </c>
      <c r="Q41" s="7" t="s">
        <v>32</v>
      </c>
      <c r="R41" s="7" t="s">
        <v>33</v>
      </c>
      <c r="S41" s="7" t="s">
        <v>34</v>
      </c>
      <c r="T41" s="7"/>
      <c r="U41" s="7" t="s">
        <v>35</v>
      </c>
      <c r="V41" s="9">
        <v>1968.63</v>
      </c>
      <c r="W41" s="7">
        <v>848.87</v>
      </c>
      <c r="X41" s="7">
        <v>783.91</v>
      </c>
      <c r="Y41" s="7">
        <v>0</v>
      </c>
      <c r="Z41" s="7">
        <v>335.85</v>
      </c>
    </row>
    <row r="42" spans="1:26" x14ac:dyDescent="0.35">
      <c r="A42" s="7" t="s">
        <v>27</v>
      </c>
      <c r="B42" s="7" t="s">
        <v>36</v>
      </c>
      <c r="C42" s="7" t="s">
        <v>47</v>
      </c>
      <c r="D42" s="7" t="s">
        <v>51</v>
      </c>
      <c r="E42" s="7" t="s">
        <v>43</v>
      </c>
      <c r="F42" s="7" t="s">
        <v>43</v>
      </c>
      <c r="G42" s="7">
        <v>2021</v>
      </c>
      <c r="H42" s="7" t="str">
        <f>CONCATENATE("14240745290")</f>
        <v>14240745290</v>
      </c>
      <c r="I42" s="7" t="s">
        <v>40</v>
      </c>
      <c r="J42" s="7" t="s">
        <v>31</v>
      </c>
      <c r="K42" s="7" t="str">
        <f>CONCATENATE("")</f>
        <v/>
      </c>
      <c r="L42" s="7" t="str">
        <f>CONCATENATE("11 11.2 4b")</f>
        <v>11 11.2 4b</v>
      </c>
      <c r="M42" s="7" t="str">
        <f>CONCATENATE("02035550413")</f>
        <v>02035550413</v>
      </c>
      <c r="N42" s="7" t="s">
        <v>93</v>
      </c>
      <c r="O42" s="7" t="s">
        <v>73</v>
      </c>
      <c r="P42" s="8">
        <v>44700</v>
      </c>
      <c r="Q42" s="7" t="s">
        <v>32</v>
      </c>
      <c r="R42" s="7" t="s">
        <v>33</v>
      </c>
      <c r="S42" s="7" t="s">
        <v>34</v>
      </c>
      <c r="T42" s="7"/>
      <c r="U42" s="7" t="s">
        <v>35</v>
      </c>
      <c r="V42" s="7">
        <v>608.88</v>
      </c>
      <c r="W42" s="7">
        <v>262.55</v>
      </c>
      <c r="X42" s="7">
        <v>242.46</v>
      </c>
      <c r="Y42" s="7">
        <v>0</v>
      </c>
      <c r="Z42" s="7">
        <v>103.87</v>
      </c>
    </row>
    <row r="43" spans="1:26" x14ac:dyDescent="0.35">
      <c r="A43" s="7" t="s">
        <v>27</v>
      </c>
      <c r="B43" s="7" t="s">
        <v>36</v>
      </c>
      <c r="C43" s="7" t="s">
        <v>47</v>
      </c>
      <c r="D43" s="7" t="s">
        <v>94</v>
      </c>
      <c r="E43" s="7" t="s">
        <v>41</v>
      </c>
      <c r="F43" s="7" t="s">
        <v>95</v>
      </c>
      <c r="G43" s="7">
        <v>2021</v>
      </c>
      <c r="H43" s="7" t="str">
        <f>CONCATENATE("14240459553")</f>
        <v>14240459553</v>
      </c>
      <c r="I43" s="7" t="s">
        <v>30</v>
      </c>
      <c r="J43" s="7" t="s">
        <v>31</v>
      </c>
      <c r="K43" s="7" t="str">
        <f>CONCATENATE("")</f>
        <v/>
      </c>
      <c r="L43" s="7" t="str">
        <f>CONCATENATE("11 11.2 4b")</f>
        <v>11 11.2 4b</v>
      </c>
      <c r="M43" s="7" t="str">
        <f>CONCATENATE("FRVVNT84A13A462W")</f>
        <v>FRVVNT84A13A462W</v>
      </c>
      <c r="N43" s="7" t="s">
        <v>96</v>
      </c>
      <c r="O43" s="7" t="s">
        <v>73</v>
      </c>
      <c r="P43" s="8">
        <v>44700</v>
      </c>
      <c r="Q43" s="7" t="s">
        <v>32</v>
      </c>
      <c r="R43" s="7" t="s">
        <v>33</v>
      </c>
      <c r="S43" s="7" t="s">
        <v>34</v>
      </c>
      <c r="T43" s="7"/>
      <c r="U43" s="7" t="s">
        <v>35</v>
      </c>
      <c r="V43" s="9">
        <v>9375.0499999999993</v>
      </c>
      <c r="W43" s="9">
        <v>4042.52</v>
      </c>
      <c r="X43" s="9">
        <v>3733.14</v>
      </c>
      <c r="Y43" s="7">
        <v>0</v>
      </c>
      <c r="Z43" s="9">
        <v>1599.39</v>
      </c>
    </row>
    <row r="44" spans="1:26" x14ac:dyDescent="0.35">
      <c r="A44" s="7" t="s">
        <v>27</v>
      </c>
      <c r="B44" s="7" t="s">
        <v>36</v>
      </c>
      <c r="C44" s="7" t="s">
        <v>47</v>
      </c>
      <c r="D44" s="7" t="s">
        <v>94</v>
      </c>
      <c r="E44" s="7" t="s">
        <v>38</v>
      </c>
      <c r="F44" s="7" t="s">
        <v>81</v>
      </c>
      <c r="G44" s="7">
        <v>2021</v>
      </c>
      <c r="H44" s="7" t="str">
        <f>CONCATENATE("14241219881")</f>
        <v>14241219881</v>
      </c>
      <c r="I44" s="7" t="s">
        <v>30</v>
      </c>
      <c r="J44" s="7" t="s">
        <v>31</v>
      </c>
      <c r="K44" s="7" t="str">
        <f>CONCATENATE("")</f>
        <v/>
      </c>
      <c r="L44" s="7" t="str">
        <f>CONCATENATE("11 11.2 4b")</f>
        <v>11 11.2 4b</v>
      </c>
      <c r="M44" s="7" t="str">
        <f>CONCATENATE("NRERRT88M03H769L")</f>
        <v>NRERRT88M03H769L</v>
      </c>
      <c r="N44" s="7" t="s">
        <v>97</v>
      </c>
      <c r="O44" s="7" t="s">
        <v>73</v>
      </c>
      <c r="P44" s="8">
        <v>44700</v>
      </c>
      <c r="Q44" s="7" t="s">
        <v>32</v>
      </c>
      <c r="R44" s="7" t="s">
        <v>33</v>
      </c>
      <c r="S44" s="7" t="s">
        <v>34</v>
      </c>
      <c r="T44" s="7"/>
      <c r="U44" s="7" t="s">
        <v>35</v>
      </c>
      <c r="V44" s="7">
        <v>889.21</v>
      </c>
      <c r="W44" s="7">
        <v>383.43</v>
      </c>
      <c r="X44" s="7">
        <v>354.08</v>
      </c>
      <c r="Y44" s="7">
        <v>0</v>
      </c>
      <c r="Z44" s="7">
        <v>151.69999999999999</v>
      </c>
    </row>
    <row r="45" spans="1:26" x14ac:dyDescent="0.35">
      <c r="A45" s="7" t="s">
        <v>27</v>
      </c>
      <c r="B45" s="7" t="s">
        <v>36</v>
      </c>
      <c r="C45" s="7" t="s">
        <v>47</v>
      </c>
      <c r="D45" s="7" t="s">
        <v>48</v>
      </c>
      <c r="E45" s="7" t="s">
        <v>46</v>
      </c>
      <c r="F45" s="7" t="s">
        <v>98</v>
      </c>
      <c r="G45" s="7">
        <v>2021</v>
      </c>
      <c r="H45" s="7" t="str">
        <f>CONCATENATE("14241738534")</f>
        <v>14241738534</v>
      </c>
      <c r="I45" s="7" t="s">
        <v>30</v>
      </c>
      <c r="J45" s="7" t="s">
        <v>31</v>
      </c>
      <c r="K45" s="7" t="str">
        <f>CONCATENATE("")</f>
        <v/>
      </c>
      <c r="L45" s="7" t="str">
        <f>CONCATENATE("11 11.2 4b")</f>
        <v>11 11.2 4b</v>
      </c>
      <c r="M45" s="7" t="str">
        <f>CONCATENATE("01985330438")</f>
        <v>01985330438</v>
      </c>
      <c r="N45" s="7" t="s">
        <v>99</v>
      </c>
      <c r="O45" s="7" t="s">
        <v>73</v>
      </c>
      <c r="P45" s="8">
        <v>44700</v>
      </c>
      <c r="Q45" s="7" t="s">
        <v>32</v>
      </c>
      <c r="R45" s="7" t="s">
        <v>33</v>
      </c>
      <c r="S45" s="7" t="s">
        <v>34</v>
      </c>
      <c r="T45" s="7"/>
      <c r="U45" s="7" t="s">
        <v>35</v>
      </c>
      <c r="V45" s="9">
        <v>1958.4</v>
      </c>
      <c r="W45" s="7">
        <v>844.46</v>
      </c>
      <c r="X45" s="7">
        <v>779.83</v>
      </c>
      <c r="Y45" s="7">
        <v>0</v>
      </c>
      <c r="Z45" s="7">
        <v>334.11</v>
      </c>
    </row>
    <row r="46" spans="1:26" x14ac:dyDescent="0.35">
      <c r="A46" s="7" t="s">
        <v>27</v>
      </c>
      <c r="B46" s="7" t="s">
        <v>36</v>
      </c>
      <c r="C46" s="7" t="s">
        <v>47</v>
      </c>
      <c r="D46" s="7" t="s">
        <v>48</v>
      </c>
      <c r="E46" s="7" t="s">
        <v>46</v>
      </c>
      <c r="F46" s="7" t="s">
        <v>98</v>
      </c>
      <c r="G46" s="7">
        <v>2021</v>
      </c>
      <c r="H46" s="7" t="str">
        <f>CONCATENATE("14241738526")</f>
        <v>14241738526</v>
      </c>
      <c r="I46" s="7" t="s">
        <v>30</v>
      </c>
      <c r="J46" s="7" t="s">
        <v>31</v>
      </c>
      <c r="K46" s="7" t="str">
        <f>CONCATENATE("")</f>
        <v/>
      </c>
      <c r="L46" s="7" t="str">
        <f>CONCATENATE("11 11.2 4b")</f>
        <v>11 11.2 4b</v>
      </c>
      <c r="M46" s="7" t="str">
        <f>CONCATENATE("01985330438")</f>
        <v>01985330438</v>
      </c>
      <c r="N46" s="7" t="s">
        <v>99</v>
      </c>
      <c r="O46" s="7" t="s">
        <v>73</v>
      </c>
      <c r="P46" s="8">
        <v>44700</v>
      </c>
      <c r="Q46" s="7" t="s">
        <v>32</v>
      </c>
      <c r="R46" s="7" t="s">
        <v>33</v>
      </c>
      <c r="S46" s="7" t="s">
        <v>34</v>
      </c>
      <c r="T46" s="7"/>
      <c r="U46" s="7" t="s">
        <v>35</v>
      </c>
      <c r="V46" s="9">
        <v>3610.98</v>
      </c>
      <c r="W46" s="9">
        <v>1557.05</v>
      </c>
      <c r="X46" s="9">
        <v>1437.89</v>
      </c>
      <c r="Y46" s="7">
        <v>0</v>
      </c>
      <c r="Z46" s="7">
        <v>616.04</v>
      </c>
    </row>
    <row r="47" spans="1:26" x14ac:dyDescent="0.35">
      <c r="A47" s="7" t="s">
        <v>27</v>
      </c>
      <c r="B47" s="7" t="s">
        <v>36</v>
      </c>
      <c r="C47" s="7" t="s">
        <v>47</v>
      </c>
      <c r="D47" s="7" t="s">
        <v>62</v>
      </c>
      <c r="E47" s="7" t="s">
        <v>38</v>
      </c>
      <c r="F47" s="7" t="s">
        <v>91</v>
      </c>
      <c r="G47" s="7">
        <v>2021</v>
      </c>
      <c r="H47" s="7" t="str">
        <f>CONCATENATE("14241290700")</f>
        <v>14241290700</v>
      </c>
      <c r="I47" s="7" t="s">
        <v>30</v>
      </c>
      <c r="J47" s="7" t="s">
        <v>31</v>
      </c>
      <c r="K47" s="7" t="str">
        <f>CONCATENATE("")</f>
        <v/>
      </c>
      <c r="L47" s="7" t="str">
        <f>CONCATENATE("11 11.2 4b")</f>
        <v>11 11.2 4b</v>
      </c>
      <c r="M47" s="7" t="str">
        <f>CONCATENATE("00971470422")</f>
        <v>00971470422</v>
      </c>
      <c r="N47" s="7" t="s">
        <v>100</v>
      </c>
      <c r="O47" s="7" t="s">
        <v>73</v>
      </c>
      <c r="P47" s="8">
        <v>44700</v>
      </c>
      <c r="Q47" s="7" t="s">
        <v>32</v>
      </c>
      <c r="R47" s="7" t="s">
        <v>33</v>
      </c>
      <c r="S47" s="7" t="s">
        <v>34</v>
      </c>
      <c r="T47" s="7"/>
      <c r="U47" s="7" t="s">
        <v>35</v>
      </c>
      <c r="V47" s="7">
        <v>220.71</v>
      </c>
      <c r="W47" s="7">
        <v>95.17</v>
      </c>
      <c r="X47" s="7">
        <v>87.89</v>
      </c>
      <c r="Y47" s="7">
        <v>0</v>
      </c>
      <c r="Z47" s="7">
        <v>37.65</v>
      </c>
    </row>
    <row r="48" spans="1:26" x14ac:dyDescent="0.35">
      <c r="A48" s="7" t="s">
        <v>27</v>
      </c>
      <c r="B48" s="7" t="s">
        <v>36</v>
      </c>
      <c r="C48" s="7" t="s">
        <v>47</v>
      </c>
      <c r="D48" s="7" t="s">
        <v>48</v>
      </c>
      <c r="E48" s="7" t="s">
        <v>43</v>
      </c>
      <c r="F48" s="7" t="s">
        <v>43</v>
      </c>
      <c r="G48" s="7">
        <v>2021</v>
      </c>
      <c r="H48" s="7" t="str">
        <f>CONCATENATE("14241332684")</f>
        <v>14241332684</v>
      </c>
      <c r="I48" s="7" t="s">
        <v>30</v>
      </c>
      <c r="J48" s="7" t="s">
        <v>31</v>
      </c>
      <c r="K48" s="7" t="str">
        <f>CONCATENATE("")</f>
        <v/>
      </c>
      <c r="L48" s="7" t="str">
        <f>CONCATENATE("11 11.2 4b")</f>
        <v>11 11.2 4b</v>
      </c>
      <c r="M48" s="7" t="str">
        <f>CONCATENATE("01990480434")</f>
        <v>01990480434</v>
      </c>
      <c r="N48" s="7" t="s">
        <v>101</v>
      </c>
      <c r="O48" s="7" t="s">
        <v>73</v>
      </c>
      <c r="P48" s="8">
        <v>44700</v>
      </c>
      <c r="Q48" s="7" t="s">
        <v>32</v>
      </c>
      <c r="R48" s="7" t="s">
        <v>33</v>
      </c>
      <c r="S48" s="7" t="s">
        <v>34</v>
      </c>
      <c r="T48" s="7"/>
      <c r="U48" s="7" t="s">
        <v>35</v>
      </c>
      <c r="V48" s="9">
        <v>3994.91</v>
      </c>
      <c r="W48" s="9">
        <v>1722.61</v>
      </c>
      <c r="X48" s="9">
        <v>1590.77</v>
      </c>
      <c r="Y48" s="7">
        <v>0</v>
      </c>
      <c r="Z48" s="7">
        <v>681.53</v>
      </c>
    </row>
    <row r="49" spans="1:26" x14ac:dyDescent="0.35">
      <c r="A49" s="7" t="s">
        <v>27</v>
      </c>
      <c r="B49" s="7" t="s">
        <v>36</v>
      </c>
      <c r="C49" s="7" t="s">
        <v>47</v>
      </c>
      <c r="D49" s="7" t="s">
        <v>51</v>
      </c>
      <c r="E49" s="7" t="s">
        <v>41</v>
      </c>
      <c r="F49" s="7" t="s">
        <v>102</v>
      </c>
      <c r="G49" s="7">
        <v>2021</v>
      </c>
      <c r="H49" s="7" t="str">
        <f>CONCATENATE("14240879297")</f>
        <v>14240879297</v>
      </c>
      <c r="I49" s="7" t="s">
        <v>40</v>
      </c>
      <c r="J49" s="7" t="s">
        <v>31</v>
      </c>
      <c r="K49" s="7" t="str">
        <f>CONCATENATE("")</f>
        <v/>
      </c>
      <c r="L49" s="7" t="str">
        <f>CONCATENATE("11 11.2 4b")</f>
        <v>11 11.2 4b</v>
      </c>
      <c r="M49" s="7" t="str">
        <f>CONCATENATE("FRLDGI96B06D749R")</f>
        <v>FRLDGI96B06D749R</v>
      </c>
      <c r="N49" s="7" t="s">
        <v>103</v>
      </c>
      <c r="O49" s="7" t="s">
        <v>73</v>
      </c>
      <c r="P49" s="8">
        <v>44700</v>
      </c>
      <c r="Q49" s="7" t="s">
        <v>32</v>
      </c>
      <c r="R49" s="7" t="s">
        <v>33</v>
      </c>
      <c r="S49" s="7" t="s">
        <v>34</v>
      </c>
      <c r="T49" s="7"/>
      <c r="U49" s="7" t="s">
        <v>35</v>
      </c>
      <c r="V49" s="7">
        <v>427</v>
      </c>
      <c r="W49" s="7">
        <v>184.12</v>
      </c>
      <c r="X49" s="7">
        <v>170.03</v>
      </c>
      <c r="Y49" s="7">
        <v>0</v>
      </c>
      <c r="Z49" s="7">
        <v>72.849999999999994</v>
      </c>
    </row>
    <row r="50" spans="1:26" x14ac:dyDescent="0.35">
      <c r="A50" s="7" t="s">
        <v>27</v>
      </c>
      <c r="B50" s="7" t="s">
        <v>36</v>
      </c>
      <c r="C50" s="7" t="s">
        <v>47</v>
      </c>
      <c r="D50" s="7" t="s">
        <v>51</v>
      </c>
      <c r="E50" s="7" t="s">
        <v>41</v>
      </c>
      <c r="F50" s="7" t="s">
        <v>102</v>
      </c>
      <c r="G50" s="7">
        <v>2021</v>
      </c>
      <c r="H50" s="7" t="str">
        <f>CONCATENATE("14240887605")</f>
        <v>14240887605</v>
      </c>
      <c r="I50" s="7" t="s">
        <v>40</v>
      </c>
      <c r="J50" s="7" t="s">
        <v>31</v>
      </c>
      <c r="K50" s="7" t="str">
        <f>CONCATENATE("")</f>
        <v/>
      </c>
      <c r="L50" s="7" t="str">
        <f>CONCATENATE("11 11.2 4b")</f>
        <v>11 11.2 4b</v>
      </c>
      <c r="M50" s="7" t="str">
        <f>CONCATENATE("FRLDGI96B06D749R")</f>
        <v>FRLDGI96B06D749R</v>
      </c>
      <c r="N50" s="7" t="s">
        <v>103</v>
      </c>
      <c r="O50" s="7" t="s">
        <v>73</v>
      </c>
      <c r="P50" s="8">
        <v>44700</v>
      </c>
      <c r="Q50" s="7" t="s">
        <v>32</v>
      </c>
      <c r="R50" s="7" t="s">
        <v>33</v>
      </c>
      <c r="S50" s="7" t="s">
        <v>34</v>
      </c>
      <c r="T50" s="7"/>
      <c r="U50" s="7" t="s">
        <v>35</v>
      </c>
      <c r="V50" s="7">
        <v>733.64</v>
      </c>
      <c r="W50" s="7">
        <v>316.35000000000002</v>
      </c>
      <c r="X50" s="7">
        <v>292.14</v>
      </c>
      <c r="Y50" s="7">
        <v>0</v>
      </c>
      <c r="Z50" s="7">
        <v>125.15</v>
      </c>
    </row>
    <row r="51" spans="1:26" x14ac:dyDescent="0.35">
      <c r="A51" s="7" t="s">
        <v>27</v>
      </c>
      <c r="B51" s="7" t="s">
        <v>36</v>
      </c>
      <c r="C51" s="7" t="s">
        <v>47</v>
      </c>
      <c r="D51" s="7" t="s">
        <v>51</v>
      </c>
      <c r="E51" s="7" t="s">
        <v>41</v>
      </c>
      <c r="F51" s="7" t="s">
        <v>102</v>
      </c>
      <c r="G51" s="7">
        <v>2021</v>
      </c>
      <c r="H51" s="7" t="str">
        <f>CONCATENATE("14240874611")</f>
        <v>14240874611</v>
      </c>
      <c r="I51" s="7" t="s">
        <v>40</v>
      </c>
      <c r="J51" s="7" t="s">
        <v>31</v>
      </c>
      <c r="K51" s="7" t="str">
        <f>CONCATENATE("")</f>
        <v/>
      </c>
      <c r="L51" s="7" t="str">
        <f>CONCATENATE("11 11.2 4b")</f>
        <v>11 11.2 4b</v>
      </c>
      <c r="M51" s="7" t="str">
        <f>CONCATENATE("FRLDGI96B06D749R")</f>
        <v>FRLDGI96B06D749R</v>
      </c>
      <c r="N51" s="7" t="s">
        <v>103</v>
      </c>
      <c r="O51" s="7" t="s">
        <v>73</v>
      </c>
      <c r="P51" s="8">
        <v>44700</v>
      </c>
      <c r="Q51" s="7" t="s">
        <v>32</v>
      </c>
      <c r="R51" s="7" t="s">
        <v>33</v>
      </c>
      <c r="S51" s="7" t="s">
        <v>34</v>
      </c>
      <c r="T51" s="7"/>
      <c r="U51" s="7" t="s">
        <v>35</v>
      </c>
      <c r="V51" s="7">
        <v>389.45</v>
      </c>
      <c r="W51" s="7">
        <v>167.93</v>
      </c>
      <c r="X51" s="7">
        <v>155.08000000000001</v>
      </c>
      <c r="Y51" s="7">
        <v>0</v>
      </c>
      <c r="Z51" s="7">
        <v>66.44</v>
      </c>
    </row>
    <row r="52" spans="1:26" x14ac:dyDescent="0.35">
      <c r="A52" s="7" t="s">
        <v>27</v>
      </c>
      <c r="B52" s="7" t="s">
        <v>36</v>
      </c>
      <c r="C52" s="7" t="s">
        <v>47</v>
      </c>
      <c r="D52" s="7" t="s">
        <v>51</v>
      </c>
      <c r="E52" s="7" t="s">
        <v>41</v>
      </c>
      <c r="F52" s="7" t="s">
        <v>102</v>
      </c>
      <c r="G52" s="7">
        <v>2021</v>
      </c>
      <c r="H52" s="7" t="str">
        <f>CONCATENATE("14240890674")</f>
        <v>14240890674</v>
      </c>
      <c r="I52" s="7" t="s">
        <v>40</v>
      </c>
      <c r="J52" s="7" t="s">
        <v>31</v>
      </c>
      <c r="K52" s="7" t="str">
        <f>CONCATENATE("")</f>
        <v/>
      </c>
      <c r="L52" s="7" t="str">
        <f>CONCATENATE("11 11.1 4b")</f>
        <v>11 11.1 4b</v>
      </c>
      <c r="M52" s="7" t="str">
        <f>CONCATENATE("FRLDGI96B06D749R")</f>
        <v>FRLDGI96B06D749R</v>
      </c>
      <c r="N52" s="7" t="s">
        <v>103</v>
      </c>
      <c r="O52" s="7" t="s">
        <v>73</v>
      </c>
      <c r="P52" s="8">
        <v>44700</v>
      </c>
      <c r="Q52" s="7" t="s">
        <v>32</v>
      </c>
      <c r="R52" s="7" t="s">
        <v>33</v>
      </c>
      <c r="S52" s="7" t="s">
        <v>34</v>
      </c>
      <c r="T52" s="7"/>
      <c r="U52" s="7" t="s">
        <v>35</v>
      </c>
      <c r="V52" s="7">
        <v>647.20000000000005</v>
      </c>
      <c r="W52" s="7">
        <v>279.07</v>
      </c>
      <c r="X52" s="7">
        <v>257.72000000000003</v>
      </c>
      <c r="Y52" s="7">
        <v>0</v>
      </c>
      <c r="Z52" s="7">
        <v>110.41</v>
      </c>
    </row>
    <row r="53" spans="1:26" x14ac:dyDescent="0.35">
      <c r="A53" s="7" t="s">
        <v>27</v>
      </c>
      <c r="B53" s="7" t="s">
        <v>36</v>
      </c>
      <c r="C53" s="7" t="s">
        <v>47</v>
      </c>
      <c r="D53" s="7" t="s">
        <v>48</v>
      </c>
      <c r="E53" s="7" t="s">
        <v>38</v>
      </c>
      <c r="F53" s="7" t="s">
        <v>57</v>
      </c>
      <c r="G53" s="7">
        <v>2021</v>
      </c>
      <c r="H53" s="7" t="str">
        <f>CONCATENATE("14241738328")</f>
        <v>14241738328</v>
      </c>
      <c r="I53" s="7" t="s">
        <v>30</v>
      </c>
      <c r="J53" s="7" t="s">
        <v>31</v>
      </c>
      <c r="K53" s="7" t="str">
        <f>CONCATENATE("")</f>
        <v/>
      </c>
      <c r="L53" s="7" t="str">
        <f>CONCATENATE("11 11.2 4b")</f>
        <v>11 11.2 4b</v>
      </c>
      <c r="M53" s="7" t="str">
        <f>CONCATENATE("PZZLCN51P06H876E")</f>
        <v>PZZLCN51P06H876E</v>
      </c>
      <c r="N53" s="7" t="s">
        <v>104</v>
      </c>
      <c r="O53" s="7" t="s">
        <v>73</v>
      </c>
      <c r="P53" s="8">
        <v>44700</v>
      </c>
      <c r="Q53" s="7" t="s">
        <v>32</v>
      </c>
      <c r="R53" s="7" t="s">
        <v>33</v>
      </c>
      <c r="S53" s="7" t="s">
        <v>34</v>
      </c>
      <c r="T53" s="7"/>
      <c r="U53" s="7" t="s">
        <v>35</v>
      </c>
      <c r="V53" s="9">
        <v>1512.75</v>
      </c>
      <c r="W53" s="7">
        <v>652.29999999999995</v>
      </c>
      <c r="X53" s="7">
        <v>602.38</v>
      </c>
      <c r="Y53" s="7">
        <v>0</v>
      </c>
      <c r="Z53" s="7">
        <v>258.07</v>
      </c>
    </row>
    <row r="54" spans="1:26" x14ac:dyDescent="0.35">
      <c r="A54" s="7" t="s">
        <v>27</v>
      </c>
      <c r="B54" s="7" t="s">
        <v>36</v>
      </c>
      <c r="C54" s="7" t="s">
        <v>47</v>
      </c>
      <c r="D54" s="7" t="s">
        <v>48</v>
      </c>
      <c r="E54" s="7" t="s">
        <v>43</v>
      </c>
      <c r="F54" s="7" t="s">
        <v>43</v>
      </c>
      <c r="G54" s="7">
        <v>2021</v>
      </c>
      <c r="H54" s="7" t="str">
        <f>CONCATENATE("14241332478")</f>
        <v>14241332478</v>
      </c>
      <c r="I54" s="7" t="s">
        <v>30</v>
      </c>
      <c r="J54" s="7" t="s">
        <v>31</v>
      </c>
      <c r="K54" s="7" t="str">
        <f>CONCATENATE("")</f>
        <v/>
      </c>
      <c r="L54" s="7" t="str">
        <f>CONCATENATE("11 11.2 4b")</f>
        <v>11 11.2 4b</v>
      </c>
      <c r="M54" s="7" t="str">
        <f>CONCATENATE("01990480434")</f>
        <v>01990480434</v>
      </c>
      <c r="N54" s="7" t="s">
        <v>101</v>
      </c>
      <c r="O54" s="7" t="s">
        <v>73</v>
      </c>
      <c r="P54" s="8">
        <v>44700</v>
      </c>
      <c r="Q54" s="7" t="s">
        <v>32</v>
      </c>
      <c r="R54" s="7" t="s">
        <v>33</v>
      </c>
      <c r="S54" s="7" t="s">
        <v>34</v>
      </c>
      <c r="T54" s="7"/>
      <c r="U54" s="7" t="s">
        <v>35</v>
      </c>
      <c r="V54" s="9">
        <v>4893.43</v>
      </c>
      <c r="W54" s="9">
        <v>2110.0500000000002</v>
      </c>
      <c r="X54" s="9">
        <v>1948.56</v>
      </c>
      <c r="Y54" s="7">
        <v>0</v>
      </c>
      <c r="Z54" s="7">
        <v>834.82</v>
      </c>
    </row>
    <row r="55" spans="1:26" x14ac:dyDescent="0.35">
      <c r="A55" s="7" t="s">
        <v>27</v>
      </c>
      <c r="B55" s="7" t="s">
        <v>36</v>
      </c>
      <c r="C55" s="7" t="s">
        <v>47</v>
      </c>
      <c r="D55" s="7" t="s">
        <v>48</v>
      </c>
      <c r="E55" s="7" t="s">
        <v>29</v>
      </c>
      <c r="F55" s="7" t="s">
        <v>105</v>
      </c>
      <c r="G55" s="7">
        <v>2021</v>
      </c>
      <c r="H55" s="7" t="str">
        <f>CONCATENATE("14241359281")</f>
        <v>14241359281</v>
      </c>
      <c r="I55" s="7" t="s">
        <v>30</v>
      </c>
      <c r="J55" s="7" t="s">
        <v>31</v>
      </c>
      <c r="K55" s="7" t="str">
        <f>CONCATENATE("")</f>
        <v/>
      </c>
      <c r="L55" s="7" t="str">
        <f>CONCATENATE("11 11.1 4b")</f>
        <v>11 11.1 4b</v>
      </c>
      <c r="M55" s="7" t="str">
        <f>CONCATENATE("MSSMNL74M30E783O")</f>
        <v>MSSMNL74M30E783O</v>
      </c>
      <c r="N55" s="7" t="s">
        <v>106</v>
      </c>
      <c r="O55" s="7" t="s">
        <v>73</v>
      </c>
      <c r="P55" s="8">
        <v>44700</v>
      </c>
      <c r="Q55" s="7" t="s">
        <v>32</v>
      </c>
      <c r="R55" s="7" t="s">
        <v>33</v>
      </c>
      <c r="S55" s="7" t="s">
        <v>34</v>
      </c>
      <c r="T55" s="7"/>
      <c r="U55" s="7" t="s">
        <v>35</v>
      </c>
      <c r="V55" s="9">
        <v>5325.98</v>
      </c>
      <c r="W55" s="9">
        <v>2296.56</v>
      </c>
      <c r="X55" s="9">
        <v>2120.81</v>
      </c>
      <c r="Y55" s="7">
        <v>0</v>
      </c>
      <c r="Z55" s="7">
        <v>908.61</v>
      </c>
    </row>
    <row r="56" spans="1:26" x14ac:dyDescent="0.35">
      <c r="A56" s="7" t="s">
        <v>27</v>
      </c>
      <c r="B56" s="7" t="s">
        <v>36</v>
      </c>
      <c r="C56" s="7" t="s">
        <v>47</v>
      </c>
      <c r="D56" s="7" t="s">
        <v>94</v>
      </c>
      <c r="E56" s="7" t="s">
        <v>42</v>
      </c>
      <c r="F56" s="7" t="s">
        <v>107</v>
      </c>
      <c r="G56" s="7">
        <v>2021</v>
      </c>
      <c r="H56" s="7" t="str">
        <f>CONCATENATE("14240826710")</f>
        <v>14240826710</v>
      </c>
      <c r="I56" s="7" t="s">
        <v>30</v>
      </c>
      <c r="J56" s="7" t="s">
        <v>31</v>
      </c>
      <c r="K56" s="7" t="str">
        <f>CONCATENATE("")</f>
        <v/>
      </c>
      <c r="L56" s="7" t="str">
        <f>CONCATENATE("14 14.1 3a")</f>
        <v>14 14.1 3a</v>
      </c>
      <c r="M56" s="7" t="str">
        <f>CONCATENATE("CNLMRA85L12D542X")</f>
        <v>CNLMRA85L12D542X</v>
      </c>
      <c r="N56" s="7" t="s">
        <v>108</v>
      </c>
      <c r="O56" s="7" t="s">
        <v>109</v>
      </c>
      <c r="P56" s="8">
        <v>44701</v>
      </c>
      <c r="Q56" s="7" t="s">
        <v>32</v>
      </c>
      <c r="R56" s="7" t="s">
        <v>33</v>
      </c>
      <c r="S56" s="7" t="s">
        <v>34</v>
      </c>
      <c r="T56" s="7"/>
      <c r="U56" s="7" t="s">
        <v>35</v>
      </c>
      <c r="V56" s="9">
        <v>3200</v>
      </c>
      <c r="W56" s="9">
        <v>1379.84</v>
      </c>
      <c r="X56" s="9">
        <v>1274.24</v>
      </c>
      <c r="Y56" s="7">
        <v>0</v>
      </c>
      <c r="Z56" s="7">
        <v>545.91999999999996</v>
      </c>
    </row>
    <row r="57" spans="1:26" ht="17.5" x14ac:dyDescent="0.35">
      <c r="A57" s="7" t="s">
        <v>27</v>
      </c>
      <c r="B57" s="7" t="s">
        <v>36</v>
      </c>
      <c r="C57" s="7" t="s">
        <v>47</v>
      </c>
      <c r="D57" s="7" t="s">
        <v>62</v>
      </c>
      <c r="E57" s="7" t="s">
        <v>37</v>
      </c>
      <c r="F57" s="7" t="s">
        <v>110</v>
      </c>
      <c r="G57" s="7">
        <v>2021</v>
      </c>
      <c r="H57" s="7" t="str">
        <f>CONCATENATE("14240944984")</f>
        <v>14240944984</v>
      </c>
      <c r="I57" s="7" t="s">
        <v>30</v>
      </c>
      <c r="J57" s="7" t="s">
        <v>31</v>
      </c>
      <c r="K57" s="7" t="str">
        <f>CONCATENATE("")</f>
        <v/>
      </c>
      <c r="L57" s="7" t="str">
        <f>CONCATENATE("14 14.1 3a")</f>
        <v>14 14.1 3a</v>
      </c>
      <c r="M57" s="7" t="str">
        <f>CONCATENATE("02389100427")</f>
        <v>02389100427</v>
      </c>
      <c r="N57" s="7" t="s">
        <v>111</v>
      </c>
      <c r="O57" s="7" t="s">
        <v>109</v>
      </c>
      <c r="P57" s="8">
        <v>44701</v>
      </c>
      <c r="Q57" s="7" t="s">
        <v>32</v>
      </c>
      <c r="R57" s="7" t="s">
        <v>33</v>
      </c>
      <c r="S57" s="7" t="s">
        <v>34</v>
      </c>
      <c r="T57" s="7"/>
      <c r="U57" s="7" t="s">
        <v>35</v>
      </c>
      <c r="V57" s="9">
        <v>33100</v>
      </c>
      <c r="W57" s="9">
        <v>14272.72</v>
      </c>
      <c r="X57" s="9">
        <v>13180.42</v>
      </c>
      <c r="Y57" s="7">
        <v>0</v>
      </c>
      <c r="Z57" s="9">
        <v>5646.86</v>
      </c>
    </row>
    <row r="58" spans="1:26" x14ac:dyDescent="0.35">
      <c r="A58" s="7" t="s">
        <v>27</v>
      </c>
      <c r="B58" s="7" t="s">
        <v>36</v>
      </c>
      <c r="C58" s="7" t="s">
        <v>47</v>
      </c>
      <c r="D58" s="7" t="s">
        <v>51</v>
      </c>
      <c r="E58" s="7" t="s">
        <v>42</v>
      </c>
      <c r="F58" s="7" t="s">
        <v>112</v>
      </c>
      <c r="G58" s="7">
        <v>2021</v>
      </c>
      <c r="H58" s="7" t="str">
        <f>CONCATENATE("14241341453")</f>
        <v>14241341453</v>
      </c>
      <c r="I58" s="7" t="s">
        <v>40</v>
      </c>
      <c r="J58" s="7" t="s">
        <v>31</v>
      </c>
      <c r="K58" s="7" t="str">
        <f>CONCATENATE("")</f>
        <v/>
      </c>
      <c r="L58" s="7" t="str">
        <f>CONCATENATE("11 11.2 4b")</f>
        <v>11 11.2 4b</v>
      </c>
      <c r="M58" s="7" t="str">
        <f>CONCATENATE("JNSSTP79E17Z105C")</f>
        <v>JNSSTP79E17Z105C</v>
      </c>
      <c r="N58" s="7" t="s">
        <v>113</v>
      </c>
      <c r="O58" s="7" t="s">
        <v>73</v>
      </c>
      <c r="P58" s="8">
        <v>44700</v>
      </c>
      <c r="Q58" s="7" t="s">
        <v>32</v>
      </c>
      <c r="R58" s="7" t="s">
        <v>33</v>
      </c>
      <c r="S58" s="7" t="s">
        <v>34</v>
      </c>
      <c r="T58" s="7"/>
      <c r="U58" s="7" t="s">
        <v>35</v>
      </c>
      <c r="V58" s="7">
        <v>305.66000000000003</v>
      </c>
      <c r="W58" s="7">
        <v>131.80000000000001</v>
      </c>
      <c r="X58" s="7">
        <v>121.71</v>
      </c>
      <c r="Y58" s="7">
        <v>0</v>
      </c>
      <c r="Z58" s="7">
        <v>52.15</v>
      </c>
    </row>
    <row r="59" spans="1:26" x14ac:dyDescent="0.35">
      <c r="A59" s="7" t="s">
        <v>27</v>
      </c>
      <c r="B59" s="7" t="s">
        <v>36</v>
      </c>
      <c r="C59" s="7" t="s">
        <v>47</v>
      </c>
      <c r="D59" s="7" t="s">
        <v>48</v>
      </c>
      <c r="E59" s="7" t="s">
        <v>38</v>
      </c>
      <c r="F59" s="7" t="s">
        <v>57</v>
      </c>
      <c r="G59" s="7">
        <v>2021</v>
      </c>
      <c r="H59" s="7" t="str">
        <f>CONCATENATE("14241400739")</f>
        <v>14241400739</v>
      </c>
      <c r="I59" s="7" t="s">
        <v>30</v>
      </c>
      <c r="J59" s="7" t="s">
        <v>31</v>
      </c>
      <c r="K59" s="7" t="str">
        <f>CONCATENATE("")</f>
        <v/>
      </c>
      <c r="L59" s="7" t="str">
        <f>CONCATENATE("11 11.1 4b")</f>
        <v>11 11.1 4b</v>
      </c>
      <c r="M59" s="7" t="str">
        <f>CONCATENATE("01915750432")</f>
        <v>01915750432</v>
      </c>
      <c r="N59" s="7" t="s">
        <v>114</v>
      </c>
      <c r="O59" s="7" t="s">
        <v>73</v>
      </c>
      <c r="P59" s="8">
        <v>44700</v>
      </c>
      <c r="Q59" s="7" t="s">
        <v>32</v>
      </c>
      <c r="R59" s="7" t="s">
        <v>33</v>
      </c>
      <c r="S59" s="7" t="s">
        <v>34</v>
      </c>
      <c r="T59" s="7"/>
      <c r="U59" s="7" t="s">
        <v>35</v>
      </c>
      <c r="V59" s="9">
        <v>9763.02</v>
      </c>
      <c r="W59" s="9">
        <v>4209.8100000000004</v>
      </c>
      <c r="X59" s="9">
        <v>3887.63</v>
      </c>
      <c r="Y59" s="7">
        <v>0</v>
      </c>
      <c r="Z59" s="9">
        <v>1665.58</v>
      </c>
    </row>
    <row r="60" spans="1:26" x14ac:dyDescent="0.35">
      <c r="A60" s="7" t="s">
        <v>27</v>
      </c>
      <c r="B60" s="7" t="s">
        <v>36</v>
      </c>
      <c r="C60" s="7" t="s">
        <v>47</v>
      </c>
      <c r="D60" s="7" t="s">
        <v>48</v>
      </c>
      <c r="E60" s="7" t="s">
        <v>29</v>
      </c>
      <c r="F60" s="7" t="s">
        <v>105</v>
      </c>
      <c r="G60" s="7">
        <v>2021</v>
      </c>
      <c r="H60" s="7" t="str">
        <f>CONCATENATE("14241368274")</f>
        <v>14241368274</v>
      </c>
      <c r="I60" s="7" t="s">
        <v>40</v>
      </c>
      <c r="J60" s="7" t="s">
        <v>31</v>
      </c>
      <c r="K60" s="7" t="str">
        <f>CONCATENATE("")</f>
        <v/>
      </c>
      <c r="L60" s="7" t="str">
        <f>CONCATENATE("11 11.2 4b")</f>
        <v>11 11.2 4b</v>
      </c>
      <c r="M60" s="7" t="str">
        <f>CONCATENATE("BRTGDU85T19B474U")</f>
        <v>BRTGDU85T19B474U</v>
      </c>
      <c r="N60" s="7" t="s">
        <v>115</v>
      </c>
      <c r="O60" s="7" t="s">
        <v>73</v>
      </c>
      <c r="P60" s="8">
        <v>44700</v>
      </c>
      <c r="Q60" s="7" t="s">
        <v>32</v>
      </c>
      <c r="R60" s="7" t="s">
        <v>33</v>
      </c>
      <c r="S60" s="7" t="s">
        <v>34</v>
      </c>
      <c r="T60" s="7"/>
      <c r="U60" s="7" t="s">
        <v>35</v>
      </c>
      <c r="V60" s="9">
        <v>4184.46</v>
      </c>
      <c r="W60" s="9">
        <v>1804.34</v>
      </c>
      <c r="X60" s="9">
        <v>1666.25</v>
      </c>
      <c r="Y60" s="7">
        <v>0</v>
      </c>
      <c r="Z60" s="7">
        <v>713.87</v>
      </c>
    </row>
    <row r="61" spans="1:26" x14ac:dyDescent="0.35">
      <c r="A61" s="7" t="s">
        <v>27</v>
      </c>
      <c r="B61" s="7" t="s">
        <v>36</v>
      </c>
      <c r="C61" s="7" t="s">
        <v>47</v>
      </c>
      <c r="D61" s="7" t="s">
        <v>48</v>
      </c>
      <c r="E61" s="7" t="s">
        <v>38</v>
      </c>
      <c r="F61" s="7" t="s">
        <v>116</v>
      </c>
      <c r="G61" s="7">
        <v>2021</v>
      </c>
      <c r="H61" s="7" t="str">
        <f>CONCATENATE("14241162370")</f>
        <v>14241162370</v>
      </c>
      <c r="I61" s="7" t="s">
        <v>30</v>
      </c>
      <c r="J61" s="7" t="s">
        <v>31</v>
      </c>
      <c r="K61" s="7" t="str">
        <f>CONCATENATE("")</f>
        <v/>
      </c>
      <c r="L61" s="7" t="str">
        <f>CONCATENATE("11 11.2 4b")</f>
        <v>11 11.2 4b</v>
      </c>
      <c r="M61" s="7" t="str">
        <f>CONCATENATE("01110060439")</f>
        <v>01110060439</v>
      </c>
      <c r="N61" s="7" t="s">
        <v>117</v>
      </c>
      <c r="O61" s="7" t="s">
        <v>73</v>
      </c>
      <c r="P61" s="8">
        <v>44700</v>
      </c>
      <c r="Q61" s="7" t="s">
        <v>32</v>
      </c>
      <c r="R61" s="7" t="s">
        <v>33</v>
      </c>
      <c r="S61" s="7" t="s">
        <v>34</v>
      </c>
      <c r="T61" s="7"/>
      <c r="U61" s="7" t="s">
        <v>35</v>
      </c>
      <c r="V61" s="9">
        <v>22755.14</v>
      </c>
      <c r="W61" s="9">
        <v>9812.02</v>
      </c>
      <c r="X61" s="9">
        <v>9061.1</v>
      </c>
      <c r="Y61" s="7">
        <v>0</v>
      </c>
      <c r="Z61" s="9">
        <v>3882.02</v>
      </c>
    </row>
    <row r="62" spans="1:26" x14ac:dyDescent="0.35">
      <c r="A62" s="7" t="s">
        <v>27</v>
      </c>
      <c r="B62" s="7" t="s">
        <v>36</v>
      </c>
      <c r="C62" s="7" t="s">
        <v>47</v>
      </c>
      <c r="D62" s="7" t="s">
        <v>51</v>
      </c>
      <c r="E62" s="7" t="s">
        <v>38</v>
      </c>
      <c r="F62" s="7" t="s">
        <v>118</v>
      </c>
      <c r="G62" s="7">
        <v>2021</v>
      </c>
      <c r="H62" s="7" t="str">
        <f>CONCATENATE("14241114322")</f>
        <v>14241114322</v>
      </c>
      <c r="I62" s="7" t="s">
        <v>40</v>
      </c>
      <c r="J62" s="7" t="s">
        <v>31</v>
      </c>
      <c r="K62" s="7" t="str">
        <f>CONCATENATE("")</f>
        <v/>
      </c>
      <c r="L62" s="7" t="str">
        <f>CONCATENATE("11 11.2 4b")</f>
        <v>11 11.2 4b</v>
      </c>
      <c r="M62" s="7" t="str">
        <f>CONCATENATE("CVLFNZ59D58D749W")</f>
        <v>CVLFNZ59D58D749W</v>
      </c>
      <c r="N62" s="7" t="s">
        <v>119</v>
      </c>
      <c r="O62" s="7" t="s">
        <v>73</v>
      </c>
      <c r="P62" s="8">
        <v>44700</v>
      </c>
      <c r="Q62" s="7" t="s">
        <v>32</v>
      </c>
      <c r="R62" s="7" t="s">
        <v>33</v>
      </c>
      <c r="S62" s="7" t="s">
        <v>34</v>
      </c>
      <c r="T62" s="7"/>
      <c r="U62" s="7" t="s">
        <v>35</v>
      </c>
      <c r="V62" s="7">
        <v>548.59</v>
      </c>
      <c r="W62" s="7">
        <v>236.55</v>
      </c>
      <c r="X62" s="7">
        <v>218.45</v>
      </c>
      <c r="Y62" s="7">
        <v>0</v>
      </c>
      <c r="Z62" s="7">
        <v>93.59</v>
      </c>
    </row>
    <row r="63" spans="1:26" ht="17.5" x14ac:dyDescent="0.35">
      <c r="A63" s="7" t="s">
        <v>27</v>
      </c>
      <c r="B63" s="7" t="s">
        <v>36</v>
      </c>
      <c r="C63" s="7" t="s">
        <v>47</v>
      </c>
      <c r="D63" s="7" t="s">
        <v>48</v>
      </c>
      <c r="E63" s="7" t="s">
        <v>29</v>
      </c>
      <c r="F63" s="7" t="s">
        <v>120</v>
      </c>
      <c r="G63" s="7">
        <v>2021</v>
      </c>
      <c r="H63" s="7" t="str">
        <f>CONCATENATE("14241221739")</f>
        <v>14241221739</v>
      </c>
      <c r="I63" s="7" t="s">
        <v>40</v>
      </c>
      <c r="J63" s="7" t="s">
        <v>31</v>
      </c>
      <c r="K63" s="7" t="str">
        <f>CONCATENATE("")</f>
        <v/>
      </c>
      <c r="L63" s="7" t="str">
        <f>CONCATENATE("11 11.2 4b")</f>
        <v>11 11.2 4b</v>
      </c>
      <c r="M63" s="7" t="str">
        <f>CONCATENATE("01711460434")</f>
        <v>01711460434</v>
      </c>
      <c r="N63" s="7" t="s">
        <v>121</v>
      </c>
      <c r="O63" s="7" t="s">
        <v>73</v>
      </c>
      <c r="P63" s="8">
        <v>44700</v>
      </c>
      <c r="Q63" s="7" t="s">
        <v>32</v>
      </c>
      <c r="R63" s="7" t="s">
        <v>33</v>
      </c>
      <c r="S63" s="7" t="s">
        <v>34</v>
      </c>
      <c r="T63" s="7"/>
      <c r="U63" s="7" t="s">
        <v>35</v>
      </c>
      <c r="V63" s="9">
        <v>21612.47</v>
      </c>
      <c r="W63" s="9">
        <v>9319.2999999999993</v>
      </c>
      <c r="X63" s="9">
        <v>8606.09</v>
      </c>
      <c r="Y63" s="7">
        <v>0</v>
      </c>
      <c r="Z63" s="9">
        <v>3687.08</v>
      </c>
    </row>
    <row r="64" spans="1:26" x14ac:dyDescent="0.35">
      <c r="A64" s="7" t="s">
        <v>27</v>
      </c>
      <c r="B64" s="7" t="s">
        <v>36</v>
      </c>
      <c r="C64" s="7" t="s">
        <v>47</v>
      </c>
      <c r="D64" s="7" t="s">
        <v>48</v>
      </c>
      <c r="E64" s="7" t="s">
        <v>46</v>
      </c>
      <c r="F64" s="7" t="s">
        <v>98</v>
      </c>
      <c r="G64" s="7">
        <v>2021</v>
      </c>
      <c r="H64" s="7" t="str">
        <f>CONCATENATE("14241738542")</f>
        <v>14241738542</v>
      </c>
      <c r="I64" s="7" t="s">
        <v>30</v>
      </c>
      <c r="J64" s="7" t="s">
        <v>31</v>
      </c>
      <c r="K64" s="7" t="str">
        <f>CONCATENATE("")</f>
        <v/>
      </c>
      <c r="L64" s="7" t="str">
        <f>CONCATENATE("11 11.2 4b")</f>
        <v>11 11.2 4b</v>
      </c>
      <c r="M64" s="7" t="str">
        <f>CONCATENATE("PTTNMR65R60C704R")</f>
        <v>PTTNMR65R60C704R</v>
      </c>
      <c r="N64" s="7" t="s">
        <v>122</v>
      </c>
      <c r="O64" s="7" t="s">
        <v>73</v>
      </c>
      <c r="P64" s="8">
        <v>44700</v>
      </c>
      <c r="Q64" s="7" t="s">
        <v>32</v>
      </c>
      <c r="R64" s="7" t="s">
        <v>33</v>
      </c>
      <c r="S64" s="7" t="s">
        <v>34</v>
      </c>
      <c r="T64" s="7"/>
      <c r="U64" s="7" t="s">
        <v>35</v>
      </c>
      <c r="V64" s="7">
        <v>866.7</v>
      </c>
      <c r="W64" s="7">
        <v>373.72</v>
      </c>
      <c r="X64" s="7">
        <v>345.12</v>
      </c>
      <c r="Y64" s="7">
        <v>0</v>
      </c>
      <c r="Z64" s="7">
        <v>147.86000000000001</v>
      </c>
    </row>
    <row r="65" spans="1:26" x14ac:dyDescent="0.35">
      <c r="A65" s="7" t="s">
        <v>27</v>
      </c>
      <c r="B65" s="7" t="s">
        <v>36</v>
      </c>
      <c r="C65" s="7" t="s">
        <v>47</v>
      </c>
      <c r="D65" s="7" t="s">
        <v>48</v>
      </c>
      <c r="E65" s="7" t="s">
        <v>29</v>
      </c>
      <c r="F65" s="7" t="s">
        <v>59</v>
      </c>
      <c r="G65" s="7">
        <v>2021</v>
      </c>
      <c r="H65" s="7" t="str">
        <f>CONCATENATE("14240555053")</f>
        <v>14240555053</v>
      </c>
      <c r="I65" s="7" t="s">
        <v>40</v>
      </c>
      <c r="J65" s="7" t="s">
        <v>31</v>
      </c>
      <c r="K65" s="7" t="str">
        <f>CONCATENATE("")</f>
        <v/>
      </c>
      <c r="L65" s="7" t="str">
        <f>CONCATENATE("11 11.1 4b")</f>
        <v>11 11.1 4b</v>
      </c>
      <c r="M65" s="7" t="str">
        <f>CONCATENATE("CPPGVR96A48E648T")</f>
        <v>CPPGVR96A48E648T</v>
      </c>
      <c r="N65" s="7" t="s">
        <v>123</v>
      </c>
      <c r="O65" s="7" t="s">
        <v>73</v>
      </c>
      <c r="P65" s="8">
        <v>44700</v>
      </c>
      <c r="Q65" s="7" t="s">
        <v>32</v>
      </c>
      <c r="R65" s="7" t="s">
        <v>33</v>
      </c>
      <c r="S65" s="7" t="s">
        <v>34</v>
      </c>
      <c r="T65" s="7"/>
      <c r="U65" s="7" t="s">
        <v>35</v>
      </c>
      <c r="V65" s="7">
        <v>245.24</v>
      </c>
      <c r="W65" s="7">
        <v>105.75</v>
      </c>
      <c r="X65" s="7">
        <v>97.65</v>
      </c>
      <c r="Y65" s="7">
        <v>0</v>
      </c>
      <c r="Z65" s="7">
        <v>41.84</v>
      </c>
    </row>
    <row r="66" spans="1:26" x14ac:dyDescent="0.35">
      <c r="A66" s="7" t="s">
        <v>27</v>
      </c>
      <c r="B66" s="7" t="s">
        <v>36</v>
      </c>
      <c r="C66" s="7" t="s">
        <v>47</v>
      </c>
      <c r="D66" s="7" t="s">
        <v>48</v>
      </c>
      <c r="E66" s="7" t="s">
        <v>38</v>
      </c>
      <c r="F66" s="7" t="s">
        <v>81</v>
      </c>
      <c r="G66" s="7">
        <v>2021</v>
      </c>
      <c r="H66" s="7" t="str">
        <f>CONCATENATE("14241224287")</f>
        <v>14241224287</v>
      </c>
      <c r="I66" s="7" t="s">
        <v>30</v>
      </c>
      <c r="J66" s="7" t="s">
        <v>31</v>
      </c>
      <c r="K66" s="7" t="str">
        <f>CONCATENATE("")</f>
        <v/>
      </c>
      <c r="L66" s="7" t="str">
        <f>CONCATENATE("11 11.2 4b")</f>
        <v>11 11.2 4b</v>
      </c>
      <c r="M66" s="7" t="str">
        <f>CONCATENATE("MRZLGN75A18L191E")</f>
        <v>MRZLGN75A18L191E</v>
      </c>
      <c r="N66" s="7" t="s">
        <v>124</v>
      </c>
      <c r="O66" s="7" t="s">
        <v>73</v>
      </c>
      <c r="P66" s="8">
        <v>44700</v>
      </c>
      <c r="Q66" s="7" t="s">
        <v>32</v>
      </c>
      <c r="R66" s="7" t="s">
        <v>33</v>
      </c>
      <c r="S66" s="7" t="s">
        <v>34</v>
      </c>
      <c r="T66" s="7"/>
      <c r="U66" s="7" t="s">
        <v>35</v>
      </c>
      <c r="V66" s="9">
        <v>4044.14</v>
      </c>
      <c r="W66" s="9">
        <v>1743.83</v>
      </c>
      <c r="X66" s="9">
        <v>1610.38</v>
      </c>
      <c r="Y66" s="7">
        <v>0</v>
      </c>
      <c r="Z66" s="7">
        <v>689.93</v>
      </c>
    </row>
    <row r="67" spans="1:26" x14ac:dyDescent="0.35">
      <c r="A67" s="7" t="s">
        <v>27</v>
      </c>
      <c r="B67" s="7" t="s">
        <v>36</v>
      </c>
      <c r="C67" s="7" t="s">
        <v>47</v>
      </c>
      <c r="D67" s="7" t="s">
        <v>62</v>
      </c>
      <c r="E67" s="7" t="s">
        <v>38</v>
      </c>
      <c r="F67" s="7" t="s">
        <v>125</v>
      </c>
      <c r="G67" s="7">
        <v>2021</v>
      </c>
      <c r="H67" s="7" t="str">
        <f>CONCATENATE("14241234484")</f>
        <v>14241234484</v>
      </c>
      <c r="I67" s="7" t="s">
        <v>30</v>
      </c>
      <c r="J67" s="7" t="s">
        <v>31</v>
      </c>
      <c r="K67" s="7" t="str">
        <f>CONCATENATE("")</f>
        <v/>
      </c>
      <c r="L67" s="7" t="str">
        <f>CONCATENATE("11 11.2 4b")</f>
        <v>11 11.2 4b</v>
      </c>
      <c r="M67" s="7" t="str">
        <f>CONCATENATE("SWNJFR86H19Z335X")</f>
        <v>SWNJFR86H19Z335X</v>
      </c>
      <c r="N67" s="7" t="s">
        <v>126</v>
      </c>
      <c r="O67" s="7" t="s">
        <v>73</v>
      </c>
      <c r="P67" s="8">
        <v>44700</v>
      </c>
      <c r="Q67" s="7" t="s">
        <v>32</v>
      </c>
      <c r="R67" s="7" t="s">
        <v>33</v>
      </c>
      <c r="S67" s="7" t="s">
        <v>34</v>
      </c>
      <c r="T67" s="7"/>
      <c r="U67" s="7" t="s">
        <v>35</v>
      </c>
      <c r="V67" s="9">
        <v>1736.34</v>
      </c>
      <c r="W67" s="7">
        <v>748.71</v>
      </c>
      <c r="X67" s="7">
        <v>691.41</v>
      </c>
      <c r="Y67" s="7">
        <v>0</v>
      </c>
      <c r="Z67" s="7">
        <v>296.22000000000003</v>
      </c>
    </row>
    <row r="68" spans="1:26" x14ac:dyDescent="0.35">
      <c r="A68" s="7" t="s">
        <v>27</v>
      </c>
      <c r="B68" s="7" t="s">
        <v>36</v>
      </c>
      <c r="C68" s="7" t="s">
        <v>47</v>
      </c>
      <c r="D68" s="7" t="s">
        <v>94</v>
      </c>
      <c r="E68" s="7" t="s">
        <v>44</v>
      </c>
      <c r="F68" s="7" t="s">
        <v>127</v>
      </c>
      <c r="G68" s="7">
        <v>2021</v>
      </c>
      <c r="H68" s="7" t="str">
        <f>CONCATENATE("14241216515")</f>
        <v>14241216515</v>
      </c>
      <c r="I68" s="7" t="s">
        <v>30</v>
      </c>
      <c r="J68" s="7" t="s">
        <v>31</v>
      </c>
      <c r="K68" s="7" t="str">
        <f>CONCATENATE("")</f>
        <v/>
      </c>
      <c r="L68" s="7" t="str">
        <f>CONCATENATE("14 14.1 3a")</f>
        <v>14 14.1 3a</v>
      </c>
      <c r="M68" s="7" t="str">
        <f>CONCATENATE("GLNLSN91H27A462E")</f>
        <v>GLNLSN91H27A462E</v>
      </c>
      <c r="N68" s="7" t="s">
        <v>128</v>
      </c>
      <c r="O68" s="7" t="s">
        <v>109</v>
      </c>
      <c r="P68" s="8">
        <v>44701</v>
      </c>
      <c r="Q68" s="7" t="s">
        <v>32</v>
      </c>
      <c r="R68" s="7" t="s">
        <v>33</v>
      </c>
      <c r="S68" s="7" t="s">
        <v>34</v>
      </c>
      <c r="T68" s="7"/>
      <c r="U68" s="7" t="s">
        <v>35</v>
      </c>
      <c r="V68" s="9">
        <v>1474.4</v>
      </c>
      <c r="W68" s="7">
        <v>635.76</v>
      </c>
      <c r="X68" s="7">
        <v>587.11</v>
      </c>
      <c r="Y68" s="7">
        <v>0</v>
      </c>
      <c r="Z68" s="7">
        <v>251.53</v>
      </c>
    </row>
    <row r="69" spans="1:26" x14ac:dyDescent="0.35">
      <c r="A69" s="7" t="s">
        <v>27</v>
      </c>
      <c r="B69" s="7" t="s">
        <v>36</v>
      </c>
      <c r="C69" s="7" t="s">
        <v>47</v>
      </c>
      <c r="D69" s="7" t="s">
        <v>51</v>
      </c>
      <c r="E69" s="7" t="s">
        <v>37</v>
      </c>
      <c r="F69" s="7" t="s">
        <v>129</v>
      </c>
      <c r="G69" s="7">
        <v>2021</v>
      </c>
      <c r="H69" s="7" t="str">
        <f>CONCATENATE("14241384933")</f>
        <v>14241384933</v>
      </c>
      <c r="I69" s="7" t="s">
        <v>30</v>
      </c>
      <c r="J69" s="7" t="s">
        <v>31</v>
      </c>
      <c r="K69" s="7" t="str">
        <f>CONCATENATE("")</f>
        <v/>
      </c>
      <c r="L69" s="7" t="str">
        <f>CONCATENATE("14 14.1 3a")</f>
        <v>14 14.1 3a</v>
      </c>
      <c r="M69" s="7" t="str">
        <f>CONCATENATE("02585740414")</f>
        <v>02585740414</v>
      </c>
      <c r="N69" s="7" t="s">
        <v>130</v>
      </c>
      <c r="O69" s="7" t="s">
        <v>109</v>
      </c>
      <c r="P69" s="8">
        <v>44701</v>
      </c>
      <c r="Q69" s="7" t="s">
        <v>32</v>
      </c>
      <c r="R69" s="7" t="s">
        <v>33</v>
      </c>
      <c r="S69" s="7" t="s">
        <v>34</v>
      </c>
      <c r="T69" s="7"/>
      <c r="U69" s="7" t="s">
        <v>35</v>
      </c>
      <c r="V69" s="9">
        <v>33100</v>
      </c>
      <c r="W69" s="9">
        <v>14272.72</v>
      </c>
      <c r="X69" s="9">
        <v>13180.42</v>
      </c>
      <c r="Y69" s="7">
        <v>0</v>
      </c>
      <c r="Z69" s="9">
        <v>5646.86</v>
      </c>
    </row>
    <row r="70" spans="1:26" x14ac:dyDescent="0.35">
      <c r="A70" s="7" t="s">
        <v>27</v>
      </c>
      <c r="B70" s="7" t="s">
        <v>36</v>
      </c>
      <c r="C70" s="7" t="s">
        <v>47</v>
      </c>
      <c r="D70" s="7" t="s">
        <v>48</v>
      </c>
      <c r="E70" s="7" t="s">
        <v>38</v>
      </c>
      <c r="F70" s="7" t="s">
        <v>116</v>
      </c>
      <c r="G70" s="7">
        <v>2021</v>
      </c>
      <c r="H70" s="7" t="str">
        <f>CONCATENATE("14240594599")</f>
        <v>14240594599</v>
      </c>
      <c r="I70" s="7" t="s">
        <v>30</v>
      </c>
      <c r="J70" s="7" t="s">
        <v>31</v>
      </c>
      <c r="K70" s="7" t="str">
        <f>CONCATENATE("")</f>
        <v/>
      </c>
      <c r="L70" s="7" t="str">
        <f>CONCATENATE("11 11.2 4b")</f>
        <v>11 11.2 4b</v>
      </c>
      <c r="M70" s="7" t="str">
        <f>CONCATENATE("01593570433")</f>
        <v>01593570433</v>
      </c>
      <c r="N70" s="7" t="s">
        <v>131</v>
      </c>
      <c r="O70" s="7" t="s">
        <v>73</v>
      </c>
      <c r="P70" s="8">
        <v>44700</v>
      </c>
      <c r="Q70" s="7" t="s">
        <v>32</v>
      </c>
      <c r="R70" s="7" t="s">
        <v>33</v>
      </c>
      <c r="S70" s="7" t="s">
        <v>34</v>
      </c>
      <c r="T70" s="7"/>
      <c r="U70" s="7" t="s">
        <v>35</v>
      </c>
      <c r="V70" s="9">
        <v>1410.61</v>
      </c>
      <c r="W70" s="7">
        <v>608.26</v>
      </c>
      <c r="X70" s="7">
        <v>561.70000000000005</v>
      </c>
      <c r="Y70" s="7">
        <v>0</v>
      </c>
      <c r="Z70" s="7">
        <v>240.65</v>
      </c>
    </row>
    <row r="71" spans="1:26" x14ac:dyDescent="0.35">
      <c r="A71" s="7" t="s">
        <v>27</v>
      </c>
      <c r="B71" s="7" t="s">
        <v>36</v>
      </c>
      <c r="C71" s="7" t="s">
        <v>47</v>
      </c>
      <c r="D71" s="7" t="s">
        <v>48</v>
      </c>
      <c r="E71" s="7" t="s">
        <v>38</v>
      </c>
      <c r="F71" s="7" t="s">
        <v>57</v>
      </c>
      <c r="G71" s="7">
        <v>2021</v>
      </c>
      <c r="H71" s="7" t="str">
        <f>CONCATENATE("14240844382")</f>
        <v>14240844382</v>
      </c>
      <c r="I71" s="7" t="s">
        <v>30</v>
      </c>
      <c r="J71" s="7" t="s">
        <v>31</v>
      </c>
      <c r="K71" s="7" t="str">
        <f>CONCATENATE("")</f>
        <v/>
      </c>
      <c r="L71" s="7" t="str">
        <f>CONCATENATE("11 11.2 4b")</f>
        <v>11 11.2 4b</v>
      </c>
      <c r="M71" s="7" t="str">
        <f>CONCATENATE("01741900433")</f>
        <v>01741900433</v>
      </c>
      <c r="N71" s="7" t="s">
        <v>132</v>
      </c>
      <c r="O71" s="7" t="s">
        <v>73</v>
      </c>
      <c r="P71" s="8">
        <v>44700</v>
      </c>
      <c r="Q71" s="7" t="s">
        <v>32</v>
      </c>
      <c r="R71" s="7" t="s">
        <v>33</v>
      </c>
      <c r="S71" s="7" t="s">
        <v>34</v>
      </c>
      <c r="T71" s="7"/>
      <c r="U71" s="7" t="s">
        <v>35</v>
      </c>
      <c r="V71" s="9">
        <v>2500.5300000000002</v>
      </c>
      <c r="W71" s="9">
        <v>1078.23</v>
      </c>
      <c r="X71" s="7">
        <v>995.71</v>
      </c>
      <c r="Y71" s="7">
        <v>0</v>
      </c>
      <c r="Z71" s="7">
        <v>426.59</v>
      </c>
    </row>
    <row r="72" spans="1:26" x14ac:dyDescent="0.35">
      <c r="A72" s="7" t="s">
        <v>27</v>
      </c>
      <c r="B72" s="7" t="s">
        <v>36</v>
      </c>
      <c r="C72" s="7" t="s">
        <v>47</v>
      </c>
      <c r="D72" s="7" t="s">
        <v>48</v>
      </c>
      <c r="E72" s="7" t="s">
        <v>29</v>
      </c>
      <c r="F72" s="7" t="s">
        <v>105</v>
      </c>
      <c r="G72" s="7">
        <v>2021</v>
      </c>
      <c r="H72" s="7" t="str">
        <f>CONCATENATE("14240667031")</f>
        <v>14240667031</v>
      </c>
      <c r="I72" s="7" t="s">
        <v>30</v>
      </c>
      <c r="J72" s="7" t="s">
        <v>31</v>
      </c>
      <c r="K72" s="7" t="str">
        <f>CONCATENATE("")</f>
        <v/>
      </c>
      <c r="L72" s="7" t="str">
        <f>CONCATENATE("11 11.2 4b")</f>
        <v>11 11.2 4b</v>
      </c>
      <c r="M72" s="7" t="str">
        <f>CONCATENATE("TRRMTN76P43E783V")</f>
        <v>TRRMTN76P43E783V</v>
      </c>
      <c r="N72" s="7" t="s">
        <v>133</v>
      </c>
      <c r="O72" s="7" t="s">
        <v>73</v>
      </c>
      <c r="P72" s="8">
        <v>44700</v>
      </c>
      <c r="Q72" s="7" t="s">
        <v>32</v>
      </c>
      <c r="R72" s="7" t="s">
        <v>33</v>
      </c>
      <c r="S72" s="7" t="s">
        <v>34</v>
      </c>
      <c r="T72" s="7"/>
      <c r="U72" s="7" t="s">
        <v>35</v>
      </c>
      <c r="V72" s="7">
        <v>584.39</v>
      </c>
      <c r="W72" s="7">
        <v>251.99</v>
      </c>
      <c r="X72" s="7">
        <v>232.7</v>
      </c>
      <c r="Y72" s="7">
        <v>0</v>
      </c>
      <c r="Z72" s="7">
        <v>99.7</v>
      </c>
    </row>
    <row r="73" spans="1:26" x14ac:dyDescent="0.35">
      <c r="A73" s="7" t="s">
        <v>27</v>
      </c>
      <c r="B73" s="7" t="s">
        <v>36</v>
      </c>
      <c r="C73" s="7" t="s">
        <v>47</v>
      </c>
      <c r="D73" s="7" t="s">
        <v>48</v>
      </c>
      <c r="E73" s="7" t="s">
        <v>38</v>
      </c>
      <c r="F73" s="7" t="s">
        <v>57</v>
      </c>
      <c r="G73" s="7">
        <v>2021</v>
      </c>
      <c r="H73" s="7" t="str">
        <f>CONCATENATE("14240963760")</f>
        <v>14240963760</v>
      </c>
      <c r="I73" s="7" t="s">
        <v>30</v>
      </c>
      <c r="J73" s="7" t="s">
        <v>31</v>
      </c>
      <c r="K73" s="7" t="str">
        <f>CONCATENATE("")</f>
        <v/>
      </c>
      <c r="L73" s="7" t="str">
        <f>CONCATENATE("11 11.2 4b")</f>
        <v>11 11.2 4b</v>
      </c>
      <c r="M73" s="7" t="str">
        <f>CONCATENATE("01641480437")</f>
        <v>01641480437</v>
      </c>
      <c r="N73" s="7" t="s">
        <v>134</v>
      </c>
      <c r="O73" s="7" t="s">
        <v>73</v>
      </c>
      <c r="P73" s="8">
        <v>44700</v>
      </c>
      <c r="Q73" s="7" t="s">
        <v>32</v>
      </c>
      <c r="R73" s="7" t="s">
        <v>33</v>
      </c>
      <c r="S73" s="7" t="s">
        <v>34</v>
      </c>
      <c r="T73" s="7"/>
      <c r="U73" s="7" t="s">
        <v>35</v>
      </c>
      <c r="V73" s="9">
        <v>8551.14</v>
      </c>
      <c r="W73" s="9">
        <v>3687.25</v>
      </c>
      <c r="X73" s="9">
        <v>3405.06</v>
      </c>
      <c r="Y73" s="7">
        <v>0</v>
      </c>
      <c r="Z73" s="9">
        <v>1458.83</v>
      </c>
    </row>
    <row r="74" spans="1:26" x14ac:dyDescent="0.35">
      <c r="A74" s="7" t="s">
        <v>27</v>
      </c>
      <c r="B74" s="7" t="s">
        <v>36</v>
      </c>
      <c r="C74" s="7" t="s">
        <v>47</v>
      </c>
      <c r="D74" s="7" t="s">
        <v>62</v>
      </c>
      <c r="E74" s="7" t="s">
        <v>39</v>
      </c>
      <c r="F74" s="7" t="s">
        <v>135</v>
      </c>
      <c r="G74" s="7">
        <v>2021</v>
      </c>
      <c r="H74" s="7" t="str">
        <f>CONCATENATE("14240350638")</f>
        <v>14240350638</v>
      </c>
      <c r="I74" s="7" t="s">
        <v>30</v>
      </c>
      <c r="J74" s="7" t="s">
        <v>31</v>
      </c>
      <c r="K74" s="7" t="str">
        <f>CONCATENATE("")</f>
        <v/>
      </c>
      <c r="L74" s="7" t="str">
        <f>CONCATENATE("11 11.2 4b")</f>
        <v>11 11.2 4b</v>
      </c>
      <c r="M74" s="7" t="str">
        <f>CONCATENATE("RSRNDA77B66I608L")</f>
        <v>RSRNDA77B66I608L</v>
      </c>
      <c r="N74" s="7" t="s">
        <v>136</v>
      </c>
      <c r="O74" s="7" t="s">
        <v>73</v>
      </c>
      <c r="P74" s="8">
        <v>44700</v>
      </c>
      <c r="Q74" s="7" t="s">
        <v>32</v>
      </c>
      <c r="R74" s="7" t="s">
        <v>33</v>
      </c>
      <c r="S74" s="7" t="s">
        <v>34</v>
      </c>
      <c r="T74" s="7"/>
      <c r="U74" s="7" t="s">
        <v>35</v>
      </c>
      <c r="V74" s="7">
        <v>474.77</v>
      </c>
      <c r="W74" s="7">
        <v>204.72</v>
      </c>
      <c r="X74" s="7">
        <v>189.05</v>
      </c>
      <c r="Y74" s="7">
        <v>0</v>
      </c>
      <c r="Z74" s="7">
        <v>81</v>
      </c>
    </row>
    <row r="75" spans="1:26" x14ac:dyDescent="0.35">
      <c r="A75" s="7" t="s">
        <v>27</v>
      </c>
      <c r="B75" s="7" t="s">
        <v>36</v>
      </c>
      <c r="C75" s="7" t="s">
        <v>47</v>
      </c>
      <c r="D75" s="7" t="s">
        <v>48</v>
      </c>
      <c r="E75" s="7" t="s">
        <v>29</v>
      </c>
      <c r="F75" s="7" t="s">
        <v>137</v>
      </c>
      <c r="G75" s="7">
        <v>2021</v>
      </c>
      <c r="H75" s="7" t="str">
        <f>CONCATENATE("14241738427")</f>
        <v>14241738427</v>
      </c>
      <c r="I75" s="7" t="s">
        <v>30</v>
      </c>
      <c r="J75" s="7" t="s">
        <v>31</v>
      </c>
      <c r="K75" s="7" t="str">
        <f>CONCATENATE("")</f>
        <v/>
      </c>
      <c r="L75" s="7" t="str">
        <f>CONCATENATE("11 11.2 4b")</f>
        <v>11 11.2 4b</v>
      </c>
      <c r="M75" s="7" t="str">
        <f>CONCATENATE("MSCLSN89S13B474V")</f>
        <v>MSCLSN89S13B474V</v>
      </c>
      <c r="N75" s="7" t="s">
        <v>138</v>
      </c>
      <c r="O75" s="7" t="s">
        <v>73</v>
      </c>
      <c r="P75" s="8">
        <v>44700</v>
      </c>
      <c r="Q75" s="7" t="s">
        <v>32</v>
      </c>
      <c r="R75" s="7" t="s">
        <v>33</v>
      </c>
      <c r="S75" s="7" t="s">
        <v>34</v>
      </c>
      <c r="T75" s="7"/>
      <c r="U75" s="7" t="s">
        <v>35</v>
      </c>
      <c r="V75" s="9">
        <v>4391.55</v>
      </c>
      <c r="W75" s="9">
        <v>1893.64</v>
      </c>
      <c r="X75" s="9">
        <v>1748.72</v>
      </c>
      <c r="Y75" s="7">
        <v>0</v>
      </c>
      <c r="Z75" s="7">
        <v>749.19</v>
      </c>
    </row>
    <row r="76" spans="1:26" x14ac:dyDescent="0.35">
      <c r="A76" s="7" t="s">
        <v>27</v>
      </c>
      <c r="B76" s="7" t="s">
        <v>36</v>
      </c>
      <c r="C76" s="7" t="s">
        <v>47</v>
      </c>
      <c r="D76" s="7" t="s">
        <v>62</v>
      </c>
      <c r="E76" s="7" t="s">
        <v>39</v>
      </c>
      <c r="F76" s="7" t="s">
        <v>63</v>
      </c>
      <c r="G76" s="7">
        <v>2021</v>
      </c>
      <c r="H76" s="7" t="str">
        <f>CONCATENATE("14240755380")</f>
        <v>14240755380</v>
      </c>
      <c r="I76" s="7" t="s">
        <v>30</v>
      </c>
      <c r="J76" s="7" t="s">
        <v>31</v>
      </c>
      <c r="K76" s="7" t="str">
        <f>CONCATENATE("")</f>
        <v/>
      </c>
      <c r="L76" s="7" t="str">
        <f>CONCATENATE("11 11.1 4b")</f>
        <v>11 11.1 4b</v>
      </c>
      <c r="M76" s="7" t="str">
        <f>CONCATENATE("MRCMHL92B25E388A")</f>
        <v>MRCMHL92B25E388A</v>
      </c>
      <c r="N76" s="7" t="s">
        <v>139</v>
      </c>
      <c r="O76" s="7" t="s">
        <v>73</v>
      </c>
      <c r="P76" s="8">
        <v>44700</v>
      </c>
      <c r="Q76" s="7" t="s">
        <v>32</v>
      </c>
      <c r="R76" s="7" t="s">
        <v>33</v>
      </c>
      <c r="S76" s="7" t="s">
        <v>34</v>
      </c>
      <c r="T76" s="7"/>
      <c r="U76" s="7" t="s">
        <v>35</v>
      </c>
      <c r="V76" s="7">
        <v>842.86</v>
      </c>
      <c r="W76" s="7">
        <v>363.44</v>
      </c>
      <c r="X76" s="7">
        <v>335.63</v>
      </c>
      <c r="Y76" s="7">
        <v>0</v>
      </c>
      <c r="Z76" s="7">
        <v>143.79</v>
      </c>
    </row>
    <row r="77" spans="1:26" x14ac:dyDescent="0.35">
      <c r="A77" s="7" t="s">
        <v>27</v>
      </c>
      <c r="B77" s="7" t="s">
        <v>36</v>
      </c>
      <c r="C77" s="7" t="s">
        <v>47</v>
      </c>
      <c r="D77" s="7" t="s">
        <v>51</v>
      </c>
      <c r="E77" s="7" t="s">
        <v>38</v>
      </c>
      <c r="F77" s="7" t="s">
        <v>118</v>
      </c>
      <c r="G77" s="7">
        <v>2021</v>
      </c>
      <c r="H77" s="7" t="str">
        <f>CONCATENATE("14240700196")</f>
        <v>14240700196</v>
      </c>
      <c r="I77" s="7" t="s">
        <v>40</v>
      </c>
      <c r="J77" s="7" t="s">
        <v>31</v>
      </c>
      <c r="K77" s="7" t="str">
        <f>CONCATENATE("")</f>
        <v/>
      </c>
      <c r="L77" s="7" t="str">
        <f>CONCATENATE("11 11.1 4b")</f>
        <v>11 11.1 4b</v>
      </c>
      <c r="M77" s="7" t="str">
        <f>CONCATENATE("SCCMTR96L43L500Z")</f>
        <v>SCCMTR96L43L500Z</v>
      </c>
      <c r="N77" s="7" t="s">
        <v>140</v>
      </c>
      <c r="O77" s="7" t="s">
        <v>73</v>
      </c>
      <c r="P77" s="8">
        <v>44700</v>
      </c>
      <c r="Q77" s="7" t="s">
        <v>32</v>
      </c>
      <c r="R77" s="7" t="s">
        <v>33</v>
      </c>
      <c r="S77" s="7" t="s">
        <v>34</v>
      </c>
      <c r="T77" s="7"/>
      <c r="U77" s="7" t="s">
        <v>35</v>
      </c>
      <c r="V77" s="7">
        <v>240.08</v>
      </c>
      <c r="W77" s="7">
        <v>103.52</v>
      </c>
      <c r="X77" s="7">
        <v>95.6</v>
      </c>
      <c r="Y77" s="7">
        <v>0</v>
      </c>
      <c r="Z77" s="7">
        <v>40.96</v>
      </c>
    </row>
    <row r="78" spans="1:26" x14ac:dyDescent="0.35">
      <c r="A78" s="7" t="s">
        <v>27</v>
      </c>
      <c r="B78" s="7" t="s">
        <v>36</v>
      </c>
      <c r="C78" s="7" t="s">
        <v>47</v>
      </c>
      <c r="D78" s="7" t="s">
        <v>51</v>
      </c>
      <c r="E78" s="7" t="s">
        <v>38</v>
      </c>
      <c r="F78" s="7" t="s">
        <v>118</v>
      </c>
      <c r="G78" s="7">
        <v>2021</v>
      </c>
      <c r="H78" s="7" t="str">
        <f>CONCATENATE("14240702945")</f>
        <v>14240702945</v>
      </c>
      <c r="I78" s="7" t="s">
        <v>40</v>
      </c>
      <c r="J78" s="7" t="s">
        <v>31</v>
      </c>
      <c r="K78" s="7" t="str">
        <f>CONCATENATE("")</f>
        <v/>
      </c>
      <c r="L78" s="7" t="str">
        <f>CONCATENATE("11 11.2 4b")</f>
        <v>11 11.2 4b</v>
      </c>
      <c r="M78" s="7" t="str">
        <f>CONCATENATE("BGTLRN59D48G089K")</f>
        <v>BGTLRN59D48G089K</v>
      </c>
      <c r="N78" s="7" t="s">
        <v>141</v>
      </c>
      <c r="O78" s="7" t="s">
        <v>73</v>
      </c>
      <c r="P78" s="8">
        <v>44700</v>
      </c>
      <c r="Q78" s="7" t="s">
        <v>32</v>
      </c>
      <c r="R78" s="7" t="s">
        <v>33</v>
      </c>
      <c r="S78" s="7" t="s">
        <v>34</v>
      </c>
      <c r="T78" s="7"/>
      <c r="U78" s="7" t="s">
        <v>35</v>
      </c>
      <c r="V78" s="7">
        <v>55.3</v>
      </c>
      <c r="W78" s="7">
        <v>23.85</v>
      </c>
      <c r="X78" s="7">
        <v>22.02</v>
      </c>
      <c r="Y78" s="7">
        <v>0</v>
      </c>
      <c r="Z78" s="7">
        <v>9.43</v>
      </c>
    </row>
    <row r="79" spans="1:26" ht="17.5" x14ac:dyDescent="0.35">
      <c r="A79" s="7" t="s">
        <v>27</v>
      </c>
      <c r="B79" s="7" t="s">
        <v>36</v>
      </c>
      <c r="C79" s="7" t="s">
        <v>47</v>
      </c>
      <c r="D79" s="7" t="s">
        <v>48</v>
      </c>
      <c r="E79" s="7" t="s">
        <v>38</v>
      </c>
      <c r="F79" s="7" t="s">
        <v>81</v>
      </c>
      <c r="G79" s="7">
        <v>2021</v>
      </c>
      <c r="H79" s="7" t="str">
        <f>CONCATENATE("14240561440")</f>
        <v>14240561440</v>
      </c>
      <c r="I79" s="7" t="s">
        <v>30</v>
      </c>
      <c r="J79" s="7" t="s">
        <v>31</v>
      </c>
      <c r="K79" s="7" t="str">
        <f>CONCATENATE("")</f>
        <v/>
      </c>
      <c r="L79" s="7" t="str">
        <f>CONCATENATE("11 11.2 4b")</f>
        <v>11 11.2 4b</v>
      </c>
      <c r="M79" s="7" t="str">
        <f>CONCATENATE("01797880430")</f>
        <v>01797880430</v>
      </c>
      <c r="N79" s="7" t="s">
        <v>142</v>
      </c>
      <c r="O79" s="7" t="s">
        <v>73</v>
      </c>
      <c r="P79" s="8">
        <v>44700</v>
      </c>
      <c r="Q79" s="7" t="s">
        <v>32</v>
      </c>
      <c r="R79" s="7" t="s">
        <v>33</v>
      </c>
      <c r="S79" s="7" t="s">
        <v>34</v>
      </c>
      <c r="T79" s="7"/>
      <c r="U79" s="7" t="s">
        <v>35</v>
      </c>
      <c r="V79" s="9">
        <v>1880.56</v>
      </c>
      <c r="W79" s="7">
        <v>810.9</v>
      </c>
      <c r="X79" s="7">
        <v>748.84</v>
      </c>
      <c r="Y79" s="7">
        <v>0</v>
      </c>
      <c r="Z79" s="7">
        <v>320.82</v>
      </c>
    </row>
    <row r="80" spans="1:26" x14ac:dyDescent="0.35">
      <c r="A80" s="7" t="s">
        <v>27</v>
      </c>
      <c r="B80" s="7" t="s">
        <v>36</v>
      </c>
      <c r="C80" s="7" t="s">
        <v>47</v>
      </c>
      <c r="D80" s="7" t="s">
        <v>48</v>
      </c>
      <c r="E80" s="7" t="s">
        <v>38</v>
      </c>
      <c r="F80" s="7" t="s">
        <v>81</v>
      </c>
      <c r="G80" s="7">
        <v>2021</v>
      </c>
      <c r="H80" s="7" t="str">
        <f>CONCATENATE("14240668583")</f>
        <v>14240668583</v>
      </c>
      <c r="I80" s="7" t="s">
        <v>30</v>
      </c>
      <c r="J80" s="7" t="s">
        <v>31</v>
      </c>
      <c r="K80" s="7" t="str">
        <f>CONCATENATE("")</f>
        <v/>
      </c>
      <c r="L80" s="7" t="str">
        <f>CONCATENATE("11 11.2 4b")</f>
        <v>11 11.2 4b</v>
      </c>
      <c r="M80" s="7" t="str">
        <f>CONCATENATE("LCRLGU34T31E228O")</f>
        <v>LCRLGU34T31E228O</v>
      </c>
      <c r="N80" s="7" t="s">
        <v>143</v>
      </c>
      <c r="O80" s="7" t="s">
        <v>73</v>
      </c>
      <c r="P80" s="8">
        <v>44700</v>
      </c>
      <c r="Q80" s="7" t="s">
        <v>32</v>
      </c>
      <c r="R80" s="7" t="s">
        <v>33</v>
      </c>
      <c r="S80" s="7" t="s">
        <v>34</v>
      </c>
      <c r="T80" s="7"/>
      <c r="U80" s="7" t="s">
        <v>35</v>
      </c>
      <c r="V80" s="9">
        <v>6030.02</v>
      </c>
      <c r="W80" s="9">
        <v>2600.14</v>
      </c>
      <c r="X80" s="9">
        <v>2401.15</v>
      </c>
      <c r="Y80" s="7">
        <v>0</v>
      </c>
      <c r="Z80" s="9">
        <v>1028.73</v>
      </c>
    </row>
    <row r="81" spans="1:26" x14ac:dyDescent="0.35">
      <c r="A81" s="7" t="s">
        <v>27</v>
      </c>
      <c r="B81" s="7" t="s">
        <v>36</v>
      </c>
      <c r="C81" s="7" t="s">
        <v>47</v>
      </c>
      <c r="D81" s="7" t="s">
        <v>94</v>
      </c>
      <c r="E81" s="7" t="s">
        <v>38</v>
      </c>
      <c r="F81" s="7" t="s">
        <v>144</v>
      </c>
      <c r="G81" s="7">
        <v>2021</v>
      </c>
      <c r="H81" s="7" t="str">
        <f>CONCATENATE("14240963638")</f>
        <v>14240963638</v>
      </c>
      <c r="I81" s="7" t="s">
        <v>30</v>
      </c>
      <c r="J81" s="7" t="s">
        <v>31</v>
      </c>
      <c r="K81" s="7" t="str">
        <f>CONCATENATE("")</f>
        <v/>
      </c>
      <c r="L81" s="7" t="str">
        <f>CONCATENATE("11 11.2 4b")</f>
        <v>11 11.2 4b</v>
      </c>
      <c r="M81" s="7" t="str">
        <f>CONCATENATE("CNCGLN51B64C901U")</f>
        <v>CNCGLN51B64C901U</v>
      </c>
      <c r="N81" s="7" t="s">
        <v>145</v>
      </c>
      <c r="O81" s="7" t="s">
        <v>73</v>
      </c>
      <c r="P81" s="8">
        <v>44700</v>
      </c>
      <c r="Q81" s="7" t="s">
        <v>32</v>
      </c>
      <c r="R81" s="7" t="s">
        <v>33</v>
      </c>
      <c r="S81" s="7" t="s">
        <v>34</v>
      </c>
      <c r="T81" s="7"/>
      <c r="U81" s="7" t="s">
        <v>35</v>
      </c>
      <c r="V81" s="7">
        <v>794.99</v>
      </c>
      <c r="W81" s="7">
        <v>342.8</v>
      </c>
      <c r="X81" s="7">
        <v>316.57</v>
      </c>
      <c r="Y81" s="7">
        <v>0</v>
      </c>
      <c r="Z81" s="7">
        <v>135.62</v>
      </c>
    </row>
    <row r="82" spans="1:26" ht="17.5" x14ac:dyDescent="0.35">
      <c r="A82" s="7" t="s">
        <v>27</v>
      </c>
      <c r="B82" s="7" t="s">
        <v>36</v>
      </c>
      <c r="C82" s="7" t="s">
        <v>47</v>
      </c>
      <c r="D82" s="7" t="s">
        <v>48</v>
      </c>
      <c r="E82" s="7" t="s">
        <v>38</v>
      </c>
      <c r="F82" s="7" t="s">
        <v>57</v>
      </c>
      <c r="G82" s="7">
        <v>2021</v>
      </c>
      <c r="H82" s="7" t="str">
        <f>CONCATENATE("14240842444")</f>
        <v>14240842444</v>
      </c>
      <c r="I82" s="7" t="s">
        <v>30</v>
      </c>
      <c r="J82" s="7" t="s">
        <v>31</v>
      </c>
      <c r="K82" s="7" t="str">
        <f>CONCATENATE("")</f>
        <v/>
      </c>
      <c r="L82" s="7" t="str">
        <f>CONCATENATE("11 11.1 4b")</f>
        <v>11 11.1 4b</v>
      </c>
      <c r="M82" s="7" t="str">
        <f>CONCATENATE("01941070433")</f>
        <v>01941070433</v>
      </c>
      <c r="N82" s="7" t="s">
        <v>146</v>
      </c>
      <c r="O82" s="7" t="s">
        <v>73</v>
      </c>
      <c r="P82" s="8">
        <v>44700</v>
      </c>
      <c r="Q82" s="7" t="s">
        <v>32</v>
      </c>
      <c r="R82" s="7" t="s">
        <v>33</v>
      </c>
      <c r="S82" s="7" t="s">
        <v>34</v>
      </c>
      <c r="T82" s="7"/>
      <c r="U82" s="7" t="s">
        <v>35</v>
      </c>
      <c r="V82" s="7">
        <v>673.06</v>
      </c>
      <c r="W82" s="7">
        <v>290.22000000000003</v>
      </c>
      <c r="X82" s="7">
        <v>268.01</v>
      </c>
      <c r="Y82" s="7">
        <v>0</v>
      </c>
      <c r="Z82" s="7">
        <v>114.83</v>
      </c>
    </row>
    <row r="83" spans="1:26" ht="17.5" x14ac:dyDescent="0.35">
      <c r="A83" s="7" t="s">
        <v>27</v>
      </c>
      <c r="B83" s="7" t="s">
        <v>36</v>
      </c>
      <c r="C83" s="7" t="s">
        <v>47</v>
      </c>
      <c r="D83" s="7" t="s">
        <v>94</v>
      </c>
      <c r="E83" s="7" t="s">
        <v>38</v>
      </c>
      <c r="F83" s="7" t="s">
        <v>147</v>
      </c>
      <c r="G83" s="7">
        <v>2021</v>
      </c>
      <c r="H83" s="7" t="str">
        <f>CONCATENATE("14241090571")</f>
        <v>14241090571</v>
      </c>
      <c r="I83" s="7" t="s">
        <v>30</v>
      </c>
      <c r="J83" s="7" t="s">
        <v>31</v>
      </c>
      <c r="K83" s="7" t="str">
        <f>CONCATENATE("")</f>
        <v/>
      </c>
      <c r="L83" s="7" t="str">
        <f>CONCATENATE("14 14.1 3a")</f>
        <v>14 14.1 3a</v>
      </c>
      <c r="M83" s="7" t="str">
        <f>CONCATENATE("02274900444")</f>
        <v>02274900444</v>
      </c>
      <c r="N83" s="7" t="s">
        <v>148</v>
      </c>
      <c r="O83" s="7" t="s">
        <v>109</v>
      </c>
      <c r="P83" s="8">
        <v>44701</v>
      </c>
      <c r="Q83" s="7" t="s">
        <v>32</v>
      </c>
      <c r="R83" s="7" t="s">
        <v>33</v>
      </c>
      <c r="S83" s="7" t="s">
        <v>34</v>
      </c>
      <c r="T83" s="7"/>
      <c r="U83" s="7" t="s">
        <v>35</v>
      </c>
      <c r="V83" s="9">
        <v>1446</v>
      </c>
      <c r="W83" s="7">
        <v>623.52</v>
      </c>
      <c r="X83" s="7">
        <v>575.79999999999995</v>
      </c>
      <c r="Y83" s="7">
        <v>0</v>
      </c>
      <c r="Z83" s="7">
        <v>246.68</v>
      </c>
    </row>
    <row r="84" spans="1:26" x14ac:dyDescent="0.35">
      <c r="A84" s="7" t="s">
        <v>27</v>
      </c>
      <c r="B84" s="7" t="s">
        <v>36</v>
      </c>
      <c r="C84" s="7" t="s">
        <v>47</v>
      </c>
      <c r="D84" s="7" t="s">
        <v>51</v>
      </c>
      <c r="E84" s="7" t="s">
        <v>39</v>
      </c>
      <c r="F84" s="7" t="s">
        <v>149</v>
      </c>
      <c r="G84" s="7">
        <v>2021</v>
      </c>
      <c r="H84" s="7" t="str">
        <f>CONCATENATE("14241081000")</f>
        <v>14241081000</v>
      </c>
      <c r="I84" s="7" t="s">
        <v>40</v>
      </c>
      <c r="J84" s="7" t="s">
        <v>31</v>
      </c>
      <c r="K84" s="7" t="str">
        <f>CONCATENATE("")</f>
        <v/>
      </c>
      <c r="L84" s="7" t="str">
        <f>CONCATENATE("11 11.2 4b")</f>
        <v>11 11.2 4b</v>
      </c>
      <c r="M84" s="7" t="str">
        <f>CONCATENATE("BRNMRC71P12F347P")</f>
        <v>BRNMRC71P12F347P</v>
      </c>
      <c r="N84" s="7" t="s">
        <v>150</v>
      </c>
      <c r="O84" s="7" t="s">
        <v>73</v>
      </c>
      <c r="P84" s="8">
        <v>44700</v>
      </c>
      <c r="Q84" s="7" t="s">
        <v>32</v>
      </c>
      <c r="R84" s="7" t="s">
        <v>33</v>
      </c>
      <c r="S84" s="7" t="s">
        <v>34</v>
      </c>
      <c r="T84" s="7"/>
      <c r="U84" s="7" t="s">
        <v>35</v>
      </c>
      <c r="V84" s="7">
        <v>178.14</v>
      </c>
      <c r="W84" s="7">
        <v>76.81</v>
      </c>
      <c r="X84" s="7">
        <v>70.94</v>
      </c>
      <c r="Y84" s="7">
        <v>0</v>
      </c>
      <c r="Z84" s="7">
        <v>30.39</v>
      </c>
    </row>
    <row r="85" spans="1:26" x14ac:dyDescent="0.35">
      <c r="A85" s="7" t="s">
        <v>27</v>
      </c>
      <c r="B85" s="7" t="s">
        <v>36</v>
      </c>
      <c r="C85" s="7" t="s">
        <v>47</v>
      </c>
      <c r="D85" s="7" t="s">
        <v>48</v>
      </c>
      <c r="E85" s="7" t="s">
        <v>38</v>
      </c>
      <c r="F85" s="7" t="s">
        <v>151</v>
      </c>
      <c r="G85" s="7">
        <v>2021</v>
      </c>
      <c r="H85" s="7" t="str">
        <f>CONCATENATE("14240801150")</f>
        <v>14240801150</v>
      </c>
      <c r="I85" s="7" t="s">
        <v>40</v>
      </c>
      <c r="J85" s="7" t="s">
        <v>31</v>
      </c>
      <c r="K85" s="7" t="str">
        <f>CONCATENATE("")</f>
        <v/>
      </c>
      <c r="L85" s="7" t="str">
        <f>CONCATENATE("11 11.2 4b")</f>
        <v>11 11.2 4b</v>
      </c>
      <c r="M85" s="7" t="str">
        <f>CONCATENATE("RZOWTR88E06E783C")</f>
        <v>RZOWTR88E06E783C</v>
      </c>
      <c r="N85" s="7" t="s">
        <v>152</v>
      </c>
      <c r="O85" s="7" t="s">
        <v>73</v>
      </c>
      <c r="P85" s="8">
        <v>44700</v>
      </c>
      <c r="Q85" s="7" t="s">
        <v>32</v>
      </c>
      <c r="R85" s="7" t="s">
        <v>33</v>
      </c>
      <c r="S85" s="7" t="s">
        <v>34</v>
      </c>
      <c r="T85" s="7"/>
      <c r="U85" s="7" t="s">
        <v>35</v>
      </c>
      <c r="V85" s="7">
        <v>504.92</v>
      </c>
      <c r="W85" s="7">
        <v>217.72</v>
      </c>
      <c r="X85" s="7">
        <v>201.06</v>
      </c>
      <c r="Y85" s="7">
        <v>0</v>
      </c>
      <c r="Z85" s="7">
        <v>86.14</v>
      </c>
    </row>
    <row r="86" spans="1:26" x14ac:dyDescent="0.35">
      <c r="A86" s="7" t="s">
        <v>27</v>
      </c>
      <c r="B86" s="7" t="s">
        <v>36</v>
      </c>
      <c r="C86" s="7" t="s">
        <v>47</v>
      </c>
      <c r="D86" s="7" t="s">
        <v>48</v>
      </c>
      <c r="E86" s="7" t="s">
        <v>38</v>
      </c>
      <c r="F86" s="7" t="s">
        <v>151</v>
      </c>
      <c r="G86" s="7">
        <v>2021</v>
      </c>
      <c r="H86" s="7" t="str">
        <f>CONCATENATE("14240801127")</f>
        <v>14240801127</v>
      </c>
      <c r="I86" s="7" t="s">
        <v>40</v>
      </c>
      <c r="J86" s="7" t="s">
        <v>31</v>
      </c>
      <c r="K86" s="7" t="str">
        <f>CONCATENATE("")</f>
        <v/>
      </c>
      <c r="L86" s="7" t="str">
        <f>CONCATENATE("11 11.2 4b")</f>
        <v>11 11.2 4b</v>
      </c>
      <c r="M86" s="7" t="str">
        <f>CONCATENATE("RZOWTR88E06E783C")</f>
        <v>RZOWTR88E06E783C</v>
      </c>
      <c r="N86" s="7" t="s">
        <v>152</v>
      </c>
      <c r="O86" s="7" t="s">
        <v>73</v>
      </c>
      <c r="P86" s="8">
        <v>44700</v>
      </c>
      <c r="Q86" s="7" t="s">
        <v>32</v>
      </c>
      <c r="R86" s="7" t="s">
        <v>33</v>
      </c>
      <c r="S86" s="7" t="s">
        <v>34</v>
      </c>
      <c r="T86" s="7"/>
      <c r="U86" s="7" t="s">
        <v>35</v>
      </c>
      <c r="V86" s="9">
        <v>2543.0500000000002</v>
      </c>
      <c r="W86" s="9">
        <v>1096.56</v>
      </c>
      <c r="X86" s="9">
        <v>1012.64</v>
      </c>
      <c r="Y86" s="7">
        <v>0</v>
      </c>
      <c r="Z86" s="7">
        <v>433.85</v>
      </c>
    </row>
    <row r="87" spans="1:26" x14ac:dyDescent="0.35">
      <c r="A87" s="7" t="s">
        <v>27</v>
      </c>
      <c r="B87" s="7" t="s">
        <v>36</v>
      </c>
      <c r="C87" s="7" t="s">
        <v>47</v>
      </c>
      <c r="D87" s="7" t="s">
        <v>94</v>
      </c>
      <c r="E87" s="7" t="s">
        <v>38</v>
      </c>
      <c r="F87" s="7" t="s">
        <v>144</v>
      </c>
      <c r="G87" s="7">
        <v>2021</v>
      </c>
      <c r="H87" s="7" t="str">
        <f>CONCATENATE("14240475898")</f>
        <v>14240475898</v>
      </c>
      <c r="I87" s="7" t="s">
        <v>30</v>
      </c>
      <c r="J87" s="7" t="s">
        <v>31</v>
      </c>
      <c r="K87" s="7" t="str">
        <f>CONCATENATE("")</f>
        <v/>
      </c>
      <c r="L87" s="7" t="str">
        <f>CONCATENATE("11 11.2 4b")</f>
        <v>11 11.2 4b</v>
      </c>
      <c r="M87" s="7" t="str">
        <f>CONCATENATE("01186180442")</f>
        <v>01186180442</v>
      </c>
      <c r="N87" s="7" t="s">
        <v>153</v>
      </c>
      <c r="O87" s="7" t="s">
        <v>73</v>
      </c>
      <c r="P87" s="8">
        <v>44700</v>
      </c>
      <c r="Q87" s="7" t="s">
        <v>32</v>
      </c>
      <c r="R87" s="7" t="s">
        <v>33</v>
      </c>
      <c r="S87" s="7" t="s">
        <v>34</v>
      </c>
      <c r="T87" s="7"/>
      <c r="U87" s="7" t="s">
        <v>35</v>
      </c>
      <c r="V87" s="7">
        <v>497.81</v>
      </c>
      <c r="W87" s="7">
        <v>214.66</v>
      </c>
      <c r="X87" s="7">
        <v>198.23</v>
      </c>
      <c r="Y87" s="7">
        <v>0</v>
      </c>
      <c r="Z87" s="7">
        <v>84.92</v>
      </c>
    </row>
    <row r="88" spans="1:26" x14ac:dyDescent="0.35">
      <c r="A88" s="7" t="s">
        <v>27</v>
      </c>
      <c r="B88" s="7" t="s">
        <v>36</v>
      </c>
      <c r="C88" s="7" t="s">
        <v>47</v>
      </c>
      <c r="D88" s="7" t="s">
        <v>94</v>
      </c>
      <c r="E88" s="7" t="s">
        <v>38</v>
      </c>
      <c r="F88" s="7" t="s">
        <v>144</v>
      </c>
      <c r="G88" s="7">
        <v>2021</v>
      </c>
      <c r="H88" s="7" t="str">
        <f>CONCATENATE("14241383232")</f>
        <v>14241383232</v>
      </c>
      <c r="I88" s="7" t="s">
        <v>40</v>
      </c>
      <c r="J88" s="7" t="s">
        <v>31</v>
      </c>
      <c r="K88" s="7" t="str">
        <f>CONCATENATE("")</f>
        <v/>
      </c>
      <c r="L88" s="7" t="str">
        <f>CONCATENATE("11 11.2 4b")</f>
        <v>11 11.2 4b</v>
      </c>
      <c r="M88" s="7" t="str">
        <f>CONCATENATE("RLAMRN82M13A252L")</f>
        <v>RLAMRN82M13A252L</v>
      </c>
      <c r="N88" s="7" t="s">
        <v>154</v>
      </c>
      <c r="O88" s="7" t="s">
        <v>73</v>
      </c>
      <c r="P88" s="8">
        <v>44700</v>
      </c>
      <c r="Q88" s="7" t="s">
        <v>32</v>
      </c>
      <c r="R88" s="7" t="s">
        <v>33</v>
      </c>
      <c r="S88" s="7" t="s">
        <v>34</v>
      </c>
      <c r="T88" s="7"/>
      <c r="U88" s="7" t="s">
        <v>35</v>
      </c>
      <c r="V88" s="7">
        <v>453.35</v>
      </c>
      <c r="W88" s="7">
        <v>195.48</v>
      </c>
      <c r="X88" s="7">
        <v>180.52</v>
      </c>
      <c r="Y88" s="7">
        <v>0</v>
      </c>
      <c r="Z88" s="7">
        <v>77.349999999999994</v>
      </c>
    </row>
    <row r="89" spans="1:26" x14ac:dyDescent="0.35">
      <c r="A89" s="7" t="s">
        <v>27</v>
      </c>
      <c r="B89" s="7" t="s">
        <v>36</v>
      </c>
      <c r="C89" s="7" t="s">
        <v>47</v>
      </c>
      <c r="D89" s="7" t="s">
        <v>48</v>
      </c>
      <c r="E89" s="7" t="s">
        <v>38</v>
      </c>
      <c r="F89" s="7" t="s">
        <v>57</v>
      </c>
      <c r="G89" s="7">
        <v>2021</v>
      </c>
      <c r="H89" s="7" t="str">
        <f>CONCATENATE("14241151159")</f>
        <v>14241151159</v>
      </c>
      <c r="I89" s="7" t="s">
        <v>40</v>
      </c>
      <c r="J89" s="7" t="s">
        <v>31</v>
      </c>
      <c r="K89" s="7" t="str">
        <f>CONCATENATE("")</f>
        <v/>
      </c>
      <c r="L89" s="7" t="str">
        <f>CONCATENATE("11 11.2 4b")</f>
        <v>11 11.2 4b</v>
      </c>
      <c r="M89" s="7" t="str">
        <f>CONCATENATE("MCCMRC92C06D653Q")</f>
        <v>MCCMRC92C06D653Q</v>
      </c>
      <c r="N89" s="7" t="s">
        <v>155</v>
      </c>
      <c r="O89" s="7" t="s">
        <v>73</v>
      </c>
      <c r="P89" s="8">
        <v>44700</v>
      </c>
      <c r="Q89" s="7" t="s">
        <v>32</v>
      </c>
      <c r="R89" s="7" t="s">
        <v>33</v>
      </c>
      <c r="S89" s="7" t="s">
        <v>34</v>
      </c>
      <c r="T89" s="7"/>
      <c r="U89" s="7" t="s">
        <v>35</v>
      </c>
      <c r="V89" s="9">
        <v>1951.65</v>
      </c>
      <c r="W89" s="7">
        <v>841.55</v>
      </c>
      <c r="X89" s="7">
        <v>777.15</v>
      </c>
      <c r="Y89" s="7">
        <v>0</v>
      </c>
      <c r="Z89" s="7">
        <v>332.95</v>
      </c>
    </row>
    <row r="90" spans="1:26" ht="17.5" x14ac:dyDescent="0.35">
      <c r="A90" s="7" t="s">
        <v>27</v>
      </c>
      <c r="B90" s="7" t="s">
        <v>36</v>
      </c>
      <c r="C90" s="7" t="s">
        <v>47</v>
      </c>
      <c r="D90" s="7" t="s">
        <v>48</v>
      </c>
      <c r="E90" s="7" t="s">
        <v>38</v>
      </c>
      <c r="F90" s="7" t="s">
        <v>57</v>
      </c>
      <c r="G90" s="7">
        <v>2021</v>
      </c>
      <c r="H90" s="7" t="str">
        <f>CONCATENATE("14241157032")</f>
        <v>14241157032</v>
      </c>
      <c r="I90" s="7" t="s">
        <v>40</v>
      </c>
      <c r="J90" s="7" t="s">
        <v>31</v>
      </c>
      <c r="K90" s="7" t="str">
        <f>CONCATENATE("")</f>
        <v/>
      </c>
      <c r="L90" s="7" t="str">
        <f>CONCATENATE("11 11.2 4b")</f>
        <v>11 11.2 4b</v>
      </c>
      <c r="M90" s="7" t="str">
        <f>CONCATENATE("01931040438")</f>
        <v>01931040438</v>
      </c>
      <c r="N90" s="7" t="s">
        <v>156</v>
      </c>
      <c r="O90" s="7" t="s">
        <v>73</v>
      </c>
      <c r="P90" s="8">
        <v>44700</v>
      </c>
      <c r="Q90" s="7" t="s">
        <v>32</v>
      </c>
      <c r="R90" s="7" t="s">
        <v>33</v>
      </c>
      <c r="S90" s="7" t="s">
        <v>34</v>
      </c>
      <c r="T90" s="7"/>
      <c r="U90" s="7" t="s">
        <v>35</v>
      </c>
      <c r="V90" s="7">
        <v>977.99</v>
      </c>
      <c r="W90" s="7">
        <v>421.71</v>
      </c>
      <c r="X90" s="7">
        <v>389.44</v>
      </c>
      <c r="Y90" s="7">
        <v>0</v>
      </c>
      <c r="Z90" s="7">
        <v>166.84</v>
      </c>
    </row>
    <row r="91" spans="1:26" x14ac:dyDescent="0.35">
      <c r="A91" s="7" t="s">
        <v>27</v>
      </c>
      <c r="B91" s="7" t="s">
        <v>36</v>
      </c>
      <c r="C91" s="7" t="s">
        <v>47</v>
      </c>
      <c r="D91" s="7" t="s">
        <v>48</v>
      </c>
      <c r="E91" s="7" t="s">
        <v>29</v>
      </c>
      <c r="F91" s="7" t="s">
        <v>105</v>
      </c>
      <c r="G91" s="7">
        <v>2021</v>
      </c>
      <c r="H91" s="7" t="str">
        <f>CONCATENATE("14240931429")</f>
        <v>14240931429</v>
      </c>
      <c r="I91" s="7" t="s">
        <v>40</v>
      </c>
      <c r="J91" s="7" t="s">
        <v>31</v>
      </c>
      <c r="K91" s="7" t="str">
        <f>CONCATENATE("")</f>
        <v/>
      </c>
      <c r="L91" s="7" t="str">
        <f>CONCATENATE("11 11.2 4b")</f>
        <v>11 11.2 4b</v>
      </c>
      <c r="M91" s="7" t="str">
        <f>CONCATENATE("RNZRLA65D09B474J")</f>
        <v>RNZRLA65D09B474J</v>
      </c>
      <c r="N91" s="7" t="s">
        <v>157</v>
      </c>
      <c r="O91" s="7" t="s">
        <v>73</v>
      </c>
      <c r="P91" s="8">
        <v>44700</v>
      </c>
      <c r="Q91" s="7" t="s">
        <v>32</v>
      </c>
      <c r="R91" s="7" t="s">
        <v>33</v>
      </c>
      <c r="S91" s="7" t="s">
        <v>34</v>
      </c>
      <c r="T91" s="7"/>
      <c r="U91" s="7" t="s">
        <v>35</v>
      </c>
      <c r="V91" s="7">
        <v>203.67</v>
      </c>
      <c r="W91" s="7">
        <v>87.82</v>
      </c>
      <c r="X91" s="7">
        <v>81.099999999999994</v>
      </c>
      <c r="Y91" s="7">
        <v>0</v>
      </c>
      <c r="Z91" s="7">
        <v>34.75</v>
      </c>
    </row>
    <row r="92" spans="1:26" x14ac:dyDescent="0.35">
      <c r="A92" s="7" t="s">
        <v>27</v>
      </c>
      <c r="B92" s="7" t="s">
        <v>36</v>
      </c>
      <c r="C92" s="7" t="s">
        <v>47</v>
      </c>
      <c r="D92" s="7" t="s">
        <v>51</v>
      </c>
      <c r="E92" s="7" t="s">
        <v>29</v>
      </c>
      <c r="F92" s="7" t="s">
        <v>158</v>
      </c>
      <c r="G92" s="7">
        <v>2021</v>
      </c>
      <c r="H92" s="7" t="str">
        <f>CONCATENATE("14241738146")</f>
        <v>14241738146</v>
      </c>
      <c r="I92" s="7" t="s">
        <v>30</v>
      </c>
      <c r="J92" s="7" t="s">
        <v>31</v>
      </c>
      <c r="K92" s="7" t="str">
        <f>CONCATENATE("")</f>
        <v/>
      </c>
      <c r="L92" s="7" t="str">
        <f>CONCATENATE("11 11.1 4b")</f>
        <v>11 11.1 4b</v>
      </c>
      <c r="M92" s="7" t="str">
        <f>CONCATENATE("BRCMRA54R16H949G")</f>
        <v>BRCMRA54R16H949G</v>
      </c>
      <c r="N92" s="7" t="s">
        <v>159</v>
      </c>
      <c r="O92" s="7" t="s">
        <v>73</v>
      </c>
      <c r="P92" s="8">
        <v>44700</v>
      </c>
      <c r="Q92" s="7" t="s">
        <v>32</v>
      </c>
      <c r="R92" s="7" t="s">
        <v>33</v>
      </c>
      <c r="S92" s="7" t="s">
        <v>34</v>
      </c>
      <c r="T92" s="7"/>
      <c r="U92" s="7" t="s">
        <v>35</v>
      </c>
      <c r="V92" s="9">
        <v>5994.85</v>
      </c>
      <c r="W92" s="9">
        <v>2584.98</v>
      </c>
      <c r="X92" s="9">
        <v>2387.15</v>
      </c>
      <c r="Y92" s="7">
        <v>0</v>
      </c>
      <c r="Z92" s="9">
        <v>1022.72</v>
      </c>
    </row>
    <row r="93" spans="1:26" x14ac:dyDescent="0.35">
      <c r="A93" s="7" t="s">
        <v>27</v>
      </c>
      <c r="B93" s="7" t="s">
        <v>36</v>
      </c>
      <c r="C93" s="7" t="s">
        <v>47</v>
      </c>
      <c r="D93" s="7" t="s">
        <v>48</v>
      </c>
      <c r="E93" s="7" t="s">
        <v>38</v>
      </c>
      <c r="F93" s="7" t="s">
        <v>81</v>
      </c>
      <c r="G93" s="7">
        <v>2021</v>
      </c>
      <c r="H93" s="7" t="str">
        <f>CONCATENATE("14241369470")</f>
        <v>14241369470</v>
      </c>
      <c r="I93" s="7" t="s">
        <v>30</v>
      </c>
      <c r="J93" s="7" t="s">
        <v>31</v>
      </c>
      <c r="K93" s="7" t="str">
        <f>CONCATENATE("")</f>
        <v/>
      </c>
      <c r="L93" s="7" t="str">
        <f>CONCATENATE("11 11.2 4b")</f>
        <v>11 11.2 4b</v>
      </c>
      <c r="M93" s="7" t="str">
        <f>CONCATENATE("BRSDLF63E06I436O")</f>
        <v>BRSDLF63E06I436O</v>
      </c>
      <c r="N93" s="7" t="s">
        <v>160</v>
      </c>
      <c r="O93" s="7" t="s">
        <v>161</v>
      </c>
      <c r="P93" s="8">
        <v>44665</v>
      </c>
      <c r="Q93" s="7" t="s">
        <v>32</v>
      </c>
      <c r="R93" s="7" t="s">
        <v>33</v>
      </c>
      <c r="S93" s="7" t="s">
        <v>34</v>
      </c>
      <c r="T93" s="7"/>
      <c r="U93" s="7" t="s">
        <v>35</v>
      </c>
      <c r="V93" s="9">
        <v>32456.01</v>
      </c>
      <c r="W93" s="9">
        <v>13995.03</v>
      </c>
      <c r="X93" s="9">
        <v>12923.98</v>
      </c>
      <c r="Y93" s="7">
        <v>0</v>
      </c>
      <c r="Z93" s="9">
        <v>5537</v>
      </c>
    </row>
    <row r="94" spans="1:26" x14ac:dyDescent="0.35">
      <c r="A94" s="7" t="s">
        <v>27</v>
      </c>
      <c r="B94" s="7" t="s">
        <v>28</v>
      </c>
      <c r="C94" s="7" t="s">
        <v>47</v>
      </c>
      <c r="D94" s="7" t="s">
        <v>48</v>
      </c>
      <c r="E94" s="7" t="s">
        <v>43</v>
      </c>
      <c r="F94" s="7" t="s">
        <v>43</v>
      </c>
      <c r="G94" s="7">
        <v>2017</v>
      </c>
      <c r="H94" s="7" t="str">
        <f>CONCATENATE("24270055296")</f>
        <v>24270055296</v>
      </c>
      <c r="I94" s="7" t="s">
        <v>30</v>
      </c>
      <c r="J94" s="7" t="s">
        <v>31</v>
      </c>
      <c r="K94" s="7" t="str">
        <f>CONCATENATE("")</f>
        <v/>
      </c>
      <c r="L94" s="7" t="str">
        <f>CONCATENATE("1 1.1 2a")</f>
        <v>1 1.1 2a</v>
      </c>
      <c r="M94" s="7" t="str">
        <f>CONCATENATE("02051370423")</f>
        <v>02051370423</v>
      </c>
      <c r="N94" s="7" t="s">
        <v>162</v>
      </c>
      <c r="O94" s="7" t="s">
        <v>163</v>
      </c>
      <c r="P94" s="8">
        <v>44700</v>
      </c>
      <c r="Q94" s="7" t="s">
        <v>32</v>
      </c>
      <c r="R94" s="7" t="s">
        <v>33</v>
      </c>
      <c r="S94" s="7" t="s">
        <v>34</v>
      </c>
      <c r="T94" s="7"/>
      <c r="U94" s="7" t="s">
        <v>35</v>
      </c>
      <c r="V94" s="9">
        <v>1485</v>
      </c>
      <c r="W94" s="7">
        <v>640.33000000000004</v>
      </c>
      <c r="X94" s="7">
        <v>591.33000000000004</v>
      </c>
      <c r="Y94" s="7">
        <v>0</v>
      </c>
      <c r="Z94" s="7">
        <v>253.34</v>
      </c>
    </row>
    <row r="95" spans="1:26" x14ac:dyDescent="0.35">
      <c r="A95" s="7" t="s">
        <v>27</v>
      </c>
      <c r="B95" s="7" t="s">
        <v>28</v>
      </c>
      <c r="C95" s="7" t="s">
        <v>47</v>
      </c>
      <c r="D95" s="7" t="s">
        <v>48</v>
      </c>
      <c r="E95" s="7" t="s">
        <v>43</v>
      </c>
      <c r="F95" s="7" t="s">
        <v>43</v>
      </c>
      <c r="G95" s="7">
        <v>2017</v>
      </c>
      <c r="H95" s="7" t="str">
        <f>CONCATENATE("24270055304")</f>
        <v>24270055304</v>
      </c>
      <c r="I95" s="7" t="s">
        <v>30</v>
      </c>
      <c r="J95" s="7" t="s">
        <v>31</v>
      </c>
      <c r="K95" s="7" t="str">
        <f>CONCATENATE("")</f>
        <v/>
      </c>
      <c r="L95" s="7" t="str">
        <f>CONCATENATE("1 1.1 2a")</f>
        <v>1 1.1 2a</v>
      </c>
      <c r="M95" s="7" t="str">
        <f>CONCATENATE("02051370423")</f>
        <v>02051370423</v>
      </c>
      <c r="N95" s="7" t="s">
        <v>162</v>
      </c>
      <c r="O95" s="7" t="s">
        <v>163</v>
      </c>
      <c r="P95" s="8">
        <v>44700</v>
      </c>
      <c r="Q95" s="7" t="s">
        <v>32</v>
      </c>
      <c r="R95" s="7" t="s">
        <v>33</v>
      </c>
      <c r="S95" s="7" t="s">
        <v>34</v>
      </c>
      <c r="T95" s="7"/>
      <c r="U95" s="7" t="s">
        <v>35</v>
      </c>
      <c r="V95" s="9">
        <v>1232</v>
      </c>
      <c r="W95" s="7">
        <v>531.24</v>
      </c>
      <c r="X95" s="7">
        <v>490.58</v>
      </c>
      <c r="Y95" s="7">
        <v>0</v>
      </c>
      <c r="Z95" s="7">
        <v>210.18</v>
      </c>
    </row>
    <row r="96" spans="1:26" x14ac:dyDescent="0.35">
      <c r="A96" s="7" t="s">
        <v>27</v>
      </c>
      <c r="B96" s="7" t="s">
        <v>28</v>
      </c>
      <c r="C96" s="7" t="s">
        <v>47</v>
      </c>
      <c r="D96" s="7" t="s">
        <v>47</v>
      </c>
      <c r="E96" s="7" t="s">
        <v>43</v>
      </c>
      <c r="F96" s="7" t="s">
        <v>43</v>
      </c>
      <c r="G96" s="7">
        <v>2017</v>
      </c>
      <c r="H96" s="7" t="str">
        <f>CONCATENATE("24270070204")</f>
        <v>24270070204</v>
      </c>
      <c r="I96" s="7" t="s">
        <v>30</v>
      </c>
      <c r="J96" s="7" t="s">
        <v>31</v>
      </c>
      <c r="K96" s="7" t="str">
        <f>CONCATENATE("")</f>
        <v/>
      </c>
      <c r="L96" s="7" t="str">
        <f>CONCATENATE("19 19.2 6b")</f>
        <v>19 19.2 6b</v>
      </c>
      <c r="M96" s="7" t="str">
        <f>CONCATENATE("BRBDVD68D09G479X")</f>
        <v>BRBDVD68D09G479X</v>
      </c>
      <c r="N96" s="7" t="s">
        <v>164</v>
      </c>
      <c r="O96" s="7" t="s">
        <v>165</v>
      </c>
      <c r="P96" s="8">
        <v>44701</v>
      </c>
      <c r="Q96" s="7" t="s">
        <v>32</v>
      </c>
      <c r="R96" s="7" t="s">
        <v>45</v>
      </c>
      <c r="S96" s="7" t="s">
        <v>34</v>
      </c>
      <c r="T96" s="7"/>
      <c r="U96" s="7" t="s">
        <v>35</v>
      </c>
      <c r="V96" s="9">
        <v>15000</v>
      </c>
      <c r="W96" s="9">
        <v>6468</v>
      </c>
      <c r="X96" s="9">
        <v>5973</v>
      </c>
      <c r="Y96" s="7">
        <v>0</v>
      </c>
      <c r="Z96" s="9">
        <v>2559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CustomMKOP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KProdID">
    <vt:lpwstr>ZMOutlook</vt:lpwstr>
  </property>
  <property fmtid="{D5CDD505-2E9C-101B-9397-08002B2CF9AE}" pid="3" name="SizeBefore">
    <vt:lpwstr>42267</vt:lpwstr>
  </property>
  <property fmtid="{D5CDD505-2E9C-101B-9397-08002B2CF9AE}" pid="4" name="OptimizationTime">
    <vt:lpwstr>20220606_1453</vt:lpwstr>
  </property>
</Properties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Ferrazzano</dc:creator>
  <cp:lastModifiedBy>Michele Ferrazzano</cp:lastModifiedBy>
  <dcterms:created xsi:type="dcterms:W3CDTF">2022-06-01T11:06:26Z</dcterms:created>
  <dcterms:modified xsi:type="dcterms:W3CDTF">2022-06-01T11:07:11Z</dcterms:modified>
</cp:coreProperties>
</file>