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38/"/>
    </mc:Choice>
  </mc:AlternateContent>
  <xr:revisionPtr revIDLastSave="0" documentId="8_{E225BA33-AAC8-41EC-93B1-99DE999C6073}" xr6:coauthVersionLast="46" xr6:coauthVersionMax="46" xr10:uidLastSave="{00000000-0000-0000-0000-000000000000}"/>
  <bookViews>
    <workbookView xWindow="-110" yWindow="-110" windowWidth="19420" windowHeight="10420" xr2:uid="{AB9245FF-D8E1-45A6-9125-0A4E74EB8802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9" i="1" l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<sst xmlns="http://schemas.openxmlformats.org/spreadsheetml/2006/main" count="1791" uniqueCount="215">
  <si>
    <t>Dettaglio Domande Pagabili Decreto 538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</si>
  <si>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</si>
  <si>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</si>
  <si>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</si>
  <si>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</si>
  <si>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</si>
  <si>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</si>
  <si>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</si>
  <si>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</si>
  <si>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</si>
  <si>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</si>
  <si>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</si>
  <si>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</si>
  <si>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</si>
  <si>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</si>
  <si>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</si>
  <si>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</si>
  <si>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</si>
  <si>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</si>
  <si>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</si>
  <si>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</si>
  <si>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</si>
  <si>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</si>
  <si>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</si>
  <si>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</si>
  <si>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</si>
  <si>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</si>
  <si>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</si>
  <si>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</si>
  <si>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</si>
  <si>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</si>
  <si>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Nuova Programmazione</t>
  </si>
  <si>
    <t>In Liquidazione</t>
  </si>
  <si>
    <t>Saldo</t>
  </si>
  <si>
    <t>Co-Finanziato</t>
  </si>
  <si>
    <t>Ordinario</t>
  </si>
  <si>
    <t>IN PROPRIO</t>
  </si>
  <si>
    <t>CAA Coldiretti srl</t>
  </si>
  <si>
    <t>SI</t>
  </si>
  <si>
    <t>CAA Confagricoltura srl</t>
  </si>
  <si>
    <t>CAA UNICAA srl</t>
  </si>
  <si>
    <t>CAA-CAF AGRI S.R.L.</t>
  </si>
  <si>
    <t>Misure Strutturali</t>
  </si>
  <si>
    <t>SAL</t>
  </si>
  <si>
    <t>CAA LiberiAgricoltori srl già CAA AGCI srl</t>
  </si>
  <si>
    <t>CAA degli Agricoltori Srl</t>
  </si>
  <si>
    <t>Anticipo</t>
  </si>
  <si>
    <t>CAA AGRISERVIZI s.r.l.</t>
  </si>
  <si>
    <t>MARCHE</t>
  </si>
  <si>
    <t>SERV. DEC. AGRICOLTURA E ALIMENTAZIONE - ANCONA</t>
  </si>
  <si>
    <t>CAA CIA - ANCONA - 002</t>
  </si>
  <si>
    <t>GOBBI SOCIETA' SEMPLICE AGRICOLA DI GOBBI LORENZO</t>
  </si>
  <si>
    <t>AGEA.ASR.2022.0410463</t>
  </si>
  <si>
    <t>CAA Coldiretti - ANCONA - 006</t>
  </si>
  <si>
    <t>MATTIOLI GIORDANO</t>
  </si>
  <si>
    <t>SERV. DEC. AGRICOLTURA E ALIMENTAZIONE - PESARO</t>
  </si>
  <si>
    <t>CAA Coldiretti - RIMINI - 002</t>
  </si>
  <si>
    <t>AGRICOLA GIARDINO DI GALANTI LORIANA &amp; C. SAS</t>
  </si>
  <si>
    <t>AGEA.ASR.2022.0399803</t>
  </si>
  <si>
    <t>CAA Coldiretti - ANCONA - 005</t>
  </si>
  <si>
    <t>CONTI LAURA</t>
  </si>
  <si>
    <t>CAA Coldiretti - ANCONA - 002</t>
  </si>
  <si>
    <t>DE ANGELIS PIETRO</t>
  </si>
  <si>
    <t>CAA Confagricoltura - PESARO E URBINO - 001</t>
  </si>
  <si>
    <t>SOCIETA' AGRICOLA GUIDI RICCARDO E MATTEO S.S.</t>
  </si>
  <si>
    <t>TABACCHI ANTONELLA</t>
  </si>
  <si>
    <t>CAA Coldiretti - PESARO E URBINO - 001</t>
  </si>
  <si>
    <t>FULVI FRANCESCO</t>
  </si>
  <si>
    <t>SERV. DEC. AGRICOLTURA E ALIM. -ASCOLI PICENO</t>
  </si>
  <si>
    <t>CAA Coldiretti - FERMO - 001</t>
  </si>
  <si>
    <t>SOCIETA' BIO AGRICOLA MIA S.R.L.C.R.</t>
  </si>
  <si>
    <t>CAA LiberiAgricoltori - RIMINI - 001</t>
  </si>
  <si>
    <t>BROCCOLI ADRIANO</t>
  </si>
  <si>
    <t>CAA CAF AGRI - ASCOLI PICENO - 223</t>
  </si>
  <si>
    <t>DI MASCIO VINCENZA</t>
  </si>
  <si>
    <t>VINCIGUERRA ANTONIO</t>
  </si>
  <si>
    <t>CERTELLI GABRIELLA</t>
  </si>
  <si>
    <t>CAA CAF AGRI - PESARO E URBINO - 221</t>
  </si>
  <si>
    <t>GENTILI LORIS</t>
  </si>
  <si>
    <t>CAA AGRISERVIZI - LATINA - 001</t>
  </si>
  <si>
    <t>ARMANDI ANDREA</t>
  </si>
  <si>
    <t>CAA UNICAA - ASCOLI PICENO - 004</t>
  </si>
  <si>
    <t>SILIQUINI DIEGO</t>
  </si>
  <si>
    <t>CAA Coldiretti - PESARO E URBINO - 006</t>
  </si>
  <si>
    <t>CONTI CARLA</t>
  </si>
  <si>
    <t>CAA Coldiretti - MACERATA - 017</t>
  </si>
  <si>
    <t>COPPONI FABRIZIO</t>
  </si>
  <si>
    <t>GIANNINI DENNIS</t>
  </si>
  <si>
    <t>VERGARI DANIELE</t>
  </si>
  <si>
    <t>BIDUCCI ANDREA</t>
  </si>
  <si>
    <t>CAA Coldiretti - RIMINI - 005</t>
  </si>
  <si>
    <t>POMPEI DONATELLA</t>
  </si>
  <si>
    <t>IEZZI GIUSEPPE</t>
  </si>
  <si>
    <t>CAPITANELLI FRANCA</t>
  </si>
  <si>
    <t>CAA Confagricoltura - ASCOLI PICENO - 001</t>
  </si>
  <si>
    <t>MONTI ANTONIO</t>
  </si>
  <si>
    <t>CAA CIA - ASCOLI PICENO - 004</t>
  </si>
  <si>
    <t>IANNO ANNA ANGELA</t>
  </si>
  <si>
    <t>LESTI ANTONELLO</t>
  </si>
  <si>
    <t>SOCIETA' AGRICOLA COLLINA DI IPPOLITI LORENZO E VALERIO S.S.</t>
  </si>
  <si>
    <t>PAGLIALUNGA CARLO</t>
  </si>
  <si>
    <t>CAA CIA - ANCONA - 005</t>
  </si>
  <si>
    <t>LATINI ROBERTO</t>
  </si>
  <si>
    <t>PILATO SOCIETA' AGRICOLA S.A.S. DI SCHIRRA GIODVANNI ANDREA</t>
  </si>
  <si>
    <t>VITTORI PIETRO</t>
  </si>
  <si>
    <t>LODDO LEONARDO</t>
  </si>
  <si>
    <t>GABRIELLI SOCIETA' AGRICOLA S.R.L.</t>
  </si>
  <si>
    <t>FRATELLI COZZI S.N.C. DI COZZI ALBERTO E GIOVANNI</t>
  </si>
  <si>
    <t>COFANI ROMUALDO</t>
  </si>
  <si>
    <t>EREDI PACIONI PIETRO E GRILLI GIOCONDA S.S. AGRICOLA</t>
  </si>
  <si>
    <t>ANTICOLI BORZA ELEONORA</t>
  </si>
  <si>
    <t>VOLPI RENATO</t>
  </si>
  <si>
    <t>MAGNONI DOMENICO</t>
  </si>
  <si>
    <t>CERTELLI DINO</t>
  </si>
  <si>
    <t>POCOGNOLI REMIGIO</t>
  </si>
  <si>
    <t>CAA Coldiretti - ASCOLI PICENO - 030</t>
  </si>
  <si>
    <t>ALEANDRI VINCENZO</t>
  </si>
  <si>
    <t>GUIDUCCI MAURO</t>
  </si>
  <si>
    <t>CIPRIANI ALIDA</t>
  </si>
  <si>
    <t>ROMALDONI MARCELLA</t>
  </si>
  <si>
    <t>MAZZARELLI LUCIANO</t>
  </si>
  <si>
    <t>DE SANTIS ANGELO</t>
  </si>
  <si>
    <t>VALENTINI LUCIANO</t>
  </si>
  <si>
    <t>VAGNONI MARIO</t>
  </si>
  <si>
    <t>VAGNONI TONINO</t>
  </si>
  <si>
    <t>CAA CIA - ASCOLI PICENO - 001</t>
  </si>
  <si>
    <t>AZIENDA AGRICOLA SAN BENEDETTO SOCIETA' SEMPLICE</t>
  </si>
  <si>
    <t>CAA Coldiretti - ASCOLI PICENO - 040</t>
  </si>
  <si>
    <t>PRIORI GABRIELE</t>
  </si>
  <si>
    <t>CAA CIA - ANCONA - 004</t>
  </si>
  <si>
    <t>FATTORIA BRIGNONI SOCIETA' AGRICOLA DI BRIGNONI ALICE &amp; C. S.A.S.</t>
  </si>
  <si>
    <t>ANTOLINI GIOVANNI</t>
  </si>
  <si>
    <t>CAA CIA - ANCONA - 006</t>
  </si>
  <si>
    <t>CONSORZIO STRADALE ARCOFIATO</t>
  </si>
  <si>
    <t>AGEA.ASR.2022.0415353</t>
  </si>
  <si>
    <t>GIRELLI ROMINA</t>
  </si>
  <si>
    <t>PAOLETTI SABATINO</t>
  </si>
  <si>
    <t>MANCINI VILBERTO</t>
  </si>
  <si>
    <t>FULVIA TOMBOLINI E FIGLI SRL SOCIETA' AGRICOLA</t>
  </si>
  <si>
    <t>LANCIOTTI AGOSTINO</t>
  </si>
  <si>
    <t>ALESIANI GIORGIO</t>
  </si>
  <si>
    <t>FRATONI SABRINA</t>
  </si>
  <si>
    <t>GIROLAMI GIADA</t>
  </si>
  <si>
    <t>CAA CIA - PESARO E URBINO - 002</t>
  </si>
  <si>
    <t>MINUTELLI SEMIKOLENNYKH ILYA</t>
  </si>
  <si>
    <t>BERRETTA LILIANA</t>
  </si>
  <si>
    <t>SIMONETTI LILIANA</t>
  </si>
  <si>
    <t>CAA Coldiretti - PESARO E URBINO - 013</t>
  </si>
  <si>
    <t>MANOCCHI DANIELE</t>
  </si>
  <si>
    <t>SOCIETA' AGRICOLA TENUTA UGOLINO DI PETRINI E FORONI SS</t>
  </si>
  <si>
    <t>SOCIETA' AGRICOLA BIOLOGICA FILENI SRL</t>
  </si>
  <si>
    <t>CAA Coldiretti - ASCOLI PICENO - 010</t>
  </si>
  <si>
    <t>NOBILI MAURO</t>
  </si>
  <si>
    <t>AZIENDA AGRICOLA FERRACUTI SOCIETA' SEMPLICE</t>
  </si>
  <si>
    <t>D'ANGELO DANIELE</t>
  </si>
  <si>
    <t>SCHIAROLI SIMONE</t>
  </si>
  <si>
    <t>TROBBIANI GIULIANO</t>
  </si>
  <si>
    <t>LE BONTA' DI ACCIARRI SOCIETA' AGRICOLA A RESPONSABILITA' LIMITATA SEM</t>
  </si>
  <si>
    <t>CAA Coldiretti - PESARO E URBINO - 004</t>
  </si>
  <si>
    <t>CAU EZIO</t>
  </si>
  <si>
    <t>FUCILI FRANCO</t>
  </si>
  <si>
    <t>CAA Coldiretti - PESARO E URBINO - 010</t>
  </si>
  <si>
    <t>SILVESTRINI ISABELLA</t>
  </si>
  <si>
    <t>DIOTALLEVI ANDREA</t>
  </si>
  <si>
    <t>CAA UNICAA - ANCONA - 003</t>
  </si>
  <si>
    <t>L'OLIVAIO S.R.L.</t>
  </si>
  <si>
    <t>CASTELLI SANDRO</t>
  </si>
  <si>
    <t>CALVANI LAURA</t>
  </si>
  <si>
    <t>Centro Assistenza Imprese Coldiretti Toscana Srl</t>
  </si>
  <si>
    <t>CAA Coldiretti - AREZZO - 008</t>
  </si>
  <si>
    <t>LA FONTE SOCIETA' AGRICOLA S.S.</t>
  </si>
  <si>
    <t>MONTINI TIZIANA</t>
  </si>
  <si>
    <t>METALLARI LORODANA</t>
  </si>
  <si>
    <t>VITALI PINO</t>
  </si>
  <si>
    <t>PIZI MAURIZIO</t>
  </si>
  <si>
    <t>CAA CIA - PESARO E URBINO - 005</t>
  </si>
  <si>
    <t>LOMBARDI EDDY</t>
  </si>
  <si>
    <t>LIBERI PIER FRANCESCO</t>
  </si>
  <si>
    <t>CANESTRARI LUCIO</t>
  </si>
  <si>
    <t>AGEA.ASR.2022.0410446</t>
  </si>
  <si>
    <t>CAA Degli Agricoltori - ANCONA - 101</t>
  </si>
  <si>
    <t>SERENELLI PAOLO</t>
  </si>
  <si>
    <t>CAPRIOTTI LORELLA</t>
  </si>
  <si>
    <t>COMUNE DI MACERATA FELTRIA</t>
  </si>
  <si>
    <t>AGEA.ASR.2022.0412975</t>
  </si>
  <si>
    <t>SERV. DEC. AGRICOLTURA E ALIM. - MACERATA</t>
  </si>
  <si>
    <t>ORAZI LEONARDO</t>
  </si>
  <si>
    <t>AGEA.ASR.2022.0412679</t>
  </si>
  <si>
    <t>SOCIETA' AGRICOLA MARI DI MARI ANDREA E FRANCESCO S.S.</t>
  </si>
  <si>
    <t>AGEA.ASR.2022.0414642</t>
  </si>
  <si>
    <t>TESORI DEL BOSCO SOCIETA' SEMPLICE AGRICOLA</t>
  </si>
  <si>
    <t>CAA CAF AGRI - FERMO - 222</t>
  </si>
  <si>
    <t>VAGNARELLI TOMMASO</t>
  </si>
  <si>
    <t>AGEA.ASR.2022.0414271</t>
  </si>
  <si>
    <t>CAA CAF AGRI - FERMO - 221</t>
  </si>
  <si>
    <t>D'ERASMO PASQUALE</t>
  </si>
  <si>
    <t>CAA CIA - ASCOLI PICENO - 006</t>
  </si>
  <si>
    <t>VIRGILI DINO</t>
  </si>
  <si>
    <t>AZ. AGR. PENNESI MARIANO &amp; C. S.S.</t>
  </si>
  <si>
    <t>VAGNARELLI MASSIMO</t>
  </si>
  <si>
    <t>CURTI VINCENZINA</t>
  </si>
  <si>
    <t>SOCIETA' AGRICOLA D'ERCOLI ROBERTO E DANIELE SOCIETA' SEMPLICE</t>
  </si>
  <si>
    <t>AGEA.ASR.2022.0401977</t>
  </si>
  <si>
    <t>CERTELLI ANTONIO</t>
  </si>
  <si>
    <t>CERTELLI LUCIANO</t>
  </si>
  <si>
    <t>CAA Coldiretti - PESARO E URBINO - 007</t>
  </si>
  <si>
    <t>SOC. AGR. FRATELLI BARBIERI S.S.</t>
  </si>
  <si>
    <t>C.B.M. SOCIETA' AGRICOLA A R.L.</t>
  </si>
  <si>
    <t>AGEA.ASR.2022.0414645</t>
  </si>
  <si>
    <t>CHIEPPA ALESSANDRO</t>
  </si>
  <si>
    <t>SOCIETA' AGRICOLA - F.LLI ERCOLI DI ERCOLI GIULIANO &amp; C. S.S.</t>
  </si>
  <si>
    <t>CONSORZIO FORMACOOP MARCHE - SOCIETA' COOPERATIVA</t>
  </si>
  <si>
    <t>AGEA.ASR.2022.0389114</t>
  </si>
  <si>
    <t>C.I.A. SERVICE GROUP S.R.L.</t>
  </si>
  <si>
    <t>AGEA.ASR.2022.0412977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</si>
</sst>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ED09-04F3-498D-BEAC-E06D802DFEA4}">
  <dimension ref="A1:Z129"/>
  <sheetViews>
    <sheetView showGridLines="0" tabSelected="1" workbookViewId="0">
      <selection activeCell="D137" sqref="D137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5" bestFit="1" customWidth="1"/>
    <col min="6" max="6" width="22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453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48</v>
      </c>
      <c r="D4" s="7" t="s">
        <v>49</v>
      </c>
      <c r="E4" s="7" t="s">
        <v>29</v>
      </c>
      <c r="F4" s="7" t="s">
        <v>50</v>
      </c>
      <c r="G4" s="7">
        <v>2021</v>
      </c>
      <c r="H4" s="7" t="str">
        <f>CONCATENATE("14241040600")</f>
        <v>14241040600</v>
      </c>
      <c r="I4" s="7" t="s">
        <v>30</v>
      </c>
      <c r="J4" s="7" t="s">
        <v>31</v>
      </c>
      <c r="K4" s="7" t="str">
        <f>CONCATENATE("")</f>
        <v/>
      </c>
      <c r="L4" s="7" t="str">
        <f>CONCATENATE("11 11.2 4b")</f>
        <v>11 11.2 4b</v>
      </c>
      <c r="M4" s="7" t="str">
        <f>CONCATENATE("00856440425")</f>
        <v>00856440425</v>
      </c>
      <c r="N4" s="7" t="s">
        <v>51</v>
      </c>
      <c r="O4" s="7" t="s">
        <v>52</v>
      </c>
      <c r="P4" s="8">
        <v>44659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1214.07</v>
      </c>
      <c r="W4" s="7">
        <v>523.51</v>
      </c>
      <c r="X4" s="7">
        <v>483.44</v>
      </c>
      <c r="Y4" s="7">
        <v>0</v>
      </c>
      <c r="Z4" s="7">
        <v>207.12</v>
      </c>
    </row>
    <row r="5" spans="1:26" x14ac:dyDescent="0.35">
      <c r="A5" s="7" t="s">
        <v>27</v>
      </c>
      <c r="B5" s="7" t="s">
        <v>28</v>
      </c>
      <c r="C5" s="7" t="s">
        <v>48</v>
      </c>
      <c r="D5" s="7" t="s">
        <v>49</v>
      </c>
      <c r="E5" s="7" t="s">
        <v>37</v>
      </c>
      <c r="F5" s="7" t="s">
        <v>53</v>
      </c>
      <c r="G5" s="7">
        <v>2021</v>
      </c>
      <c r="H5" s="7" t="str">
        <f>CONCATENATE("14240503566")</f>
        <v>14240503566</v>
      </c>
      <c r="I5" s="7" t="s">
        <v>30</v>
      </c>
      <c r="J5" s="7" t="s">
        <v>31</v>
      </c>
      <c r="K5" s="7" t="str">
        <f>CONCATENATE("")</f>
        <v/>
      </c>
      <c r="L5" s="7" t="str">
        <f>CONCATENATE("11 11.2 4b")</f>
        <v>11 11.2 4b</v>
      </c>
      <c r="M5" s="7" t="str">
        <f>CONCATENATE("MTTGDN71B24I643K")</f>
        <v>MTTGDN71B24I643K</v>
      </c>
      <c r="N5" s="7" t="s">
        <v>54</v>
      </c>
      <c r="O5" s="7" t="s">
        <v>52</v>
      </c>
      <c r="P5" s="8">
        <v>44659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7">
        <v>769.52</v>
      </c>
      <c r="W5" s="7">
        <v>331.82</v>
      </c>
      <c r="X5" s="7">
        <v>306.42</v>
      </c>
      <c r="Y5" s="7">
        <v>0</v>
      </c>
      <c r="Z5" s="7">
        <v>131.28</v>
      </c>
    </row>
    <row r="6" spans="1:26" x14ac:dyDescent="0.35">
      <c r="A6" s="7" t="s">
        <v>27</v>
      </c>
      <c r="B6" s="7" t="s">
        <v>28</v>
      </c>
      <c r="C6" s="7" t="s">
        <v>48</v>
      </c>
      <c r="D6" s="7" t="s">
        <v>55</v>
      </c>
      <c r="E6" s="7" t="s">
        <v>37</v>
      </c>
      <c r="F6" s="7" t="s">
        <v>56</v>
      </c>
      <c r="G6" s="7">
        <v>2021</v>
      </c>
      <c r="H6" s="7" t="str">
        <f>CONCATENATE("14211581948")</f>
        <v>14211581948</v>
      </c>
      <c r="I6" s="7" t="s">
        <v>30</v>
      </c>
      <c r="J6" s="7" t="s">
        <v>31</v>
      </c>
      <c r="K6" s="7" t="str">
        <f>CONCATENATE("")</f>
        <v/>
      </c>
      <c r="L6" s="7" t="str">
        <f>CONCATENATE("13 13.1 4a")</f>
        <v>13 13.1 4a</v>
      </c>
      <c r="M6" s="7" t="str">
        <f>CONCATENATE("01742200403")</f>
        <v>01742200403</v>
      </c>
      <c r="N6" s="7" t="s">
        <v>57</v>
      </c>
      <c r="O6" s="7" t="s">
        <v>58</v>
      </c>
      <c r="P6" s="8">
        <v>44659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9000</v>
      </c>
      <c r="W6" s="9">
        <v>3880.8</v>
      </c>
      <c r="X6" s="9">
        <v>3583.8</v>
      </c>
      <c r="Y6" s="7">
        <v>0</v>
      </c>
      <c r="Z6" s="9">
        <v>1535.4</v>
      </c>
    </row>
    <row r="7" spans="1:26" x14ac:dyDescent="0.35">
      <c r="A7" s="7" t="s">
        <v>27</v>
      </c>
      <c r="B7" s="7" t="s">
        <v>28</v>
      </c>
      <c r="C7" s="7" t="s">
        <v>48</v>
      </c>
      <c r="D7" s="7" t="s">
        <v>49</v>
      </c>
      <c r="E7" s="7" t="s">
        <v>37</v>
      </c>
      <c r="F7" s="7" t="s">
        <v>59</v>
      </c>
      <c r="G7" s="7">
        <v>2021</v>
      </c>
      <c r="H7" s="7" t="str">
        <f>CONCATENATE("14210044690")</f>
        <v>14210044690</v>
      </c>
      <c r="I7" s="7" t="s">
        <v>38</v>
      </c>
      <c r="J7" s="7" t="s">
        <v>31</v>
      </c>
      <c r="K7" s="7" t="str">
        <f>CONCATENATE("")</f>
        <v/>
      </c>
      <c r="L7" s="7" t="str">
        <f>CONCATENATE("13 13.1 4a")</f>
        <v>13 13.1 4a</v>
      </c>
      <c r="M7" s="7" t="str">
        <f>CONCATENATE("CNTLRA53B42D965P")</f>
        <v>CNTLRA53B42D965P</v>
      </c>
      <c r="N7" s="7" t="s">
        <v>60</v>
      </c>
      <c r="O7" s="7" t="s">
        <v>58</v>
      </c>
      <c r="P7" s="8">
        <v>44659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7">
        <v>223.42</v>
      </c>
      <c r="W7" s="7">
        <v>96.34</v>
      </c>
      <c r="X7" s="7">
        <v>88.97</v>
      </c>
      <c r="Y7" s="7">
        <v>0</v>
      </c>
      <c r="Z7" s="7">
        <v>38.11</v>
      </c>
    </row>
    <row r="8" spans="1:26" x14ac:dyDescent="0.35">
      <c r="A8" s="7" t="s">
        <v>27</v>
      </c>
      <c r="B8" s="7" t="s">
        <v>28</v>
      </c>
      <c r="C8" s="7" t="s">
        <v>48</v>
      </c>
      <c r="D8" s="7" t="s">
        <v>49</v>
      </c>
      <c r="E8" s="7" t="s">
        <v>37</v>
      </c>
      <c r="F8" s="7" t="s">
        <v>61</v>
      </c>
      <c r="G8" s="7">
        <v>2021</v>
      </c>
      <c r="H8" s="7" t="str">
        <f>CONCATENATE("14210650553")</f>
        <v>14210650553</v>
      </c>
      <c r="I8" s="7" t="s">
        <v>38</v>
      </c>
      <c r="J8" s="7" t="s">
        <v>31</v>
      </c>
      <c r="K8" s="7" t="str">
        <f>CONCATENATE("")</f>
        <v/>
      </c>
      <c r="L8" s="7" t="str">
        <f>CONCATENATE("13 13.1 4a")</f>
        <v>13 13.1 4a</v>
      </c>
      <c r="M8" s="7" t="str">
        <f>CONCATENATE("DNGPTR96P12E230A")</f>
        <v>DNGPTR96P12E230A</v>
      </c>
      <c r="N8" s="7" t="s">
        <v>62</v>
      </c>
      <c r="O8" s="7" t="s">
        <v>58</v>
      </c>
      <c r="P8" s="8">
        <v>44659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7">
        <v>916.41</v>
      </c>
      <c r="W8" s="7">
        <v>395.16</v>
      </c>
      <c r="X8" s="7">
        <v>364.91</v>
      </c>
      <c r="Y8" s="7">
        <v>0</v>
      </c>
      <c r="Z8" s="7">
        <v>156.34</v>
      </c>
    </row>
    <row r="9" spans="1:26" x14ac:dyDescent="0.35">
      <c r="A9" s="7" t="s">
        <v>27</v>
      </c>
      <c r="B9" s="7" t="s">
        <v>28</v>
      </c>
      <c r="C9" s="7" t="s">
        <v>48</v>
      </c>
      <c r="D9" s="7" t="s">
        <v>55</v>
      </c>
      <c r="E9" s="7" t="s">
        <v>39</v>
      </c>
      <c r="F9" s="7" t="s">
        <v>63</v>
      </c>
      <c r="G9" s="7">
        <v>2021</v>
      </c>
      <c r="H9" s="7" t="str">
        <f>CONCATENATE("14241333021")</f>
        <v>14241333021</v>
      </c>
      <c r="I9" s="7" t="s">
        <v>30</v>
      </c>
      <c r="J9" s="7" t="s">
        <v>31</v>
      </c>
      <c r="K9" s="7" t="str">
        <f>CONCATENATE("")</f>
        <v/>
      </c>
      <c r="L9" s="7" t="str">
        <f>CONCATENATE("11 11.1 4b")</f>
        <v>11 11.1 4b</v>
      </c>
      <c r="M9" s="7" t="str">
        <f>CONCATENATE("01379100413")</f>
        <v>01379100413</v>
      </c>
      <c r="N9" s="7" t="s">
        <v>64</v>
      </c>
      <c r="O9" s="7" t="s">
        <v>52</v>
      </c>
      <c r="P9" s="8">
        <v>44659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3684.59</v>
      </c>
      <c r="W9" s="9">
        <v>1588.8</v>
      </c>
      <c r="X9" s="9">
        <v>1467.2</v>
      </c>
      <c r="Y9" s="7">
        <v>0</v>
      </c>
      <c r="Z9" s="7">
        <v>628.59</v>
      </c>
    </row>
    <row r="10" spans="1:26" x14ac:dyDescent="0.35">
      <c r="A10" s="7" t="s">
        <v>27</v>
      </c>
      <c r="B10" s="7" t="s">
        <v>28</v>
      </c>
      <c r="C10" s="7" t="s">
        <v>48</v>
      </c>
      <c r="D10" s="7" t="s">
        <v>55</v>
      </c>
      <c r="E10" s="7" t="s">
        <v>36</v>
      </c>
      <c r="F10" s="7" t="s">
        <v>36</v>
      </c>
      <c r="G10" s="7">
        <v>2021</v>
      </c>
      <c r="H10" s="7" t="str">
        <f>CONCATENATE("14241081976")</f>
        <v>14241081976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CONCATENATE("TBCNNL64B58G224Z")</f>
        <v>TBCNNL64B58G224Z</v>
      </c>
      <c r="N10" s="7" t="s">
        <v>65</v>
      </c>
      <c r="O10" s="7" t="s">
        <v>52</v>
      </c>
      <c r="P10" s="8">
        <v>44659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1586.28</v>
      </c>
      <c r="W10" s="7">
        <v>684</v>
      </c>
      <c r="X10" s="7">
        <v>631.66</v>
      </c>
      <c r="Y10" s="7">
        <v>0</v>
      </c>
      <c r="Z10" s="7">
        <v>270.62</v>
      </c>
    </row>
    <row r="11" spans="1:26" x14ac:dyDescent="0.35">
      <c r="A11" s="7" t="s">
        <v>27</v>
      </c>
      <c r="B11" s="7" t="s">
        <v>28</v>
      </c>
      <c r="C11" s="7" t="s">
        <v>48</v>
      </c>
      <c r="D11" s="7" t="s">
        <v>55</v>
      </c>
      <c r="E11" s="7" t="s">
        <v>37</v>
      </c>
      <c r="F11" s="7" t="s">
        <v>66</v>
      </c>
      <c r="G11" s="7">
        <v>2021</v>
      </c>
      <c r="H11" s="7" t="str">
        <f>CONCATENATE("14240755240")</f>
        <v>14240755240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11.2 4b")</f>
        <v>11 11.2 4b</v>
      </c>
      <c r="M11" s="7" t="str">
        <f>CONCATENATE("FLVFNC72S09B352B")</f>
        <v>FLVFNC72S09B352B</v>
      </c>
      <c r="N11" s="7" t="s">
        <v>67</v>
      </c>
      <c r="O11" s="7" t="s">
        <v>52</v>
      </c>
      <c r="P11" s="8">
        <v>44659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1243.3699999999999</v>
      </c>
      <c r="W11" s="7">
        <v>536.14</v>
      </c>
      <c r="X11" s="7">
        <v>495.11</v>
      </c>
      <c r="Y11" s="7">
        <v>0</v>
      </c>
      <c r="Z11" s="7">
        <v>212.12</v>
      </c>
    </row>
    <row r="12" spans="1:26" x14ac:dyDescent="0.35">
      <c r="A12" s="7" t="s">
        <v>27</v>
      </c>
      <c r="B12" s="7" t="s">
        <v>28</v>
      </c>
      <c r="C12" s="7" t="s">
        <v>48</v>
      </c>
      <c r="D12" s="7" t="s">
        <v>68</v>
      </c>
      <c r="E12" s="7" t="s">
        <v>37</v>
      </c>
      <c r="F12" s="7" t="s">
        <v>69</v>
      </c>
      <c r="G12" s="7">
        <v>2021</v>
      </c>
      <c r="H12" s="7" t="str">
        <f>CONCATENATE("14240043019")</f>
        <v>14240043019</v>
      </c>
      <c r="I12" s="7" t="s">
        <v>30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CONCATENATE("02165220449")</f>
        <v>02165220449</v>
      </c>
      <c r="N12" s="7" t="s">
        <v>70</v>
      </c>
      <c r="O12" s="7" t="s">
        <v>52</v>
      </c>
      <c r="P12" s="8">
        <v>44659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3141.67</v>
      </c>
      <c r="W12" s="9">
        <v>1354.69</v>
      </c>
      <c r="X12" s="9">
        <v>1251.01</v>
      </c>
      <c r="Y12" s="7">
        <v>0</v>
      </c>
      <c r="Z12" s="7">
        <v>535.97</v>
      </c>
    </row>
    <row r="13" spans="1:26" x14ac:dyDescent="0.35">
      <c r="A13" s="7" t="s">
        <v>27</v>
      </c>
      <c r="B13" s="7" t="s">
        <v>28</v>
      </c>
      <c r="C13" s="7" t="s">
        <v>48</v>
      </c>
      <c r="D13" s="7" t="s">
        <v>55</v>
      </c>
      <c r="E13" s="7" t="s">
        <v>44</v>
      </c>
      <c r="F13" s="7" t="s">
        <v>71</v>
      </c>
      <c r="G13" s="7">
        <v>2021</v>
      </c>
      <c r="H13" s="7" t="str">
        <f>CONCATENATE("14241738088")</f>
        <v>14241738088</v>
      </c>
      <c r="I13" s="7" t="s">
        <v>30</v>
      </c>
      <c r="J13" s="7" t="s">
        <v>31</v>
      </c>
      <c r="K13" s="7" t="str">
        <f>CONCATENATE("")</f>
        <v/>
      </c>
      <c r="L13" s="7" t="str">
        <f>CONCATENATE("11 11.2 4b")</f>
        <v>11 11.2 4b</v>
      </c>
      <c r="M13" s="7" t="str">
        <f>CONCATENATE("BRCDRN50P12H949R")</f>
        <v>BRCDRN50P12H949R</v>
      </c>
      <c r="N13" s="7" t="s">
        <v>72</v>
      </c>
      <c r="O13" s="7" t="s">
        <v>52</v>
      </c>
      <c r="P13" s="8">
        <v>44659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2856.62</v>
      </c>
      <c r="W13" s="9">
        <v>1231.77</v>
      </c>
      <c r="X13" s="9">
        <v>1137.51</v>
      </c>
      <c r="Y13" s="7">
        <v>0</v>
      </c>
      <c r="Z13" s="7">
        <v>487.34</v>
      </c>
    </row>
    <row r="14" spans="1:26" x14ac:dyDescent="0.35">
      <c r="A14" s="7" t="s">
        <v>27</v>
      </c>
      <c r="B14" s="7" t="s">
        <v>28</v>
      </c>
      <c r="C14" s="7" t="s">
        <v>48</v>
      </c>
      <c r="D14" s="7" t="s">
        <v>68</v>
      </c>
      <c r="E14" s="7" t="s">
        <v>41</v>
      </c>
      <c r="F14" s="7" t="s">
        <v>73</v>
      </c>
      <c r="G14" s="7">
        <v>2021</v>
      </c>
      <c r="H14" s="7" t="str">
        <f>CONCATENATE("14211037032")</f>
        <v>14211037032</v>
      </c>
      <c r="I14" s="7" t="s">
        <v>30</v>
      </c>
      <c r="J14" s="7" t="s">
        <v>31</v>
      </c>
      <c r="K14" s="7" t="str">
        <f>CONCATENATE("")</f>
        <v/>
      </c>
      <c r="L14" s="7" t="str">
        <f>CONCATENATE("13 13.1 4a")</f>
        <v>13 13.1 4a</v>
      </c>
      <c r="M14" s="7" t="str">
        <f>CONCATENATE("DMSVCN83H42H501I")</f>
        <v>DMSVCN83H42H501I</v>
      </c>
      <c r="N14" s="7" t="s">
        <v>74</v>
      </c>
      <c r="O14" s="7" t="s">
        <v>58</v>
      </c>
      <c r="P14" s="8">
        <v>44659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6699.67</v>
      </c>
      <c r="W14" s="9">
        <v>2888.9</v>
      </c>
      <c r="X14" s="9">
        <v>2667.81</v>
      </c>
      <c r="Y14" s="7">
        <v>0</v>
      </c>
      <c r="Z14" s="9">
        <v>1142.96</v>
      </c>
    </row>
    <row r="15" spans="1:26" x14ac:dyDescent="0.35">
      <c r="A15" s="7" t="s">
        <v>27</v>
      </c>
      <c r="B15" s="7" t="s">
        <v>28</v>
      </c>
      <c r="C15" s="7" t="s">
        <v>48</v>
      </c>
      <c r="D15" s="7" t="s">
        <v>68</v>
      </c>
      <c r="E15" s="7" t="s">
        <v>41</v>
      </c>
      <c r="F15" s="7" t="s">
        <v>73</v>
      </c>
      <c r="G15" s="7">
        <v>2021</v>
      </c>
      <c r="H15" s="7" t="str">
        <f>CONCATENATE("14211036802")</f>
        <v>14211036802</v>
      </c>
      <c r="I15" s="7" t="s">
        <v>30</v>
      </c>
      <c r="J15" s="7" t="s">
        <v>31</v>
      </c>
      <c r="K15" s="7" t="str">
        <f>CONCATENATE("")</f>
        <v/>
      </c>
      <c r="L15" s="7" t="str">
        <f>CONCATENATE("13 13.1 4a")</f>
        <v>13 13.1 4a</v>
      </c>
      <c r="M15" s="7" t="str">
        <f>CONCATENATE("VNCNTN95S11H769C")</f>
        <v>VNCNTN95S11H769C</v>
      </c>
      <c r="N15" s="7" t="s">
        <v>75</v>
      </c>
      <c r="O15" s="7" t="s">
        <v>58</v>
      </c>
      <c r="P15" s="8">
        <v>44659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6649.49</v>
      </c>
      <c r="W15" s="9">
        <v>2867.26</v>
      </c>
      <c r="X15" s="9">
        <v>2647.83</v>
      </c>
      <c r="Y15" s="7">
        <v>0</v>
      </c>
      <c r="Z15" s="9">
        <v>1134.4000000000001</v>
      </c>
    </row>
    <row r="16" spans="1:26" x14ac:dyDescent="0.35">
      <c r="A16" s="7" t="s">
        <v>27</v>
      </c>
      <c r="B16" s="7" t="s">
        <v>28</v>
      </c>
      <c r="C16" s="7" t="s">
        <v>48</v>
      </c>
      <c r="D16" s="7" t="s">
        <v>55</v>
      </c>
      <c r="E16" s="7" t="s">
        <v>44</v>
      </c>
      <c r="F16" s="7" t="s">
        <v>71</v>
      </c>
      <c r="G16" s="7">
        <v>2021</v>
      </c>
      <c r="H16" s="7" t="str">
        <f>CONCATENATE("14211581880")</f>
        <v>14211581880</v>
      </c>
      <c r="I16" s="7" t="s">
        <v>30</v>
      </c>
      <c r="J16" s="7" t="s">
        <v>31</v>
      </c>
      <c r="K16" s="7" t="str">
        <f>CONCATENATE("")</f>
        <v/>
      </c>
      <c r="L16" s="7" t="str">
        <f>CONCATENATE("13 13.1 4a")</f>
        <v>13 13.1 4a</v>
      </c>
      <c r="M16" s="7" t="str">
        <f>CONCATENATE("BRCDRN50P12H949R")</f>
        <v>BRCDRN50P12H949R</v>
      </c>
      <c r="N16" s="7" t="s">
        <v>72</v>
      </c>
      <c r="O16" s="7" t="s">
        <v>58</v>
      </c>
      <c r="P16" s="8">
        <v>44659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4619.16</v>
      </c>
      <c r="W16" s="9">
        <v>1991.78</v>
      </c>
      <c r="X16" s="9">
        <v>1839.35</v>
      </c>
      <c r="Y16" s="7">
        <v>0</v>
      </c>
      <c r="Z16" s="7">
        <v>788.03</v>
      </c>
    </row>
    <row r="17" spans="1:26" x14ac:dyDescent="0.35">
      <c r="A17" s="7" t="s">
        <v>27</v>
      </c>
      <c r="B17" s="7" t="s">
        <v>28</v>
      </c>
      <c r="C17" s="7" t="s">
        <v>48</v>
      </c>
      <c r="D17" s="7" t="s">
        <v>68</v>
      </c>
      <c r="E17" s="7" t="s">
        <v>41</v>
      </c>
      <c r="F17" s="7" t="s">
        <v>73</v>
      </c>
      <c r="G17" s="7">
        <v>2021</v>
      </c>
      <c r="H17" s="7" t="str">
        <f>CONCATENATE("14211065975")</f>
        <v>14211065975</v>
      </c>
      <c r="I17" s="7" t="s">
        <v>30</v>
      </c>
      <c r="J17" s="7" t="s">
        <v>31</v>
      </c>
      <c r="K17" s="7" t="str">
        <f>CONCATENATE("")</f>
        <v/>
      </c>
      <c r="L17" s="7" t="str">
        <f>CONCATENATE("13 13.1 4a")</f>
        <v>13 13.1 4a</v>
      </c>
      <c r="M17" s="7" t="str">
        <f>CONCATENATE("CRTGRL71M70L597Z")</f>
        <v>CRTGRL71M70L597Z</v>
      </c>
      <c r="N17" s="7" t="s">
        <v>76</v>
      </c>
      <c r="O17" s="7" t="s">
        <v>58</v>
      </c>
      <c r="P17" s="8">
        <v>44659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9000</v>
      </c>
      <c r="W17" s="9">
        <v>3880.8</v>
      </c>
      <c r="X17" s="9">
        <v>3583.8</v>
      </c>
      <c r="Y17" s="7">
        <v>0</v>
      </c>
      <c r="Z17" s="9">
        <v>1535.4</v>
      </c>
    </row>
    <row r="18" spans="1:26" x14ac:dyDescent="0.35">
      <c r="A18" s="7" t="s">
        <v>27</v>
      </c>
      <c r="B18" s="7" t="s">
        <v>28</v>
      </c>
      <c r="C18" s="7" t="s">
        <v>48</v>
      </c>
      <c r="D18" s="7" t="s">
        <v>55</v>
      </c>
      <c r="E18" s="7" t="s">
        <v>41</v>
      </c>
      <c r="F18" s="7" t="s">
        <v>77</v>
      </c>
      <c r="G18" s="7">
        <v>2021</v>
      </c>
      <c r="H18" s="7" t="str">
        <f>CONCATENATE("14241347914")</f>
        <v>14241347914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CONCATENATE("GNTLRS61A24F478R")</f>
        <v>GNTLRS61A24F478R</v>
      </c>
      <c r="N18" s="7" t="s">
        <v>78</v>
      </c>
      <c r="O18" s="7" t="s">
        <v>52</v>
      </c>
      <c r="P18" s="8">
        <v>44659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2996.44</v>
      </c>
      <c r="W18" s="9">
        <v>1292.06</v>
      </c>
      <c r="X18" s="9">
        <v>1193.18</v>
      </c>
      <c r="Y18" s="7">
        <v>0</v>
      </c>
      <c r="Z18" s="7">
        <v>511.2</v>
      </c>
    </row>
    <row r="19" spans="1:26" x14ac:dyDescent="0.35">
      <c r="A19" s="7" t="s">
        <v>27</v>
      </c>
      <c r="B19" s="7" t="s">
        <v>28</v>
      </c>
      <c r="C19" s="7" t="s">
        <v>48</v>
      </c>
      <c r="D19" s="7" t="s">
        <v>68</v>
      </c>
      <c r="E19" s="7" t="s">
        <v>47</v>
      </c>
      <c r="F19" s="7" t="s">
        <v>79</v>
      </c>
      <c r="G19" s="7">
        <v>2021</v>
      </c>
      <c r="H19" s="7" t="str">
        <f>CONCATENATE("14240455767")</f>
        <v>14240455767</v>
      </c>
      <c r="I19" s="7" t="s">
        <v>38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CONCATENATE("RMNNDR84P24H769J")</f>
        <v>RMNNDR84P24H769J</v>
      </c>
      <c r="N19" s="7" t="s">
        <v>80</v>
      </c>
      <c r="O19" s="7" t="s">
        <v>52</v>
      </c>
      <c r="P19" s="8">
        <v>44659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7">
        <v>76.31</v>
      </c>
      <c r="W19" s="7">
        <v>32.9</v>
      </c>
      <c r="X19" s="7">
        <v>30.39</v>
      </c>
      <c r="Y19" s="7">
        <v>0</v>
      </c>
      <c r="Z19" s="7">
        <v>13.02</v>
      </c>
    </row>
    <row r="20" spans="1:26" x14ac:dyDescent="0.35">
      <c r="A20" s="7" t="s">
        <v>27</v>
      </c>
      <c r="B20" s="7" t="s">
        <v>28</v>
      </c>
      <c r="C20" s="7" t="s">
        <v>48</v>
      </c>
      <c r="D20" s="7" t="s">
        <v>68</v>
      </c>
      <c r="E20" s="7" t="s">
        <v>40</v>
      </c>
      <c r="F20" s="7" t="s">
        <v>81</v>
      </c>
      <c r="G20" s="7">
        <v>2021</v>
      </c>
      <c r="H20" s="7" t="str">
        <f>CONCATENATE("14241261065")</f>
        <v>14241261065</v>
      </c>
      <c r="I20" s="7" t="s">
        <v>38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CONCATENATE("SLQDGI79R19H769G")</f>
        <v>SLQDGI79R19H769G</v>
      </c>
      <c r="N20" s="7" t="s">
        <v>82</v>
      </c>
      <c r="O20" s="7" t="s">
        <v>52</v>
      </c>
      <c r="P20" s="8">
        <v>44659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7">
        <v>910.13</v>
      </c>
      <c r="W20" s="7">
        <v>392.45</v>
      </c>
      <c r="X20" s="7">
        <v>362.41</v>
      </c>
      <c r="Y20" s="7">
        <v>0</v>
      </c>
      <c r="Z20" s="7">
        <v>155.27000000000001</v>
      </c>
    </row>
    <row r="21" spans="1:26" x14ac:dyDescent="0.35">
      <c r="A21" s="7" t="s">
        <v>27</v>
      </c>
      <c r="B21" s="7" t="s">
        <v>28</v>
      </c>
      <c r="C21" s="7" t="s">
        <v>48</v>
      </c>
      <c r="D21" s="7" t="s">
        <v>55</v>
      </c>
      <c r="E21" s="7" t="s">
        <v>37</v>
      </c>
      <c r="F21" s="7" t="s">
        <v>83</v>
      </c>
      <c r="G21" s="7">
        <v>2021</v>
      </c>
      <c r="H21" s="7" t="str">
        <f>CONCATENATE("14210218674")</f>
        <v>14210218674</v>
      </c>
      <c r="I21" s="7" t="s">
        <v>30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CONCATENATE("CNTCRL66E42H958O")</f>
        <v>CNTCRL66E42H958O</v>
      </c>
      <c r="N21" s="7" t="s">
        <v>84</v>
      </c>
      <c r="O21" s="7" t="s">
        <v>58</v>
      </c>
      <c r="P21" s="8">
        <v>44659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1272.82</v>
      </c>
      <c r="W21" s="7">
        <v>548.84</v>
      </c>
      <c r="X21" s="7">
        <v>506.84</v>
      </c>
      <c r="Y21" s="7">
        <v>0</v>
      </c>
      <c r="Z21" s="7">
        <v>217.14</v>
      </c>
    </row>
    <row r="22" spans="1:26" x14ac:dyDescent="0.35">
      <c r="A22" s="7" t="s">
        <v>27</v>
      </c>
      <c r="B22" s="7" t="s">
        <v>28</v>
      </c>
      <c r="C22" s="7" t="s">
        <v>48</v>
      </c>
      <c r="D22" s="7" t="s">
        <v>49</v>
      </c>
      <c r="E22" s="7" t="s">
        <v>37</v>
      </c>
      <c r="F22" s="7" t="s">
        <v>85</v>
      </c>
      <c r="G22" s="7">
        <v>2021</v>
      </c>
      <c r="H22" s="7" t="str">
        <f>CONCATENATE("14210348711")</f>
        <v>14210348711</v>
      </c>
      <c r="I22" s="7" t="s">
        <v>30</v>
      </c>
      <c r="J22" s="7" t="s">
        <v>31</v>
      </c>
      <c r="K22" s="7" t="str">
        <f>CONCATENATE("")</f>
        <v/>
      </c>
      <c r="L22" s="7" t="str">
        <f>CONCATENATE("13 13.1 4a")</f>
        <v>13 13.1 4a</v>
      </c>
      <c r="M22" s="7" t="str">
        <f>CONCATENATE("CPPFRZ75P08D451S")</f>
        <v>CPPFRZ75P08D451S</v>
      </c>
      <c r="N22" s="7" t="s">
        <v>86</v>
      </c>
      <c r="O22" s="7" t="s">
        <v>58</v>
      </c>
      <c r="P22" s="8">
        <v>44659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1097.02</v>
      </c>
      <c r="W22" s="7">
        <v>473.04</v>
      </c>
      <c r="X22" s="7">
        <v>436.83</v>
      </c>
      <c r="Y22" s="7">
        <v>0</v>
      </c>
      <c r="Z22" s="7">
        <v>187.15</v>
      </c>
    </row>
    <row r="23" spans="1:26" ht="17.5" x14ac:dyDescent="0.35">
      <c r="A23" s="7" t="s">
        <v>27</v>
      </c>
      <c r="B23" s="7" t="s">
        <v>28</v>
      </c>
      <c r="C23" s="7" t="s">
        <v>48</v>
      </c>
      <c r="D23" s="7" t="s">
        <v>55</v>
      </c>
      <c r="E23" s="7" t="s">
        <v>37</v>
      </c>
      <c r="F23" s="7" t="s">
        <v>56</v>
      </c>
      <c r="G23" s="7">
        <v>2021</v>
      </c>
      <c r="H23" s="7" t="str">
        <f>CONCATENATE("14211581930")</f>
        <v>14211581930</v>
      </c>
      <c r="I23" s="7" t="s">
        <v>30</v>
      </c>
      <c r="J23" s="7" t="s">
        <v>31</v>
      </c>
      <c r="K23" s="7" t="str">
        <f>CONCATENATE("")</f>
        <v/>
      </c>
      <c r="L23" s="7" t="str">
        <f>CONCATENATE("13 13.1 4a")</f>
        <v>13 13.1 4a</v>
      </c>
      <c r="M23" s="7" t="str">
        <f>CONCATENATE("GNNDNS94T08H294V")</f>
        <v>GNNDNS94T08H294V</v>
      </c>
      <c r="N23" s="7" t="s">
        <v>87</v>
      </c>
      <c r="O23" s="7" t="s">
        <v>58</v>
      </c>
      <c r="P23" s="8">
        <v>44659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1097.28</v>
      </c>
      <c r="W23" s="7">
        <v>473.15</v>
      </c>
      <c r="X23" s="7">
        <v>436.94</v>
      </c>
      <c r="Y23" s="7">
        <v>0</v>
      </c>
      <c r="Z23" s="7">
        <v>187.19</v>
      </c>
    </row>
    <row r="24" spans="1:26" x14ac:dyDescent="0.35">
      <c r="A24" s="7" t="s">
        <v>27</v>
      </c>
      <c r="B24" s="7" t="s">
        <v>28</v>
      </c>
      <c r="C24" s="7" t="s">
        <v>48</v>
      </c>
      <c r="D24" s="7" t="s">
        <v>55</v>
      </c>
      <c r="E24" s="7" t="s">
        <v>37</v>
      </c>
      <c r="F24" s="7" t="s">
        <v>56</v>
      </c>
      <c r="G24" s="7">
        <v>2021</v>
      </c>
      <c r="H24" s="7" t="str">
        <f>CONCATENATE("14211581922")</f>
        <v>14211581922</v>
      </c>
      <c r="I24" s="7" t="s">
        <v>30</v>
      </c>
      <c r="J24" s="7" t="s">
        <v>31</v>
      </c>
      <c r="K24" s="7" t="str">
        <f>CONCATENATE("")</f>
        <v/>
      </c>
      <c r="L24" s="7" t="str">
        <f>CONCATENATE("13 13.1 4a")</f>
        <v>13 13.1 4a</v>
      </c>
      <c r="M24" s="7" t="str">
        <f>CONCATENATE("VRGDNL76L29I459N")</f>
        <v>VRGDNL76L29I459N</v>
      </c>
      <c r="N24" s="7" t="s">
        <v>88</v>
      </c>
      <c r="O24" s="7" t="s">
        <v>58</v>
      </c>
      <c r="P24" s="8">
        <v>44659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3277.08</v>
      </c>
      <c r="W24" s="9">
        <v>1413.08</v>
      </c>
      <c r="X24" s="9">
        <v>1304.93</v>
      </c>
      <c r="Y24" s="7">
        <v>0</v>
      </c>
      <c r="Z24" s="7">
        <v>559.07000000000005</v>
      </c>
    </row>
    <row r="25" spans="1:26" x14ac:dyDescent="0.35">
      <c r="A25" s="7" t="s">
        <v>27</v>
      </c>
      <c r="B25" s="7" t="s">
        <v>28</v>
      </c>
      <c r="C25" s="7" t="s">
        <v>48</v>
      </c>
      <c r="D25" s="7" t="s">
        <v>49</v>
      </c>
      <c r="E25" s="7" t="s">
        <v>37</v>
      </c>
      <c r="F25" s="7" t="s">
        <v>59</v>
      </c>
      <c r="G25" s="7">
        <v>2021</v>
      </c>
      <c r="H25" s="7" t="str">
        <f>CONCATENATE("14210351095")</f>
        <v>14210351095</v>
      </c>
      <c r="I25" s="7" t="s">
        <v>30</v>
      </c>
      <c r="J25" s="7" t="s">
        <v>31</v>
      </c>
      <c r="K25" s="7" t="str">
        <f>CONCATENATE("")</f>
        <v/>
      </c>
      <c r="L25" s="7" t="str">
        <f>CONCATENATE("13 13.1 4a")</f>
        <v>13 13.1 4a</v>
      </c>
      <c r="M25" s="7" t="str">
        <f>CONCATENATE("BDCNDR73T03A366K")</f>
        <v>BDCNDR73T03A366K</v>
      </c>
      <c r="N25" s="7" t="s">
        <v>89</v>
      </c>
      <c r="O25" s="7" t="s">
        <v>58</v>
      </c>
      <c r="P25" s="8">
        <v>44659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6340.07</v>
      </c>
      <c r="W25" s="9">
        <v>2733.84</v>
      </c>
      <c r="X25" s="9">
        <v>2524.62</v>
      </c>
      <c r="Y25" s="7">
        <v>0</v>
      </c>
      <c r="Z25" s="9">
        <v>1081.6099999999999</v>
      </c>
    </row>
    <row r="26" spans="1:26" x14ac:dyDescent="0.35">
      <c r="A26" s="7" t="s">
        <v>27</v>
      </c>
      <c r="B26" s="7" t="s">
        <v>28</v>
      </c>
      <c r="C26" s="7" t="s">
        <v>48</v>
      </c>
      <c r="D26" s="7" t="s">
        <v>55</v>
      </c>
      <c r="E26" s="7" t="s">
        <v>37</v>
      </c>
      <c r="F26" s="7" t="s">
        <v>90</v>
      </c>
      <c r="G26" s="7">
        <v>2021</v>
      </c>
      <c r="H26" s="7" t="str">
        <f>CONCATENATE("14211581906")</f>
        <v>14211581906</v>
      </c>
      <c r="I26" s="7" t="s">
        <v>30</v>
      </c>
      <c r="J26" s="7" t="s">
        <v>31</v>
      </c>
      <c r="K26" s="7" t="str">
        <f>CONCATENATE("")</f>
        <v/>
      </c>
      <c r="L26" s="7" t="str">
        <f>CONCATENATE("13 13.1 4a")</f>
        <v>13 13.1 4a</v>
      </c>
      <c r="M26" s="7" t="str">
        <f>CONCATENATE("PMPDTL50L60G627G")</f>
        <v>PMPDTL50L60G627G</v>
      </c>
      <c r="N26" s="7" t="s">
        <v>91</v>
      </c>
      <c r="O26" s="7" t="s">
        <v>58</v>
      </c>
      <c r="P26" s="8">
        <v>44659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3154.98</v>
      </c>
      <c r="W26" s="9">
        <v>1360.43</v>
      </c>
      <c r="X26" s="9">
        <v>1256.31</v>
      </c>
      <c r="Y26" s="7">
        <v>0</v>
      </c>
      <c r="Z26" s="7">
        <v>538.24</v>
      </c>
    </row>
    <row r="27" spans="1:26" x14ac:dyDescent="0.35">
      <c r="A27" s="7" t="s">
        <v>27</v>
      </c>
      <c r="B27" s="7" t="s">
        <v>28</v>
      </c>
      <c r="C27" s="7" t="s">
        <v>48</v>
      </c>
      <c r="D27" s="7" t="s">
        <v>68</v>
      </c>
      <c r="E27" s="7" t="s">
        <v>36</v>
      </c>
      <c r="F27" s="7" t="s">
        <v>36</v>
      </c>
      <c r="G27" s="7">
        <v>2021</v>
      </c>
      <c r="H27" s="7" t="str">
        <f>CONCATENATE("14211255097")</f>
        <v>14211255097</v>
      </c>
      <c r="I27" s="7" t="s">
        <v>30</v>
      </c>
      <c r="J27" s="7" t="s">
        <v>31</v>
      </c>
      <c r="K27" s="7" t="str">
        <f>CONCATENATE("")</f>
        <v/>
      </c>
      <c r="L27" s="7" t="str">
        <f>CONCATENATE("13 13.1 4a")</f>
        <v>13 13.1 4a</v>
      </c>
      <c r="M27" s="7" t="str">
        <f>CONCATENATE("ZZIGPP68M14I774B")</f>
        <v>ZZIGPP68M14I774B</v>
      </c>
      <c r="N27" s="7" t="s">
        <v>92</v>
      </c>
      <c r="O27" s="7" t="s">
        <v>58</v>
      </c>
      <c r="P27" s="8">
        <v>44659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4267.12</v>
      </c>
      <c r="W27" s="9">
        <v>1839.98</v>
      </c>
      <c r="X27" s="9">
        <v>1699.17</v>
      </c>
      <c r="Y27" s="7">
        <v>0</v>
      </c>
      <c r="Z27" s="7">
        <v>727.97</v>
      </c>
    </row>
    <row r="28" spans="1:26" x14ac:dyDescent="0.35">
      <c r="A28" s="7" t="s">
        <v>27</v>
      </c>
      <c r="B28" s="7" t="s">
        <v>28</v>
      </c>
      <c r="C28" s="7" t="s">
        <v>48</v>
      </c>
      <c r="D28" s="7" t="s">
        <v>49</v>
      </c>
      <c r="E28" s="7" t="s">
        <v>37</v>
      </c>
      <c r="F28" s="7" t="s">
        <v>59</v>
      </c>
      <c r="G28" s="7">
        <v>2021</v>
      </c>
      <c r="H28" s="7" t="str">
        <f>CONCATENATE("14210099942")</f>
        <v>14210099942</v>
      </c>
      <c r="I28" s="7" t="s">
        <v>30</v>
      </c>
      <c r="J28" s="7" t="s">
        <v>31</v>
      </c>
      <c r="K28" s="7" t="str">
        <f>CONCATENATE("")</f>
        <v/>
      </c>
      <c r="L28" s="7" t="str">
        <f>CONCATENATE("13 13.1 4a")</f>
        <v>13 13.1 4a</v>
      </c>
      <c r="M28" s="7" t="str">
        <f>CONCATENATE("CPTFNC47R44I461R")</f>
        <v>CPTFNC47R44I461R</v>
      </c>
      <c r="N28" s="7" t="s">
        <v>93</v>
      </c>
      <c r="O28" s="7" t="s">
        <v>58</v>
      </c>
      <c r="P28" s="8">
        <v>44659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7">
        <v>704.06</v>
      </c>
      <c r="W28" s="7">
        <v>303.58999999999997</v>
      </c>
      <c r="X28" s="7">
        <v>280.36</v>
      </c>
      <c r="Y28" s="7">
        <v>0</v>
      </c>
      <c r="Z28" s="7">
        <v>120.11</v>
      </c>
    </row>
    <row r="29" spans="1:26" x14ac:dyDescent="0.35">
      <c r="A29" s="7" t="s">
        <v>27</v>
      </c>
      <c r="B29" s="7" t="s">
        <v>28</v>
      </c>
      <c r="C29" s="7" t="s">
        <v>48</v>
      </c>
      <c r="D29" s="7" t="s">
        <v>68</v>
      </c>
      <c r="E29" s="7" t="s">
        <v>41</v>
      </c>
      <c r="F29" s="7" t="s">
        <v>73</v>
      </c>
      <c r="G29" s="7">
        <v>2021</v>
      </c>
      <c r="H29" s="7" t="str">
        <f>CONCATENATE("14241169763")</f>
        <v>14241169763</v>
      </c>
      <c r="I29" s="7" t="s">
        <v>30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CONCATENATE("VNCNTN95S11H769C")</f>
        <v>VNCNTN95S11H769C</v>
      </c>
      <c r="N29" s="7" t="s">
        <v>75</v>
      </c>
      <c r="O29" s="7" t="s">
        <v>52</v>
      </c>
      <c r="P29" s="8">
        <v>44659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14235.93</v>
      </c>
      <c r="W29" s="9">
        <v>6138.53</v>
      </c>
      <c r="X29" s="9">
        <v>5668.75</v>
      </c>
      <c r="Y29" s="7">
        <v>0</v>
      </c>
      <c r="Z29" s="9">
        <v>2428.65</v>
      </c>
    </row>
    <row r="30" spans="1:26" x14ac:dyDescent="0.35">
      <c r="A30" s="7" t="s">
        <v>27</v>
      </c>
      <c r="B30" s="7" t="s">
        <v>28</v>
      </c>
      <c r="C30" s="7" t="s">
        <v>48</v>
      </c>
      <c r="D30" s="7" t="s">
        <v>68</v>
      </c>
      <c r="E30" s="7" t="s">
        <v>41</v>
      </c>
      <c r="F30" s="7" t="s">
        <v>73</v>
      </c>
      <c r="G30" s="7">
        <v>2021</v>
      </c>
      <c r="H30" s="7" t="str">
        <f>CONCATENATE("14241169748")</f>
        <v>14241169748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CONCATENATE("DMSVCN83H42H501I")</f>
        <v>DMSVCN83H42H501I</v>
      </c>
      <c r="N30" s="7" t="s">
        <v>74</v>
      </c>
      <c r="O30" s="7" t="s">
        <v>52</v>
      </c>
      <c r="P30" s="8">
        <v>44659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7665.93</v>
      </c>
      <c r="W30" s="9">
        <v>3305.55</v>
      </c>
      <c r="X30" s="9">
        <v>3052.57</v>
      </c>
      <c r="Y30" s="7">
        <v>0</v>
      </c>
      <c r="Z30" s="9">
        <v>1307.81</v>
      </c>
    </row>
    <row r="31" spans="1:26" x14ac:dyDescent="0.35">
      <c r="A31" s="7" t="s">
        <v>27</v>
      </c>
      <c r="B31" s="7" t="s">
        <v>28</v>
      </c>
      <c r="C31" s="7" t="s">
        <v>48</v>
      </c>
      <c r="D31" s="7" t="s">
        <v>68</v>
      </c>
      <c r="E31" s="7" t="s">
        <v>41</v>
      </c>
      <c r="F31" s="7" t="s">
        <v>73</v>
      </c>
      <c r="G31" s="7">
        <v>2021</v>
      </c>
      <c r="H31" s="7" t="str">
        <f>CONCATENATE("14241169706")</f>
        <v>14241169706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CONCATENATE("CRTGRL71M70L597Z")</f>
        <v>CRTGRL71M70L597Z</v>
      </c>
      <c r="N31" s="7" t="s">
        <v>76</v>
      </c>
      <c r="O31" s="7" t="s">
        <v>52</v>
      </c>
      <c r="P31" s="8">
        <v>44659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11887.46</v>
      </c>
      <c r="W31" s="9">
        <v>5125.87</v>
      </c>
      <c r="X31" s="9">
        <v>4733.59</v>
      </c>
      <c r="Y31" s="7">
        <v>0</v>
      </c>
      <c r="Z31" s="9">
        <v>2028</v>
      </c>
    </row>
    <row r="32" spans="1:26" ht="17.5" x14ac:dyDescent="0.35">
      <c r="A32" s="7" t="s">
        <v>27</v>
      </c>
      <c r="B32" s="7" t="s">
        <v>28</v>
      </c>
      <c r="C32" s="7" t="s">
        <v>48</v>
      </c>
      <c r="D32" s="7" t="s">
        <v>68</v>
      </c>
      <c r="E32" s="7" t="s">
        <v>39</v>
      </c>
      <c r="F32" s="7" t="s">
        <v>94</v>
      </c>
      <c r="G32" s="7">
        <v>2021</v>
      </c>
      <c r="H32" s="7" t="str">
        <f>CONCATENATE("14240283573")</f>
        <v>14240283573</v>
      </c>
      <c r="I32" s="7" t="s">
        <v>38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CONCATENATE("MNTNTN65R14H926M")</f>
        <v>MNTNTN65R14H926M</v>
      </c>
      <c r="N32" s="7" t="s">
        <v>95</v>
      </c>
      <c r="O32" s="7" t="s">
        <v>52</v>
      </c>
      <c r="P32" s="8">
        <v>44659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7">
        <v>519.75</v>
      </c>
      <c r="W32" s="7">
        <v>224.12</v>
      </c>
      <c r="X32" s="7">
        <v>206.96</v>
      </c>
      <c r="Y32" s="7">
        <v>0</v>
      </c>
      <c r="Z32" s="7">
        <v>88.67</v>
      </c>
    </row>
    <row r="33" spans="1:26" x14ac:dyDescent="0.35">
      <c r="A33" s="7" t="s">
        <v>27</v>
      </c>
      <c r="B33" s="7" t="s">
        <v>28</v>
      </c>
      <c r="C33" s="7" t="s">
        <v>48</v>
      </c>
      <c r="D33" s="7" t="s">
        <v>68</v>
      </c>
      <c r="E33" s="7" t="s">
        <v>29</v>
      </c>
      <c r="F33" s="7" t="s">
        <v>96</v>
      </c>
      <c r="G33" s="7">
        <v>2021</v>
      </c>
      <c r="H33" s="7" t="str">
        <f>CONCATENATE("14240318890")</f>
        <v>14240318890</v>
      </c>
      <c r="I33" s="7" t="s">
        <v>38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CONCATENATE("NNINNG69C47I054I")</f>
        <v>NNINNG69C47I054I</v>
      </c>
      <c r="N33" s="7" t="s">
        <v>97</v>
      </c>
      <c r="O33" s="7" t="s">
        <v>52</v>
      </c>
      <c r="P33" s="8">
        <v>44659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7">
        <v>612.74</v>
      </c>
      <c r="W33" s="7">
        <v>264.20999999999998</v>
      </c>
      <c r="X33" s="7">
        <v>243.99</v>
      </c>
      <c r="Y33" s="7">
        <v>0</v>
      </c>
      <c r="Z33" s="7">
        <v>104.54</v>
      </c>
    </row>
    <row r="34" spans="1:26" x14ac:dyDescent="0.35">
      <c r="A34" s="7" t="s">
        <v>27</v>
      </c>
      <c r="B34" s="7" t="s">
        <v>28</v>
      </c>
      <c r="C34" s="7" t="s">
        <v>48</v>
      </c>
      <c r="D34" s="7" t="s">
        <v>49</v>
      </c>
      <c r="E34" s="7" t="s">
        <v>29</v>
      </c>
      <c r="F34" s="7" t="s">
        <v>50</v>
      </c>
      <c r="G34" s="7">
        <v>2021</v>
      </c>
      <c r="H34" s="7" t="str">
        <f>CONCATENATE("14241114108")</f>
        <v>14241114108</v>
      </c>
      <c r="I34" s="7" t="s">
        <v>30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CONCATENATE("00856440425")</f>
        <v>00856440425</v>
      </c>
      <c r="N34" s="7" t="s">
        <v>51</v>
      </c>
      <c r="O34" s="7" t="s">
        <v>52</v>
      </c>
      <c r="P34" s="8">
        <v>44659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2080.59</v>
      </c>
      <c r="W34" s="7">
        <v>897.15</v>
      </c>
      <c r="X34" s="7">
        <v>828.49</v>
      </c>
      <c r="Y34" s="7">
        <v>0</v>
      </c>
      <c r="Z34" s="7">
        <v>354.95</v>
      </c>
    </row>
    <row r="35" spans="1:26" x14ac:dyDescent="0.35">
      <c r="A35" s="7" t="s">
        <v>27</v>
      </c>
      <c r="B35" s="7" t="s">
        <v>28</v>
      </c>
      <c r="C35" s="7" t="s">
        <v>48</v>
      </c>
      <c r="D35" s="7" t="s">
        <v>49</v>
      </c>
      <c r="E35" s="7" t="s">
        <v>37</v>
      </c>
      <c r="F35" s="7" t="s">
        <v>59</v>
      </c>
      <c r="G35" s="7">
        <v>2021</v>
      </c>
      <c r="H35" s="7" t="str">
        <f>CONCATENATE("14240071002")</f>
        <v>14240071002</v>
      </c>
      <c r="I35" s="7" t="s">
        <v>30</v>
      </c>
      <c r="J35" s="7" t="s">
        <v>31</v>
      </c>
      <c r="K35" s="7" t="str">
        <f>CONCATENATE("")</f>
        <v/>
      </c>
      <c r="L35" s="7" t="str">
        <f>CONCATENATE("11 11.2 4b")</f>
        <v>11 11.2 4b</v>
      </c>
      <c r="M35" s="7" t="str">
        <f>CONCATENATE("LSTNNL62A01I461R")</f>
        <v>LSTNNL62A01I461R</v>
      </c>
      <c r="N35" s="7" t="s">
        <v>98</v>
      </c>
      <c r="O35" s="7" t="s">
        <v>52</v>
      </c>
      <c r="P35" s="8">
        <v>44659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5565.1</v>
      </c>
      <c r="W35" s="9">
        <v>2399.67</v>
      </c>
      <c r="X35" s="9">
        <v>2216.02</v>
      </c>
      <c r="Y35" s="7">
        <v>0</v>
      </c>
      <c r="Z35" s="7">
        <v>949.41</v>
      </c>
    </row>
    <row r="36" spans="1:26" x14ac:dyDescent="0.35">
      <c r="A36" s="7" t="s">
        <v>27</v>
      </c>
      <c r="B36" s="7" t="s">
        <v>28</v>
      </c>
      <c r="C36" s="7" t="s">
        <v>48</v>
      </c>
      <c r="D36" s="7" t="s">
        <v>68</v>
      </c>
      <c r="E36" s="7" t="s">
        <v>41</v>
      </c>
      <c r="F36" s="7" t="s">
        <v>73</v>
      </c>
      <c r="G36" s="7">
        <v>2021</v>
      </c>
      <c r="H36" s="7" t="str">
        <f>CONCATENATE("14241203885")</f>
        <v>14241203885</v>
      </c>
      <c r="I36" s="7" t="s">
        <v>30</v>
      </c>
      <c r="J36" s="7" t="s">
        <v>31</v>
      </c>
      <c r="K36" s="7" t="str">
        <f>CONCATENATE("")</f>
        <v/>
      </c>
      <c r="L36" s="7" t="str">
        <f>CONCATENATE("11 11.2 4b")</f>
        <v>11 11.2 4b</v>
      </c>
      <c r="M36" s="7" t="str">
        <f>CONCATENATE("02340300447")</f>
        <v>02340300447</v>
      </c>
      <c r="N36" s="7" t="s">
        <v>99</v>
      </c>
      <c r="O36" s="7" t="s">
        <v>52</v>
      </c>
      <c r="P36" s="8">
        <v>44659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1896.2</v>
      </c>
      <c r="W36" s="7">
        <v>817.64</v>
      </c>
      <c r="X36" s="7">
        <v>755.07</v>
      </c>
      <c r="Y36" s="7">
        <v>0</v>
      </c>
      <c r="Z36" s="7">
        <v>323.49</v>
      </c>
    </row>
    <row r="37" spans="1:26" x14ac:dyDescent="0.35">
      <c r="A37" s="7" t="s">
        <v>27</v>
      </c>
      <c r="B37" s="7" t="s">
        <v>28</v>
      </c>
      <c r="C37" s="7" t="s">
        <v>48</v>
      </c>
      <c r="D37" s="7" t="s">
        <v>49</v>
      </c>
      <c r="E37" s="7" t="s">
        <v>37</v>
      </c>
      <c r="F37" s="7" t="s">
        <v>61</v>
      </c>
      <c r="G37" s="7">
        <v>2021</v>
      </c>
      <c r="H37" s="7" t="str">
        <f>CONCATENATE("14210977139")</f>
        <v>14210977139</v>
      </c>
      <c r="I37" s="7" t="s">
        <v>38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CONCATENATE("PGLCRL65P18D451Q")</f>
        <v>PGLCRL65P18D451Q</v>
      </c>
      <c r="N37" s="7" t="s">
        <v>100</v>
      </c>
      <c r="O37" s="7" t="s">
        <v>58</v>
      </c>
      <c r="P37" s="8">
        <v>44659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7">
        <v>175.52</v>
      </c>
      <c r="W37" s="7">
        <v>75.680000000000007</v>
      </c>
      <c r="X37" s="7">
        <v>69.89</v>
      </c>
      <c r="Y37" s="7">
        <v>0</v>
      </c>
      <c r="Z37" s="7">
        <v>29.95</v>
      </c>
    </row>
    <row r="38" spans="1:26" x14ac:dyDescent="0.35">
      <c r="A38" s="7" t="s">
        <v>27</v>
      </c>
      <c r="B38" s="7" t="s">
        <v>28</v>
      </c>
      <c r="C38" s="7" t="s">
        <v>48</v>
      </c>
      <c r="D38" s="7" t="s">
        <v>49</v>
      </c>
      <c r="E38" s="7" t="s">
        <v>29</v>
      </c>
      <c r="F38" s="7" t="s">
        <v>101</v>
      </c>
      <c r="G38" s="7">
        <v>2021</v>
      </c>
      <c r="H38" s="7" t="str">
        <f>CONCATENATE("14210849015")</f>
        <v>14210849015</v>
      </c>
      <c r="I38" s="7" t="s">
        <v>38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CONCATENATE("LTNRRT77S19D451G")</f>
        <v>LTNRRT77S19D451G</v>
      </c>
      <c r="N38" s="7" t="s">
        <v>102</v>
      </c>
      <c r="O38" s="7" t="s">
        <v>58</v>
      </c>
      <c r="P38" s="8">
        <v>44659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7">
        <v>64.86</v>
      </c>
      <c r="W38" s="7">
        <v>27.97</v>
      </c>
      <c r="X38" s="7">
        <v>25.83</v>
      </c>
      <c r="Y38" s="7">
        <v>0</v>
      </c>
      <c r="Z38" s="7">
        <v>11.06</v>
      </c>
    </row>
    <row r="39" spans="1:26" x14ac:dyDescent="0.35">
      <c r="A39" s="7" t="s">
        <v>27</v>
      </c>
      <c r="B39" s="7" t="s">
        <v>28</v>
      </c>
      <c r="C39" s="7" t="s">
        <v>48</v>
      </c>
      <c r="D39" s="7" t="s">
        <v>68</v>
      </c>
      <c r="E39" s="7" t="s">
        <v>39</v>
      </c>
      <c r="F39" s="7" t="s">
        <v>94</v>
      </c>
      <c r="G39" s="7">
        <v>2021</v>
      </c>
      <c r="H39" s="7" t="str">
        <f>CONCATENATE("14211185484")</f>
        <v>14211185484</v>
      </c>
      <c r="I39" s="7" t="s">
        <v>30</v>
      </c>
      <c r="J39" s="7" t="s">
        <v>31</v>
      </c>
      <c r="K39" s="7" t="str">
        <f>CONCATENATE("")</f>
        <v/>
      </c>
      <c r="L39" s="7" t="str">
        <f>CONCATENATE("13 13.1 4a")</f>
        <v>13 13.1 4a</v>
      </c>
      <c r="M39" s="7" t="str">
        <f>CONCATENATE("01824030439")</f>
        <v>01824030439</v>
      </c>
      <c r="N39" s="7" t="s">
        <v>103</v>
      </c>
      <c r="O39" s="7" t="s">
        <v>58</v>
      </c>
      <c r="P39" s="8">
        <v>44659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9000</v>
      </c>
      <c r="W39" s="9">
        <v>3880.8</v>
      </c>
      <c r="X39" s="9">
        <v>3583.8</v>
      </c>
      <c r="Y39" s="7">
        <v>0</v>
      </c>
      <c r="Z39" s="9">
        <v>1535.4</v>
      </c>
    </row>
    <row r="40" spans="1:26" x14ac:dyDescent="0.35">
      <c r="A40" s="7" t="s">
        <v>27</v>
      </c>
      <c r="B40" s="7" t="s">
        <v>28</v>
      </c>
      <c r="C40" s="7" t="s">
        <v>48</v>
      </c>
      <c r="D40" s="7" t="s">
        <v>68</v>
      </c>
      <c r="E40" s="7" t="s">
        <v>41</v>
      </c>
      <c r="F40" s="7" t="s">
        <v>73</v>
      </c>
      <c r="G40" s="7">
        <v>2021</v>
      </c>
      <c r="H40" s="7" t="str">
        <f>CONCATENATE("14241203174")</f>
        <v>14241203174</v>
      </c>
      <c r="I40" s="7" t="s">
        <v>30</v>
      </c>
      <c r="J40" s="7" t="s">
        <v>31</v>
      </c>
      <c r="K40" s="7" t="str">
        <f>CONCATENATE("")</f>
        <v/>
      </c>
      <c r="L40" s="7" t="str">
        <f>CONCATENATE("11 11.2 4b")</f>
        <v>11 11.2 4b</v>
      </c>
      <c r="M40" s="7" t="str">
        <f>CONCATENATE("VTTPTR35H17C935T")</f>
        <v>VTTPTR35H17C935T</v>
      </c>
      <c r="N40" s="7" t="s">
        <v>104</v>
      </c>
      <c r="O40" s="7" t="s">
        <v>52</v>
      </c>
      <c r="P40" s="8">
        <v>44659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8921.82</v>
      </c>
      <c r="W40" s="9">
        <v>3847.09</v>
      </c>
      <c r="X40" s="9">
        <v>3552.67</v>
      </c>
      <c r="Y40" s="7">
        <v>0</v>
      </c>
      <c r="Z40" s="9">
        <v>1522.06</v>
      </c>
    </row>
    <row r="41" spans="1:26" x14ac:dyDescent="0.35">
      <c r="A41" s="7" t="s">
        <v>27</v>
      </c>
      <c r="B41" s="7" t="s">
        <v>28</v>
      </c>
      <c r="C41" s="7" t="s">
        <v>48</v>
      </c>
      <c r="D41" s="7" t="s">
        <v>68</v>
      </c>
      <c r="E41" s="7" t="s">
        <v>39</v>
      </c>
      <c r="F41" s="7" t="s">
        <v>94</v>
      </c>
      <c r="G41" s="7">
        <v>2021</v>
      </c>
      <c r="H41" s="7" t="str">
        <f>CONCATENATE("14241396499")</f>
        <v>14241396499</v>
      </c>
      <c r="I41" s="7" t="s">
        <v>30</v>
      </c>
      <c r="J41" s="7" t="s">
        <v>31</v>
      </c>
      <c r="K41" s="7" t="str">
        <f>CONCATENATE("")</f>
        <v/>
      </c>
      <c r="L41" s="7" t="str">
        <f>CONCATENATE("11 11.2 4b")</f>
        <v>11 11.2 4b</v>
      </c>
      <c r="M41" s="7" t="str">
        <f>CONCATENATE("01824030439")</f>
        <v>01824030439</v>
      </c>
      <c r="N41" s="7" t="s">
        <v>103</v>
      </c>
      <c r="O41" s="7" t="s">
        <v>52</v>
      </c>
      <c r="P41" s="8">
        <v>44659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19570.490000000002</v>
      </c>
      <c r="W41" s="9">
        <v>8438.7999999999993</v>
      </c>
      <c r="X41" s="9">
        <v>7792.97</v>
      </c>
      <c r="Y41" s="7">
        <v>0</v>
      </c>
      <c r="Z41" s="9">
        <v>3338.72</v>
      </c>
    </row>
    <row r="42" spans="1:26" x14ac:dyDescent="0.35">
      <c r="A42" s="7" t="s">
        <v>27</v>
      </c>
      <c r="B42" s="7" t="s">
        <v>28</v>
      </c>
      <c r="C42" s="7" t="s">
        <v>48</v>
      </c>
      <c r="D42" s="7" t="s">
        <v>68</v>
      </c>
      <c r="E42" s="7" t="s">
        <v>39</v>
      </c>
      <c r="F42" s="7" t="s">
        <v>94</v>
      </c>
      <c r="G42" s="7">
        <v>2021</v>
      </c>
      <c r="H42" s="7" t="str">
        <f>CONCATENATE("14210489689")</f>
        <v>14210489689</v>
      </c>
      <c r="I42" s="7" t="s">
        <v>30</v>
      </c>
      <c r="J42" s="7" t="s">
        <v>31</v>
      </c>
      <c r="K42" s="7" t="str">
        <f>CONCATENATE("")</f>
        <v/>
      </c>
      <c r="L42" s="7" t="str">
        <f>CONCATENATE("13 13.1 4a")</f>
        <v>13 13.1 4a</v>
      </c>
      <c r="M42" s="7" t="str">
        <f>CONCATENATE("LDDLRD85C02D542R")</f>
        <v>LDDLRD85C02D542R</v>
      </c>
      <c r="N42" s="7" t="s">
        <v>105</v>
      </c>
      <c r="O42" s="7" t="s">
        <v>58</v>
      </c>
      <c r="P42" s="8">
        <v>44659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4651.78</v>
      </c>
      <c r="W42" s="9">
        <v>2005.85</v>
      </c>
      <c r="X42" s="9">
        <v>1852.34</v>
      </c>
      <c r="Y42" s="7">
        <v>0</v>
      </c>
      <c r="Z42" s="7">
        <v>793.59</v>
      </c>
    </row>
    <row r="43" spans="1:26" x14ac:dyDescent="0.35">
      <c r="A43" s="7" t="s">
        <v>27</v>
      </c>
      <c r="B43" s="7" t="s">
        <v>28</v>
      </c>
      <c r="C43" s="7" t="s">
        <v>48</v>
      </c>
      <c r="D43" s="7" t="s">
        <v>68</v>
      </c>
      <c r="E43" s="7" t="s">
        <v>39</v>
      </c>
      <c r="F43" s="7" t="s">
        <v>94</v>
      </c>
      <c r="G43" s="7">
        <v>2021</v>
      </c>
      <c r="H43" s="7" t="str">
        <f>CONCATENATE("14241281097")</f>
        <v>14241281097</v>
      </c>
      <c r="I43" s="7" t="s">
        <v>30</v>
      </c>
      <c r="J43" s="7" t="s">
        <v>31</v>
      </c>
      <c r="K43" s="7" t="str">
        <f>CONCATENATE("")</f>
        <v/>
      </c>
      <c r="L43" s="7" t="str">
        <f>CONCATENATE("11 11.2 4b")</f>
        <v>11 11.2 4b</v>
      </c>
      <c r="M43" s="7" t="str">
        <f>CONCATENATE("LDDLRD85C02D542R")</f>
        <v>LDDLRD85C02D542R</v>
      </c>
      <c r="N43" s="7" t="s">
        <v>105</v>
      </c>
      <c r="O43" s="7" t="s">
        <v>52</v>
      </c>
      <c r="P43" s="8">
        <v>44659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9730.2000000000007</v>
      </c>
      <c r="W43" s="9">
        <v>4195.66</v>
      </c>
      <c r="X43" s="9">
        <v>3874.57</v>
      </c>
      <c r="Y43" s="7">
        <v>0</v>
      </c>
      <c r="Z43" s="9">
        <v>1659.97</v>
      </c>
    </row>
    <row r="44" spans="1:26" x14ac:dyDescent="0.35">
      <c r="A44" s="7" t="s">
        <v>27</v>
      </c>
      <c r="B44" s="7" t="s">
        <v>28</v>
      </c>
      <c r="C44" s="7" t="s">
        <v>48</v>
      </c>
      <c r="D44" s="7" t="s">
        <v>55</v>
      </c>
      <c r="E44" s="7" t="s">
        <v>44</v>
      </c>
      <c r="F44" s="7" t="s">
        <v>71</v>
      </c>
      <c r="G44" s="7">
        <v>2021</v>
      </c>
      <c r="H44" s="7" t="str">
        <f>CONCATENATE("14211581872")</f>
        <v>14211581872</v>
      </c>
      <c r="I44" s="7" t="s">
        <v>30</v>
      </c>
      <c r="J44" s="7" t="s">
        <v>31</v>
      </c>
      <c r="K44" s="7" t="str">
        <f>CONCATENATE("")</f>
        <v/>
      </c>
      <c r="L44" s="7" t="str">
        <f>CONCATENATE("13 13.1 4a")</f>
        <v>13 13.1 4a</v>
      </c>
      <c r="M44" s="7" t="str">
        <f>CONCATENATE("04275730408")</f>
        <v>04275730408</v>
      </c>
      <c r="N44" s="7" t="s">
        <v>106</v>
      </c>
      <c r="O44" s="7" t="s">
        <v>58</v>
      </c>
      <c r="P44" s="8">
        <v>44659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1230.72</v>
      </c>
      <c r="W44" s="7">
        <v>530.69000000000005</v>
      </c>
      <c r="X44" s="7">
        <v>490.07</v>
      </c>
      <c r="Y44" s="7">
        <v>0</v>
      </c>
      <c r="Z44" s="7">
        <v>209.96</v>
      </c>
    </row>
    <row r="45" spans="1:26" x14ac:dyDescent="0.35">
      <c r="A45" s="7" t="s">
        <v>27</v>
      </c>
      <c r="B45" s="7" t="s">
        <v>28</v>
      </c>
      <c r="C45" s="7" t="s">
        <v>48</v>
      </c>
      <c r="D45" s="7" t="s">
        <v>55</v>
      </c>
      <c r="E45" s="7" t="s">
        <v>44</v>
      </c>
      <c r="F45" s="7" t="s">
        <v>71</v>
      </c>
      <c r="G45" s="7">
        <v>2021</v>
      </c>
      <c r="H45" s="7" t="str">
        <f>CONCATENATE("14241738096")</f>
        <v>14241738096</v>
      </c>
      <c r="I45" s="7" t="s">
        <v>30</v>
      </c>
      <c r="J45" s="7" t="s">
        <v>31</v>
      </c>
      <c r="K45" s="7" t="str">
        <f>CONCATENATE("")</f>
        <v/>
      </c>
      <c r="L45" s="7" t="str">
        <f>CONCATENATE("11 11.2 4b")</f>
        <v>11 11.2 4b</v>
      </c>
      <c r="M45" s="7" t="str">
        <f>CONCATENATE("04275730408")</f>
        <v>04275730408</v>
      </c>
      <c r="N45" s="7" t="s">
        <v>106</v>
      </c>
      <c r="O45" s="7" t="s">
        <v>52</v>
      </c>
      <c r="P45" s="8">
        <v>44659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1519.13</v>
      </c>
      <c r="W45" s="7">
        <v>655.04999999999995</v>
      </c>
      <c r="X45" s="7">
        <v>604.91999999999996</v>
      </c>
      <c r="Y45" s="7">
        <v>0</v>
      </c>
      <c r="Z45" s="7">
        <v>259.16000000000003</v>
      </c>
    </row>
    <row r="46" spans="1:26" x14ac:dyDescent="0.35">
      <c r="A46" s="7" t="s">
        <v>27</v>
      </c>
      <c r="B46" s="7" t="s">
        <v>28</v>
      </c>
      <c r="C46" s="7" t="s">
        <v>48</v>
      </c>
      <c r="D46" s="7" t="s">
        <v>68</v>
      </c>
      <c r="E46" s="7" t="s">
        <v>37</v>
      </c>
      <c r="F46" s="7" t="s">
        <v>69</v>
      </c>
      <c r="G46" s="7">
        <v>2021</v>
      </c>
      <c r="H46" s="7" t="str">
        <f>CONCATENATE("14210840931")</f>
        <v>14210840931</v>
      </c>
      <c r="I46" s="7" t="s">
        <v>30</v>
      </c>
      <c r="J46" s="7" t="s">
        <v>31</v>
      </c>
      <c r="K46" s="7" t="str">
        <f>CONCATENATE("")</f>
        <v/>
      </c>
      <c r="L46" s="7" t="str">
        <f>CONCATENATE("13 13.1 4a")</f>
        <v>13 13.1 4a</v>
      </c>
      <c r="M46" s="7" t="str">
        <f>CONCATENATE("01411730441")</f>
        <v>01411730441</v>
      </c>
      <c r="N46" s="7" t="s">
        <v>107</v>
      </c>
      <c r="O46" s="7" t="s">
        <v>58</v>
      </c>
      <c r="P46" s="8">
        <v>44659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7">
        <v>980.63</v>
      </c>
      <c r="W46" s="7">
        <v>422.85</v>
      </c>
      <c r="X46" s="7">
        <v>390.49</v>
      </c>
      <c r="Y46" s="7">
        <v>0</v>
      </c>
      <c r="Z46" s="7">
        <v>167.29</v>
      </c>
    </row>
    <row r="47" spans="1:26" x14ac:dyDescent="0.35">
      <c r="A47" s="7" t="s">
        <v>27</v>
      </c>
      <c r="B47" s="7" t="s">
        <v>28</v>
      </c>
      <c r="C47" s="7" t="s">
        <v>48</v>
      </c>
      <c r="D47" s="7" t="s">
        <v>49</v>
      </c>
      <c r="E47" s="7" t="s">
        <v>37</v>
      </c>
      <c r="F47" s="7" t="s">
        <v>61</v>
      </c>
      <c r="G47" s="7">
        <v>2021</v>
      </c>
      <c r="H47" s="7" t="str">
        <f>CONCATENATE("14211558185")</f>
        <v>14211558185</v>
      </c>
      <c r="I47" s="7" t="s">
        <v>30</v>
      </c>
      <c r="J47" s="7" t="s">
        <v>31</v>
      </c>
      <c r="K47" s="7" t="str">
        <f>CONCATENATE("")</f>
        <v/>
      </c>
      <c r="L47" s="7" t="str">
        <f>CONCATENATE("13 13.1 4a")</f>
        <v>13 13.1 4a</v>
      </c>
      <c r="M47" s="7" t="str">
        <f>CONCATENATE("CFNRLD64H19D451Z")</f>
        <v>CFNRLD64H19D451Z</v>
      </c>
      <c r="N47" s="7" t="s">
        <v>108</v>
      </c>
      <c r="O47" s="7" t="s">
        <v>58</v>
      </c>
      <c r="P47" s="8">
        <v>44659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8985.6</v>
      </c>
      <c r="W47" s="9">
        <v>3874.59</v>
      </c>
      <c r="X47" s="9">
        <v>3578.07</v>
      </c>
      <c r="Y47" s="7">
        <v>0</v>
      </c>
      <c r="Z47" s="9">
        <v>1532.94</v>
      </c>
    </row>
    <row r="48" spans="1:26" x14ac:dyDescent="0.35">
      <c r="A48" s="7" t="s">
        <v>27</v>
      </c>
      <c r="B48" s="7" t="s">
        <v>28</v>
      </c>
      <c r="C48" s="7" t="s">
        <v>48</v>
      </c>
      <c r="D48" s="7" t="s">
        <v>68</v>
      </c>
      <c r="E48" s="7" t="s">
        <v>37</v>
      </c>
      <c r="F48" s="7" t="s">
        <v>69</v>
      </c>
      <c r="G48" s="7">
        <v>2021</v>
      </c>
      <c r="H48" s="7" t="str">
        <f>CONCATENATE("14210838679")</f>
        <v>14210838679</v>
      </c>
      <c r="I48" s="7" t="s">
        <v>30</v>
      </c>
      <c r="J48" s="7" t="s">
        <v>31</v>
      </c>
      <c r="K48" s="7" t="str">
        <f>CONCATENATE("")</f>
        <v/>
      </c>
      <c r="L48" s="7" t="str">
        <f>CONCATENATE("13 13.1 4a")</f>
        <v>13 13.1 4a</v>
      </c>
      <c r="M48" s="7" t="str">
        <f>CONCATENATE("01124420447")</f>
        <v>01124420447</v>
      </c>
      <c r="N48" s="7" t="s">
        <v>109</v>
      </c>
      <c r="O48" s="7" t="s">
        <v>58</v>
      </c>
      <c r="P48" s="8">
        <v>44659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7">
        <v>926.02</v>
      </c>
      <c r="W48" s="7">
        <v>399.3</v>
      </c>
      <c r="X48" s="7">
        <v>368.74</v>
      </c>
      <c r="Y48" s="7">
        <v>0</v>
      </c>
      <c r="Z48" s="7">
        <v>157.97999999999999</v>
      </c>
    </row>
    <row r="49" spans="1:26" x14ac:dyDescent="0.35">
      <c r="A49" s="7" t="s">
        <v>27</v>
      </c>
      <c r="B49" s="7" t="s">
        <v>28</v>
      </c>
      <c r="C49" s="7" t="s">
        <v>48</v>
      </c>
      <c r="D49" s="7" t="s">
        <v>49</v>
      </c>
      <c r="E49" s="7" t="s">
        <v>37</v>
      </c>
      <c r="F49" s="7" t="s">
        <v>61</v>
      </c>
      <c r="G49" s="7">
        <v>2021</v>
      </c>
      <c r="H49" s="7" t="str">
        <f>CONCATENATE("14210265196")</f>
        <v>14210265196</v>
      </c>
      <c r="I49" s="7" t="s">
        <v>30</v>
      </c>
      <c r="J49" s="7" t="s">
        <v>31</v>
      </c>
      <c r="K49" s="7" t="str">
        <f>CONCATENATE("")</f>
        <v/>
      </c>
      <c r="L49" s="7" t="str">
        <f>CONCATENATE("13 13.1 4a")</f>
        <v>13 13.1 4a</v>
      </c>
      <c r="M49" s="7" t="str">
        <f>CONCATENATE("NTCLNR69D47D612M")</f>
        <v>NTCLNR69D47D612M</v>
      </c>
      <c r="N49" s="7" t="s">
        <v>110</v>
      </c>
      <c r="O49" s="7" t="s">
        <v>58</v>
      </c>
      <c r="P49" s="8">
        <v>44659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7">
        <v>999.62</v>
      </c>
      <c r="W49" s="7">
        <v>431.04</v>
      </c>
      <c r="X49" s="7">
        <v>398.05</v>
      </c>
      <c r="Y49" s="7">
        <v>0</v>
      </c>
      <c r="Z49" s="7">
        <v>170.53</v>
      </c>
    </row>
    <row r="50" spans="1:26" x14ac:dyDescent="0.35">
      <c r="A50" s="7" t="s">
        <v>27</v>
      </c>
      <c r="B50" s="7" t="s">
        <v>28</v>
      </c>
      <c r="C50" s="7" t="s">
        <v>48</v>
      </c>
      <c r="D50" s="7" t="s">
        <v>55</v>
      </c>
      <c r="E50" s="7" t="s">
        <v>37</v>
      </c>
      <c r="F50" s="7" t="s">
        <v>66</v>
      </c>
      <c r="G50" s="7">
        <v>2021</v>
      </c>
      <c r="H50" s="7" t="str">
        <f>CONCATENATE("14211319281")</f>
        <v>14211319281</v>
      </c>
      <c r="I50" s="7" t="s">
        <v>30</v>
      </c>
      <c r="J50" s="7" t="s">
        <v>31</v>
      </c>
      <c r="K50" s="7" t="str">
        <f>CONCATENATE("")</f>
        <v/>
      </c>
      <c r="L50" s="7" t="str">
        <f>CONCATENATE("13 13.1 4a")</f>
        <v>13 13.1 4a</v>
      </c>
      <c r="M50" s="7" t="str">
        <f>CONCATENATE("VLPRNT46C04B352X")</f>
        <v>VLPRNT46C04B352X</v>
      </c>
      <c r="N50" s="7" t="s">
        <v>111</v>
      </c>
      <c r="O50" s="7" t="s">
        <v>58</v>
      </c>
      <c r="P50" s="8">
        <v>44659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7553.08</v>
      </c>
      <c r="W50" s="9">
        <v>3256.89</v>
      </c>
      <c r="X50" s="9">
        <v>3007.64</v>
      </c>
      <c r="Y50" s="7">
        <v>0</v>
      </c>
      <c r="Z50" s="9">
        <v>1288.55</v>
      </c>
    </row>
    <row r="51" spans="1:26" x14ac:dyDescent="0.35">
      <c r="A51" s="7" t="s">
        <v>27</v>
      </c>
      <c r="B51" s="7" t="s">
        <v>28</v>
      </c>
      <c r="C51" s="7" t="s">
        <v>48</v>
      </c>
      <c r="D51" s="7" t="s">
        <v>49</v>
      </c>
      <c r="E51" s="7" t="s">
        <v>29</v>
      </c>
      <c r="F51" s="7" t="s">
        <v>101</v>
      </c>
      <c r="G51" s="7">
        <v>2021</v>
      </c>
      <c r="H51" s="7" t="str">
        <f>CONCATENATE("14210916301")</f>
        <v>14210916301</v>
      </c>
      <c r="I51" s="7" t="s">
        <v>30</v>
      </c>
      <c r="J51" s="7" t="s">
        <v>31</v>
      </c>
      <c r="K51" s="7" t="str">
        <f>CONCATENATE("")</f>
        <v/>
      </c>
      <c r="L51" s="7" t="str">
        <f>CONCATENATE("13 13.1 4a")</f>
        <v>13 13.1 4a</v>
      </c>
      <c r="M51" s="7" t="str">
        <f>CONCATENATE("MGNDNC60L09I461C")</f>
        <v>MGNDNC60L09I461C</v>
      </c>
      <c r="N51" s="7" t="s">
        <v>112</v>
      </c>
      <c r="O51" s="7" t="s">
        <v>58</v>
      </c>
      <c r="P51" s="8">
        <v>44659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6357.06</v>
      </c>
      <c r="W51" s="9">
        <v>2741.16</v>
      </c>
      <c r="X51" s="9">
        <v>2531.38</v>
      </c>
      <c r="Y51" s="7">
        <v>0</v>
      </c>
      <c r="Z51" s="9">
        <v>1084.52</v>
      </c>
    </row>
    <row r="52" spans="1:26" x14ac:dyDescent="0.35">
      <c r="A52" s="7" t="s">
        <v>27</v>
      </c>
      <c r="B52" s="7" t="s">
        <v>28</v>
      </c>
      <c r="C52" s="7" t="s">
        <v>48</v>
      </c>
      <c r="D52" s="7" t="s">
        <v>68</v>
      </c>
      <c r="E52" s="7" t="s">
        <v>41</v>
      </c>
      <c r="F52" s="7" t="s">
        <v>73</v>
      </c>
      <c r="G52" s="7">
        <v>2021</v>
      </c>
      <c r="H52" s="7" t="str">
        <f>CONCATENATE("14211036893")</f>
        <v>14211036893</v>
      </c>
      <c r="I52" s="7" t="s">
        <v>30</v>
      </c>
      <c r="J52" s="7" t="s">
        <v>31</v>
      </c>
      <c r="K52" s="7" t="str">
        <f>CONCATENATE("")</f>
        <v/>
      </c>
      <c r="L52" s="7" t="str">
        <f>CONCATENATE("13 13.1 4a")</f>
        <v>13 13.1 4a</v>
      </c>
      <c r="M52" s="7" t="str">
        <f>CONCATENATE("CRTDNI72R24L597Z")</f>
        <v>CRTDNI72R24L597Z</v>
      </c>
      <c r="N52" s="7" t="s">
        <v>113</v>
      </c>
      <c r="O52" s="7" t="s">
        <v>58</v>
      </c>
      <c r="P52" s="8">
        <v>44659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9000</v>
      </c>
      <c r="W52" s="9">
        <v>3880.8</v>
      </c>
      <c r="X52" s="9">
        <v>3583.8</v>
      </c>
      <c r="Y52" s="7">
        <v>0</v>
      </c>
      <c r="Z52" s="9">
        <v>1535.4</v>
      </c>
    </row>
    <row r="53" spans="1:26" x14ac:dyDescent="0.35">
      <c r="A53" s="7" t="s">
        <v>27</v>
      </c>
      <c r="B53" s="7" t="s">
        <v>28</v>
      </c>
      <c r="C53" s="7" t="s">
        <v>48</v>
      </c>
      <c r="D53" s="7" t="s">
        <v>68</v>
      </c>
      <c r="E53" s="7" t="s">
        <v>41</v>
      </c>
      <c r="F53" s="7" t="s">
        <v>73</v>
      </c>
      <c r="G53" s="7">
        <v>2021</v>
      </c>
      <c r="H53" s="7" t="str">
        <f>CONCATENATE("14241226746")</f>
        <v>14241226746</v>
      </c>
      <c r="I53" s="7" t="s">
        <v>30</v>
      </c>
      <c r="J53" s="7" t="s">
        <v>31</v>
      </c>
      <c r="K53" s="7" t="str">
        <f>CONCATENATE("")</f>
        <v/>
      </c>
      <c r="L53" s="7" t="str">
        <f>CONCATENATE("11 11.2 4b")</f>
        <v>11 11.2 4b</v>
      </c>
      <c r="M53" s="7" t="str">
        <f>CONCATENATE("CRTDNI72R24L597Z")</f>
        <v>CRTDNI72R24L597Z</v>
      </c>
      <c r="N53" s="7" t="s">
        <v>113</v>
      </c>
      <c r="O53" s="7" t="s">
        <v>52</v>
      </c>
      <c r="P53" s="8">
        <v>44659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17528.8</v>
      </c>
      <c r="W53" s="9">
        <v>7558.42</v>
      </c>
      <c r="X53" s="9">
        <v>6979.97</v>
      </c>
      <c r="Y53" s="7">
        <v>0</v>
      </c>
      <c r="Z53" s="9">
        <v>2990.41</v>
      </c>
    </row>
    <row r="54" spans="1:26" x14ac:dyDescent="0.35">
      <c r="A54" s="7" t="s">
        <v>27</v>
      </c>
      <c r="B54" s="7" t="s">
        <v>28</v>
      </c>
      <c r="C54" s="7" t="s">
        <v>48</v>
      </c>
      <c r="D54" s="7" t="s">
        <v>49</v>
      </c>
      <c r="E54" s="7" t="s">
        <v>37</v>
      </c>
      <c r="F54" s="7" t="s">
        <v>61</v>
      </c>
      <c r="G54" s="7">
        <v>2021</v>
      </c>
      <c r="H54" s="7" t="str">
        <f>CONCATENATE("14211178257")</f>
        <v>14211178257</v>
      </c>
      <c r="I54" s="7" t="s">
        <v>30</v>
      </c>
      <c r="J54" s="7" t="s">
        <v>31</v>
      </c>
      <c r="K54" s="7" t="str">
        <f>CONCATENATE("")</f>
        <v/>
      </c>
      <c r="L54" s="7" t="str">
        <f>CONCATENATE("13 13.1 4a")</f>
        <v>13 13.1 4a</v>
      </c>
      <c r="M54" s="7" t="str">
        <f>CONCATENATE("PCGRMG65A13Z133V")</f>
        <v>PCGRMG65A13Z133V</v>
      </c>
      <c r="N54" s="7" t="s">
        <v>114</v>
      </c>
      <c r="O54" s="7" t="s">
        <v>58</v>
      </c>
      <c r="P54" s="8">
        <v>44659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8699.99</v>
      </c>
      <c r="W54" s="9">
        <v>3751.44</v>
      </c>
      <c r="X54" s="9">
        <v>3464.34</v>
      </c>
      <c r="Y54" s="7">
        <v>0</v>
      </c>
      <c r="Z54" s="9">
        <v>1484.21</v>
      </c>
    </row>
    <row r="55" spans="1:26" ht="17.5" x14ac:dyDescent="0.35">
      <c r="A55" s="7" t="s">
        <v>27</v>
      </c>
      <c r="B55" s="7" t="s">
        <v>28</v>
      </c>
      <c r="C55" s="7" t="s">
        <v>48</v>
      </c>
      <c r="D55" s="7" t="s">
        <v>68</v>
      </c>
      <c r="E55" s="7" t="s">
        <v>37</v>
      </c>
      <c r="F55" s="7" t="s">
        <v>115</v>
      </c>
      <c r="G55" s="7">
        <v>2021</v>
      </c>
      <c r="H55" s="7" t="str">
        <f>CONCATENATE("14241225367")</f>
        <v>14241225367</v>
      </c>
      <c r="I55" s="7" t="s">
        <v>38</v>
      </c>
      <c r="J55" s="7" t="s">
        <v>31</v>
      </c>
      <c r="K55" s="7" t="str">
        <f>CONCATENATE("")</f>
        <v/>
      </c>
      <c r="L55" s="7" t="str">
        <f>CONCATENATE("11 11.2 4b")</f>
        <v>11 11.2 4b</v>
      </c>
      <c r="M55" s="7" t="str">
        <f>CONCATENATE("LNDVCN81M22H769D")</f>
        <v>LNDVCN81M22H769D</v>
      </c>
      <c r="N55" s="7" t="s">
        <v>116</v>
      </c>
      <c r="O55" s="7" t="s">
        <v>52</v>
      </c>
      <c r="P55" s="8">
        <v>44659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7">
        <v>451.65</v>
      </c>
      <c r="W55" s="7">
        <v>194.75</v>
      </c>
      <c r="X55" s="7">
        <v>179.85</v>
      </c>
      <c r="Y55" s="7">
        <v>0</v>
      </c>
      <c r="Z55" s="7">
        <v>77.05</v>
      </c>
    </row>
    <row r="56" spans="1:26" ht="17.5" x14ac:dyDescent="0.35">
      <c r="A56" s="7" t="s">
        <v>27</v>
      </c>
      <c r="B56" s="7" t="s">
        <v>28</v>
      </c>
      <c r="C56" s="7" t="s">
        <v>48</v>
      </c>
      <c r="D56" s="7" t="s">
        <v>55</v>
      </c>
      <c r="E56" s="7" t="s">
        <v>37</v>
      </c>
      <c r="F56" s="7" t="s">
        <v>83</v>
      </c>
      <c r="G56" s="7">
        <v>2021</v>
      </c>
      <c r="H56" s="7" t="str">
        <f>CONCATENATE("14210238045")</f>
        <v>14210238045</v>
      </c>
      <c r="I56" s="7" t="s">
        <v>30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CONCATENATE("GDCMRA63P23G453W")</f>
        <v>GDCMRA63P23G453W</v>
      </c>
      <c r="N56" s="7" t="s">
        <v>117</v>
      </c>
      <c r="O56" s="7" t="s">
        <v>58</v>
      </c>
      <c r="P56" s="8">
        <v>44659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3609.31</v>
      </c>
      <c r="W56" s="9">
        <v>1556.33</v>
      </c>
      <c r="X56" s="9">
        <v>1437.23</v>
      </c>
      <c r="Y56" s="7">
        <v>0</v>
      </c>
      <c r="Z56" s="7">
        <v>615.75</v>
      </c>
    </row>
    <row r="57" spans="1:26" x14ac:dyDescent="0.35">
      <c r="A57" s="7" t="s">
        <v>27</v>
      </c>
      <c r="B57" s="7" t="s">
        <v>28</v>
      </c>
      <c r="C57" s="7" t="s">
        <v>48</v>
      </c>
      <c r="D57" s="7" t="s">
        <v>49</v>
      </c>
      <c r="E57" s="7" t="s">
        <v>37</v>
      </c>
      <c r="F57" s="7" t="s">
        <v>59</v>
      </c>
      <c r="G57" s="7">
        <v>2021</v>
      </c>
      <c r="H57" s="7" t="str">
        <f>CONCATENATE("14210526928")</f>
        <v>14210526928</v>
      </c>
      <c r="I57" s="7" t="s">
        <v>38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CONCATENATE("CPRLDA49C41D451M")</f>
        <v>CPRLDA49C41D451M</v>
      </c>
      <c r="N57" s="7" t="s">
        <v>118</v>
      </c>
      <c r="O57" s="7" t="s">
        <v>58</v>
      </c>
      <c r="P57" s="8">
        <v>44659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7">
        <v>89.44</v>
      </c>
      <c r="W57" s="7">
        <v>38.57</v>
      </c>
      <c r="X57" s="7">
        <v>35.619999999999997</v>
      </c>
      <c r="Y57" s="7">
        <v>0</v>
      </c>
      <c r="Z57" s="7">
        <v>15.25</v>
      </c>
    </row>
    <row r="58" spans="1:26" x14ac:dyDescent="0.35">
      <c r="A58" s="7" t="s">
        <v>27</v>
      </c>
      <c r="B58" s="7" t="s">
        <v>28</v>
      </c>
      <c r="C58" s="7" t="s">
        <v>48</v>
      </c>
      <c r="D58" s="7" t="s">
        <v>49</v>
      </c>
      <c r="E58" s="7" t="s">
        <v>37</v>
      </c>
      <c r="F58" s="7" t="s">
        <v>61</v>
      </c>
      <c r="G58" s="7">
        <v>2021</v>
      </c>
      <c r="H58" s="7" t="str">
        <f>CONCATENATE("14210327483")</f>
        <v>14210327483</v>
      </c>
      <c r="I58" s="7" t="s">
        <v>38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CONCATENATE("RMLMCL44B68D451D")</f>
        <v>RMLMCL44B68D451D</v>
      </c>
      <c r="N58" s="7" t="s">
        <v>119</v>
      </c>
      <c r="O58" s="7" t="s">
        <v>58</v>
      </c>
      <c r="P58" s="8">
        <v>44659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7">
        <v>320.79000000000002</v>
      </c>
      <c r="W58" s="7">
        <v>138.32</v>
      </c>
      <c r="X58" s="7">
        <v>127.74</v>
      </c>
      <c r="Y58" s="7">
        <v>0</v>
      </c>
      <c r="Z58" s="7">
        <v>54.73</v>
      </c>
    </row>
    <row r="59" spans="1:26" x14ac:dyDescent="0.35">
      <c r="A59" s="7" t="s">
        <v>27</v>
      </c>
      <c r="B59" s="7" t="s">
        <v>28</v>
      </c>
      <c r="C59" s="7" t="s">
        <v>48</v>
      </c>
      <c r="D59" s="7" t="s">
        <v>68</v>
      </c>
      <c r="E59" s="7" t="s">
        <v>41</v>
      </c>
      <c r="F59" s="7" t="s">
        <v>73</v>
      </c>
      <c r="G59" s="7">
        <v>2021</v>
      </c>
      <c r="H59" s="7" t="str">
        <f>CONCATENATE("14210626306")</f>
        <v>14210626306</v>
      </c>
      <c r="I59" s="7" t="s">
        <v>30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CONCATENATE("MZZLCN75A21A462K")</f>
        <v>MZZLCN75A21A462K</v>
      </c>
      <c r="N59" s="7" t="s">
        <v>120</v>
      </c>
      <c r="O59" s="7" t="s">
        <v>58</v>
      </c>
      <c r="P59" s="8">
        <v>44659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1043.9100000000001</v>
      </c>
      <c r="W59" s="7">
        <v>450.13</v>
      </c>
      <c r="X59" s="7">
        <v>415.68</v>
      </c>
      <c r="Y59" s="7">
        <v>0</v>
      </c>
      <c r="Z59" s="7">
        <v>178.1</v>
      </c>
    </row>
    <row r="60" spans="1:26" x14ac:dyDescent="0.35">
      <c r="A60" s="7" t="s">
        <v>27</v>
      </c>
      <c r="B60" s="7" t="s">
        <v>28</v>
      </c>
      <c r="C60" s="7" t="s">
        <v>48</v>
      </c>
      <c r="D60" s="7" t="s">
        <v>68</v>
      </c>
      <c r="E60" s="7" t="s">
        <v>41</v>
      </c>
      <c r="F60" s="7" t="s">
        <v>73</v>
      </c>
      <c r="G60" s="7">
        <v>2021</v>
      </c>
      <c r="H60" s="7" t="str">
        <f>CONCATENATE("14240896382")</f>
        <v>14240896382</v>
      </c>
      <c r="I60" s="7" t="s">
        <v>30</v>
      </c>
      <c r="J60" s="7" t="s">
        <v>31</v>
      </c>
      <c r="K60" s="7" t="str">
        <f>CONCATENATE("")</f>
        <v/>
      </c>
      <c r="L60" s="7" t="str">
        <f>CONCATENATE("11 11.2 4b")</f>
        <v>11 11.2 4b</v>
      </c>
      <c r="M60" s="7" t="str">
        <f>CONCATENATE("DSNNGL56A16F570Q")</f>
        <v>DSNNGL56A16F570Q</v>
      </c>
      <c r="N60" s="7" t="s">
        <v>121</v>
      </c>
      <c r="O60" s="7" t="s">
        <v>52</v>
      </c>
      <c r="P60" s="8">
        <v>44659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3506.54</v>
      </c>
      <c r="W60" s="9">
        <v>1512.02</v>
      </c>
      <c r="X60" s="9">
        <v>1396.3</v>
      </c>
      <c r="Y60" s="7">
        <v>0</v>
      </c>
      <c r="Z60" s="7">
        <v>598.22</v>
      </c>
    </row>
    <row r="61" spans="1:26" x14ac:dyDescent="0.35">
      <c r="A61" s="7" t="s">
        <v>27</v>
      </c>
      <c r="B61" s="7" t="s">
        <v>28</v>
      </c>
      <c r="C61" s="7" t="s">
        <v>48</v>
      </c>
      <c r="D61" s="7" t="s">
        <v>49</v>
      </c>
      <c r="E61" s="7" t="s">
        <v>37</v>
      </c>
      <c r="F61" s="7" t="s">
        <v>53</v>
      </c>
      <c r="G61" s="7">
        <v>2021</v>
      </c>
      <c r="H61" s="7" t="str">
        <f>CONCATENATE("14240541475")</f>
        <v>14240541475</v>
      </c>
      <c r="I61" s="7" t="s">
        <v>30</v>
      </c>
      <c r="J61" s="7" t="s">
        <v>31</v>
      </c>
      <c r="K61" s="7" t="str">
        <f>CONCATENATE("")</f>
        <v/>
      </c>
      <c r="L61" s="7" t="str">
        <f>CONCATENATE("11 11.2 4b")</f>
        <v>11 11.2 4b</v>
      </c>
      <c r="M61" s="7" t="str">
        <f>CONCATENATE("VLNLCN65M17I643E")</f>
        <v>VLNLCN65M17I643E</v>
      </c>
      <c r="N61" s="7" t="s">
        <v>122</v>
      </c>
      <c r="O61" s="7" t="s">
        <v>52</v>
      </c>
      <c r="P61" s="8">
        <v>44659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8026.44</v>
      </c>
      <c r="W61" s="9">
        <v>3461</v>
      </c>
      <c r="X61" s="9">
        <v>3196.13</v>
      </c>
      <c r="Y61" s="7">
        <v>0</v>
      </c>
      <c r="Z61" s="9">
        <v>1369.31</v>
      </c>
    </row>
    <row r="62" spans="1:26" ht="17.5" x14ac:dyDescent="0.35">
      <c r="A62" s="7" t="s">
        <v>27</v>
      </c>
      <c r="B62" s="7" t="s">
        <v>28</v>
      </c>
      <c r="C62" s="7" t="s">
        <v>48</v>
      </c>
      <c r="D62" s="7" t="s">
        <v>68</v>
      </c>
      <c r="E62" s="7" t="s">
        <v>36</v>
      </c>
      <c r="F62" s="7" t="s">
        <v>36</v>
      </c>
      <c r="G62" s="7">
        <v>2021</v>
      </c>
      <c r="H62" s="7" t="str">
        <f>CONCATENATE("14240666785")</f>
        <v>14240666785</v>
      </c>
      <c r="I62" s="7" t="s">
        <v>38</v>
      </c>
      <c r="J62" s="7" t="s">
        <v>31</v>
      </c>
      <c r="K62" s="7" t="str">
        <f>CONCATENATE("")</f>
        <v/>
      </c>
      <c r="L62" s="7" t="str">
        <f>CONCATENATE("11 11.2 4b")</f>
        <v>11 11.2 4b</v>
      </c>
      <c r="M62" s="7" t="str">
        <f>CONCATENATE("VGNMRA46E23H321B")</f>
        <v>VGNMRA46E23H321B</v>
      </c>
      <c r="N62" s="7" t="s">
        <v>123</v>
      </c>
      <c r="O62" s="7" t="s">
        <v>52</v>
      </c>
      <c r="P62" s="8">
        <v>44659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7">
        <v>609.72</v>
      </c>
      <c r="W62" s="7">
        <v>262.91000000000003</v>
      </c>
      <c r="X62" s="7">
        <v>242.79</v>
      </c>
      <c r="Y62" s="7">
        <v>0</v>
      </c>
      <c r="Z62" s="7">
        <v>104.02</v>
      </c>
    </row>
    <row r="63" spans="1:26" ht="17.5" x14ac:dyDescent="0.35">
      <c r="A63" s="7" t="s">
        <v>27</v>
      </c>
      <c r="B63" s="7" t="s">
        <v>28</v>
      </c>
      <c r="C63" s="7" t="s">
        <v>48</v>
      </c>
      <c r="D63" s="7" t="s">
        <v>68</v>
      </c>
      <c r="E63" s="7" t="s">
        <v>36</v>
      </c>
      <c r="F63" s="7" t="s">
        <v>36</v>
      </c>
      <c r="G63" s="7">
        <v>2021</v>
      </c>
      <c r="H63" s="7" t="str">
        <f>CONCATENATE("14241071464")</f>
        <v>14241071464</v>
      </c>
      <c r="I63" s="7" t="s">
        <v>38</v>
      </c>
      <c r="J63" s="7" t="s">
        <v>31</v>
      </c>
      <c r="K63" s="7" t="str">
        <f>CONCATENATE("")</f>
        <v/>
      </c>
      <c r="L63" s="7" t="str">
        <f>CONCATENATE("11 11.2 4b")</f>
        <v>11 11.2 4b</v>
      </c>
      <c r="M63" s="7" t="str">
        <f>CONCATENATE("VGNTNN49A18H321N")</f>
        <v>VGNTNN49A18H321N</v>
      </c>
      <c r="N63" s="7" t="s">
        <v>124</v>
      </c>
      <c r="O63" s="7" t="s">
        <v>52</v>
      </c>
      <c r="P63" s="8">
        <v>44659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1024.5899999999999</v>
      </c>
      <c r="W63" s="7">
        <v>441.8</v>
      </c>
      <c r="X63" s="7">
        <v>407.99</v>
      </c>
      <c r="Y63" s="7">
        <v>0</v>
      </c>
      <c r="Z63" s="7">
        <v>174.8</v>
      </c>
    </row>
    <row r="64" spans="1:26" x14ac:dyDescent="0.35">
      <c r="A64" s="7" t="s">
        <v>27</v>
      </c>
      <c r="B64" s="7" t="s">
        <v>28</v>
      </c>
      <c r="C64" s="7" t="s">
        <v>48</v>
      </c>
      <c r="D64" s="7" t="s">
        <v>68</v>
      </c>
      <c r="E64" s="7" t="s">
        <v>29</v>
      </c>
      <c r="F64" s="7" t="s">
        <v>125</v>
      </c>
      <c r="G64" s="7">
        <v>2021</v>
      </c>
      <c r="H64" s="7" t="str">
        <f>CONCATENATE("14240710930")</f>
        <v>14240710930</v>
      </c>
      <c r="I64" s="7" t="s">
        <v>38</v>
      </c>
      <c r="J64" s="7" t="s">
        <v>31</v>
      </c>
      <c r="K64" s="7" t="str">
        <f>CONCATENATE("")</f>
        <v/>
      </c>
      <c r="L64" s="7" t="str">
        <f>CONCATENATE("11 11.2 4b")</f>
        <v>11 11.2 4b</v>
      </c>
      <c r="M64" s="7" t="str">
        <f>CONCATENATE("02433910441")</f>
        <v>02433910441</v>
      </c>
      <c r="N64" s="7" t="s">
        <v>126</v>
      </c>
      <c r="O64" s="7" t="s">
        <v>52</v>
      </c>
      <c r="P64" s="8">
        <v>44659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184.17</v>
      </c>
      <c r="W64" s="7">
        <v>79.41</v>
      </c>
      <c r="X64" s="7">
        <v>73.34</v>
      </c>
      <c r="Y64" s="7">
        <v>0</v>
      </c>
      <c r="Z64" s="7">
        <v>31.42</v>
      </c>
    </row>
    <row r="65" spans="1:26" x14ac:dyDescent="0.35">
      <c r="A65" s="7" t="s">
        <v>27</v>
      </c>
      <c r="B65" s="7" t="s">
        <v>28</v>
      </c>
      <c r="C65" s="7" t="s">
        <v>48</v>
      </c>
      <c r="D65" s="7" t="s">
        <v>68</v>
      </c>
      <c r="E65" s="7" t="s">
        <v>37</v>
      </c>
      <c r="F65" s="7" t="s">
        <v>127</v>
      </c>
      <c r="G65" s="7">
        <v>2021</v>
      </c>
      <c r="H65" s="7" t="str">
        <f>CONCATENATE("14240645417")</f>
        <v>14240645417</v>
      </c>
      <c r="I65" s="7" t="s">
        <v>38</v>
      </c>
      <c r="J65" s="7" t="s">
        <v>31</v>
      </c>
      <c r="K65" s="7" t="str">
        <f>CONCATENATE("")</f>
        <v/>
      </c>
      <c r="L65" s="7" t="str">
        <f>CONCATENATE("11 11.2 4b")</f>
        <v>11 11.2 4b</v>
      </c>
      <c r="M65" s="7" t="str">
        <f>CONCATENATE("PRRGRL73C15H769N")</f>
        <v>PRRGRL73C15H769N</v>
      </c>
      <c r="N65" s="7" t="s">
        <v>128</v>
      </c>
      <c r="O65" s="7" t="s">
        <v>52</v>
      </c>
      <c r="P65" s="8">
        <v>44659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7">
        <v>514.91999999999996</v>
      </c>
      <c r="W65" s="7">
        <v>222.03</v>
      </c>
      <c r="X65" s="7">
        <v>205.04</v>
      </c>
      <c r="Y65" s="7">
        <v>0</v>
      </c>
      <c r="Z65" s="7">
        <v>87.85</v>
      </c>
    </row>
    <row r="66" spans="1:26" x14ac:dyDescent="0.35">
      <c r="A66" s="7" t="s">
        <v>27</v>
      </c>
      <c r="B66" s="7" t="s">
        <v>28</v>
      </c>
      <c r="C66" s="7" t="s">
        <v>48</v>
      </c>
      <c r="D66" s="7" t="s">
        <v>49</v>
      </c>
      <c r="E66" s="7" t="s">
        <v>29</v>
      </c>
      <c r="F66" s="7" t="s">
        <v>129</v>
      </c>
      <c r="G66" s="7">
        <v>2021</v>
      </c>
      <c r="H66" s="7" t="str">
        <f>CONCATENATE("14240519596")</f>
        <v>14240519596</v>
      </c>
      <c r="I66" s="7" t="s">
        <v>30</v>
      </c>
      <c r="J66" s="7" t="s">
        <v>31</v>
      </c>
      <c r="K66" s="7" t="str">
        <f>CONCATENATE("")</f>
        <v/>
      </c>
      <c r="L66" s="7" t="str">
        <f>CONCATENATE("11 11.2 4b")</f>
        <v>11 11.2 4b</v>
      </c>
      <c r="M66" s="7" t="str">
        <f>CONCATENATE("02470380425")</f>
        <v>02470380425</v>
      </c>
      <c r="N66" s="7" t="s">
        <v>130</v>
      </c>
      <c r="O66" s="7" t="s">
        <v>52</v>
      </c>
      <c r="P66" s="8">
        <v>44659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3669.12</v>
      </c>
      <c r="W66" s="9">
        <v>1582.12</v>
      </c>
      <c r="X66" s="9">
        <v>1461.04</v>
      </c>
      <c r="Y66" s="7">
        <v>0</v>
      </c>
      <c r="Z66" s="7">
        <v>625.96</v>
      </c>
    </row>
    <row r="67" spans="1:26" x14ac:dyDescent="0.35">
      <c r="A67" s="7" t="s">
        <v>27</v>
      </c>
      <c r="B67" s="7" t="s">
        <v>28</v>
      </c>
      <c r="C67" s="7" t="s">
        <v>48</v>
      </c>
      <c r="D67" s="7" t="s">
        <v>68</v>
      </c>
      <c r="E67" s="7" t="s">
        <v>37</v>
      </c>
      <c r="F67" s="7" t="s">
        <v>69</v>
      </c>
      <c r="G67" s="7">
        <v>2021</v>
      </c>
      <c r="H67" s="7" t="str">
        <f>CONCATENATE("14211290656")</f>
        <v>14211290656</v>
      </c>
      <c r="I67" s="7" t="s">
        <v>30</v>
      </c>
      <c r="J67" s="7" t="s">
        <v>31</v>
      </c>
      <c r="K67" s="7" t="str">
        <f>CONCATENATE("")</f>
        <v/>
      </c>
      <c r="L67" s="7" t="str">
        <f>CONCATENATE("13 13.1 4a")</f>
        <v>13 13.1 4a</v>
      </c>
      <c r="M67" s="7" t="str">
        <f>CONCATENATE("NTLGNN70D10G920I")</f>
        <v>NTLGNN70D10G920I</v>
      </c>
      <c r="N67" s="7" t="s">
        <v>131</v>
      </c>
      <c r="O67" s="7" t="s">
        <v>58</v>
      </c>
      <c r="P67" s="8">
        <v>44659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7">
        <v>891.12</v>
      </c>
      <c r="W67" s="7">
        <v>384.25</v>
      </c>
      <c r="X67" s="7">
        <v>354.84</v>
      </c>
      <c r="Y67" s="7">
        <v>0</v>
      </c>
      <c r="Z67" s="7">
        <v>152.03</v>
      </c>
    </row>
    <row r="68" spans="1:26" x14ac:dyDescent="0.35">
      <c r="A68" s="7" t="s">
        <v>27</v>
      </c>
      <c r="B68" s="7" t="s">
        <v>42</v>
      </c>
      <c r="C68" s="7" t="s">
        <v>48</v>
      </c>
      <c r="D68" s="7" t="s">
        <v>49</v>
      </c>
      <c r="E68" s="7" t="s">
        <v>29</v>
      </c>
      <c r="F68" s="7" t="s">
        <v>132</v>
      </c>
      <c r="G68" s="7">
        <v>2017</v>
      </c>
      <c r="H68" s="7" t="str">
        <f>CONCATENATE("14270363782")</f>
        <v>14270363782</v>
      </c>
      <c r="I68" s="7" t="s">
        <v>30</v>
      </c>
      <c r="J68" s="7" t="s">
        <v>31</v>
      </c>
      <c r="K68" s="7" t="str">
        <f>CONCATENATE("")</f>
        <v/>
      </c>
      <c r="L68" s="7" t="str">
        <f>CONCATENATE("4 4.3 2a")</f>
        <v>4 4.3 2a</v>
      </c>
      <c r="M68" s="7" t="str">
        <f>CONCATENATE("92033130433")</f>
        <v>92033130433</v>
      </c>
      <c r="N68" s="7" t="s">
        <v>133</v>
      </c>
      <c r="O68" s="7" t="s">
        <v>134</v>
      </c>
      <c r="P68" s="8">
        <v>44662</v>
      </c>
      <c r="Q68" s="7" t="s">
        <v>32</v>
      </c>
      <c r="R68" s="7" t="s">
        <v>43</v>
      </c>
      <c r="S68" s="7" t="s">
        <v>34</v>
      </c>
      <c r="T68" s="7"/>
      <c r="U68" s="7" t="s">
        <v>35</v>
      </c>
      <c r="V68" s="9">
        <v>55832.23</v>
      </c>
      <c r="W68" s="9">
        <v>24074.86</v>
      </c>
      <c r="X68" s="9">
        <v>22232.39</v>
      </c>
      <c r="Y68" s="7">
        <v>0</v>
      </c>
      <c r="Z68" s="9">
        <v>9524.98</v>
      </c>
    </row>
    <row r="69" spans="1:26" x14ac:dyDescent="0.35">
      <c r="A69" s="7" t="s">
        <v>27</v>
      </c>
      <c r="B69" s="7" t="s">
        <v>28</v>
      </c>
      <c r="C69" s="7" t="s">
        <v>48</v>
      </c>
      <c r="D69" s="7" t="s">
        <v>55</v>
      </c>
      <c r="E69" s="7" t="s">
        <v>37</v>
      </c>
      <c r="F69" s="7" t="s">
        <v>66</v>
      </c>
      <c r="G69" s="7">
        <v>2021</v>
      </c>
      <c r="H69" s="7" t="str">
        <f>CONCATENATE("14241289371")</f>
        <v>14241289371</v>
      </c>
      <c r="I69" s="7" t="s">
        <v>30</v>
      </c>
      <c r="J69" s="7" t="s">
        <v>31</v>
      </c>
      <c r="K69" s="7" t="str">
        <f>CONCATENATE("")</f>
        <v/>
      </c>
      <c r="L69" s="7" t="str">
        <f>CONCATENATE("11 11.2 4b")</f>
        <v>11 11.2 4b</v>
      </c>
      <c r="M69" s="7" t="str">
        <f>CONCATENATE("GRLRMN75C50B352F")</f>
        <v>GRLRMN75C50B352F</v>
      </c>
      <c r="N69" s="7" t="s">
        <v>135</v>
      </c>
      <c r="O69" s="7" t="s">
        <v>52</v>
      </c>
      <c r="P69" s="8">
        <v>44659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7">
        <v>776.17</v>
      </c>
      <c r="W69" s="7">
        <v>334.68</v>
      </c>
      <c r="X69" s="7">
        <v>309.07</v>
      </c>
      <c r="Y69" s="7">
        <v>0</v>
      </c>
      <c r="Z69" s="7">
        <v>132.41999999999999</v>
      </c>
    </row>
    <row r="70" spans="1:26" x14ac:dyDescent="0.35">
      <c r="A70" s="7" t="s">
        <v>27</v>
      </c>
      <c r="B70" s="7" t="s">
        <v>28</v>
      </c>
      <c r="C70" s="7" t="s">
        <v>48</v>
      </c>
      <c r="D70" s="7" t="s">
        <v>49</v>
      </c>
      <c r="E70" s="7" t="s">
        <v>29</v>
      </c>
      <c r="F70" s="7" t="s">
        <v>101</v>
      </c>
      <c r="G70" s="7">
        <v>2021</v>
      </c>
      <c r="H70" s="7" t="str">
        <f>CONCATENATE("14240984840")</f>
        <v>14240984840</v>
      </c>
      <c r="I70" s="7" t="s">
        <v>30</v>
      </c>
      <c r="J70" s="7" t="s">
        <v>31</v>
      </c>
      <c r="K70" s="7" t="str">
        <f>CONCATENATE("")</f>
        <v/>
      </c>
      <c r="L70" s="7" t="str">
        <f>CONCATENATE("11 11.2 4b")</f>
        <v>11 11.2 4b</v>
      </c>
      <c r="M70" s="7" t="str">
        <f>CONCATENATE("PLTSTN71A04I461U")</f>
        <v>PLTSTN71A04I461U</v>
      </c>
      <c r="N70" s="7" t="s">
        <v>136</v>
      </c>
      <c r="O70" s="7" t="s">
        <v>52</v>
      </c>
      <c r="P70" s="8">
        <v>44659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5754.3</v>
      </c>
      <c r="W70" s="9">
        <v>2481.25</v>
      </c>
      <c r="X70" s="9">
        <v>2291.36</v>
      </c>
      <c r="Y70" s="7">
        <v>0</v>
      </c>
      <c r="Z70" s="7">
        <v>981.69</v>
      </c>
    </row>
    <row r="71" spans="1:26" x14ac:dyDescent="0.35">
      <c r="A71" s="7" t="s">
        <v>27</v>
      </c>
      <c r="B71" s="7" t="s">
        <v>28</v>
      </c>
      <c r="C71" s="7" t="s">
        <v>48</v>
      </c>
      <c r="D71" s="7" t="s">
        <v>49</v>
      </c>
      <c r="E71" s="7" t="s">
        <v>29</v>
      </c>
      <c r="F71" s="7" t="s">
        <v>101</v>
      </c>
      <c r="G71" s="7">
        <v>2021</v>
      </c>
      <c r="H71" s="7" t="str">
        <f>CONCATENATE("14240986985")</f>
        <v>14240986985</v>
      </c>
      <c r="I71" s="7" t="s">
        <v>30</v>
      </c>
      <c r="J71" s="7" t="s">
        <v>31</v>
      </c>
      <c r="K71" s="7" t="str">
        <f>CONCATENATE("")</f>
        <v/>
      </c>
      <c r="L71" s="7" t="str">
        <f>CONCATENATE("11 11.2 4b")</f>
        <v>11 11.2 4b</v>
      </c>
      <c r="M71" s="7" t="str">
        <f>CONCATENATE("PLTSTN71A04I461U")</f>
        <v>PLTSTN71A04I461U</v>
      </c>
      <c r="N71" s="7" t="s">
        <v>136</v>
      </c>
      <c r="O71" s="7" t="s">
        <v>52</v>
      </c>
      <c r="P71" s="8">
        <v>44659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7">
        <v>893.09</v>
      </c>
      <c r="W71" s="7">
        <v>385.1</v>
      </c>
      <c r="X71" s="7">
        <v>355.63</v>
      </c>
      <c r="Y71" s="7">
        <v>0</v>
      </c>
      <c r="Z71" s="7">
        <v>152.36000000000001</v>
      </c>
    </row>
    <row r="72" spans="1:26" x14ac:dyDescent="0.35">
      <c r="A72" s="7" t="s">
        <v>27</v>
      </c>
      <c r="B72" s="7" t="s">
        <v>28</v>
      </c>
      <c r="C72" s="7" t="s">
        <v>48</v>
      </c>
      <c r="D72" s="7" t="s">
        <v>49</v>
      </c>
      <c r="E72" s="7" t="s">
        <v>29</v>
      </c>
      <c r="F72" s="7" t="s">
        <v>101</v>
      </c>
      <c r="G72" s="7">
        <v>2021</v>
      </c>
      <c r="H72" s="7" t="str">
        <f>CONCATENATE("14240321860")</f>
        <v>14240321860</v>
      </c>
      <c r="I72" s="7" t="s">
        <v>30</v>
      </c>
      <c r="J72" s="7" t="s">
        <v>31</v>
      </c>
      <c r="K72" s="7" t="str">
        <f>CONCATENATE("")</f>
        <v/>
      </c>
      <c r="L72" s="7" t="str">
        <f>CONCATENATE("11 11.2 4b")</f>
        <v>11 11.2 4b</v>
      </c>
      <c r="M72" s="7" t="str">
        <f>CONCATENATE("MNCVBR60D02I461U")</f>
        <v>MNCVBR60D02I461U</v>
      </c>
      <c r="N72" s="7" t="s">
        <v>137</v>
      </c>
      <c r="O72" s="7" t="s">
        <v>52</v>
      </c>
      <c r="P72" s="8">
        <v>44659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111.31</v>
      </c>
      <c r="W72" s="7">
        <v>48</v>
      </c>
      <c r="X72" s="7">
        <v>44.32</v>
      </c>
      <c r="Y72" s="7">
        <v>0</v>
      </c>
      <c r="Z72" s="7">
        <v>18.989999999999998</v>
      </c>
    </row>
    <row r="73" spans="1:26" x14ac:dyDescent="0.35">
      <c r="A73" s="7" t="s">
        <v>27</v>
      </c>
      <c r="B73" s="7" t="s">
        <v>28</v>
      </c>
      <c r="C73" s="7" t="s">
        <v>48</v>
      </c>
      <c r="D73" s="7" t="s">
        <v>49</v>
      </c>
      <c r="E73" s="7" t="s">
        <v>37</v>
      </c>
      <c r="F73" s="7" t="s">
        <v>53</v>
      </c>
      <c r="G73" s="7">
        <v>2021</v>
      </c>
      <c r="H73" s="7" t="str">
        <f>CONCATENATE("14240409541")</f>
        <v>14240409541</v>
      </c>
      <c r="I73" s="7" t="s">
        <v>30</v>
      </c>
      <c r="J73" s="7" t="s">
        <v>31</v>
      </c>
      <c r="K73" s="7" t="str">
        <f>CONCATENATE("")</f>
        <v/>
      </c>
      <c r="L73" s="7" t="str">
        <f>CONCATENATE("11 11.2 4b")</f>
        <v>11 11.2 4b</v>
      </c>
      <c r="M73" s="7" t="str">
        <f>CONCATENATE("00094420429")</f>
        <v>00094420429</v>
      </c>
      <c r="N73" s="7" t="s">
        <v>138</v>
      </c>
      <c r="O73" s="7" t="s">
        <v>52</v>
      </c>
      <c r="P73" s="8">
        <v>44659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1735</v>
      </c>
      <c r="W73" s="7">
        <v>748.13</v>
      </c>
      <c r="X73" s="7">
        <v>690.88</v>
      </c>
      <c r="Y73" s="7">
        <v>0</v>
      </c>
      <c r="Z73" s="7">
        <v>295.99</v>
      </c>
    </row>
    <row r="74" spans="1:26" x14ac:dyDescent="0.35">
      <c r="A74" s="7" t="s">
        <v>27</v>
      </c>
      <c r="B74" s="7" t="s">
        <v>28</v>
      </c>
      <c r="C74" s="7" t="s">
        <v>48</v>
      </c>
      <c r="D74" s="7" t="s">
        <v>68</v>
      </c>
      <c r="E74" s="7" t="s">
        <v>37</v>
      </c>
      <c r="F74" s="7" t="s">
        <v>127</v>
      </c>
      <c r="G74" s="7">
        <v>2021</v>
      </c>
      <c r="H74" s="7" t="str">
        <f>CONCATENATE("14241289389")</f>
        <v>14241289389</v>
      </c>
      <c r="I74" s="7" t="s">
        <v>30</v>
      </c>
      <c r="J74" s="7" t="s">
        <v>31</v>
      </c>
      <c r="K74" s="7" t="str">
        <f>CONCATENATE("")</f>
        <v/>
      </c>
      <c r="L74" s="7" t="str">
        <f>CONCATENATE("11 11.2 4b")</f>
        <v>11 11.2 4b</v>
      </c>
      <c r="M74" s="7" t="str">
        <f>CONCATENATE("LNCGTN52C29D096W")</f>
        <v>LNCGTN52C29D096W</v>
      </c>
      <c r="N74" s="7" t="s">
        <v>139</v>
      </c>
      <c r="O74" s="7" t="s">
        <v>52</v>
      </c>
      <c r="P74" s="8">
        <v>44659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16499.48</v>
      </c>
      <c r="W74" s="9">
        <v>7114.58</v>
      </c>
      <c r="X74" s="9">
        <v>6570.09</v>
      </c>
      <c r="Y74" s="7">
        <v>0</v>
      </c>
      <c r="Z74" s="9">
        <v>2814.81</v>
      </c>
    </row>
    <row r="75" spans="1:26" x14ac:dyDescent="0.35">
      <c r="A75" s="7" t="s">
        <v>27</v>
      </c>
      <c r="B75" s="7" t="s">
        <v>28</v>
      </c>
      <c r="C75" s="7" t="s">
        <v>48</v>
      </c>
      <c r="D75" s="7" t="s">
        <v>68</v>
      </c>
      <c r="E75" s="7" t="s">
        <v>37</v>
      </c>
      <c r="F75" s="7" t="s">
        <v>115</v>
      </c>
      <c r="G75" s="7">
        <v>2021</v>
      </c>
      <c r="H75" s="7" t="str">
        <f>CONCATENATE("14240720202")</f>
        <v>14240720202</v>
      </c>
      <c r="I75" s="7" t="s">
        <v>38</v>
      </c>
      <c r="J75" s="7" t="s">
        <v>31</v>
      </c>
      <c r="K75" s="7" t="str">
        <f>CONCATENATE("")</f>
        <v/>
      </c>
      <c r="L75" s="7" t="str">
        <f>CONCATENATE("11 11.2 4b")</f>
        <v>11 11.2 4b</v>
      </c>
      <c r="M75" s="7" t="str">
        <f>CONCATENATE("LSNGRG99R25H769K")</f>
        <v>LSNGRG99R25H769K</v>
      </c>
      <c r="N75" s="7" t="s">
        <v>140</v>
      </c>
      <c r="O75" s="7" t="s">
        <v>52</v>
      </c>
      <c r="P75" s="8">
        <v>44659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2990.95</v>
      </c>
      <c r="W75" s="9">
        <v>1289.7</v>
      </c>
      <c r="X75" s="9">
        <v>1191</v>
      </c>
      <c r="Y75" s="7">
        <v>0</v>
      </c>
      <c r="Z75" s="7">
        <v>510.25</v>
      </c>
    </row>
    <row r="76" spans="1:26" x14ac:dyDescent="0.35">
      <c r="A76" s="7" t="s">
        <v>27</v>
      </c>
      <c r="B76" s="7" t="s">
        <v>28</v>
      </c>
      <c r="C76" s="7" t="s">
        <v>48</v>
      </c>
      <c r="D76" s="7" t="s">
        <v>68</v>
      </c>
      <c r="E76" s="7" t="s">
        <v>47</v>
      </c>
      <c r="F76" s="7" t="s">
        <v>79</v>
      </c>
      <c r="G76" s="7">
        <v>2021</v>
      </c>
      <c r="H76" s="7" t="str">
        <f>CONCATENATE("14240244831")</f>
        <v>14240244831</v>
      </c>
      <c r="I76" s="7" t="s">
        <v>38</v>
      </c>
      <c r="J76" s="7" t="s">
        <v>31</v>
      </c>
      <c r="K76" s="7" t="str">
        <f>CONCATENATE("")</f>
        <v/>
      </c>
      <c r="L76" s="7" t="str">
        <f>CONCATENATE("11 11.2 4b")</f>
        <v>11 11.2 4b</v>
      </c>
      <c r="M76" s="7" t="str">
        <f>CONCATENATE("FRTSRN89D66A462D")</f>
        <v>FRTSRN89D66A462D</v>
      </c>
      <c r="N76" s="7" t="s">
        <v>141</v>
      </c>
      <c r="O76" s="7" t="s">
        <v>52</v>
      </c>
      <c r="P76" s="8">
        <v>44659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7">
        <v>398.82</v>
      </c>
      <c r="W76" s="7">
        <v>171.97</v>
      </c>
      <c r="X76" s="7">
        <v>158.81</v>
      </c>
      <c r="Y76" s="7">
        <v>0</v>
      </c>
      <c r="Z76" s="7">
        <v>68.040000000000006</v>
      </c>
    </row>
    <row r="77" spans="1:26" x14ac:dyDescent="0.35">
      <c r="A77" s="7" t="s">
        <v>27</v>
      </c>
      <c r="B77" s="7" t="s">
        <v>28</v>
      </c>
      <c r="C77" s="7" t="s">
        <v>48</v>
      </c>
      <c r="D77" s="7" t="s">
        <v>68</v>
      </c>
      <c r="E77" s="7" t="s">
        <v>37</v>
      </c>
      <c r="F77" s="7" t="s">
        <v>115</v>
      </c>
      <c r="G77" s="7">
        <v>2021</v>
      </c>
      <c r="H77" s="7" t="str">
        <f>CONCATENATE("14240804527")</f>
        <v>14240804527</v>
      </c>
      <c r="I77" s="7" t="s">
        <v>38</v>
      </c>
      <c r="J77" s="7" t="s">
        <v>31</v>
      </c>
      <c r="K77" s="7" t="str">
        <f>CONCATENATE("")</f>
        <v/>
      </c>
      <c r="L77" s="7" t="str">
        <f>CONCATENATE("11 11.2 4b")</f>
        <v>11 11.2 4b</v>
      </c>
      <c r="M77" s="7" t="str">
        <f>CONCATENATE("GRLGDI95P52H769R")</f>
        <v>GRLGDI95P52H769R</v>
      </c>
      <c r="N77" s="7" t="s">
        <v>142</v>
      </c>
      <c r="O77" s="7" t="s">
        <v>52</v>
      </c>
      <c r="P77" s="8">
        <v>44659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1678.27</v>
      </c>
      <c r="W77" s="7">
        <v>723.67</v>
      </c>
      <c r="X77" s="7">
        <v>668.29</v>
      </c>
      <c r="Y77" s="7">
        <v>0</v>
      </c>
      <c r="Z77" s="7">
        <v>286.31</v>
      </c>
    </row>
    <row r="78" spans="1:26" x14ac:dyDescent="0.35">
      <c r="A78" s="7" t="s">
        <v>27</v>
      </c>
      <c r="B78" s="7" t="s">
        <v>28</v>
      </c>
      <c r="C78" s="7" t="s">
        <v>48</v>
      </c>
      <c r="D78" s="7" t="s">
        <v>55</v>
      </c>
      <c r="E78" s="7" t="s">
        <v>29</v>
      </c>
      <c r="F78" s="7" t="s">
        <v>143</v>
      </c>
      <c r="G78" s="7">
        <v>2021</v>
      </c>
      <c r="H78" s="7" t="str">
        <f>CONCATENATE("14240913740")</f>
        <v>14240913740</v>
      </c>
      <c r="I78" s="7" t="s">
        <v>30</v>
      </c>
      <c r="J78" s="7" t="s">
        <v>31</v>
      </c>
      <c r="K78" s="7" t="str">
        <f>CONCATENATE("")</f>
        <v/>
      </c>
      <c r="L78" s="7" t="str">
        <f>CONCATENATE("11 11.2 4b")</f>
        <v>11 11.2 4b</v>
      </c>
      <c r="M78" s="7" t="str">
        <f>CONCATENATE("MNTLYI95P16Z154Q")</f>
        <v>MNTLYI95P16Z154Q</v>
      </c>
      <c r="N78" s="7" t="s">
        <v>144</v>
      </c>
      <c r="O78" s="7" t="s">
        <v>52</v>
      </c>
      <c r="P78" s="8">
        <v>44659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7">
        <v>480.17</v>
      </c>
      <c r="W78" s="7">
        <v>207.05</v>
      </c>
      <c r="X78" s="7">
        <v>191.2</v>
      </c>
      <c r="Y78" s="7">
        <v>0</v>
      </c>
      <c r="Z78" s="7">
        <v>81.92</v>
      </c>
    </row>
    <row r="79" spans="1:26" x14ac:dyDescent="0.35">
      <c r="A79" s="7" t="s">
        <v>27</v>
      </c>
      <c r="B79" s="7" t="s">
        <v>28</v>
      </c>
      <c r="C79" s="7" t="s">
        <v>48</v>
      </c>
      <c r="D79" s="7" t="s">
        <v>55</v>
      </c>
      <c r="E79" s="7" t="s">
        <v>37</v>
      </c>
      <c r="F79" s="7" t="s">
        <v>83</v>
      </c>
      <c r="G79" s="7">
        <v>2021</v>
      </c>
      <c r="H79" s="7" t="str">
        <f>CONCATENATE("14241164459")</f>
        <v>14241164459</v>
      </c>
      <c r="I79" s="7" t="s">
        <v>30</v>
      </c>
      <c r="J79" s="7" t="s">
        <v>31</v>
      </c>
      <c r="K79" s="7" t="str">
        <f>CONCATENATE("")</f>
        <v/>
      </c>
      <c r="L79" s="7" t="str">
        <f>CONCATENATE("11 11.2 4b")</f>
        <v>11 11.2 4b</v>
      </c>
      <c r="M79" s="7" t="str">
        <f>CONCATENATE("BRRLLN54P59C152H")</f>
        <v>BRRLLN54P59C152H</v>
      </c>
      <c r="N79" s="7" t="s">
        <v>145</v>
      </c>
      <c r="O79" s="7" t="s">
        <v>52</v>
      </c>
      <c r="P79" s="8">
        <v>44659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2380.3200000000002</v>
      </c>
      <c r="W79" s="9">
        <v>1026.3900000000001</v>
      </c>
      <c r="X79" s="7">
        <v>947.84</v>
      </c>
      <c r="Y79" s="7">
        <v>0</v>
      </c>
      <c r="Z79" s="7">
        <v>406.09</v>
      </c>
    </row>
    <row r="80" spans="1:26" x14ac:dyDescent="0.35">
      <c r="A80" s="7" t="s">
        <v>27</v>
      </c>
      <c r="B80" s="7" t="s">
        <v>28</v>
      </c>
      <c r="C80" s="7" t="s">
        <v>48</v>
      </c>
      <c r="D80" s="7" t="s">
        <v>49</v>
      </c>
      <c r="E80" s="7" t="s">
        <v>37</v>
      </c>
      <c r="F80" s="7" t="s">
        <v>53</v>
      </c>
      <c r="G80" s="7">
        <v>2021</v>
      </c>
      <c r="H80" s="7" t="str">
        <f>CONCATENATE("14240858606")</f>
        <v>14240858606</v>
      </c>
      <c r="I80" s="7" t="s">
        <v>30</v>
      </c>
      <c r="J80" s="7" t="s">
        <v>31</v>
      </c>
      <c r="K80" s="7" t="str">
        <f>CONCATENATE("")</f>
        <v/>
      </c>
      <c r="L80" s="7" t="str">
        <f>CONCATENATE("11 11.2 4b")</f>
        <v>11 11.2 4b</v>
      </c>
      <c r="M80" s="7" t="str">
        <f>CONCATENATE("SMNLLN57A70I643F")</f>
        <v>SMNLLN57A70I643F</v>
      </c>
      <c r="N80" s="7" t="s">
        <v>146</v>
      </c>
      <c r="O80" s="7" t="s">
        <v>52</v>
      </c>
      <c r="P80" s="8">
        <v>44659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7">
        <v>481.06</v>
      </c>
      <c r="W80" s="7">
        <v>207.43</v>
      </c>
      <c r="X80" s="7">
        <v>191.56</v>
      </c>
      <c r="Y80" s="7">
        <v>0</v>
      </c>
      <c r="Z80" s="7">
        <v>82.07</v>
      </c>
    </row>
    <row r="81" spans="1:26" ht="17.5" x14ac:dyDescent="0.35">
      <c r="A81" s="7" t="s">
        <v>27</v>
      </c>
      <c r="B81" s="7" t="s">
        <v>28</v>
      </c>
      <c r="C81" s="7" t="s">
        <v>48</v>
      </c>
      <c r="D81" s="7" t="s">
        <v>55</v>
      </c>
      <c r="E81" s="7" t="s">
        <v>37</v>
      </c>
      <c r="F81" s="7" t="s">
        <v>147</v>
      </c>
      <c r="G81" s="7">
        <v>2021</v>
      </c>
      <c r="H81" s="7" t="str">
        <f>CONCATENATE("14240907767")</f>
        <v>14240907767</v>
      </c>
      <c r="I81" s="7" t="s">
        <v>30</v>
      </c>
      <c r="J81" s="7" t="s">
        <v>31</v>
      </c>
      <c r="K81" s="7" t="str">
        <f>CONCATENATE("")</f>
        <v/>
      </c>
      <c r="L81" s="7" t="str">
        <f>CONCATENATE("11 11.2 4b")</f>
        <v>11 11.2 4b</v>
      </c>
      <c r="M81" s="7" t="str">
        <f>CONCATENATE("MNCDNL67M08D749S")</f>
        <v>MNCDNL67M08D749S</v>
      </c>
      <c r="N81" s="7" t="s">
        <v>148</v>
      </c>
      <c r="O81" s="7" t="s">
        <v>52</v>
      </c>
      <c r="P81" s="8">
        <v>44659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1226.4100000000001</v>
      </c>
      <c r="W81" s="7">
        <v>528.83000000000004</v>
      </c>
      <c r="X81" s="7">
        <v>488.36</v>
      </c>
      <c r="Y81" s="7">
        <v>0</v>
      </c>
      <c r="Z81" s="7">
        <v>209.22</v>
      </c>
    </row>
    <row r="82" spans="1:26" x14ac:dyDescent="0.35">
      <c r="A82" s="7" t="s">
        <v>27</v>
      </c>
      <c r="B82" s="7" t="s">
        <v>28</v>
      </c>
      <c r="C82" s="7" t="s">
        <v>48</v>
      </c>
      <c r="D82" s="7" t="s">
        <v>49</v>
      </c>
      <c r="E82" s="7" t="s">
        <v>37</v>
      </c>
      <c r="F82" s="7" t="s">
        <v>53</v>
      </c>
      <c r="G82" s="7">
        <v>2021</v>
      </c>
      <c r="H82" s="7" t="str">
        <f>CONCATENATE("14240403478")</f>
        <v>14240403478</v>
      </c>
      <c r="I82" s="7" t="s">
        <v>30</v>
      </c>
      <c r="J82" s="7" t="s">
        <v>31</v>
      </c>
      <c r="K82" s="7" t="str">
        <f>CONCATENATE("")</f>
        <v/>
      </c>
      <c r="L82" s="7" t="str">
        <f>CONCATENATE("11 11.1 4b")</f>
        <v>11 11.1 4b</v>
      </c>
      <c r="M82" s="7" t="str">
        <f>CONCATENATE("02435330424")</f>
        <v>02435330424</v>
      </c>
      <c r="N82" s="7" t="s">
        <v>149</v>
      </c>
      <c r="O82" s="7" t="s">
        <v>52</v>
      </c>
      <c r="P82" s="8">
        <v>44659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7">
        <v>192.56</v>
      </c>
      <c r="W82" s="7">
        <v>83.03</v>
      </c>
      <c r="X82" s="7">
        <v>76.680000000000007</v>
      </c>
      <c r="Y82" s="7">
        <v>0</v>
      </c>
      <c r="Z82" s="7">
        <v>32.85</v>
      </c>
    </row>
    <row r="83" spans="1:26" x14ac:dyDescent="0.35">
      <c r="A83" s="7" t="s">
        <v>27</v>
      </c>
      <c r="B83" s="7" t="s">
        <v>28</v>
      </c>
      <c r="C83" s="7" t="s">
        <v>48</v>
      </c>
      <c r="D83" s="7" t="s">
        <v>49</v>
      </c>
      <c r="E83" s="7" t="s">
        <v>37</v>
      </c>
      <c r="F83" s="7" t="s">
        <v>53</v>
      </c>
      <c r="G83" s="7">
        <v>2021</v>
      </c>
      <c r="H83" s="7" t="str">
        <f>CONCATENATE("14241738252")</f>
        <v>14241738252</v>
      </c>
      <c r="I83" s="7" t="s">
        <v>30</v>
      </c>
      <c r="J83" s="7" t="s">
        <v>31</v>
      </c>
      <c r="K83" s="7" t="str">
        <f>CONCATENATE("")</f>
        <v/>
      </c>
      <c r="L83" s="7" t="str">
        <f>CONCATENATE("11 11.1 4b")</f>
        <v>11 11.1 4b</v>
      </c>
      <c r="M83" s="7" t="str">
        <f>CONCATENATE("01776160432")</f>
        <v>01776160432</v>
      </c>
      <c r="N83" s="7" t="s">
        <v>150</v>
      </c>
      <c r="O83" s="7" t="s">
        <v>52</v>
      </c>
      <c r="P83" s="8">
        <v>44659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43205.13</v>
      </c>
      <c r="W83" s="9">
        <v>18630.05</v>
      </c>
      <c r="X83" s="9">
        <v>17204.28</v>
      </c>
      <c r="Y83" s="7">
        <v>0</v>
      </c>
      <c r="Z83" s="9">
        <v>7370.8</v>
      </c>
    </row>
    <row r="84" spans="1:26" x14ac:dyDescent="0.35">
      <c r="A84" s="7" t="s">
        <v>27</v>
      </c>
      <c r="B84" s="7" t="s">
        <v>28</v>
      </c>
      <c r="C84" s="7" t="s">
        <v>48</v>
      </c>
      <c r="D84" s="7" t="s">
        <v>68</v>
      </c>
      <c r="E84" s="7" t="s">
        <v>37</v>
      </c>
      <c r="F84" s="7" t="s">
        <v>151</v>
      </c>
      <c r="G84" s="7">
        <v>2021</v>
      </c>
      <c r="H84" s="7" t="str">
        <f>CONCATENATE("14240628413")</f>
        <v>14240628413</v>
      </c>
      <c r="I84" s="7" t="s">
        <v>30</v>
      </c>
      <c r="J84" s="7" t="s">
        <v>31</v>
      </c>
      <c r="K84" s="7" t="str">
        <f>CONCATENATE("")</f>
        <v/>
      </c>
      <c r="L84" s="7" t="str">
        <f>CONCATENATE("11 11.2 4b")</f>
        <v>11 11.2 4b</v>
      </c>
      <c r="M84" s="7" t="str">
        <f>CONCATENATE("NBLMRA80E14A462Z")</f>
        <v>NBLMRA80E14A462Z</v>
      </c>
      <c r="N84" s="7" t="s">
        <v>152</v>
      </c>
      <c r="O84" s="7" t="s">
        <v>52</v>
      </c>
      <c r="P84" s="8">
        <v>44659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7">
        <v>447.85</v>
      </c>
      <c r="W84" s="7">
        <v>193.11</v>
      </c>
      <c r="X84" s="7">
        <v>178.33</v>
      </c>
      <c r="Y84" s="7">
        <v>0</v>
      </c>
      <c r="Z84" s="7">
        <v>76.41</v>
      </c>
    </row>
    <row r="85" spans="1:26" x14ac:dyDescent="0.35">
      <c r="A85" s="7" t="s">
        <v>27</v>
      </c>
      <c r="B85" s="7" t="s">
        <v>28</v>
      </c>
      <c r="C85" s="7" t="s">
        <v>48</v>
      </c>
      <c r="D85" s="7" t="s">
        <v>68</v>
      </c>
      <c r="E85" s="7" t="s">
        <v>47</v>
      </c>
      <c r="F85" s="7" t="s">
        <v>79</v>
      </c>
      <c r="G85" s="7">
        <v>2021</v>
      </c>
      <c r="H85" s="7" t="str">
        <f>CONCATENATE("14241122325")</f>
        <v>14241122325</v>
      </c>
      <c r="I85" s="7" t="s">
        <v>38</v>
      </c>
      <c r="J85" s="7" t="s">
        <v>31</v>
      </c>
      <c r="K85" s="7" t="str">
        <f>CONCATENATE("")</f>
        <v/>
      </c>
      <c r="L85" s="7" t="str">
        <f>CONCATENATE("11 11.2 4b")</f>
        <v>11 11.2 4b</v>
      </c>
      <c r="M85" s="7" t="str">
        <f>CONCATENATE("02097310672")</f>
        <v>02097310672</v>
      </c>
      <c r="N85" s="7" t="s">
        <v>153</v>
      </c>
      <c r="O85" s="7" t="s">
        <v>52</v>
      </c>
      <c r="P85" s="8">
        <v>44659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7">
        <v>753.81</v>
      </c>
      <c r="W85" s="7">
        <v>325.04000000000002</v>
      </c>
      <c r="X85" s="7">
        <v>300.17</v>
      </c>
      <c r="Y85" s="7">
        <v>0</v>
      </c>
      <c r="Z85" s="7">
        <v>128.6</v>
      </c>
    </row>
    <row r="86" spans="1:26" ht="17.5" x14ac:dyDescent="0.35">
      <c r="A86" s="7" t="s">
        <v>27</v>
      </c>
      <c r="B86" s="7" t="s">
        <v>28</v>
      </c>
      <c r="C86" s="7" t="s">
        <v>48</v>
      </c>
      <c r="D86" s="7" t="s">
        <v>68</v>
      </c>
      <c r="E86" s="7" t="s">
        <v>36</v>
      </c>
      <c r="F86" s="7" t="s">
        <v>36</v>
      </c>
      <c r="G86" s="7">
        <v>2021</v>
      </c>
      <c r="H86" s="7" t="str">
        <f>CONCATENATE("14241381897")</f>
        <v>14241381897</v>
      </c>
      <c r="I86" s="7" t="s">
        <v>38</v>
      </c>
      <c r="J86" s="7" t="s">
        <v>31</v>
      </c>
      <c r="K86" s="7" t="str">
        <f>CONCATENATE("")</f>
        <v/>
      </c>
      <c r="L86" s="7" t="str">
        <f>CONCATENATE("11 11.2 4b")</f>
        <v>11 11.2 4b</v>
      </c>
      <c r="M86" s="7" t="str">
        <f>CONCATENATE("DNGDNL79P18H769N")</f>
        <v>DNGDNL79P18H769N</v>
      </c>
      <c r="N86" s="7" t="s">
        <v>154</v>
      </c>
      <c r="O86" s="7" t="s">
        <v>52</v>
      </c>
      <c r="P86" s="8">
        <v>44659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1737.23</v>
      </c>
      <c r="W86" s="7">
        <v>749.09</v>
      </c>
      <c r="X86" s="7">
        <v>691.76</v>
      </c>
      <c r="Y86" s="7">
        <v>0</v>
      </c>
      <c r="Z86" s="7">
        <v>296.38</v>
      </c>
    </row>
    <row r="87" spans="1:26" x14ac:dyDescent="0.35">
      <c r="A87" s="7" t="s">
        <v>27</v>
      </c>
      <c r="B87" s="7" t="s">
        <v>28</v>
      </c>
      <c r="C87" s="7" t="s">
        <v>48</v>
      </c>
      <c r="D87" s="7" t="s">
        <v>49</v>
      </c>
      <c r="E87" s="7" t="s">
        <v>37</v>
      </c>
      <c r="F87" s="7" t="s">
        <v>59</v>
      </c>
      <c r="G87" s="7">
        <v>2021</v>
      </c>
      <c r="H87" s="7" t="str">
        <f>CONCATENATE("14241079517")</f>
        <v>14241079517</v>
      </c>
      <c r="I87" s="7" t="s">
        <v>30</v>
      </c>
      <c r="J87" s="7" t="s">
        <v>31</v>
      </c>
      <c r="K87" s="7" t="str">
        <f>CONCATENATE("")</f>
        <v/>
      </c>
      <c r="L87" s="7" t="str">
        <f>CONCATENATE("11 11.2 4b")</f>
        <v>11 11.2 4b</v>
      </c>
      <c r="M87" s="7" t="str">
        <f>CONCATENATE("SCHSMN83L12I608Y")</f>
        <v>SCHSMN83L12I608Y</v>
      </c>
      <c r="N87" s="7" t="s">
        <v>155</v>
      </c>
      <c r="O87" s="7" t="s">
        <v>52</v>
      </c>
      <c r="P87" s="8">
        <v>44659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6086.39</v>
      </c>
      <c r="W87" s="9">
        <v>2624.45</v>
      </c>
      <c r="X87" s="9">
        <v>2423.6</v>
      </c>
      <c r="Y87" s="7">
        <v>0</v>
      </c>
      <c r="Z87" s="9">
        <v>1038.3399999999999</v>
      </c>
    </row>
    <row r="88" spans="1:26" x14ac:dyDescent="0.35">
      <c r="A88" s="7" t="s">
        <v>27</v>
      </c>
      <c r="B88" s="7" t="s">
        <v>28</v>
      </c>
      <c r="C88" s="7" t="s">
        <v>48</v>
      </c>
      <c r="D88" s="7" t="s">
        <v>68</v>
      </c>
      <c r="E88" s="7" t="s">
        <v>41</v>
      </c>
      <c r="F88" s="7" t="s">
        <v>73</v>
      </c>
      <c r="G88" s="7">
        <v>2021</v>
      </c>
      <c r="H88" s="7" t="str">
        <f>CONCATENATE("14240888694")</f>
        <v>14240888694</v>
      </c>
      <c r="I88" s="7" t="s">
        <v>38</v>
      </c>
      <c r="J88" s="7" t="s">
        <v>31</v>
      </c>
      <c r="K88" s="7" t="str">
        <f>CONCATENATE("")</f>
        <v/>
      </c>
      <c r="L88" s="7" t="str">
        <f>CONCATENATE("11 11.2 4b")</f>
        <v>11 11.2 4b</v>
      </c>
      <c r="M88" s="7" t="str">
        <f>CONCATENATE("TRBGLN69A19A252M")</f>
        <v>TRBGLN69A19A252M</v>
      </c>
      <c r="N88" s="7" t="s">
        <v>156</v>
      </c>
      <c r="O88" s="7" t="s">
        <v>52</v>
      </c>
      <c r="P88" s="8">
        <v>44659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7">
        <v>229.32</v>
      </c>
      <c r="W88" s="7">
        <v>98.88</v>
      </c>
      <c r="X88" s="7">
        <v>91.32</v>
      </c>
      <c r="Y88" s="7">
        <v>0</v>
      </c>
      <c r="Z88" s="7">
        <v>39.119999999999997</v>
      </c>
    </row>
    <row r="89" spans="1:26" ht="17.5" x14ac:dyDescent="0.35">
      <c r="A89" s="7" t="s">
        <v>27</v>
      </c>
      <c r="B89" s="7" t="s">
        <v>28</v>
      </c>
      <c r="C89" s="7" t="s">
        <v>48</v>
      </c>
      <c r="D89" s="7" t="s">
        <v>68</v>
      </c>
      <c r="E89" s="7" t="s">
        <v>36</v>
      </c>
      <c r="F89" s="7" t="s">
        <v>36</v>
      </c>
      <c r="G89" s="7">
        <v>2021</v>
      </c>
      <c r="H89" s="7" t="str">
        <f>CONCATENATE("14240458993")</f>
        <v>14240458993</v>
      </c>
      <c r="I89" s="7" t="s">
        <v>38</v>
      </c>
      <c r="J89" s="7" t="s">
        <v>31</v>
      </c>
      <c r="K89" s="7" t="str">
        <f>CONCATENATE("")</f>
        <v/>
      </c>
      <c r="L89" s="7" t="str">
        <f>CONCATENATE("11 11.2 4b")</f>
        <v>11 11.2 4b</v>
      </c>
      <c r="M89" s="7" t="str">
        <f>CONCATENATE("02255700441")</f>
        <v>02255700441</v>
      </c>
      <c r="N89" s="7" t="s">
        <v>157</v>
      </c>
      <c r="O89" s="7" t="s">
        <v>52</v>
      </c>
      <c r="P89" s="8">
        <v>44659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7">
        <v>889.22</v>
      </c>
      <c r="W89" s="7">
        <v>383.43</v>
      </c>
      <c r="X89" s="7">
        <v>354.09</v>
      </c>
      <c r="Y89" s="7">
        <v>0</v>
      </c>
      <c r="Z89" s="7">
        <v>151.69999999999999</v>
      </c>
    </row>
    <row r="90" spans="1:26" ht="17.5" x14ac:dyDescent="0.35">
      <c r="A90" s="7" t="s">
        <v>27</v>
      </c>
      <c r="B90" s="7" t="s">
        <v>28</v>
      </c>
      <c r="C90" s="7" t="s">
        <v>48</v>
      </c>
      <c r="D90" s="7" t="s">
        <v>68</v>
      </c>
      <c r="E90" s="7" t="s">
        <v>36</v>
      </c>
      <c r="F90" s="7" t="s">
        <v>36</v>
      </c>
      <c r="G90" s="7">
        <v>2021</v>
      </c>
      <c r="H90" s="7" t="str">
        <f>CONCATENATE("14240459538")</f>
        <v>14240459538</v>
      </c>
      <c r="I90" s="7" t="s">
        <v>38</v>
      </c>
      <c r="J90" s="7" t="s">
        <v>31</v>
      </c>
      <c r="K90" s="7" t="str">
        <f>CONCATENATE("")</f>
        <v/>
      </c>
      <c r="L90" s="7" t="str">
        <f>CONCATENATE("11 11.2 4b")</f>
        <v>11 11.2 4b</v>
      </c>
      <c r="M90" s="7" t="str">
        <f>CONCATENATE("02255700441")</f>
        <v>02255700441</v>
      </c>
      <c r="N90" s="7" t="s">
        <v>157</v>
      </c>
      <c r="O90" s="7" t="s">
        <v>52</v>
      </c>
      <c r="P90" s="8">
        <v>44659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4006.62</v>
      </c>
      <c r="W90" s="9">
        <v>1727.65</v>
      </c>
      <c r="X90" s="9">
        <v>1595.44</v>
      </c>
      <c r="Y90" s="7">
        <v>0</v>
      </c>
      <c r="Z90" s="7">
        <v>683.53</v>
      </c>
    </row>
    <row r="91" spans="1:26" x14ac:dyDescent="0.35">
      <c r="A91" s="7" t="s">
        <v>27</v>
      </c>
      <c r="B91" s="7" t="s">
        <v>28</v>
      </c>
      <c r="C91" s="7" t="s">
        <v>48</v>
      </c>
      <c r="D91" s="7" t="s">
        <v>55</v>
      </c>
      <c r="E91" s="7" t="s">
        <v>37</v>
      </c>
      <c r="F91" s="7" t="s">
        <v>158</v>
      </c>
      <c r="G91" s="7">
        <v>2017</v>
      </c>
      <c r="H91" s="7" t="str">
        <f>CONCATENATE("74240515507")</f>
        <v>74240515507</v>
      </c>
      <c r="I91" s="7" t="s">
        <v>30</v>
      </c>
      <c r="J91" s="7" t="s">
        <v>31</v>
      </c>
      <c r="K91" s="7" t="str">
        <f>CONCATENATE("")</f>
        <v/>
      </c>
      <c r="L91" s="7" t="str">
        <f>CONCATENATE("11 11.2 4b")</f>
        <v>11 11.2 4b</v>
      </c>
      <c r="M91" s="7" t="str">
        <f>CONCATENATE("CAUZEI63B01I749B")</f>
        <v>CAUZEI63B01I749B</v>
      </c>
      <c r="N91" s="7" t="s">
        <v>159</v>
      </c>
      <c r="O91" s="7" t="s">
        <v>52</v>
      </c>
      <c r="P91" s="8">
        <v>44659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1670.59</v>
      </c>
      <c r="W91" s="7">
        <v>720.36</v>
      </c>
      <c r="X91" s="7">
        <v>665.23</v>
      </c>
      <c r="Y91" s="7">
        <v>0</v>
      </c>
      <c r="Z91" s="7">
        <v>285</v>
      </c>
    </row>
    <row r="92" spans="1:26" x14ac:dyDescent="0.35">
      <c r="A92" s="7" t="s">
        <v>27</v>
      </c>
      <c r="B92" s="7" t="s">
        <v>28</v>
      </c>
      <c r="C92" s="7" t="s">
        <v>48</v>
      </c>
      <c r="D92" s="7" t="s">
        <v>49</v>
      </c>
      <c r="E92" s="7" t="s">
        <v>37</v>
      </c>
      <c r="F92" s="7" t="s">
        <v>53</v>
      </c>
      <c r="G92" s="7">
        <v>2021</v>
      </c>
      <c r="H92" s="7" t="str">
        <f>CONCATENATE("14241217554")</f>
        <v>14241217554</v>
      </c>
      <c r="I92" s="7" t="s">
        <v>30</v>
      </c>
      <c r="J92" s="7" t="s">
        <v>31</v>
      </c>
      <c r="K92" s="7" t="str">
        <f>CONCATENATE("")</f>
        <v/>
      </c>
      <c r="L92" s="7" t="str">
        <f>CONCATENATE("11 11.2 4b")</f>
        <v>11 11.2 4b</v>
      </c>
      <c r="M92" s="7" t="str">
        <f>CONCATENATE("FCLFNC70E05A329L")</f>
        <v>FCLFNC70E05A329L</v>
      </c>
      <c r="N92" s="7" t="s">
        <v>160</v>
      </c>
      <c r="O92" s="7" t="s">
        <v>52</v>
      </c>
      <c r="P92" s="8">
        <v>44659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32338.61</v>
      </c>
      <c r="W92" s="9">
        <v>13944.41</v>
      </c>
      <c r="X92" s="9">
        <v>12877.23</v>
      </c>
      <c r="Y92" s="7">
        <v>0</v>
      </c>
      <c r="Z92" s="9">
        <v>5516.97</v>
      </c>
    </row>
    <row r="93" spans="1:26" x14ac:dyDescent="0.35">
      <c r="A93" s="7" t="s">
        <v>27</v>
      </c>
      <c r="B93" s="7" t="s">
        <v>28</v>
      </c>
      <c r="C93" s="7" t="s">
        <v>48</v>
      </c>
      <c r="D93" s="7" t="s">
        <v>55</v>
      </c>
      <c r="E93" s="7" t="s">
        <v>37</v>
      </c>
      <c r="F93" s="7" t="s">
        <v>161</v>
      </c>
      <c r="G93" s="7">
        <v>2020</v>
      </c>
      <c r="H93" s="7" t="str">
        <f>CONCATENATE("04240988578")</f>
        <v>04240988578</v>
      </c>
      <c r="I93" s="7" t="s">
        <v>30</v>
      </c>
      <c r="J93" s="7" t="s">
        <v>31</v>
      </c>
      <c r="K93" s="7" t="str">
        <f>CONCATENATE("")</f>
        <v/>
      </c>
      <c r="L93" s="7" t="str">
        <f>CONCATENATE("11 11.2 4b")</f>
        <v>11 11.2 4b</v>
      </c>
      <c r="M93" s="7" t="str">
        <f>CONCATENATE("SLVSLL71H56D488E")</f>
        <v>SLVSLL71H56D488E</v>
      </c>
      <c r="N93" s="7" t="s">
        <v>162</v>
      </c>
      <c r="O93" s="7" t="s">
        <v>52</v>
      </c>
      <c r="P93" s="8">
        <v>44659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1193.4000000000001</v>
      </c>
      <c r="W93" s="7">
        <v>514.59</v>
      </c>
      <c r="X93" s="7">
        <v>475.21</v>
      </c>
      <c r="Y93" s="7">
        <v>0</v>
      </c>
      <c r="Z93" s="7">
        <v>203.6</v>
      </c>
    </row>
    <row r="94" spans="1:26" x14ac:dyDescent="0.35">
      <c r="A94" s="7" t="s">
        <v>27</v>
      </c>
      <c r="B94" s="7" t="s">
        <v>28</v>
      </c>
      <c r="C94" s="7" t="s">
        <v>48</v>
      </c>
      <c r="D94" s="7" t="s">
        <v>55</v>
      </c>
      <c r="E94" s="7" t="s">
        <v>37</v>
      </c>
      <c r="F94" s="7" t="s">
        <v>161</v>
      </c>
      <c r="G94" s="7">
        <v>2021</v>
      </c>
      <c r="H94" s="7" t="str">
        <f>CONCATENATE("14240295098")</f>
        <v>14240295098</v>
      </c>
      <c r="I94" s="7" t="s">
        <v>30</v>
      </c>
      <c r="J94" s="7" t="s">
        <v>31</v>
      </c>
      <c r="K94" s="7" t="str">
        <f>CONCATENATE("")</f>
        <v/>
      </c>
      <c r="L94" s="7" t="str">
        <f>CONCATENATE("11 11.2 4b")</f>
        <v>11 11.2 4b</v>
      </c>
      <c r="M94" s="7" t="str">
        <f>CONCATENATE("SLVSLL71H56D488E")</f>
        <v>SLVSLL71H56D488E</v>
      </c>
      <c r="N94" s="7" t="s">
        <v>162</v>
      </c>
      <c r="O94" s="7" t="s">
        <v>52</v>
      </c>
      <c r="P94" s="8">
        <v>44659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6683.08</v>
      </c>
      <c r="W94" s="9">
        <v>2881.74</v>
      </c>
      <c r="X94" s="9">
        <v>2661.2</v>
      </c>
      <c r="Y94" s="7">
        <v>0</v>
      </c>
      <c r="Z94" s="9">
        <v>1140.1400000000001</v>
      </c>
    </row>
    <row r="95" spans="1:26" x14ac:dyDescent="0.35">
      <c r="A95" s="7" t="s">
        <v>27</v>
      </c>
      <c r="B95" s="7" t="s">
        <v>28</v>
      </c>
      <c r="C95" s="7" t="s">
        <v>48</v>
      </c>
      <c r="D95" s="7" t="s">
        <v>55</v>
      </c>
      <c r="E95" s="7" t="s">
        <v>41</v>
      </c>
      <c r="F95" s="7" t="s">
        <v>77</v>
      </c>
      <c r="G95" s="7">
        <v>2021</v>
      </c>
      <c r="H95" s="7" t="str">
        <f>CONCATENATE("14241355974")</f>
        <v>14241355974</v>
      </c>
      <c r="I95" s="7" t="s">
        <v>30</v>
      </c>
      <c r="J95" s="7" t="s">
        <v>31</v>
      </c>
      <c r="K95" s="7" t="str">
        <f>CONCATENATE("")</f>
        <v/>
      </c>
      <c r="L95" s="7" t="str">
        <f>CONCATENATE("11 11.2 4b")</f>
        <v>11 11.2 4b</v>
      </c>
      <c r="M95" s="7" t="str">
        <f>CONCATENATE("DTLNDR80A02D488B")</f>
        <v>DTLNDR80A02D488B</v>
      </c>
      <c r="N95" s="7" t="s">
        <v>163</v>
      </c>
      <c r="O95" s="7" t="s">
        <v>52</v>
      </c>
      <c r="P95" s="8">
        <v>44659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7">
        <v>775.04</v>
      </c>
      <c r="W95" s="7">
        <v>334.2</v>
      </c>
      <c r="X95" s="7">
        <v>308.62</v>
      </c>
      <c r="Y95" s="7">
        <v>0</v>
      </c>
      <c r="Z95" s="7">
        <v>132.22</v>
      </c>
    </row>
    <row r="96" spans="1:26" x14ac:dyDescent="0.35">
      <c r="A96" s="7" t="s">
        <v>27</v>
      </c>
      <c r="B96" s="7" t="s">
        <v>28</v>
      </c>
      <c r="C96" s="7" t="s">
        <v>48</v>
      </c>
      <c r="D96" s="7" t="s">
        <v>68</v>
      </c>
      <c r="E96" s="7" t="s">
        <v>40</v>
      </c>
      <c r="F96" s="7" t="s">
        <v>164</v>
      </c>
      <c r="G96" s="7">
        <v>2021</v>
      </c>
      <c r="H96" s="7" t="str">
        <f>CONCATENATE("14240859307")</f>
        <v>14240859307</v>
      </c>
      <c r="I96" s="7" t="s">
        <v>38</v>
      </c>
      <c r="J96" s="7" t="s">
        <v>31</v>
      </c>
      <c r="K96" s="7" t="str">
        <f>CONCATENATE("")</f>
        <v/>
      </c>
      <c r="L96" s="7" t="str">
        <f>CONCATENATE("11 11.2 4b")</f>
        <v>11 11.2 4b</v>
      </c>
      <c r="M96" s="7" t="str">
        <f>CONCATENATE("02274060447")</f>
        <v>02274060447</v>
      </c>
      <c r="N96" s="7" t="s">
        <v>165</v>
      </c>
      <c r="O96" s="7" t="s">
        <v>52</v>
      </c>
      <c r="P96" s="8">
        <v>44659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7">
        <v>902.11</v>
      </c>
      <c r="W96" s="7">
        <v>388.99</v>
      </c>
      <c r="X96" s="7">
        <v>359.22</v>
      </c>
      <c r="Y96" s="7">
        <v>0</v>
      </c>
      <c r="Z96" s="7">
        <v>153.9</v>
      </c>
    </row>
    <row r="97" spans="1:26" x14ac:dyDescent="0.35">
      <c r="A97" s="7" t="s">
        <v>27</v>
      </c>
      <c r="B97" s="7" t="s">
        <v>28</v>
      </c>
      <c r="C97" s="7" t="s">
        <v>48</v>
      </c>
      <c r="D97" s="7" t="s">
        <v>68</v>
      </c>
      <c r="E97" s="7" t="s">
        <v>36</v>
      </c>
      <c r="F97" s="7" t="s">
        <v>36</v>
      </c>
      <c r="G97" s="7">
        <v>2021</v>
      </c>
      <c r="H97" s="7" t="str">
        <f>CONCATENATE("14241358200")</f>
        <v>14241358200</v>
      </c>
      <c r="I97" s="7" t="s">
        <v>38</v>
      </c>
      <c r="J97" s="7" t="s">
        <v>31</v>
      </c>
      <c r="K97" s="7" t="str">
        <f>CONCATENATE("")</f>
        <v/>
      </c>
      <c r="L97" s="7" t="str">
        <f>CONCATENATE("11 11.2 4b")</f>
        <v>11 11.2 4b</v>
      </c>
      <c r="M97" s="7" t="str">
        <f>CONCATENATE("CSTSDR57D15D096S")</f>
        <v>CSTSDR57D15D096S</v>
      </c>
      <c r="N97" s="7" t="s">
        <v>166</v>
      </c>
      <c r="O97" s="7" t="s">
        <v>52</v>
      </c>
      <c r="P97" s="8">
        <v>44659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7">
        <v>246.02</v>
      </c>
      <c r="W97" s="7">
        <v>106.08</v>
      </c>
      <c r="X97" s="7">
        <v>97.97</v>
      </c>
      <c r="Y97" s="7">
        <v>0</v>
      </c>
      <c r="Z97" s="7">
        <v>41.97</v>
      </c>
    </row>
    <row r="98" spans="1:26" x14ac:dyDescent="0.35">
      <c r="A98" s="7" t="s">
        <v>27</v>
      </c>
      <c r="B98" s="7" t="s">
        <v>28</v>
      </c>
      <c r="C98" s="7" t="s">
        <v>48</v>
      </c>
      <c r="D98" s="7" t="s">
        <v>55</v>
      </c>
      <c r="E98" s="7" t="s">
        <v>37</v>
      </c>
      <c r="F98" s="7" t="s">
        <v>147</v>
      </c>
      <c r="G98" s="7">
        <v>2021</v>
      </c>
      <c r="H98" s="7" t="str">
        <f>CONCATENATE("14240600586")</f>
        <v>14240600586</v>
      </c>
      <c r="I98" s="7" t="s">
        <v>30</v>
      </c>
      <c r="J98" s="7" t="s">
        <v>31</v>
      </c>
      <c r="K98" s="7" t="str">
        <f>CONCATENATE("")</f>
        <v/>
      </c>
      <c r="L98" s="7" t="str">
        <f>CONCATENATE("11 11.2 4b")</f>
        <v>11 11.2 4b</v>
      </c>
      <c r="M98" s="7" t="str">
        <f>CONCATENATE("CLVLRA86B51D451O")</f>
        <v>CLVLRA86B51D451O</v>
      </c>
      <c r="N98" s="7" t="s">
        <v>167</v>
      </c>
      <c r="O98" s="7" t="s">
        <v>52</v>
      </c>
      <c r="P98" s="8">
        <v>44659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7">
        <v>389.45</v>
      </c>
      <c r="W98" s="7">
        <v>167.93</v>
      </c>
      <c r="X98" s="7">
        <v>155.08000000000001</v>
      </c>
      <c r="Y98" s="7">
        <v>0</v>
      </c>
      <c r="Z98" s="7">
        <v>66.44</v>
      </c>
    </row>
    <row r="99" spans="1:26" x14ac:dyDescent="0.35">
      <c r="A99" s="7" t="s">
        <v>27</v>
      </c>
      <c r="B99" s="7" t="s">
        <v>28</v>
      </c>
      <c r="C99" s="7" t="s">
        <v>48</v>
      </c>
      <c r="D99" s="7" t="s">
        <v>55</v>
      </c>
      <c r="E99" s="7" t="s">
        <v>168</v>
      </c>
      <c r="F99" s="7" t="s">
        <v>169</v>
      </c>
      <c r="G99" s="7">
        <v>2020</v>
      </c>
      <c r="H99" s="7" t="str">
        <f>CONCATENATE("04241583428")</f>
        <v>04241583428</v>
      </c>
      <c r="I99" s="7" t="s">
        <v>30</v>
      </c>
      <c r="J99" s="7" t="s">
        <v>31</v>
      </c>
      <c r="K99" s="7" t="str">
        <f>CONCATENATE("")</f>
        <v/>
      </c>
      <c r="L99" s="7" t="str">
        <f>CONCATENATE("11 11.2 4b")</f>
        <v>11 11.2 4b</v>
      </c>
      <c r="M99" s="7" t="str">
        <f>CONCATENATE("02233160510")</f>
        <v>02233160510</v>
      </c>
      <c r="N99" s="7" t="s">
        <v>170</v>
      </c>
      <c r="O99" s="7" t="s">
        <v>52</v>
      </c>
      <c r="P99" s="8">
        <v>44659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7">
        <v>516.76</v>
      </c>
      <c r="W99" s="7">
        <v>222.83</v>
      </c>
      <c r="X99" s="7">
        <v>205.77</v>
      </c>
      <c r="Y99" s="7">
        <v>0</v>
      </c>
      <c r="Z99" s="7">
        <v>88.16</v>
      </c>
    </row>
    <row r="100" spans="1:26" x14ac:dyDescent="0.35">
      <c r="A100" s="7" t="s">
        <v>27</v>
      </c>
      <c r="B100" s="7" t="s">
        <v>28</v>
      </c>
      <c r="C100" s="7" t="s">
        <v>48</v>
      </c>
      <c r="D100" s="7" t="s">
        <v>55</v>
      </c>
      <c r="E100" s="7" t="s">
        <v>168</v>
      </c>
      <c r="F100" s="7" t="s">
        <v>169</v>
      </c>
      <c r="G100" s="7">
        <v>2021</v>
      </c>
      <c r="H100" s="7" t="str">
        <f>CONCATENATE("14241732750")</f>
        <v>14241732750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CONCATENATE("11 11.2 4b")</f>
        <v>11 11.2 4b</v>
      </c>
      <c r="M100" s="7" t="str">
        <f>CONCATENATE("02233160510")</f>
        <v>02233160510</v>
      </c>
      <c r="N100" s="7" t="s">
        <v>170</v>
      </c>
      <c r="O100" s="7" t="s">
        <v>52</v>
      </c>
      <c r="P100" s="8">
        <v>44659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7">
        <v>490.92</v>
      </c>
      <c r="W100" s="7">
        <v>211.68</v>
      </c>
      <c r="X100" s="7">
        <v>195.48</v>
      </c>
      <c r="Y100" s="7">
        <v>0</v>
      </c>
      <c r="Z100" s="7">
        <v>83.76</v>
      </c>
    </row>
    <row r="101" spans="1:26" x14ac:dyDescent="0.35">
      <c r="A101" s="7" t="s">
        <v>27</v>
      </c>
      <c r="B101" s="7" t="s">
        <v>28</v>
      </c>
      <c r="C101" s="7" t="s">
        <v>48</v>
      </c>
      <c r="D101" s="7" t="s">
        <v>55</v>
      </c>
      <c r="E101" s="7" t="s">
        <v>168</v>
      </c>
      <c r="F101" s="7" t="s">
        <v>169</v>
      </c>
      <c r="G101" s="7">
        <v>2021</v>
      </c>
      <c r="H101" s="7" t="str">
        <f>CONCATENATE("14240416959")</f>
        <v>14240416959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CONCATENATE("11 11.2 4b")</f>
        <v>11 11.2 4b</v>
      </c>
      <c r="M101" s="7" t="str">
        <f>CONCATENATE("MNTTZN57E66I681Z")</f>
        <v>MNTTZN57E66I681Z</v>
      </c>
      <c r="N101" s="7" t="s">
        <v>171</v>
      </c>
      <c r="O101" s="7" t="s">
        <v>52</v>
      </c>
      <c r="P101" s="8">
        <v>44659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1970.77</v>
      </c>
      <c r="W101" s="7">
        <v>849.8</v>
      </c>
      <c r="X101" s="7">
        <v>784.76</v>
      </c>
      <c r="Y101" s="7">
        <v>0</v>
      </c>
      <c r="Z101" s="7">
        <v>336.21</v>
      </c>
    </row>
    <row r="102" spans="1:26" x14ac:dyDescent="0.35">
      <c r="A102" s="7" t="s">
        <v>27</v>
      </c>
      <c r="B102" s="7" t="s">
        <v>28</v>
      </c>
      <c r="C102" s="7" t="s">
        <v>48</v>
      </c>
      <c r="D102" s="7" t="s">
        <v>68</v>
      </c>
      <c r="E102" s="7" t="s">
        <v>37</v>
      </c>
      <c r="F102" s="7" t="s">
        <v>151</v>
      </c>
      <c r="G102" s="7">
        <v>2021</v>
      </c>
      <c r="H102" s="7" t="str">
        <f>CONCATENATE("14240628504")</f>
        <v>14240628504</v>
      </c>
      <c r="I102" s="7" t="s">
        <v>38</v>
      </c>
      <c r="J102" s="7" t="s">
        <v>31</v>
      </c>
      <c r="K102" s="7" t="str">
        <f>CONCATENATE("")</f>
        <v/>
      </c>
      <c r="L102" s="7" t="str">
        <f>CONCATENATE("11 11.2 4b")</f>
        <v>11 11.2 4b</v>
      </c>
      <c r="M102" s="7" t="str">
        <f>CONCATENATE("MTLLDN94S42Z100O")</f>
        <v>MTLLDN94S42Z100O</v>
      </c>
      <c r="N102" s="7" t="s">
        <v>172</v>
      </c>
      <c r="O102" s="7" t="s">
        <v>52</v>
      </c>
      <c r="P102" s="8">
        <v>44659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7">
        <v>382.85</v>
      </c>
      <c r="W102" s="7">
        <v>165.08</v>
      </c>
      <c r="X102" s="7">
        <v>152.44999999999999</v>
      </c>
      <c r="Y102" s="7">
        <v>0</v>
      </c>
      <c r="Z102" s="7">
        <v>65.319999999999993</v>
      </c>
    </row>
    <row r="103" spans="1:26" x14ac:dyDescent="0.35">
      <c r="A103" s="7" t="s">
        <v>27</v>
      </c>
      <c r="B103" s="7" t="s">
        <v>28</v>
      </c>
      <c r="C103" s="7" t="s">
        <v>48</v>
      </c>
      <c r="D103" s="7" t="s">
        <v>68</v>
      </c>
      <c r="E103" s="7" t="s">
        <v>37</v>
      </c>
      <c r="F103" s="7" t="s">
        <v>69</v>
      </c>
      <c r="G103" s="7">
        <v>2021</v>
      </c>
      <c r="H103" s="7" t="str">
        <f>CONCATENATE("14240723677")</f>
        <v>14240723677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CONCATENATE("11 11.2 4b")</f>
        <v>11 11.2 4b</v>
      </c>
      <c r="M103" s="7" t="str">
        <f>CONCATENATE("VTLPNI65C19A252I")</f>
        <v>VTLPNI65C19A252I</v>
      </c>
      <c r="N103" s="7" t="s">
        <v>173</v>
      </c>
      <c r="O103" s="7" t="s">
        <v>52</v>
      </c>
      <c r="P103" s="8">
        <v>44659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5877.75</v>
      </c>
      <c r="W103" s="9">
        <v>2534.4899999999998</v>
      </c>
      <c r="X103" s="9">
        <v>2340.52</v>
      </c>
      <c r="Y103" s="7">
        <v>0</v>
      </c>
      <c r="Z103" s="9">
        <v>1002.74</v>
      </c>
    </row>
    <row r="104" spans="1:26" x14ac:dyDescent="0.35">
      <c r="A104" s="7" t="s">
        <v>27</v>
      </c>
      <c r="B104" s="7" t="s">
        <v>28</v>
      </c>
      <c r="C104" s="7" t="s">
        <v>48</v>
      </c>
      <c r="D104" s="7" t="s">
        <v>68</v>
      </c>
      <c r="E104" s="7" t="s">
        <v>37</v>
      </c>
      <c r="F104" s="7" t="s">
        <v>115</v>
      </c>
      <c r="G104" s="7">
        <v>2021</v>
      </c>
      <c r="H104" s="7" t="str">
        <f>CONCATENATE("14240304544")</f>
        <v>14240304544</v>
      </c>
      <c r="I104" s="7" t="s">
        <v>38</v>
      </c>
      <c r="J104" s="7" t="s">
        <v>31</v>
      </c>
      <c r="K104" s="7" t="str">
        <f>CONCATENATE("")</f>
        <v/>
      </c>
      <c r="L104" s="7" t="str">
        <f>CONCATENATE("11 11.2 4b")</f>
        <v>11 11.2 4b</v>
      </c>
      <c r="M104" s="7" t="str">
        <f>CONCATENATE("PZIMRZ94P21H769R")</f>
        <v>PZIMRZ94P21H769R</v>
      </c>
      <c r="N104" s="7" t="s">
        <v>174</v>
      </c>
      <c r="O104" s="7" t="s">
        <v>52</v>
      </c>
      <c r="P104" s="8">
        <v>44659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7">
        <v>491.86</v>
      </c>
      <c r="W104" s="7">
        <v>212.09</v>
      </c>
      <c r="X104" s="7">
        <v>195.86</v>
      </c>
      <c r="Y104" s="7">
        <v>0</v>
      </c>
      <c r="Z104" s="7">
        <v>83.91</v>
      </c>
    </row>
    <row r="105" spans="1:26" x14ac:dyDescent="0.35">
      <c r="A105" s="7" t="s">
        <v>27</v>
      </c>
      <c r="B105" s="7" t="s">
        <v>28</v>
      </c>
      <c r="C105" s="7" t="s">
        <v>48</v>
      </c>
      <c r="D105" s="7" t="s">
        <v>55</v>
      </c>
      <c r="E105" s="7" t="s">
        <v>29</v>
      </c>
      <c r="F105" s="7" t="s">
        <v>175</v>
      </c>
      <c r="G105" s="7">
        <v>2021</v>
      </c>
      <c r="H105" s="7" t="str">
        <f>CONCATENATE("14241028787")</f>
        <v>14241028787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CONCATENATE("11 11.2 4b")</f>
        <v>11 11.2 4b</v>
      </c>
      <c r="M105" s="7" t="str">
        <f>CONCATENATE("LMBDDY85S26D749S")</f>
        <v>LMBDDY85S26D749S</v>
      </c>
      <c r="N105" s="7" t="s">
        <v>176</v>
      </c>
      <c r="O105" s="7" t="s">
        <v>52</v>
      </c>
      <c r="P105" s="8">
        <v>44659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9">
        <v>4140.49</v>
      </c>
      <c r="W105" s="9">
        <v>1785.38</v>
      </c>
      <c r="X105" s="9">
        <v>1648.74</v>
      </c>
      <c r="Y105" s="7">
        <v>0</v>
      </c>
      <c r="Z105" s="7">
        <v>706.37</v>
      </c>
    </row>
    <row r="106" spans="1:26" x14ac:dyDescent="0.35">
      <c r="A106" s="7" t="s">
        <v>27</v>
      </c>
      <c r="B106" s="7" t="s">
        <v>28</v>
      </c>
      <c r="C106" s="7" t="s">
        <v>48</v>
      </c>
      <c r="D106" s="7" t="s">
        <v>68</v>
      </c>
      <c r="E106" s="7" t="s">
        <v>40</v>
      </c>
      <c r="F106" s="7" t="s">
        <v>81</v>
      </c>
      <c r="G106" s="7">
        <v>2021</v>
      </c>
      <c r="H106" s="7" t="str">
        <f>CONCATENATE("14240665134")</f>
        <v>14240665134</v>
      </c>
      <c r="I106" s="7" t="s">
        <v>38</v>
      </c>
      <c r="J106" s="7" t="s">
        <v>31</v>
      </c>
      <c r="K106" s="7" t="str">
        <f>CONCATENATE("")</f>
        <v/>
      </c>
      <c r="L106" s="7" t="str">
        <f>CONCATENATE("11 11.2 4b")</f>
        <v>11 11.2 4b</v>
      </c>
      <c r="M106" s="7" t="str">
        <f>CONCATENATE("LBRPFR94H03H769C")</f>
        <v>LBRPFR94H03H769C</v>
      </c>
      <c r="N106" s="7" t="s">
        <v>177</v>
      </c>
      <c r="O106" s="7" t="s">
        <v>52</v>
      </c>
      <c r="P106" s="8">
        <v>44659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1492.9</v>
      </c>
      <c r="W106" s="7">
        <v>643.74</v>
      </c>
      <c r="X106" s="7">
        <v>594.47</v>
      </c>
      <c r="Y106" s="7">
        <v>0</v>
      </c>
      <c r="Z106" s="7">
        <v>254.69</v>
      </c>
    </row>
    <row r="107" spans="1:26" x14ac:dyDescent="0.35">
      <c r="A107" s="7" t="s">
        <v>27</v>
      </c>
      <c r="B107" s="7" t="s">
        <v>28</v>
      </c>
      <c r="C107" s="7" t="s">
        <v>48</v>
      </c>
      <c r="D107" s="7" t="s">
        <v>49</v>
      </c>
      <c r="E107" s="7" t="s">
        <v>29</v>
      </c>
      <c r="F107" s="7" t="s">
        <v>50</v>
      </c>
      <c r="G107" s="7">
        <v>2021</v>
      </c>
      <c r="H107" s="7" t="str">
        <f>CONCATENATE("14240445719")</f>
        <v>14240445719</v>
      </c>
      <c r="I107" s="7" t="s">
        <v>30</v>
      </c>
      <c r="J107" s="7" t="s">
        <v>31</v>
      </c>
      <c r="K107" s="7" t="str">
        <f>CONCATENATE("")</f>
        <v/>
      </c>
      <c r="L107" s="7" t="str">
        <f>CONCATENATE("11 11.1 4b")</f>
        <v>11 11.1 4b</v>
      </c>
      <c r="M107" s="7" t="str">
        <f>CONCATENATE("CNSLCU59M31H501Z")</f>
        <v>CNSLCU59M31H501Z</v>
      </c>
      <c r="N107" s="7" t="s">
        <v>178</v>
      </c>
      <c r="O107" s="7" t="s">
        <v>52</v>
      </c>
      <c r="P107" s="8">
        <v>44659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11796.25</v>
      </c>
      <c r="W107" s="9">
        <v>5086.54</v>
      </c>
      <c r="X107" s="9">
        <v>4697.2700000000004</v>
      </c>
      <c r="Y107" s="7">
        <v>0</v>
      </c>
      <c r="Z107" s="9">
        <v>2012.44</v>
      </c>
    </row>
    <row r="108" spans="1:26" x14ac:dyDescent="0.35">
      <c r="A108" s="7" t="s">
        <v>27</v>
      </c>
      <c r="B108" s="7" t="s">
        <v>28</v>
      </c>
      <c r="C108" s="7" t="s">
        <v>48</v>
      </c>
      <c r="D108" s="7" t="s">
        <v>49</v>
      </c>
      <c r="E108" s="7" t="s">
        <v>29</v>
      </c>
      <c r="F108" s="7" t="s">
        <v>50</v>
      </c>
      <c r="G108" s="7">
        <v>2021</v>
      </c>
      <c r="H108" s="7" t="str">
        <f>CONCATENATE("14240445776")</f>
        <v>14240445776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CONCATENATE("10 10.1 4a")</f>
        <v>10 10.1 4a</v>
      </c>
      <c r="M108" s="7" t="str">
        <f>CONCATENATE("CNSLCU59M31H501Z")</f>
        <v>CNSLCU59M31H501Z</v>
      </c>
      <c r="N108" s="7" t="s">
        <v>178</v>
      </c>
      <c r="O108" s="7" t="s">
        <v>179</v>
      </c>
      <c r="P108" s="8">
        <v>44659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7">
        <v>253.04</v>
      </c>
      <c r="W108" s="7">
        <v>109.11</v>
      </c>
      <c r="X108" s="7">
        <v>100.76</v>
      </c>
      <c r="Y108" s="7">
        <v>0</v>
      </c>
      <c r="Z108" s="7">
        <v>43.17</v>
      </c>
    </row>
    <row r="109" spans="1:26" x14ac:dyDescent="0.35">
      <c r="A109" s="7" t="s">
        <v>27</v>
      </c>
      <c r="B109" s="7" t="s">
        <v>28</v>
      </c>
      <c r="C109" s="7" t="s">
        <v>48</v>
      </c>
      <c r="D109" s="7" t="s">
        <v>49</v>
      </c>
      <c r="E109" s="7" t="s">
        <v>45</v>
      </c>
      <c r="F109" s="7" t="s">
        <v>180</v>
      </c>
      <c r="G109" s="7">
        <v>2021</v>
      </c>
      <c r="H109" s="7" t="str">
        <f>CONCATENATE("14241400150")</f>
        <v>14241400150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CONCATENATE("11 11.2 4b")</f>
        <v>11 11.2 4b</v>
      </c>
      <c r="M109" s="7" t="str">
        <f>CONCATENATE("SRNPLA63R27C100M")</f>
        <v>SRNPLA63R27C100M</v>
      </c>
      <c r="N109" s="7" t="s">
        <v>181</v>
      </c>
      <c r="O109" s="7" t="s">
        <v>52</v>
      </c>
      <c r="P109" s="8">
        <v>44659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1774.79</v>
      </c>
      <c r="W109" s="7">
        <v>765.29</v>
      </c>
      <c r="X109" s="7">
        <v>706.72</v>
      </c>
      <c r="Y109" s="7">
        <v>0</v>
      </c>
      <c r="Z109" s="7">
        <v>302.77999999999997</v>
      </c>
    </row>
    <row r="110" spans="1:26" x14ac:dyDescent="0.35">
      <c r="A110" s="7" t="s">
        <v>27</v>
      </c>
      <c r="B110" s="7" t="s">
        <v>28</v>
      </c>
      <c r="C110" s="7" t="s">
        <v>48</v>
      </c>
      <c r="D110" s="7" t="s">
        <v>68</v>
      </c>
      <c r="E110" s="7" t="s">
        <v>47</v>
      </c>
      <c r="F110" s="7" t="s">
        <v>79</v>
      </c>
      <c r="G110" s="7">
        <v>2021</v>
      </c>
      <c r="H110" s="7" t="str">
        <f>CONCATENATE("14240138819")</f>
        <v>14240138819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CONCATENATE("11 11.2 4b")</f>
        <v>11 11.2 4b</v>
      </c>
      <c r="M110" s="7" t="str">
        <f>CONCATENATE("CPRLLL59S62H769U")</f>
        <v>CPRLLL59S62H769U</v>
      </c>
      <c r="N110" s="7" t="s">
        <v>182</v>
      </c>
      <c r="O110" s="7" t="s">
        <v>52</v>
      </c>
      <c r="P110" s="8">
        <v>44659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2132.94</v>
      </c>
      <c r="W110" s="7">
        <v>919.72</v>
      </c>
      <c r="X110" s="7">
        <v>849.34</v>
      </c>
      <c r="Y110" s="7">
        <v>0</v>
      </c>
      <c r="Z110" s="7">
        <v>363.88</v>
      </c>
    </row>
    <row r="111" spans="1:26" x14ac:dyDescent="0.35">
      <c r="A111" s="7" t="s">
        <v>27</v>
      </c>
      <c r="B111" s="7" t="s">
        <v>42</v>
      </c>
      <c r="C111" s="7" t="s">
        <v>48</v>
      </c>
      <c r="D111" s="7" t="s">
        <v>48</v>
      </c>
      <c r="E111" s="7" t="s">
        <v>36</v>
      </c>
      <c r="F111" s="7" t="s">
        <v>36</v>
      </c>
      <c r="G111" s="7">
        <v>2017</v>
      </c>
      <c r="H111" s="7" t="str">
        <f>CONCATENATE("24270051790")</f>
        <v>24270051790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CONCATENATE("19 19.2 6b")</f>
        <v>19 19.2 6b</v>
      </c>
      <c r="M111" s="7" t="str">
        <f>CONCATENATE("00360620413")</f>
        <v>00360620413</v>
      </c>
      <c r="N111" s="7" t="s">
        <v>183</v>
      </c>
      <c r="O111" s="7" t="s">
        <v>184</v>
      </c>
      <c r="P111" s="8">
        <v>44662</v>
      </c>
      <c r="Q111" s="7" t="s">
        <v>32</v>
      </c>
      <c r="R111" s="7" t="s">
        <v>46</v>
      </c>
      <c r="S111" s="7" t="s">
        <v>34</v>
      </c>
      <c r="T111" s="7"/>
      <c r="U111" s="7" t="s">
        <v>35</v>
      </c>
      <c r="V111" s="9">
        <v>15683.26</v>
      </c>
      <c r="W111" s="9">
        <v>6762.62</v>
      </c>
      <c r="X111" s="9">
        <v>6245.07</v>
      </c>
      <c r="Y111" s="7">
        <v>0</v>
      </c>
      <c r="Z111" s="9">
        <v>2675.57</v>
      </c>
    </row>
    <row r="112" spans="1:26" x14ac:dyDescent="0.35">
      <c r="A112" s="7" t="s">
        <v>27</v>
      </c>
      <c r="B112" s="7" t="s">
        <v>42</v>
      </c>
      <c r="C112" s="7" t="s">
        <v>48</v>
      </c>
      <c r="D112" s="7" t="s">
        <v>185</v>
      </c>
      <c r="E112" s="7" t="s">
        <v>36</v>
      </c>
      <c r="F112" s="7" t="s">
        <v>36</v>
      </c>
      <c r="G112" s="7">
        <v>2017</v>
      </c>
      <c r="H112" s="7" t="str">
        <f>CONCATENATE("24270042872")</f>
        <v>24270042872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CONCATENATE("4 4.1 2a")</f>
        <v>4 4.1 2a</v>
      </c>
      <c r="M112" s="7" t="str">
        <f>CONCATENATE("RZOLRD83H02E783Q")</f>
        <v>RZOLRD83H02E783Q</v>
      </c>
      <c r="N112" s="7" t="s">
        <v>186</v>
      </c>
      <c r="O112" s="7" t="s">
        <v>187</v>
      </c>
      <c r="P112" s="8">
        <v>44659</v>
      </c>
      <c r="Q112" s="7" t="s">
        <v>32</v>
      </c>
      <c r="R112" s="7" t="s">
        <v>43</v>
      </c>
      <c r="S112" s="7" t="s">
        <v>34</v>
      </c>
      <c r="T112" s="7"/>
      <c r="U112" s="7" t="s">
        <v>35</v>
      </c>
      <c r="V112" s="9">
        <v>16725.68</v>
      </c>
      <c r="W112" s="9">
        <v>7212.11</v>
      </c>
      <c r="X112" s="9">
        <v>6660.17</v>
      </c>
      <c r="Y112" s="7">
        <v>0</v>
      </c>
      <c r="Z112" s="9">
        <v>2853.4</v>
      </c>
    </row>
    <row r="113" spans="1:26" x14ac:dyDescent="0.35">
      <c r="A113" s="7" t="s">
        <v>27</v>
      </c>
      <c r="B113" s="7" t="s">
        <v>42</v>
      </c>
      <c r="C113" s="7" t="s">
        <v>48</v>
      </c>
      <c r="D113" s="7" t="s">
        <v>185</v>
      </c>
      <c r="E113" s="7" t="s">
        <v>36</v>
      </c>
      <c r="F113" s="7" t="s">
        <v>36</v>
      </c>
      <c r="G113" s="7">
        <v>2017</v>
      </c>
      <c r="H113" s="7" t="str">
        <f>CONCATENATE("24270042435")</f>
        <v>24270042435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CONCATENATE("4 4.1 2a")</f>
        <v>4 4.1 2a</v>
      </c>
      <c r="M113" s="7" t="str">
        <f>CONCATENATE("01677130435")</f>
        <v>01677130435</v>
      </c>
      <c r="N113" s="7" t="s">
        <v>188</v>
      </c>
      <c r="O113" s="7" t="s">
        <v>189</v>
      </c>
      <c r="P113" s="8">
        <v>44662</v>
      </c>
      <c r="Q113" s="7" t="s">
        <v>32</v>
      </c>
      <c r="R113" s="7" t="s">
        <v>46</v>
      </c>
      <c r="S113" s="7" t="s">
        <v>34</v>
      </c>
      <c r="T113" s="7"/>
      <c r="U113" s="7" t="s">
        <v>35</v>
      </c>
      <c r="V113" s="9">
        <v>74988.36</v>
      </c>
      <c r="W113" s="9">
        <v>32334.98</v>
      </c>
      <c r="X113" s="9">
        <v>29860.36</v>
      </c>
      <c r="Y113" s="7">
        <v>0</v>
      </c>
      <c r="Z113" s="9">
        <v>12793.02</v>
      </c>
    </row>
    <row r="114" spans="1:26" x14ac:dyDescent="0.35">
      <c r="A114" s="7" t="s">
        <v>27</v>
      </c>
      <c r="B114" s="7" t="s">
        <v>42</v>
      </c>
      <c r="C114" s="7" t="s">
        <v>48</v>
      </c>
      <c r="D114" s="7" t="s">
        <v>68</v>
      </c>
      <c r="E114" s="7" t="s">
        <v>36</v>
      </c>
      <c r="F114" s="7" t="s">
        <v>36</v>
      </c>
      <c r="G114" s="7">
        <v>2017</v>
      </c>
      <c r="H114" s="7" t="str">
        <f>CONCATENATE("24270042880")</f>
        <v>24270042880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CONCATENATE("4 4.1 2a")</f>
        <v>4 4.1 2a</v>
      </c>
      <c r="M114" s="7" t="str">
        <f>CONCATENATE("02361460443")</f>
        <v>02361460443</v>
      </c>
      <c r="N114" s="7" t="s">
        <v>190</v>
      </c>
      <c r="O114" s="7" t="s">
        <v>187</v>
      </c>
      <c r="P114" s="8">
        <v>44659</v>
      </c>
      <c r="Q114" s="7" t="s">
        <v>32</v>
      </c>
      <c r="R114" s="7" t="s">
        <v>43</v>
      </c>
      <c r="S114" s="7" t="s">
        <v>34</v>
      </c>
      <c r="T114" s="7"/>
      <c r="U114" s="7" t="s">
        <v>35</v>
      </c>
      <c r="V114" s="9">
        <v>49521.36</v>
      </c>
      <c r="W114" s="9">
        <v>21353.61</v>
      </c>
      <c r="X114" s="9">
        <v>19719.41</v>
      </c>
      <c r="Y114" s="7">
        <v>0</v>
      </c>
      <c r="Z114" s="9">
        <v>8448.34</v>
      </c>
    </row>
    <row r="115" spans="1:26" ht="17.5" x14ac:dyDescent="0.35">
      <c r="A115" s="7" t="s">
        <v>27</v>
      </c>
      <c r="B115" s="7" t="s">
        <v>28</v>
      </c>
      <c r="C115" s="7" t="s">
        <v>48</v>
      </c>
      <c r="D115" s="7" t="s">
        <v>68</v>
      </c>
      <c r="E115" s="7" t="s">
        <v>41</v>
      </c>
      <c r="F115" s="7" t="s">
        <v>191</v>
      </c>
      <c r="G115" s="7">
        <v>2021</v>
      </c>
      <c r="H115" s="7" t="str">
        <f>CONCATENATE("14240750209")</f>
        <v>14240750209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CONCATENATE("10 10.1 4b")</f>
        <v>10 10.1 4b</v>
      </c>
      <c r="M115" s="7" t="str">
        <f>CONCATENATE("VGNTMS73E25G516O")</f>
        <v>VGNTMS73E25G516O</v>
      </c>
      <c r="N115" s="7" t="s">
        <v>192</v>
      </c>
      <c r="O115" s="7" t="s">
        <v>193</v>
      </c>
      <c r="P115" s="8">
        <v>44662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3449.4</v>
      </c>
      <c r="W115" s="9">
        <v>1487.38</v>
      </c>
      <c r="X115" s="9">
        <v>1373.55</v>
      </c>
      <c r="Y115" s="7">
        <v>0</v>
      </c>
      <c r="Z115" s="7">
        <v>588.47</v>
      </c>
    </row>
    <row r="116" spans="1:26" x14ac:dyDescent="0.35">
      <c r="A116" s="7" t="s">
        <v>27</v>
      </c>
      <c r="B116" s="7" t="s">
        <v>28</v>
      </c>
      <c r="C116" s="7" t="s">
        <v>48</v>
      </c>
      <c r="D116" s="7" t="s">
        <v>68</v>
      </c>
      <c r="E116" s="7" t="s">
        <v>41</v>
      </c>
      <c r="F116" s="7" t="s">
        <v>194</v>
      </c>
      <c r="G116" s="7">
        <v>2021</v>
      </c>
      <c r="H116" s="7" t="str">
        <f>CONCATENATE("14241080895")</f>
        <v>14241080895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CONCATENATE("10 10.1 4b")</f>
        <v>10 10.1 4b</v>
      </c>
      <c r="M116" s="7" t="str">
        <f>CONCATENATE("DRSPQL70L11G137M")</f>
        <v>DRSPQL70L11G137M</v>
      </c>
      <c r="N116" s="7" t="s">
        <v>195</v>
      </c>
      <c r="O116" s="7" t="s">
        <v>193</v>
      </c>
      <c r="P116" s="8">
        <v>44662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5223.28</v>
      </c>
      <c r="W116" s="9">
        <v>2252.2800000000002</v>
      </c>
      <c r="X116" s="9">
        <v>2079.91</v>
      </c>
      <c r="Y116" s="7">
        <v>0</v>
      </c>
      <c r="Z116" s="7">
        <v>891.09</v>
      </c>
    </row>
    <row r="117" spans="1:26" ht="17.5" x14ac:dyDescent="0.35">
      <c r="A117" s="7" t="s">
        <v>27</v>
      </c>
      <c r="B117" s="7" t="s">
        <v>28</v>
      </c>
      <c r="C117" s="7" t="s">
        <v>48</v>
      </c>
      <c r="D117" s="7" t="s">
        <v>68</v>
      </c>
      <c r="E117" s="7" t="s">
        <v>29</v>
      </c>
      <c r="F117" s="7" t="s">
        <v>196</v>
      </c>
      <c r="G117" s="7">
        <v>2021</v>
      </c>
      <c r="H117" s="7" t="str">
        <f>CONCATENATE("14240397407")</f>
        <v>14240397407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CONCATENATE("10 10.1 4b")</f>
        <v>10 10.1 4b</v>
      </c>
      <c r="M117" s="7" t="str">
        <f>CONCATENATE("VRGDNI78B04G516M")</f>
        <v>VRGDNI78B04G516M</v>
      </c>
      <c r="N117" s="7" t="s">
        <v>197</v>
      </c>
      <c r="O117" s="7" t="s">
        <v>193</v>
      </c>
      <c r="P117" s="8">
        <v>44662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1887.68</v>
      </c>
      <c r="W117" s="7">
        <v>813.97</v>
      </c>
      <c r="X117" s="7">
        <v>751.67</v>
      </c>
      <c r="Y117" s="7">
        <v>0</v>
      </c>
      <c r="Z117" s="7">
        <v>322.04000000000002</v>
      </c>
    </row>
    <row r="118" spans="1:26" x14ac:dyDescent="0.35">
      <c r="A118" s="7" t="s">
        <v>27</v>
      </c>
      <c r="B118" s="7" t="s">
        <v>28</v>
      </c>
      <c r="C118" s="7" t="s">
        <v>48</v>
      </c>
      <c r="D118" s="7" t="s">
        <v>68</v>
      </c>
      <c r="E118" s="7" t="s">
        <v>37</v>
      </c>
      <c r="F118" s="7" t="s">
        <v>69</v>
      </c>
      <c r="G118" s="7">
        <v>2021</v>
      </c>
      <c r="H118" s="7" t="str">
        <f>CONCATENATE("14240497462")</f>
        <v>14240497462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CONCATENATE("10 10.1 4b")</f>
        <v>10 10.1 4b</v>
      </c>
      <c r="M118" s="7" t="str">
        <f>CONCATENATE("00746520444")</f>
        <v>00746520444</v>
      </c>
      <c r="N118" s="7" t="s">
        <v>198</v>
      </c>
      <c r="O118" s="7" t="s">
        <v>193</v>
      </c>
      <c r="P118" s="8">
        <v>44662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6286.43</v>
      </c>
      <c r="W118" s="9">
        <v>2710.71</v>
      </c>
      <c r="X118" s="9">
        <v>2503.2600000000002</v>
      </c>
      <c r="Y118" s="7">
        <v>0</v>
      </c>
      <c r="Z118" s="9">
        <v>1072.46</v>
      </c>
    </row>
    <row r="119" spans="1:26" ht="17.5" x14ac:dyDescent="0.35">
      <c r="A119" s="7" t="s">
        <v>27</v>
      </c>
      <c r="B119" s="7" t="s">
        <v>28</v>
      </c>
      <c r="C119" s="7" t="s">
        <v>48</v>
      </c>
      <c r="D119" s="7" t="s">
        <v>68</v>
      </c>
      <c r="E119" s="7" t="s">
        <v>41</v>
      </c>
      <c r="F119" s="7" t="s">
        <v>191</v>
      </c>
      <c r="G119" s="7">
        <v>2021</v>
      </c>
      <c r="H119" s="7" t="str">
        <f>CONCATENATE("14240735713")</f>
        <v>14240735713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CONCATENATE("10 10.1 4b")</f>
        <v>10 10.1 4b</v>
      </c>
      <c r="M119" s="7" t="str">
        <f>CONCATENATE("VGNMSM68E27G516C")</f>
        <v>VGNMSM68E27G516C</v>
      </c>
      <c r="N119" s="7" t="s">
        <v>199</v>
      </c>
      <c r="O119" s="7" t="s">
        <v>193</v>
      </c>
      <c r="P119" s="8">
        <v>44662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3667.67</v>
      </c>
      <c r="W119" s="9">
        <v>1581.5</v>
      </c>
      <c r="X119" s="9">
        <v>1460.47</v>
      </c>
      <c r="Y119" s="7">
        <v>0</v>
      </c>
      <c r="Z119" s="7">
        <v>625.70000000000005</v>
      </c>
    </row>
    <row r="120" spans="1:26" x14ac:dyDescent="0.35">
      <c r="A120" s="7" t="s">
        <v>27</v>
      </c>
      <c r="B120" s="7" t="s">
        <v>28</v>
      </c>
      <c r="C120" s="7" t="s">
        <v>48</v>
      </c>
      <c r="D120" s="7" t="s">
        <v>68</v>
      </c>
      <c r="E120" s="7" t="s">
        <v>37</v>
      </c>
      <c r="F120" s="7" t="s">
        <v>69</v>
      </c>
      <c r="G120" s="7">
        <v>2021</v>
      </c>
      <c r="H120" s="7" t="str">
        <f>CONCATENATE("14240426974")</f>
        <v>14240426974</v>
      </c>
      <c r="I120" s="7" t="s">
        <v>30</v>
      </c>
      <c r="J120" s="7" t="s">
        <v>31</v>
      </c>
      <c r="K120" s="7" t="str">
        <f>CONCATENATE("")</f>
        <v/>
      </c>
      <c r="L120" s="7" t="str">
        <f>CONCATENATE("10 10.1 4b")</f>
        <v>10 10.1 4b</v>
      </c>
      <c r="M120" s="7" t="str">
        <f>CONCATENATE("CRTVCN69D42F415N")</f>
        <v>CRTVCN69D42F415N</v>
      </c>
      <c r="N120" s="7" t="s">
        <v>200</v>
      </c>
      <c r="O120" s="7" t="s">
        <v>193</v>
      </c>
      <c r="P120" s="8">
        <v>44662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1132.1500000000001</v>
      </c>
      <c r="W120" s="7">
        <v>488.18</v>
      </c>
      <c r="X120" s="7">
        <v>450.82</v>
      </c>
      <c r="Y120" s="7">
        <v>0</v>
      </c>
      <c r="Z120" s="7">
        <v>193.15</v>
      </c>
    </row>
    <row r="121" spans="1:26" x14ac:dyDescent="0.35">
      <c r="A121" s="7" t="s">
        <v>27</v>
      </c>
      <c r="B121" s="7" t="s">
        <v>28</v>
      </c>
      <c r="C121" s="7" t="s">
        <v>48</v>
      </c>
      <c r="D121" s="7" t="s">
        <v>68</v>
      </c>
      <c r="E121" s="7" t="s">
        <v>36</v>
      </c>
      <c r="F121" s="7" t="s">
        <v>36</v>
      </c>
      <c r="G121" s="7">
        <v>2021</v>
      </c>
      <c r="H121" s="7" t="str">
        <f>CONCATENATE("14240766684")</f>
        <v>14240766684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CONCATENATE("10 10.1 4b")</f>
        <v>10 10.1 4b</v>
      </c>
      <c r="M121" s="7" t="str">
        <f>CONCATENATE("01230310441")</f>
        <v>01230310441</v>
      </c>
      <c r="N121" s="7" t="s">
        <v>201</v>
      </c>
      <c r="O121" s="7" t="s">
        <v>202</v>
      </c>
      <c r="P121" s="8">
        <v>44659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6654.99</v>
      </c>
      <c r="W121" s="9">
        <v>2869.63</v>
      </c>
      <c r="X121" s="9">
        <v>2650.02</v>
      </c>
      <c r="Y121" s="7">
        <v>0</v>
      </c>
      <c r="Z121" s="9">
        <v>1135.3399999999999</v>
      </c>
    </row>
    <row r="122" spans="1:26" x14ac:dyDescent="0.35">
      <c r="A122" s="7" t="s">
        <v>27</v>
      </c>
      <c r="B122" s="7" t="s">
        <v>28</v>
      </c>
      <c r="C122" s="7" t="s">
        <v>48</v>
      </c>
      <c r="D122" s="7" t="s">
        <v>68</v>
      </c>
      <c r="E122" s="7" t="s">
        <v>37</v>
      </c>
      <c r="F122" s="7" t="s">
        <v>151</v>
      </c>
      <c r="G122" s="7">
        <v>2021</v>
      </c>
      <c r="H122" s="7" t="str">
        <f>CONCATENATE("14240651126")</f>
        <v>14240651126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CONCATENATE("10 10.1 4b")</f>
        <v>10 10.1 4b</v>
      </c>
      <c r="M122" s="7" t="str">
        <f>CONCATENATE("CRTNTN54C20L597V")</f>
        <v>CRTNTN54C20L597V</v>
      </c>
      <c r="N122" s="7" t="s">
        <v>203</v>
      </c>
      <c r="O122" s="7" t="s">
        <v>202</v>
      </c>
      <c r="P122" s="8">
        <v>44659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7291.5</v>
      </c>
      <c r="W122" s="9">
        <v>3144.09</v>
      </c>
      <c r="X122" s="9">
        <v>2903.48</v>
      </c>
      <c r="Y122" s="7">
        <v>0</v>
      </c>
      <c r="Z122" s="9">
        <v>1243.93</v>
      </c>
    </row>
    <row r="123" spans="1:26" x14ac:dyDescent="0.35">
      <c r="A123" s="7" t="s">
        <v>27</v>
      </c>
      <c r="B123" s="7" t="s">
        <v>28</v>
      </c>
      <c r="C123" s="7" t="s">
        <v>48</v>
      </c>
      <c r="D123" s="7" t="s">
        <v>68</v>
      </c>
      <c r="E123" s="7" t="s">
        <v>37</v>
      </c>
      <c r="F123" s="7" t="s">
        <v>151</v>
      </c>
      <c r="G123" s="7">
        <v>2021</v>
      </c>
      <c r="H123" s="7" t="str">
        <f>CONCATENATE("14240896150")</f>
        <v>14240896150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CONCATENATE("10 10.1 4b")</f>
        <v>10 10.1 4b</v>
      </c>
      <c r="M123" s="7" t="str">
        <f>CONCATENATE("CRTLCN60D05L597U")</f>
        <v>CRTLCN60D05L597U</v>
      </c>
      <c r="N123" s="7" t="s">
        <v>204</v>
      </c>
      <c r="O123" s="7" t="s">
        <v>202</v>
      </c>
      <c r="P123" s="8">
        <v>44659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6248.24</v>
      </c>
      <c r="W123" s="9">
        <v>2694.24</v>
      </c>
      <c r="X123" s="9">
        <v>2488.0500000000002</v>
      </c>
      <c r="Y123" s="7">
        <v>0</v>
      </c>
      <c r="Z123" s="9">
        <v>1065.95</v>
      </c>
    </row>
    <row r="124" spans="1:26" x14ac:dyDescent="0.35">
      <c r="A124" s="7" t="s">
        <v>27</v>
      </c>
      <c r="B124" s="7" t="s">
        <v>28</v>
      </c>
      <c r="C124" s="7" t="s">
        <v>48</v>
      </c>
      <c r="D124" s="7" t="s">
        <v>55</v>
      </c>
      <c r="E124" s="7" t="s">
        <v>37</v>
      </c>
      <c r="F124" s="7" t="s">
        <v>205</v>
      </c>
      <c r="G124" s="7">
        <v>2021</v>
      </c>
      <c r="H124" s="7" t="str">
        <f>CONCATENATE("14241125849")</f>
        <v>14241125849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CONCATENATE("10 10.1 4b")</f>
        <v>10 10.1 4b</v>
      </c>
      <c r="M124" s="7" t="str">
        <f>CONCATENATE("01355430412")</f>
        <v>01355430412</v>
      </c>
      <c r="N124" s="7" t="s">
        <v>206</v>
      </c>
      <c r="O124" s="7" t="s">
        <v>202</v>
      </c>
      <c r="P124" s="8">
        <v>44659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17756.919999999998</v>
      </c>
      <c r="W124" s="9">
        <v>7656.78</v>
      </c>
      <c r="X124" s="9">
        <v>7070.81</v>
      </c>
      <c r="Y124" s="7">
        <v>0</v>
      </c>
      <c r="Z124" s="9">
        <v>3029.33</v>
      </c>
    </row>
    <row r="125" spans="1:26" x14ac:dyDescent="0.35">
      <c r="A125" s="7" t="s">
        <v>27</v>
      </c>
      <c r="B125" s="7" t="s">
        <v>42</v>
      </c>
      <c r="C125" s="7" t="s">
        <v>48</v>
      </c>
      <c r="D125" s="7" t="s">
        <v>49</v>
      </c>
      <c r="E125" s="7" t="s">
        <v>36</v>
      </c>
      <c r="F125" s="7" t="s">
        <v>36</v>
      </c>
      <c r="G125" s="7">
        <v>2017</v>
      </c>
      <c r="H125" s="7" t="str">
        <f>CONCATENATE("14270363766")</f>
        <v>14270363766</v>
      </c>
      <c r="I125" s="7" t="s">
        <v>30</v>
      </c>
      <c r="J125" s="7" t="s">
        <v>31</v>
      </c>
      <c r="K125" s="7" t="str">
        <f>CONCATENATE("")</f>
        <v/>
      </c>
      <c r="L125" s="7" t="str">
        <f>CONCATENATE("4 4.1 2a")</f>
        <v>4 4.1 2a</v>
      </c>
      <c r="M125" s="7" t="str">
        <f>CONCATENATE("01332400421")</f>
        <v>01332400421</v>
      </c>
      <c r="N125" s="7" t="s">
        <v>207</v>
      </c>
      <c r="O125" s="7" t="s">
        <v>208</v>
      </c>
      <c r="P125" s="8">
        <v>44662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9">
        <v>212796.47</v>
      </c>
      <c r="W125" s="9">
        <v>91757.84</v>
      </c>
      <c r="X125" s="9">
        <v>84735.55</v>
      </c>
      <c r="Y125" s="7">
        <v>0</v>
      </c>
      <c r="Z125" s="9">
        <v>36303.08</v>
      </c>
    </row>
    <row r="126" spans="1:26" x14ac:dyDescent="0.35">
      <c r="A126" s="7" t="s">
        <v>27</v>
      </c>
      <c r="B126" s="7" t="s">
        <v>42</v>
      </c>
      <c r="C126" s="7" t="s">
        <v>48</v>
      </c>
      <c r="D126" s="7" t="s">
        <v>185</v>
      </c>
      <c r="E126" s="7" t="s">
        <v>36</v>
      </c>
      <c r="F126" s="7" t="s">
        <v>36</v>
      </c>
      <c r="G126" s="7">
        <v>2017</v>
      </c>
      <c r="H126" s="7" t="str">
        <f>CONCATENATE("14270363741")</f>
        <v>14270363741</v>
      </c>
      <c r="I126" s="7" t="s">
        <v>38</v>
      </c>
      <c r="J126" s="7" t="s">
        <v>31</v>
      </c>
      <c r="K126" s="7" t="str">
        <f>CONCATENATE("")</f>
        <v/>
      </c>
      <c r="L126" s="7" t="str">
        <f>CONCATENATE("4 4.1 2a")</f>
        <v>4 4.1 2a</v>
      </c>
      <c r="M126" s="7" t="str">
        <f>CONCATENATE("CHPLSN98D13I156T")</f>
        <v>CHPLSN98D13I156T</v>
      </c>
      <c r="N126" s="7" t="s">
        <v>209</v>
      </c>
      <c r="O126" s="7" t="s">
        <v>208</v>
      </c>
      <c r="P126" s="8">
        <v>44662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67120.75</v>
      </c>
      <c r="W126" s="9">
        <v>28942.47</v>
      </c>
      <c r="X126" s="9">
        <v>26727.48</v>
      </c>
      <c r="Y126" s="7">
        <v>0</v>
      </c>
      <c r="Z126" s="9">
        <v>11450.8</v>
      </c>
    </row>
    <row r="127" spans="1:26" x14ac:dyDescent="0.35">
      <c r="A127" s="7" t="s">
        <v>27</v>
      </c>
      <c r="B127" s="7" t="s">
        <v>42</v>
      </c>
      <c r="C127" s="7" t="s">
        <v>48</v>
      </c>
      <c r="D127" s="7" t="s">
        <v>185</v>
      </c>
      <c r="E127" s="7" t="s">
        <v>36</v>
      </c>
      <c r="F127" s="7" t="s">
        <v>36</v>
      </c>
      <c r="G127" s="7">
        <v>2017</v>
      </c>
      <c r="H127" s="7" t="str">
        <f>CONCATENATE("14270363758")</f>
        <v>14270363758</v>
      </c>
      <c r="I127" s="7" t="s">
        <v>30</v>
      </c>
      <c r="J127" s="7" t="s">
        <v>31</v>
      </c>
      <c r="K127" s="7" t="str">
        <f>CONCATENATE("")</f>
        <v/>
      </c>
      <c r="L127" s="7" t="str">
        <f>CONCATENATE("4 4.1 2a")</f>
        <v>4 4.1 2a</v>
      </c>
      <c r="M127" s="7" t="str">
        <f>CONCATENATE("00840070437")</f>
        <v>00840070437</v>
      </c>
      <c r="N127" s="7" t="s">
        <v>210</v>
      </c>
      <c r="O127" s="7" t="s">
        <v>208</v>
      </c>
      <c r="P127" s="8">
        <v>44662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67817.070000000007</v>
      </c>
      <c r="W127" s="9">
        <v>29242.720000000001</v>
      </c>
      <c r="X127" s="9">
        <v>27004.76</v>
      </c>
      <c r="Y127" s="7">
        <v>0</v>
      </c>
      <c r="Z127" s="9">
        <v>11569.59</v>
      </c>
    </row>
    <row r="128" spans="1:26" x14ac:dyDescent="0.35">
      <c r="A128" s="7" t="s">
        <v>27</v>
      </c>
      <c r="B128" s="7" t="s">
        <v>42</v>
      </c>
      <c r="C128" s="7" t="s">
        <v>48</v>
      </c>
      <c r="D128" s="7" t="s">
        <v>185</v>
      </c>
      <c r="E128" s="7" t="s">
        <v>36</v>
      </c>
      <c r="F128" s="7" t="s">
        <v>36</v>
      </c>
      <c r="G128" s="7">
        <v>2017</v>
      </c>
      <c r="H128" s="7" t="str">
        <f>CONCATENATE("24270042864")</f>
        <v>24270042864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 1.1 2a")</f>
        <v>1 1.1 2a</v>
      </c>
      <c r="M128" s="7" t="str">
        <f>CONCATENATE("01461530436")</f>
        <v>01461530436</v>
      </c>
      <c r="N128" s="7" t="s">
        <v>211</v>
      </c>
      <c r="O128" s="7" t="s">
        <v>212</v>
      </c>
      <c r="P128" s="8">
        <v>44659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9485.6299999999992</v>
      </c>
      <c r="W128" s="9">
        <v>4090.2</v>
      </c>
      <c r="X128" s="9">
        <v>3777.18</v>
      </c>
      <c r="Y128" s="7">
        <v>0</v>
      </c>
      <c r="Z128" s="9">
        <v>1618.25</v>
      </c>
    </row>
    <row r="129" spans="1:26" x14ac:dyDescent="0.35">
      <c r="A129" s="7" t="s">
        <v>27</v>
      </c>
      <c r="B129" s="7" t="s">
        <v>42</v>
      </c>
      <c r="C129" s="7" t="s">
        <v>48</v>
      </c>
      <c r="D129" s="7" t="s">
        <v>185</v>
      </c>
      <c r="E129" s="7" t="s">
        <v>29</v>
      </c>
      <c r="F129" s="7" t="s">
        <v>125</v>
      </c>
      <c r="G129" s="7">
        <v>2017</v>
      </c>
      <c r="H129" s="7" t="str">
        <f>CONCATENATE("14270363774")</f>
        <v>14270363774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 1.2 2a")</f>
        <v>1 1.2 2a</v>
      </c>
      <c r="M129" s="7" t="str">
        <f>CONCATENATE("01632720445")</f>
        <v>01632720445</v>
      </c>
      <c r="N129" s="7" t="s">
        <v>213</v>
      </c>
      <c r="O129" s="7" t="s">
        <v>214</v>
      </c>
      <c r="P129" s="8">
        <v>44662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20537.009999999998</v>
      </c>
      <c r="W129" s="9">
        <v>8855.56</v>
      </c>
      <c r="X129" s="9">
        <v>8177.84</v>
      </c>
      <c r="Y129" s="7">
        <v>0</v>
      </c>
      <c r="Z129" s="9">
        <v>3503.61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35601</vt:lpwstr>
  </property>
  <property fmtid="{D5CDD505-2E9C-101B-9397-08002B2CF9AE}" pid="4" name="OptimizationTime">
    <vt:lpwstr>20220422_1224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2022-04-22T09:52:44Z</dcterms:created>
  <dcterms:modified xsi:type="dcterms:W3CDTF">2022-04-22T09:53:27Z</dcterms:modified>
</cp:coreProperties>
</file>