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6/"/>
    </mc:Choice>
  </mc:AlternateContent>
  <xr:revisionPtr revIDLastSave="0" documentId="8_{24B4663E-C64B-4D77-B839-93D93EC39651}" xr6:coauthVersionLast="46" xr6:coauthVersionMax="46" xr10:uidLastSave="{00000000-0000-0000-0000-000000000000}"/>
  <bookViews>
    <workbookView xWindow="-110" yWindow="-110" windowWidth="19420" windowHeight="10420" xr2:uid="{47C7E014-C615-43FC-9CBB-92C131B6133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2" i="1" l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<sst xmlns="http://schemas.openxmlformats.org/spreadsheetml/2006/main" count="1833" uniqueCount="196">
  <si>
    <t>Dettaglio Domande Pagabili Decreto 536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</si>
  <si>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</si>
  <si>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</si>
  <si>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</si>
  <si>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</si>
  <si>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</si>
  <si>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</si>
  <si>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</si>
  <si>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</si>
  <si>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</si>
  <si>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</si>
  <si>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</si>
  <si>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</si>
  <si>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</si>
  <si>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</si>
  <si>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</si>
  <si>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</si>
  <si>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</si>
  <si>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</si>
  <si>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</si>
  <si>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</si>
  <si>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</si>
  <si>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</si>
  <si>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</si>
  <si>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</si>
  <si>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</si>
  <si>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</si>
  <si>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</si>
  <si>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</si>
  <si>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</si>
  <si>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</si>
  <si>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</si>
  <si>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</si>
  <si>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</si>
  <si>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</si>
  <si>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</si>
  <si>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IN PROPRIO</t>
  </si>
  <si>
    <t>CAA LiberiAgricoltori srl già CAA AGCI srl</t>
  </si>
  <si>
    <t>CAA CIA srl</t>
  </si>
  <si>
    <t>SAL</t>
  </si>
  <si>
    <t>Anticipo</t>
  </si>
  <si>
    <t>CAA UNICAA srl</t>
  </si>
  <si>
    <t>Misure a Superficie</t>
  </si>
  <si>
    <t>CAA-CAF AGRI S.R.L.</t>
  </si>
  <si>
    <t>CAA Confagricoltura srl</t>
  </si>
  <si>
    <t>SI</t>
  </si>
  <si>
    <t>MARCHE</t>
  </si>
  <si>
    <t>SERV. DEC. AGRICOLTURA E ALIM. - MACERATA</t>
  </si>
  <si>
    <t>CAA LiberiAgricoltori - MACERATA - 001</t>
  </si>
  <si>
    <t>SOCIETA' AGRICOLA GUALDESE SRL</t>
  </si>
  <si>
    <t>AGEA.ASR.2022.0372702</t>
  </si>
  <si>
    <t>COMUNE DI MONTEFIORE DELL'ASO</t>
  </si>
  <si>
    <t>AGEA.ASR.2022.0380918</t>
  </si>
  <si>
    <t>CAA Coldiretti - FERMO - 001</t>
  </si>
  <si>
    <t>COMUNE DICARASSAI</t>
  </si>
  <si>
    <t>CAA Coldiretti - MACERATA - 008</t>
  </si>
  <si>
    <t>ANIBALDI CINZIA</t>
  </si>
  <si>
    <t>CAA Coldiretti - MACERATA - 007</t>
  </si>
  <si>
    <t>MORETTI STEFANIA</t>
  </si>
  <si>
    <t>SOCIETA' AGRICOLA SCAGNETTI DI SCAGNETTI FRANCESCO E C. S.S.</t>
  </si>
  <si>
    <t>BECCERICA ANDREA</t>
  </si>
  <si>
    <t>CAA Coldiretti - MACERATA - 017</t>
  </si>
  <si>
    <t>PEYRON BERNARDINO ENRICO MARIA</t>
  </si>
  <si>
    <t>MANCINI BERARDINO</t>
  </si>
  <si>
    <t>CHIUMENTI MARIA CRISTINA</t>
  </si>
  <si>
    <t>ABURTO GONZALEZ JESICA ANDREA</t>
  </si>
  <si>
    <t>CAA Confagricoltura - MACERATA - 001</t>
  </si>
  <si>
    <t>FONDAZIONE GIUSTINIANI BANDINI</t>
  </si>
  <si>
    <t>TOZZI-SPADONI LUIGI GIUSEPPE MARIA</t>
  </si>
  <si>
    <t>CAA CAF AGRI - MACERATA - 223</t>
  </si>
  <si>
    <t>EGIDI GIOVANNI</t>
  </si>
  <si>
    <t>CAA LiberiAgricoltori - MACERATA - 005</t>
  </si>
  <si>
    <t>BRANDI GRAZIANO</t>
  </si>
  <si>
    <t>MANASSE GIOVANNI</t>
  </si>
  <si>
    <t>SOCIETA AGRICOLA FUSARI S.S.</t>
  </si>
  <si>
    <t>PETETTA DANIELE</t>
  </si>
  <si>
    <t>CAA Coldiretti - MACERATA - 009</t>
  </si>
  <si>
    <t>SCIAMANNA BLANDINA</t>
  </si>
  <si>
    <t>DELLE FAVE RAFFAELE</t>
  </si>
  <si>
    <t>SOCIETA' AGRICOLA LA CASA ROSA DI CESARONI MARCO &amp; C. S.S.</t>
  </si>
  <si>
    <t>ANGELI MIRKO</t>
  </si>
  <si>
    <t>BERNARDI MANUEL</t>
  </si>
  <si>
    <t>BELARDINELLI CLAUDIO</t>
  </si>
  <si>
    <t>BALZI ALESSIO</t>
  </si>
  <si>
    <t>SCODERONI MARSILIO</t>
  </si>
  <si>
    <t>CAPPELLETTI GIULIANO</t>
  </si>
  <si>
    <t>FUTURE S.A.S. DI SALVUCCI EMANUELE &amp; C.</t>
  </si>
  <si>
    <t>SOCIETA' AGRICOLA TERRE DELLA SERRA S.A.S. DI LUCIA LUCCERINI</t>
  </si>
  <si>
    <t>VISSANI STEFANO</t>
  </si>
  <si>
    <t>SOCIETA' AGRICOLA LIBERTI ALBANO E STOIAN RAMONA-MIHAELA SOCIETA' SEMP</t>
  </si>
  <si>
    <t>KRUSI STEFANIA CLAUDIA</t>
  </si>
  <si>
    <t>VIOLA CRISTINA</t>
  </si>
  <si>
    <t>CAA CAF AGRI - MACERATA - 227</t>
  </si>
  <si>
    <t>FRATELLI FILIPPONI E BASTARI SOC.SEMPLICE AGRICOLA</t>
  </si>
  <si>
    <t>CAA Coldiretti - MACERATA - 010</t>
  </si>
  <si>
    <t>GATTARI PIERGIORGIO</t>
  </si>
  <si>
    <t>SINCINI MAURO</t>
  </si>
  <si>
    <t>BERNARDI ROBERTO</t>
  </si>
  <si>
    <t>SOCIETA'AGRICOLA LA MARCA DI SCAGNETTI FRANCESCO E C. SOC. SEMPLICE</t>
  </si>
  <si>
    <t>ANSOVINI LUCA</t>
  </si>
  <si>
    <t>FAVRIN HUBERTUS CORNELIS</t>
  </si>
  <si>
    <t>SOLARI MARIA CRISTINA</t>
  </si>
  <si>
    <t>ALBERTO QUACQUARINI - SOCIETA' AGRICOLA SEMPLICE</t>
  </si>
  <si>
    <t>CAA LiberiAgricoltori - MACERATA - 003</t>
  </si>
  <si>
    <t>SPITONI ENRICO</t>
  </si>
  <si>
    <t>LIBERTI ALESSIO</t>
  </si>
  <si>
    <t>SARGENTI MARTINO</t>
  </si>
  <si>
    <t>CAA LiberiAgricoltori - MACERATA - 002</t>
  </si>
  <si>
    <t>BASILISSI LUCIA</t>
  </si>
  <si>
    <t>AMICI ALESSANDRO</t>
  </si>
  <si>
    <t>RICCA PIERO</t>
  </si>
  <si>
    <t>DOLCE FRANCO</t>
  </si>
  <si>
    <t>COMUNE DI COMUNANZA</t>
  </si>
  <si>
    <t>SCOLASTICI MARCO</t>
  </si>
  <si>
    <t>AGEA.ASR.2022.0377283</t>
  </si>
  <si>
    <t>SOCIETA' AGRICOLA ANGELI SOCIETA' SEMPLICE</t>
  </si>
  <si>
    <t>RICOTTINI GIAN CARLO</t>
  </si>
  <si>
    <t>CARAFFA POMPONIO</t>
  </si>
  <si>
    <t>CAA LiberiAgricoltori - MACERATA - 004</t>
  </si>
  <si>
    <t>RINOMATA AZIENDA BIOLOGICA IMPRENDITORI LIBERTI SIMONEE GIANPIETRO SOC</t>
  </si>
  <si>
    <t>TASCHINI DOMENICO</t>
  </si>
  <si>
    <t>BARTOCCI GUIDO</t>
  </si>
  <si>
    <t>CAA UNICAA - MACERATA - 002</t>
  </si>
  <si>
    <t>BARTOLACCI SONIA</t>
  </si>
  <si>
    <t>FABRIZI FAUSTO</t>
  </si>
  <si>
    <t>CAA Coldiretti - MACERATA - 018</t>
  </si>
  <si>
    <t>ORAZI WALTER</t>
  </si>
  <si>
    <t>IDEA SOCIETA' COOPERATIVA SOCIALE A R.L.</t>
  </si>
  <si>
    <t>AGEA.ASR.2022.0380959</t>
  </si>
  <si>
    <t>AGEA.ASR.2022.0376095</t>
  </si>
  <si>
    <t>PARIS MICHELA</t>
  </si>
  <si>
    <t>TROIANI MARIO</t>
  </si>
  <si>
    <t>SOCIETA' AGRICOLA LUCARINI AUGUSTO E C.S.S.</t>
  </si>
  <si>
    <t>AMICI MARIA GIUSEPPINA</t>
  </si>
  <si>
    <t>ANGELI STEFANO</t>
  </si>
  <si>
    <t>RIDOLFI DOMENICO</t>
  </si>
  <si>
    <t>PAGLIARINI LUCIO</t>
  </si>
  <si>
    <t>VECCHIETTI ALESSANDRO</t>
  </si>
  <si>
    <t>SBARDELLATI OSVALDO</t>
  </si>
  <si>
    <t>CARAFFA MARIA</t>
  </si>
  <si>
    <t>AMICI AUGUSTO</t>
  </si>
  <si>
    <t>DI BIAGI MARIA</t>
  </si>
  <si>
    <t>SALVATORI GIULIANO</t>
  </si>
  <si>
    <t>MORELLI MARIA</t>
  </si>
  <si>
    <t>AMICI BARTOLOMEO</t>
  </si>
  <si>
    <t>PAPILLI MARIO</t>
  </si>
  <si>
    <t>SOCIETA' AGRICOLA GROTTESI LIBERO DI GROTTESI ROBERTO S.A.S.</t>
  </si>
  <si>
    <t>SBRICCOLI AMATILDO</t>
  </si>
  <si>
    <t>RAGNI TIZIANO</t>
  </si>
  <si>
    <t>VINCENTI EMANUELA</t>
  </si>
  <si>
    <t>CERVELLI GIULIO</t>
  </si>
  <si>
    <t>CAA CIA - PERUGIA - 007</t>
  </si>
  <si>
    <t>AZIENDA AGRARIA SANTONI STEFANO E ALESSANDRO S.S.</t>
  </si>
  <si>
    <t>FEDELI MANLIO</t>
  </si>
  <si>
    <t>CAPRARI GIANNI</t>
  </si>
  <si>
    <t>LA TENUTA DI MATTIA SOCIETA' SEMPLICE AGROFORESTALE DI FORMENTINI IVAN</t>
  </si>
  <si>
    <t>AGEA.ASR.2022.0381462</t>
  </si>
  <si>
    <t>AGEA.ASR.2022.0372701</t>
  </si>
  <si>
    <t>SERV. DEC. AGRICOLTURA E ALIMENTAZIONE - PESARO</t>
  </si>
  <si>
    <t>ANCILLANI ALESSIO</t>
  </si>
  <si>
    <t>AGEA.ASR.2022.0384904</t>
  </si>
  <si>
    <t>CINGOLANI ALESSANDRO</t>
  </si>
  <si>
    <t>CAPRARI GIORGIO</t>
  </si>
  <si>
    <t>ZAFFERENATI ELVEZIO</t>
  </si>
  <si>
    <t>TOMASSINI FABRIZIO</t>
  </si>
  <si>
    <t>CAA Coldiretti - MACERATA - 002</t>
  </si>
  <si>
    <t>CIAMPICHETTI REMO</t>
  </si>
  <si>
    <t>FINICELLI ELISABETTA</t>
  </si>
  <si>
    <t>BELLONI ALBERTO</t>
  </si>
  <si>
    <t>CIPRIANI ANGELO</t>
  </si>
  <si>
    <t>CAA CAF AGRI - MACERATA - 224</t>
  </si>
  <si>
    <t>PAZZELLI ROMINA</t>
  </si>
  <si>
    <t>CENTONI IVO</t>
  </si>
  <si>
    <t>TULLI MARGHERITA</t>
  </si>
  <si>
    <t>SOCIETA' AGRICOLA GRANDONI MAURIZIO E C. S.S.</t>
  </si>
  <si>
    <t>PIERMATTEI ANDREA</t>
  </si>
  <si>
    <t>SANTAMARIANOVA ROSATO</t>
  </si>
  <si>
    <t>GILI LUISA</t>
  </si>
  <si>
    <t>CAA Confagricoltura - PERUGIA - 002</t>
  </si>
  <si>
    <t>ZUCCHINI GIOVANNI ANTONIO</t>
  </si>
  <si>
    <t>SCIARRONI AGOSTINO</t>
  </si>
  <si>
    <t>VENANZANGELI PIERA</t>
  </si>
  <si>
    <t>BRIZI MARISA</t>
  </si>
  <si>
    <t>GRANDONI ANGELO</t>
  </si>
  <si>
    <t>MOCCI MICHELE</t>
  </si>
  <si>
    <t>PUGNALI DOMENICO</t>
  </si>
  <si>
    <t>FIORITI GIUSEPPE</t>
  </si>
  <si>
    <t>PUGNALI GIANFRANCO</t>
  </si>
  <si>
    <t>BARTOCCI MASSIMO</t>
  </si>
  <si>
    <t>SOCIETA' AGRICOLA IL MULINO DI PONTANI GIULIA E C. S.S.</t>
  </si>
  <si>
    <t>PISELLI ELISA</t>
  </si>
  <si>
    <t>PERRONE DARIA ANGELICA</t>
  </si>
  <si>
    <t>AGEA.ASR.2022.0380945</t>
  </si>
  <si>
    <t>AGEA.ASR.2022.0380928</t>
  </si>
  <si>
    <t>AGEA.ASR.2022.0381170</t>
  </si>
  <si>
    <t>AGEA.ASR.2022.0384868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</si>
</sst>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C889-7EE2-488C-B2EF-DEF201926B08}">
  <dimension ref="A1:Z132"/>
  <sheetViews>
    <sheetView showGridLines="0" tabSelected="1" workbookViewId="0">
      <selection activeCell="D137" sqref="D13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42</v>
      </c>
      <c r="C4" s="7" t="s">
        <v>46</v>
      </c>
      <c r="D4" s="7" t="s">
        <v>47</v>
      </c>
      <c r="E4" s="7" t="s">
        <v>37</v>
      </c>
      <c r="F4" s="7" t="s">
        <v>48</v>
      </c>
      <c r="G4" s="7">
        <v>2021</v>
      </c>
      <c r="H4" s="7" t="str">
        <f>CONCATENATE("14240998634")</f>
        <v>14240998634</v>
      </c>
      <c r="I4" s="7" t="s">
        <v>29</v>
      </c>
      <c r="J4" s="7" t="s">
        <v>30</v>
      </c>
      <c r="K4" s="7" t="str">
        <f>CONCATENATE("")</f>
        <v/>
      </c>
      <c r="L4" s="7" t="str">
        <f>CONCATENATE("11 11.2 4b")</f>
        <v>11 11.2 4b</v>
      </c>
      <c r="M4" s="7" t="str">
        <f>CONCATENATE("01709370439")</f>
        <v>01709370439</v>
      </c>
      <c r="N4" s="7" t="s">
        <v>49</v>
      </c>
      <c r="O4" s="7" t="s">
        <v>50</v>
      </c>
      <c r="P4" s="8">
        <v>44645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7">
        <v>884.29</v>
      </c>
      <c r="W4" s="7">
        <v>381.31</v>
      </c>
      <c r="X4" s="7">
        <v>352.12</v>
      </c>
      <c r="Y4" s="7">
        <v>0</v>
      </c>
      <c r="Z4" s="7">
        <v>150.86000000000001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46</v>
      </c>
      <c r="E5" s="7" t="s">
        <v>36</v>
      </c>
      <c r="F5" s="7" t="s">
        <v>36</v>
      </c>
      <c r="G5" s="7">
        <v>2017</v>
      </c>
      <c r="H5" s="7" t="str">
        <f>CONCATENATE("14270341135")</f>
        <v>14270341135</v>
      </c>
      <c r="I5" s="7" t="s">
        <v>29</v>
      </c>
      <c r="J5" s="7" t="s">
        <v>30</v>
      </c>
      <c r="K5" s="7" t="str">
        <f>CONCATENATE("")</f>
        <v/>
      </c>
      <c r="L5" s="7" t="str">
        <f>CONCATENATE("19 19.2 6b")</f>
        <v>19 19.2 6b</v>
      </c>
      <c r="M5" s="7" t="str">
        <f>CONCATENATE("00291360444")</f>
        <v>00291360444</v>
      </c>
      <c r="N5" s="7" t="s">
        <v>51</v>
      </c>
      <c r="O5" s="7" t="s">
        <v>52</v>
      </c>
      <c r="P5" s="8">
        <v>44645</v>
      </c>
      <c r="Q5" s="7" t="s">
        <v>31</v>
      </c>
      <c r="R5" s="7" t="s">
        <v>40</v>
      </c>
      <c r="S5" s="7" t="s">
        <v>33</v>
      </c>
      <c r="T5" s="7"/>
      <c r="U5" s="7" t="s">
        <v>34</v>
      </c>
      <c r="V5" s="9">
        <v>36000</v>
      </c>
      <c r="W5" s="9">
        <v>15523.2</v>
      </c>
      <c r="X5" s="9">
        <v>14335.2</v>
      </c>
      <c r="Y5" s="7">
        <v>0</v>
      </c>
      <c r="Z5" s="9">
        <v>6141.6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46</v>
      </c>
      <c r="E6" s="7" t="s">
        <v>35</v>
      </c>
      <c r="F6" s="7" t="s">
        <v>53</v>
      </c>
      <c r="G6" s="7">
        <v>2017</v>
      </c>
      <c r="H6" s="7" t="str">
        <f>CONCATENATE("14270341143")</f>
        <v>14270341143</v>
      </c>
      <c r="I6" s="7" t="s">
        <v>29</v>
      </c>
      <c r="J6" s="7" t="s">
        <v>30</v>
      </c>
      <c r="K6" s="7" t="str">
        <f>CONCATENATE("")</f>
        <v/>
      </c>
      <c r="L6" s="7" t="str">
        <f>CONCATENATE("19 19.2 6b")</f>
        <v>19 19.2 6b</v>
      </c>
      <c r="M6" s="7" t="str">
        <f>CONCATENATE("82001930443")</f>
        <v>82001930443</v>
      </c>
      <c r="N6" s="7" t="s">
        <v>54</v>
      </c>
      <c r="O6" s="7" t="s">
        <v>52</v>
      </c>
      <c r="P6" s="8">
        <v>44645</v>
      </c>
      <c r="Q6" s="7" t="s">
        <v>31</v>
      </c>
      <c r="R6" s="7" t="s">
        <v>40</v>
      </c>
      <c r="S6" s="7" t="s">
        <v>33</v>
      </c>
      <c r="T6" s="7"/>
      <c r="U6" s="7" t="s">
        <v>34</v>
      </c>
      <c r="V6" s="9">
        <v>30590.39</v>
      </c>
      <c r="W6" s="9">
        <v>13190.58</v>
      </c>
      <c r="X6" s="9">
        <v>12181.09</v>
      </c>
      <c r="Y6" s="7">
        <v>0</v>
      </c>
      <c r="Z6" s="9">
        <v>5218.72</v>
      </c>
    </row>
    <row r="7" spans="1:26" x14ac:dyDescent="0.35">
      <c r="A7" s="7" t="s">
        <v>27</v>
      </c>
      <c r="B7" s="7" t="s">
        <v>42</v>
      </c>
      <c r="C7" s="7" t="s">
        <v>46</v>
      </c>
      <c r="D7" s="7" t="s">
        <v>47</v>
      </c>
      <c r="E7" s="7" t="s">
        <v>35</v>
      </c>
      <c r="F7" s="7" t="s">
        <v>55</v>
      </c>
      <c r="G7" s="7">
        <v>2021</v>
      </c>
      <c r="H7" s="7" t="str">
        <f>CONCATENATE("14240229238")</f>
        <v>14240229238</v>
      </c>
      <c r="I7" s="7" t="s">
        <v>29</v>
      </c>
      <c r="J7" s="7" t="s">
        <v>30</v>
      </c>
      <c r="K7" s="7" t="str">
        <f>CONCATENATE("")</f>
        <v/>
      </c>
      <c r="L7" s="7" t="str">
        <f>CONCATENATE("11 11.1 4b")</f>
        <v>11 11.1 4b</v>
      </c>
      <c r="M7" s="7" t="str">
        <f>CONCATENATE("NBLCNZ73S59I156C")</f>
        <v>NBLCNZ73S59I156C</v>
      </c>
      <c r="N7" s="7" t="s">
        <v>56</v>
      </c>
      <c r="O7" s="7" t="s">
        <v>50</v>
      </c>
      <c r="P7" s="8">
        <v>44645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7">
        <v>854.83</v>
      </c>
      <c r="W7" s="7">
        <v>368.6</v>
      </c>
      <c r="X7" s="7">
        <v>340.39</v>
      </c>
      <c r="Y7" s="7">
        <v>0</v>
      </c>
      <c r="Z7" s="7">
        <v>145.84</v>
      </c>
    </row>
    <row r="8" spans="1:26" x14ac:dyDescent="0.35">
      <c r="A8" s="7" t="s">
        <v>27</v>
      </c>
      <c r="B8" s="7" t="s">
        <v>42</v>
      </c>
      <c r="C8" s="7" t="s">
        <v>46</v>
      </c>
      <c r="D8" s="7" t="s">
        <v>47</v>
      </c>
      <c r="E8" s="7" t="s">
        <v>35</v>
      </c>
      <c r="F8" s="7" t="s">
        <v>57</v>
      </c>
      <c r="G8" s="7">
        <v>2021</v>
      </c>
      <c r="H8" s="7" t="str">
        <f>CONCATENATE("14241067868")</f>
        <v>14241067868</v>
      </c>
      <c r="I8" s="7" t="s">
        <v>45</v>
      </c>
      <c r="J8" s="7" t="s">
        <v>30</v>
      </c>
      <c r="K8" s="7" t="str">
        <f>CONCATENATE("")</f>
        <v/>
      </c>
      <c r="L8" s="7" t="str">
        <f>CONCATENATE("11 11.2 4b")</f>
        <v>11 11.2 4b</v>
      </c>
      <c r="M8" s="7" t="str">
        <f>CONCATENATE("MRTSFN69L58D542O")</f>
        <v>MRTSFN69L58D542O</v>
      </c>
      <c r="N8" s="7" t="s">
        <v>58</v>
      </c>
      <c r="O8" s="7" t="s">
        <v>50</v>
      </c>
      <c r="P8" s="8">
        <v>44645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7">
        <v>714.55</v>
      </c>
      <c r="W8" s="7">
        <v>308.11</v>
      </c>
      <c r="X8" s="7">
        <v>284.52999999999997</v>
      </c>
      <c r="Y8" s="7">
        <v>0</v>
      </c>
      <c r="Z8" s="7">
        <v>121.91</v>
      </c>
    </row>
    <row r="9" spans="1:26" x14ac:dyDescent="0.35">
      <c r="A9" s="7" t="s">
        <v>27</v>
      </c>
      <c r="B9" s="7" t="s">
        <v>42</v>
      </c>
      <c r="C9" s="7" t="s">
        <v>46</v>
      </c>
      <c r="D9" s="7" t="s">
        <v>47</v>
      </c>
      <c r="E9" s="7" t="s">
        <v>35</v>
      </c>
      <c r="F9" s="7" t="s">
        <v>57</v>
      </c>
      <c r="G9" s="7">
        <v>2021</v>
      </c>
      <c r="H9" s="7" t="str">
        <f>CONCATENATE("14240463589")</f>
        <v>14240463589</v>
      </c>
      <c r="I9" s="7" t="s">
        <v>29</v>
      </c>
      <c r="J9" s="7" t="s">
        <v>30</v>
      </c>
      <c r="K9" s="7" t="str">
        <f>CONCATENATE("")</f>
        <v/>
      </c>
      <c r="L9" s="7" t="str">
        <f>CONCATENATE("11 11.2 4b")</f>
        <v>11 11.2 4b</v>
      </c>
      <c r="M9" s="7" t="str">
        <f>CONCATENATE("01675450439")</f>
        <v>01675450439</v>
      </c>
      <c r="N9" s="7" t="s">
        <v>59</v>
      </c>
      <c r="O9" s="7" t="s">
        <v>50</v>
      </c>
      <c r="P9" s="8">
        <v>44645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2785.97</v>
      </c>
      <c r="W9" s="9">
        <v>1201.31</v>
      </c>
      <c r="X9" s="9">
        <v>1109.3699999999999</v>
      </c>
      <c r="Y9" s="7">
        <v>0</v>
      </c>
      <c r="Z9" s="7">
        <v>475.29</v>
      </c>
    </row>
    <row r="10" spans="1:26" x14ac:dyDescent="0.35">
      <c r="A10" s="7" t="s">
        <v>27</v>
      </c>
      <c r="B10" s="7" t="s">
        <v>42</v>
      </c>
      <c r="C10" s="7" t="s">
        <v>46</v>
      </c>
      <c r="D10" s="7" t="s">
        <v>47</v>
      </c>
      <c r="E10" s="7" t="s">
        <v>35</v>
      </c>
      <c r="F10" s="7" t="s">
        <v>57</v>
      </c>
      <c r="G10" s="7">
        <v>2021</v>
      </c>
      <c r="H10" s="7" t="str">
        <f>CONCATENATE("14240894353")</f>
        <v>14240894353</v>
      </c>
      <c r="I10" s="7" t="s">
        <v>29</v>
      </c>
      <c r="J10" s="7" t="s">
        <v>30</v>
      </c>
      <c r="K10" s="7" t="str">
        <f>CONCATENATE("")</f>
        <v/>
      </c>
      <c r="L10" s="7" t="str">
        <f>CONCATENATE("11 11.2 4b")</f>
        <v>11 11.2 4b</v>
      </c>
      <c r="M10" s="7" t="str">
        <f>CONCATENATE("BCCNDR74C16I436R")</f>
        <v>BCCNDR74C16I436R</v>
      </c>
      <c r="N10" s="7" t="s">
        <v>60</v>
      </c>
      <c r="O10" s="7" t="s">
        <v>50</v>
      </c>
      <c r="P10" s="8">
        <v>44645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16747.18</v>
      </c>
      <c r="W10" s="9">
        <v>7221.38</v>
      </c>
      <c r="X10" s="9">
        <v>6668.73</v>
      </c>
      <c r="Y10" s="7">
        <v>0</v>
      </c>
      <c r="Z10" s="9">
        <v>2857.07</v>
      </c>
    </row>
    <row r="11" spans="1:26" x14ac:dyDescent="0.35">
      <c r="A11" s="7" t="s">
        <v>27</v>
      </c>
      <c r="B11" s="7" t="s">
        <v>42</v>
      </c>
      <c r="C11" s="7" t="s">
        <v>46</v>
      </c>
      <c r="D11" s="7" t="s">
        <v>47</v>
      </c>
      <c r="E11" s="7" t="s">
        <v>35</v>
      </c>
      <c r="F11" s="7" t="s">
        <v>61</v>
      </c>
      <c r="G11" s="7">
        <v>2021</v>
      </c>
      <c r="H11" s="7" t="str">
        <f>CONCATENATE("14240777814")</f>
        <v>14240777814</v>
      </c>
      <c r="I11" s="7" t="s">
        <v>29</v>
      </c>
      <c r="J11" s="7" t="s">
        <v>30</v>
      </c>
      <c r="K11" s="7" t="str">
        <f>CONCATENATE("")</f>
        <v/>
      </c>
      <c r="L11" s="7" t="str">
        <f>CONCATENATE("11 11.2 4b")</f>
        <v>11 11.2 4b</v>
      </c>
      <c r="M11" s="7" t="str">
        <f>CONCATENATE("PYRBNR42D18L219T")</f>
        <v>PYRBNR42D18L219T</v>
      </c>
      <c r="N11" s="7" t="s">
        <v>62</v>
      </c>
      <c r="O11" s="7" t="s">
        <v>50</v>
      </c>
      <c r="P11" s="8">
        <v>44645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7">
        <v>582.85</v>
      </c>
      <c r="W11" s="7">
        <v>251.32</v>
      </c>
      <c r="X11" s="7">
        <v>232.09</v>
      </c>
      <c r="Y11" s="7">
        <v>0</v>
      </c>
      <c r="Z11" s="7">
        <v>99.44</v>
      </c>
    </row>
    <row r="12" spans="1:26" x14ac:dyDescent="0.35">
      <c r="A12" s="7" t="s">
        <v>27</v>
      </c>
      <c r="B12" s="7" t="s">
        <v>42</v>
      </c>
      <c r="C12" s="7" t="s">
        <v>46</v>
      </c>
      <c r="D12" s="7" t="s">
        <v>47</v>
      </c>
      <c r="E12" s="7" t="s">
        <v>35</v>
      </c>
      <c r="F12" s="7" t="s">
        <v>57</v>
      </c>
      <c r="G12" s="7">
        <v>2021</v>
      </c>
      <c r="H12" s="7" t="str">
        <f>CONCATENATE("14240462334")</f>
        <v>14240462334</v>
      </c>
      <c r="I12" s="7" t="s">
        <v>29</v>
      </c>
      <c r="J12" s="7" t="s">
        <v>30</v>
      </c>
      <c r="K12" s="7" t="str">
        <f>CONCATENATE("")</f>
        <v/>
      </c>
      <c r="L12" s="7" t="str">
        <f>CONCATENATE("11 11.2 4b")</f>
        <v>11 11.2 4b</v>
      </c>
      <c r="M12" s="7" t="str">
        <f>CONCATENATE("MNCBRD55E12L597B")</f>
        <v>MNCBRD55E12L597B</v>
      </c>
      <c r="N12" s="7" t="s">
        <v>63</v>
      </c>
      <c r="O12" s="7" t="s">
        <v>50</v>
      </c>
      <c r="P12" s="8">
        <v>44645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19397.88</v>
      </c>
      <c r="W12" s="9">
        <v>8364.3700000000008</v>
      </c>
      <c r="X12" s="9">
        <v>7724.24</v>
      </c>
      <c r="Y12" s="7">
        <v>0</v>
      </c>
      <c r="Z12" s="9">
        <v>3309.27</v>
      </c>
    </row>
    <row r="13" spans="1:26" x14ac:dyDescent="0.35">
      <c r="A13" s="7" t="s">
        <v>27</v>
      </c>
      <c r="B13" s="7" t="s">
        <v>42</v>
      </c>
      <c r="C13" s="7" t="s">
        <v>46</v>
      </c>
      <c r="D13" s="7" t="s">
        <v>47</v>
      </c>
      <c r="E13" s="7" t="s">
        <v>35</v>
      </c>
      <c r="F13" s="7" t="s">
        <v>61</v>
      </c>
      <c r="G13" s="7">
        <v>2020</v>
      </c>
      <c r="H13" s="7" t="str">
        <f>CONCATENATE("04240090177")</f>
        <v>04240090177</v>
      </c>
      <c r="I13" s="7" t="s">
        <v>29</v>
      </c>
      <c r="J13" s="7" t="s">
        <v>30</v>
      </c>
      <c r="K13" s="7" t="str">
        <f>CONCATENATE("")</f>
        <v/>
      </c>
      <c r="L13" s="7" t="str">
        <f>CONCATENATE("11 11.1 4b")</f>
        <v>11 11.1 4b</v>
      </c>
      <c r="M13" s="7" t="str">
        <f>CONCATENATE("CHMMCR87C54B474F")</f>
        <v>CHMMCR87C54B474F</v>
      </c>
      <c r="N13" s="7" t="s">
        <v>64</v>
      </c>
      <c r="O13" s="7" t="s">
        <v>50</v>
      </c>
      <c r="P13" s="8">
        <v>44645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7">
        <v>173.61</v>
      </c>
      <c r="W13" s="7">
        <v>74.86</v>
      </c>
      <c r="X13" s="7">
        <v>69.13</v>
      </c>
      <c r="Y13" s="7">
        <v>0</v>
      </c>
      <c r="Z13" s="7">
        <v>29.62</v>
      </c>
    </row>
    <row r="14" spans="1:26" x14ac:dyDescent="0.35">
      <c r="A14" s="7" t="s">
        <v>27</v>
      </c>
      <c r="B14" s="7" t="s">
        <v>42</v>
      </c>
      <c r="C14" s="7" t="s">
        <v>46</v>
      </c>
      <c r="D14" s="7" t="s">
        <v>47</v>
      </c>
      <c r="E14" s="7" t="s">
        <v>37</v>
      </c>
      <c r="F14" s="7" t="s">
        <v>48</v>
      </c>
      <c r="G14" s="7">
        <v>2021</v>
      </c>
      <c r="H14" s="7" t="str">
        <f>CONCATENATE("14241303818")</f>
        <v>14241303818</v>
      </c>
      <c r="I14" s="7" t="s">
        <v>29</v>
      </c>
      <c r="J14" s="7" t="s">
        <v>30</v>
      </c>
      <c r="K14" s="7" t="str">
        <f>CONCATENATE("")</f>
        <v/>
      </c>
      <c r="L14" s="7" t="str">
        <f>CONCATENATE("11 11.2 4b")</f>
        <v>11 11.2 4b</v>
      </c>
      <c r="M14" s="7" t="str">
        <f>CONCATENATE("BRTJCN69L47Z603Y")</f>
        <v>BRTJCN69L47Z603Y</v>
      </c>
      <c r="N14" s="7" t="s">
        <v>65</v>
      </c>
      <c r="O14" s="7" t="s">
        <v>50</v>
      </c>
      <c r="P14" s="8">
        <v>44645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8556.2199999999993</v>
      </c>
      <c r="W14" s="9">
        <v>3689.44</v>
      </c>
      <c r="X14" s="9">
        <v>3407.09</v>
      </c>
      <c r="Y14" s="7">
        <v>0</v>
      </c>
      <c r="Z14" s="9">
        <v>1459.69</v>
      </c>
    </row>
    <row r="15" spans="1:26" x14ac:dyDescent="0.35">
      <c r="A15" s="7" t="s">
        <v>27</v>
      </c>
      <c r="B15" s="7" t="s">
        <v>42</v>
      </c>
      <c r="C15" s="7" t="s">
        <v>46</v>
      </c>
      <c r="D15" s="7" t="s">
        <v>47</v>
      </c>
      <c r="E15" s="7" t="s">
        <v>44</v>
      </c>
      <c r="F15" s="7" t="s">
        <v>66</v>
      </c>
      <c r="G15" s="7">
        <v>2021</v>
      </c>
      <c r="H15" s="7" t="str">
        <f>CONCATENATE("14240672916")</f>
        <v>14240672916</v>
      </c>
      <c r="I15" s="7" t="s">
        <v>29</v>
      </c>
      <c r="J15" s="7" t="s">
        <v>30</v>
      </c>
      <c r="K15" s="7" t="str">
        <f>CONCATENATE("")</f>
        <v/>
      </c>
      <c r="L15" s="7" t="str">
        <f>CONCATENATE("11 11.2 4b")</f>
        <v>11 11.2 4b</v>
      </c>
      <c r="M15" s="7" t="str">
        <f>CONCATENATE("00307260430")</f>
        <v>00307260430</v>
      </c>
      <c r="N15" s="7" t="s">
        <v>67</v>
      </c>
      <c r="O15" s="7" t="s">
        <v>50</v>
      </c>
      <c r="P15" s="8">
        <v>44645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10631.54</v>
      </c>
      <c r="W15" s="9">
        <v>4584.32</v>
      </c>
      <c r="X15" s="9">
        <v>4233.4799999999996</v>
      </c>
      <c r="Y15" s="7">
        <v>0</v>
      </c>
      <c r="Z15" s="9">
        <v>1813.74</v>
      </c>
    </row>
    <row r="16" spans="1:26" x14ac:dyDescent="0.35">
      <c r="A16" s="7" t="s">
        <v>27</v>
      </c>
      <c r="B16" s="7" t="s">
        <v>42</v>
      </c>
      <c r="C16" s="7" t="s">
        <v>46</v>
      </c>
      <c r="D16" s="7" t="s">
        <v>47</v>
      </c>
      <c r="E16" s="7" t="s">
        <v>44</v>
      </c>
      <c r="F16" s="7" t="s">
        <v>66</v>
      </c>
      <c r="G16" s="7">
        <v>2021</v>
      </c>
      <c r="H16" s="7" t="str">
        <f>CONCATENATE("14240642307")</f>
        <v>14240642307</v>
      </c>
      <c r="I16" s="7" t="s">
        <v>29</v>
      </c>
      <c r="J16" s="7" t="s">
        <v>30</v>
      </c>
      <c r="K16" s="7" t="str">
        <f>CONCATENATE("")</f>
        <v/>
      </c>
      <c r="L16" s="7" t="str">
        <f>CONCATENATE("11 11.2 4b")</f>
        <v>11 11.2 4b</v>
      </c>
      <c r="M16" s="7" t="str">
        <f>CONCATENATE("TZZLGS67D30F205G")</f>
        <v>TZZLGS67D30F205G</v>
      </c>
      <c r="N16" s="7" t="s">
        <v>68</v>
      </c>
      <c r="O16" s="7" t="s">
        <v>50</v>
      </c>
      <c r="P16" s="8">
        <v>44645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7">
        <v>576.38</v>
      </c>
      <c r="W16" s="7">
        <v>248.54</v>
      </c>
      <c r="X16" s="7">
        <v>229.51</v>
      </c>
      <c r="Y16" s="7">
        <v>0</v>
      </c>
      <c r="Z16" s="7">
        <v>98.33</v>
      </c>
    </row>
    <row r="17" spans="1:26" x14ac:dyDescent="0.35">
      <c r="A17" s="7" t="s">
        <v>27</v>
      </c>
      <c r="B17" s="7" t="s">
        <v>42</v>
      </c>
      <c r="C17" s="7" t="s">
        <v>46</v>
      </c>
      <c r="D17" s="7" t="s">
        <v>47</v>
      </c>
      <c r="E17" s="7" t="s">
        <v>43</v>
      </c>
      <c r="F17" s="7" t="s">
        <v>69</v>
      </c>
      <c r="G17" s="7">
        <v>2021</v>
      </c>
      <c r="H17" s="7" t="str">
        <f>CONCATENATE("14241004382")</f>
        <v>14241004382</v>
      </c>
      <c r="I17" s="7" t="s">
        <v>29</v>
      </c>
      <c r="J17" s="7" t="s">
        <v>30</v>
      </c>
      <c r="K17" s="7" t="str">
        <f>CONCATENATE("")</f>
        <v/>
      </c>
      <c r="L17" s="7" t="str">
        <f>CONCATENATE("11 11.1 4b")</f>
        <v>11 11.1 4b</v>
      </c>
      <c r="M17" s="7" t="str">
        <f>CONCATENATE("GDEGNN63L24I156X")</f>
        <v>GDEGNN63L24I156X</v>
      </c>
      <c r="N17" s="7" t="s">
        <v>70</v>
      </c>
      <c r="O17" s="7" t="s">
        <v>50</v>
      </c>
      <c r="P17" s="8">
        <v>44645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1398.94</v>
      </c>
      <c r="W17" s="7">
        <v>603.22</v>
      </c>
      <c r="X17" s="7">
        <v>557.05999999999995</v>
      </c>
      <c r="Y17" s="7">
        <v>0</v>
      </c>
      <c r="Z17" s="7">
        <v>238.66</v>
      </c>
    </row>
    <row r="18" spans="1:26" x14ac:dyDescent="0.35">
      <c r="A18" s="7" t="s">
        <v>27</v>
      </c>
      <c r="B18" s="7" t="s">
        <v>42</v>
      </c>
      <c r="C18" s="7" t="s">
        <v>46</v>
      </c>
      <c r="D18" s="7" t="s">
        <v>47</v>
      </c>
      <c r="E18" s="7" t="s">
        <v>37</v>
      </c>
      <c r="F18" s="7" t="s">
        <v>71</v>
      </c>
      <c r="G18" s="7">
        <v>2021</v>
      </c>
      <c r="H18" s="7" t="str">
        <f>CONCATENATE("14240805227")</f>
        <v>14240805227</v>
      </c>
      <c r="I18" s="7" t="s">
        <v>29</v>
      </c>
      <c r="J18" s="7" t="s">
        <v>30</v>
      </c>
      <c r="K18" s="7" t="str">
        <f>CONCATENATE("")</f>
        <v/>
      </c>
      <c r="L18" s="7" t="str">
        <f>CONCATENATE("11 11.2 4b")</f>
        <v>11 11.2 4b</v>
      </c>
      <c r="M18" s="7" t="str">
        <f>CONCATENATE("BRNGZN70P29H211F")</f>
        <v>BRNGZN70P29H211F</v>
      </c>
      <c r="N18" s="7" t="s">
        <v>72</v>
      </c>
      <c r="O18" s="7" t="s">
        <v>50</v>
      </c>
      <c r="P18" s="8">
        <v>44645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44639.12</v>
      </c>
      <c r="W18" s="9">
        <v>19248.39</v>
      </c>
      <c r="X18" s="9">
        <v>17775.3</v>
      </c>
      <c r="Y18" s="7">
        <v>0</v>
      </c>
      <c r="Z18" s="9">
        <v>7615.43</v>
      </c>
    </row>
    <row r="19" spans="1:26" x14ac:dyDescent="0.35">
      <c r="A19" s="7" t="s">
        <v>27</v>
      </c>
      <c r="B19" s="7" t="s">
        <v>42</v>
      </c>
      <c r="C19" s="7" t="s">
        <v>46</v>
      </c>
      <c r="D19" s="7" t="s">
        <v>47</v>
      </c>
      <c r="E19" s="7" t="s">
        <v>35</v>
      </c>
      <c r="F19" s="7" t="s">
        <v>61</v>
      </c>
      <c r="G19" s="7">
        <v>2021</v>
      </c>
      <c r="H19" s="7" t="str">
        <f>CONCATENATE("14240746116")</f>
        <v>14240746116</v>
      </c>
      <c r="I19" s="7" t="s">
        <v>29</v>
      </c>
      <c r="J19" s="7" t="s">
        <v>30</v>
      </c>
      <c r="K19" s="7" t="str">
        <f>CONCATENATE("")</f>
        <v/>
      </c>
      <c r="L19" s="7" t="str">
        <f>CONCATENATE("11 11.1 4b")</f>
        <v>11 11.1 4b</v>
      </c>
      <c r="M19" s="7" t="str">
        <f>CONCATENATE("MNSGNN69T28B474L")</f>
        <v>MNSGNN69T28B474L</v>
      </c>
      <c r="N19" s="7" t="s">
        <v>73</v>
      </c>
      <c r="O19" s="7" t="s">
        <v>50</v>
      </c>
      <c r="P19" s="8">
        <v>44645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1167.32</v>
      </c>
      <c r="W19" s="7">
        <v>503.35</v>
      </c>
      <c r="X19" s="7">
        <v>464.83</v>
      </c>
      <c r="Y19" s="7">
        <v>0</v>
      </c>
      <c r="Z19" s="7">
        <v>199.14</v>
      </c>
    </row>
    <row r="20" spans="1:26" x14ac:dyDescent="0.35">
      <c r="A20" s="7" t="s">
        <v>27</v>
      </c>
      <c r="B20" s="7" t="s">
        <v>42</v>
      </c>
      <c r="C20" s="7" t="s">
        <v>46</v>
      </c>
      <c r="D20" s="7" t="s">
        <v>47</v>
      </c>
      <c r="E20" s="7" t="s">
        <v>37</v>
      </c>
      <c r="F20" s="7" t="s">
        <v>71</v>
      </c>
      <c r="G20" s="7">
        <v>2021</v>
      </c>
      <c r="H20" s="7" t="str">
        <f>CONCATENATE("14240868225")</f>
        <v>14240868225</v>
      </c>
      <c r="I20" s="7" t="s">
        <v>29</v>
      </c>
      <c r="J20" s="7" t="s">
        <v>30</v>
      </c>
      <c r="K20" s="7" t="str">
        <f>CONCATENATE("")</f>
        <v/>
      </c>
      <c r="L20" s="7" t="str">
        <f>CONCATENATE("11 11.2 4b")</f>
        <v>11 11.2 4b</v>
      </c>
      <c r="M20" s="7" t="str">
        <f>CONCATENATE("02043740436")</f>
        <v>02043740436</v>
      </c>
      <c r="N20" s="7" t="s">
        <v>74</v>
      </c>
      <c r="O20" s="7" t="s">
        <v>50</v>
      </c>
      <c r="P20" s="8">
        <v>44645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7">
        <v>82.51</v>
      </c>
      <c r="W20" s="7">
        <v>35.58</v>
      </c>
      <c r="X20" s="7">
        <v>32.86</v>
      </c>
      <c r="Y20" s="7">
        <v>0</v>
      </c>
      <c r="Z20" s="7">
        <v>14.07</v>
      </c>
    </row>
    <row r="21" spans="1:26" x14ac:dyDescent="0.35">
      <c r="A21" s="7" t="s">
        <v>27</v>
      </c>
      <c r="B21" s="7" t="s">
        <v>42</v>
      </c>
      <c r="C21" s="7" t="s">
        <v>46</v>
      </c>
      <c r="D21" s="7" t="s">
        <v>47</v>
      </c>
      <c r="E21" s="7" t="s">
        <v>35</v>
      </c>
      <c r="F21" s="7" t="s">
        <v>57</v>
      </c>
      <c r="G21" s="7">
        <v>2021</v>
      </c>
      <c r="H21" s="7" t="str">
        <f>CONCATENATE("14240969544")</f>
        <v>14240969544</v>
      </c>
      <c r="I21" s="7" t="s">
        <v>29</v>
      </c>
      <c r="J21" s="7" t="s">
        <v>30</v>
      </c>
      <c r="K21" s="7" t="str">
        <f>CONCATENATE("")</f>
        <v/>
      </c>
      <c r="L21" s="7" t="str">
        <f>CONCATENATE("11 11.2 4b")</f>
        <v>11 11.2 4b</v>
      </c>
      <c r="M21" s="7" t="str">
        <f>CONCATENATE("PTTDNL76L27E783W")</f>
        <v>PTTDNL76L27E783W</v>
      </c>
      <c r="N21" s="7" t="s">
        <v>75</v>
      </c>
      <c r="O21" s="7" t="s">
        <v>50</v>
      </c>
      <c r="P21" s="8">
        <v>44645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7">
        <v>459.76</v>
      </c>
      <c r="W21" s="7">
        <v>198.25</v>
      </c>
      <c r="X21" s="7">
        <v>183.08</v>
      </c>
      <c r="Y21" s="7">
        <v>0</v>
      </c>
      <c r="Z21" s="7">
        <v>78.430000000000007</v>
      </c>
    </row>
    <row r="22" spans="1:26" x14ac:dyDescent="0.35">
      <c r="A22" s="7" t="s">
        <v>27</v>
      </c>
      <c r="B22" s="7" t="s">
        <v>42</v>
      </c>
      <c r="C22" s="7" t="s">
        <v>46</v>
      </c>
      <c r="D22" s="7" t="s">
        <v>47</v>
      </c>
      <c r="E22" s="7" t="s">
        <v>35</v>
      </c>
      <c r="F22" s="7" t="s">
        <v>76</v>
      </c>
      <c r="G22" s="7">
        <v>2021</v>
      </c>
      <c r="H22" s="7" t="str">
        <f>CONCATENATE("14240600792")</f>
        <v>14240600792</v>
      </c>
      <c r="I22" s="7" t="s">
        <v>29</v>
      </c>
      <c r="J22" s="7" t="s">
        <v>30</v>
      </c>
      <c r="K22" s="7" t="str">
        <f>CONCATENATE("")</f>
        <v/>
      </c>
      <c r="L22" s="7" t="str">
        <f>CONCATENATE("11 11.2 4b")</f>
        <v>11 11.2 4b</v>
      </c>
      <c r="M22" s="7" t="str">
        <f>CONCATENATE("SCMBND36C64I156N")</f>
        <v>SCMBND36C64I156N</v>
      </c>
      <c r="N22" s="7" t="s">
        <v>77</v>
      </c>
      <c r="O22" s="7" t="s">
        <v>50</v>
      </c>
      <c r="P22" s="8">
        <v>44645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7">
        <v>469.34</v>
      </c>
      <c r="W22" s="7">
        <v>202.38</v>
      </c>
      <c r="X22" s="7">
        <v>186.89</v>
      </c>
      <c r="Y22" s="7">
        <v>0</v>
      </c>
      <c r="Z22" s="7">
        <v>80.069999999999993</v>
      </c>
    </row>
    <row r="23" spans="1:26" x14ac:dyDescent="0.35">
      <c r="A23" s="7" t="s">
        <v>27</v>
      </c>
      <c r="B23" s="7" t="s">
        <v>42</v>
      </c>
      <c r="C23" s="7" t="s">
        <v>46</v>
      </c>
      <c r="D23" s="7" t="s">
        <v>47</v>
      </c>
      <c r="E23" s="7" t="s">
        <v>37</v>
      </c>
      <c r="F23" s="7" t="s">
        <v>71</v>
      </c>
      <c r="G23" s="7">
        <v>2021</v>
      </c>
      <c r="H23" s="7" t="str">
        <f>CONCATENATE("14240959594")</f>
        <v>14240959594</v>
      </c>
      <c r="I23" s="7" t="s">
        <v>29</v>
      </c>
      <c r="J23" s="7" t="s">
        <v>30</v>
      </c>
      <c r="K23" s="7" t="str">
        <f>CONCATENATE("")</f>
        <v/>
      </c>
      <c r="L23" s="7" t="str">
        <f>CONCATENATE("11 11.2 4b")</f>
        <v>11 11.2 4b</v>
      </c>
      <c r="M23" s="7" t="str">
        <f>CONCATENATE("DLLRFL60B21E783M")</f>
        <v>DLLRFL60B21E783M</v>
      </c>
      <c r="N23" s="7" t="s">
        <v>78</v>
      </c>
      <c r="O23" s="7" t="s">
        <v>50</v>
      </c>
      <c r="P23" s="8">
        <v>44645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23026.48</v>
      </c>
      <c r="W23" s="9">
        <v>9929.02</v>
      </c>
      <c r="X23" s="9">
        <v>9169.14</v>
      </c>
      <c r="Y23" s="7">
        <v>0</v>
      </c>
      <c r="Z23" s="9">
        <v>3928.32</v>
      </c>
    </row>
    <row r="24" spans="1:26" x14ac:dyDescent="0.35">
      <c r="A24" s="7" t="s">
        <v>27</v>
      </c>
      <c r="B24" s="7" t="s">
        <v>42</v>
      </c>
      <c r="C24" s="7" t="s">
        <v>46</v>
      </c>
      <c r="D24" s="7" t="s">
        <v>47</v>
      </c>
      <c r="E24" s="7" t="s">
        <v>37</v>
      </c>
      <c r="F24" s="7" t="s">
        <v>48</v>
      </c>
      <c r="G24" s="7">
        <v>2021</v>
      </c>
      <c r="H24" s="7" t="str">
        <f>CONCATENATE("14241002741")</f>
        <v>14241002741</v>
      </c>
      <c r="I24" s="7" t="s">
        <v>29</v>
      </c>
      <c r="J24" s="7" t="s">
        <v>30</v>
      </c>
      <c r="K24" s="7" t="str">
        <f>CONCATENATE("")</f>
        <v/>
      </c>
      <c r="L24" s="7" t="str">
        <f>CONCATENATE("11 11.2 4b")</f>
        <v>11 11.2 4b</v>
      </c>
      <c r="M24" s="7" t="str">
        <f>CONCATENATE("01912770433")</f>
        <v>01912770433</v>
      </c>
      <c r="N24" s="7" t="s">
        <v>79</v>
      </c>
      <c r="O24" s="7" t="s">
        <v>50</v>
      </c>
      <c r="P24" s="8">
        <v>44645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6949.01</v>
      </c>
      <c r="W24" s="9">
        <v>2996.41</v>
      </c>
      <c r="X24" s="9">
        <v>2767.1</v>
      </c>
      <c r="Y24" s="7">
        <v>0</v>
      </c>
      <c r="Z24" s="9">
        <v>1185.5</v>
      </c>
    </row>
    <row r="25" spans="1:26" x14ac:dyDescent="0.35">
      <c r="A25" s="7" t="s">
        <v>27</v>
      </c>
      <c r="B25" s="7" t="s">
        <v>42</v>
      </c>
      <c r="C25" s="7" t="s">
        <v>46</v>
      </c>
      <c r="D25" s="7" t="s">
        <v>47</v>
      </c>
      <c r="E25" s="7" t="s">
        <v>35</v>
      </c>
      <c r="F25" s="7" t="s">
        <v>61</v>
      </c>
      <c r="G25" s="7">
        <v>2021</v>
      </c>
      <c r="H25" s="7" t="str">
        <f>CONCATENATE("14241194811")</f>
        <v>14241194811</v>
      </c>
      <c r="I25" s="7" t="s">
        <v>29</v>
      </c>
      <c r="J25" s="7" t="s">
        <v>30</v>
      </c>
      <c r="K25" s="7" t="str">
        <f>CONCATENATE("")</f>
        <v/>
      </c>
      <c r="L25" s="7" t="str">
        <f>CONCATENATE("11 11.2 4b")</f>
        <v>11 11.2 4b</v>
      </c>
      <c r="M25" s="7" t="str">
        <f>CONCATENATE("NGLMRK78A11B474J")</f>
        <v>NGLMRK78A11B474J</v>
      </c>
      <c r="N25" s="7" t="s">
        <v>80</v>
      </c>
      <c r="O25" s="7" t="s">
        <v>50</v>
      </c>
      <c r="P25" s="8">
        <v>44645</v>
      </c>
      <c r="Q25" s="7" t="s">
        <v>31</v>
      </c>
      <c r="R25" s="7" t="s">
        <v>32</v>
      </c>
      <c r="S25" s="7" t="s">
        <v>33</v>
      </c>
      <c r="T25" s="7"/>
      <c r="U25" s="7" t="s">
        <v>34</v>
      </c>
      <c r="V25" s="7">
        <v>265.27999999999997</v>
      </c>
      <c r="W25" s="7">
        <v>114.39</v>
      </c>
      <c r="X25" s="7">
        <v>105.63</v>
      </c>
      <c r="Y25" s="7">
        <v>0</v>
      </c>
      <c r="Z25" s="7">
        <v>45.26</v>
      </c>
    </row>
    <row r="26" spans="1:26" x14ac:dyDescent="0.35">
      <c r="A26" s="7" t="s">
        <v>27</v>
      </c>
      <c r="B26" s="7" t="s">
        <v>42</v>
      </c>
      <c r="C26" s="7" t="s">
        <v>46</v>
      </c>
      <c r="D26" s="7" t="s">
        <v>47</v>
      </c>
      <c r="E26" s="7" t="s">
        <v>35</v>
      </c>
      <c r="F26" s="7" t="s">
        <v>61</v>
      </c>
      <c r="G26" s="7">
        <v>2021</v>
      </c>
      <c r="H26" s="7" t="str">
        <f>CONCATENATE("14241193375")</f>
        <v>14241193375</v>
      </c>
      <c r="I26" s="7" t="s">
        <v>29</v>
      </c>
      <c r="J26" s="7" t="s">
        <v>30</v>
      </c>
      <c r="K26" s="7" t="str">
        <f>CONCATENATE("")</f>
        <v/>
      </c>
      <c r="L26" s="7" t="str">
        <f>CONCATENATE("11 11.2 4b")</f>
        <v>11 11.2 4b</v>
      </c>
      <c r="M26" s="7" t="str">
        <f>CONCATENATE("NGLMRK78A11B474J")</f>
        <v>NGLMRK78A11B474J</v>
      </c>
      <c r="N26" s="7" t="s">
        <v>80</v>
      </c>
      <c r="O26" s="7" t="s">
        <v>50</v>
      </c>
      <c r="P26" s="8">
        <v>44645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9">
        <v>2020.85</v>
      </c>
      <c r="W26" s="7">
        <v>871.39</v>
      </c>
      <c r="X26" s="7">
        <v>804.7</v>
      </c>
      <c r="Y26" s="7">
        <v>0</v>
      </c>
      <c r="Z26" s="7">
        <v>344.76</v>
      </c>
    </row>
    <row r="27" spans="1:26" x14ac:dyDescent="0.35">
      <c r="A27" s="7" t="s">
        <v>27</v>
      </c>
      <c r="B27" s="7" t="s">
        <v>42</v>
      </c>
      <c r="C27" s="7" t="s">
        <v>46</v>
      </c>
      <c r="D27" s="7" t="s">
        <v>47</v>
      </c>
      <c r="E27" s="7" t="s">
        <v>35</v>
      </c>
      <c r="F27" s="7" t="s">
        <v>61</v>
      </c>
      <c r="G27" s="7">
        <v>2021</v>
      </c>
      <c r="H27" s="7" t="str">
        <f>CONCATENATE("14241111930")</f>
        <v>14241111930</v>
      </c>
      <c r="I27" s="7" t="s">
        <v>29</v>
      </c>
      <c r="J27" s="7" t="s">
        <v>30</v>
      </c>
      <c r="K27" s="7" t="str">
        <f>CONCATENATE("")</f>
        <v/>
      </c>
      <c r="L27" s="7" t="str">
        <f>CONCATENATE("11 11.2 4b")</f>
        <v>11 11.2 4b</v>
      </c>
      <c r="M27" s="7" t="str">
        <f>CONCATENATE("BRNMNL96P15B474U")</f>
        <v>BRNMNL96P15B474U</v>
      </c>
      <c r="N27" s="7" t="s">
        <v>81</v>
      </c>
      <c r="O27" s="7" t="s">
        <v>50</v>
      </c>
      <c r="P27" s="8">
        <v>44645</v>
      </c>
      <c r="Q27" s="7" t="s">
        <v>31</v>
      </c>
      <c r="R27" s="7" t="s">
        <v>32</v>
      </c>
      <c r="S27" s="7" t="s">
        <v>33</v>
      </c>
      <c r="T27" s="7"/>
      <c r="U27" s="7" t="s">
        <v>34</v>
      </c>
      <c r="V27" s="7">
        <v>796.49</v>
      </c>
      <c r="W27" s="7">
        <v>343.45</v>
      </c>
      <c r="X27" s="7">
        <v>317.16000000000003</v>
      </c>
      <c r="Y27" s="7">
        <v>0</v>
      </c>
      <c r="Z27" s="7">
        <v>135.88</v>
      </c>
    </row>
    <row r="28" spans="1:26" x14ac:dyDescent="0.35">
      <c r="A28" s="7" t="s">
        <v>27</v>
      </c>
      <c r="B28" s="7" t="s">
        <v>42</v>
      </c>
      <c r="C28" s="7" t="s">
        <v>46</v>
      </c>
      <c r="D28" s="7" t="s">
        <v>47</v>
      </c>
      <c r="E28" s="7" t="s">
        <v>35</v>
      </c>
      <c r="F28" s="7" t="s">
        <v>61</v>
      </c>
      <c r="G28" s="7">
        <v>2021</v>
      </c>
      <c r="H28" s="7" t="str">
        <f>CONCATENATE("14241114439")</f>
        <v>14241114439</v>
      </c>
      <c r="I28" s="7" t="s">
        <v>29</v>
      </c>
      <c r="J28" s="7" t="s">
        <v>30</v>
      </c>
      <c r="K28" s="7" t="str">
        <f>CONCATENATE("")</f>
        <v/>
      </c>
      <c r="L28" s="7" t="str">
        <f>CONCATENATE("11 11.2 4b")</f>
        <v>11 11.2 4b</v>
      </c>
      <c r="M28" s="7" t="str">
        <f>CONCATENATE("BRNMNL96P15B474U")</f>
        <v>BRNMNL96P15B474U</v>
      </c>
      <c r="N28" s="7" t="s">
        <v>81</v>
      </c>
      <c r="O28" s="7" t="s">
        <v>50</v>
      </c>
      <c r="P28" s="8">
        <v>44645</v>
      </c>
      <c r="Q28" s="7" t="s">
        <v>31</v>
      </c>
      <c r="R28" s="7" t="s">
        <v>32</v>
      </c>
      <c r="S28" s="7" t="s">
        <v>33</v>
      </c>
      <c r="T28" s="7"/>
      <c r="U28" s="7" t="s">
        <v>34</v>
      </c>
      <c r="V28" s="9">
        <v>4284.6400000000003</v>
      </c>
      <c r="W28" s="9">
        <v>1847.54</v>
      </c>
      <c r="X28" s="9">
        <v>1706.14</v>
      </c>
      <c r="Y28" s="7">
        <v>0</v>
      </c>
      <c r="Z28" s="7">
        <v>730.96</v>
      </c>
    </row>
    <row r="29" spans="1:26" x14ac:dyDescent="0.35">
      <c r="A29" s="7" t="s">
        <v>27</v>
      </c>
      <c r="B29" s="7" t="s">
        <v>42</v>
      </c>
      <c r="C29" s="7" t="s">
        <v>46</v>
      </c>
      <c r="D29" s="7" t="s">
        <v>47</v>
      </c>
      <c r="E29" s="7" t="s">
        <v>35</v>
      </c>
      <c r="F29" s="7" t="s">
        <v>61</v>
      </c>
      <c r="G29" s="7">
        <v>2021</v>
      </c>
      <c r="H29" s="7" t="str">
        <f>CONCATENATE("14241278986")</f>
        <v>14241278986</v>
      </c>
      <c r="I29" s="7" t="s">
        <v>29</v>
      </c>
      <c r="J29" s="7" t="s">
        <v>30</v>
      </c>
      <c r="K29" s="7" t="str">
        <f>CONCATENATE("")</f>
        <v/>
      </c>
      <c r="L29" s="7" t="str">
        <f>CONCATENATE("11 11.2 4b")</f>
        <v>11 11.2 4b</v>
      </c>
      <c r="M29" s="7" t="str">
        <f>CONCATENATE("BLRCLD86S26D451V")</f>
        <v>BLRCLD86S26D451V</v>
      </c>
      <c r="N29" s="7" t="s">
        <v>82</v>
      </c>
      <c r="O29" s="7" t="s">
        <v>50</v>
      </c>
      <c r="P29" s="8">
        <v>44645</v>
      </c>
      <c r="Q29" s="7" t="s">
        <v>31</v>
      </c>
      <c r="R29" s="7" t="s">
        <v>32</v>
      </c>
      <c r="S29" s="7" t="s">
        <v>33</v>
      </c>
      <c r="T29" s="7"/>
      <c r="U29" s="7" t="s">
        <v>34</v>
      </c>
      <c r="V29" s="9">
        <v>2187.6999999999998</v>
      </c>
      <c r="W29" s="7">
        <v>943.34</v>
      </c>
      <c r="X29" s="7">
        <v>871.14</v>
      </c>
      <c r="Y29" s="7">
        <v>0</v>
      </c>
      <c r="Z29" s="7">
        <v>373.22</v>
      </c>
    </row>
    <row r="30" spans="1:26" x14ac:dyDescent="0.35">
      <c r="A30" s="7" t="s">
        <v>27</v>
      </c>
      <c r="B30" s="7" t="s">
        <v>42</v>
      </c>
      <c r="C30" s="7" t="s">
        <v>46</v>
      </c>
      <c r="D30" s="7" t="s">
        <v>47</v>
      </c>
      <c r="E30" s="7" t="s">
        <v>37</v>
      </c>
      <c r="F30" s="7" t="s">
        <v>71</v>
      </c>
      <c r="G30" s="7">
        <v>2021</v>
      </c>
      <c r="H30" s="7" t="str">
        <f>CONCATENATE("14241251876")</f>
        <v>14241251876</v>
      </c>
      <c r="I30" s="7" t="s">
        <v>29</v>
      </c>
      <c r="J30" s="7" t="s">
        <v>30</v>
      </c>
      <c r="K30" s="7" t="str">
        <f>CONCATENATE("")</f>
        <v/>
      </c>
      <c r="L30" s="7" t="str">
        <f>CONCATENATE("11 11.2 4b")</f>
        <v>11 11.2 4b</v>
      </c>
      <c r="M30" s="7" t="str">
        <f>CONCATENATE("BLZLSS99A01I156E")</f>
        <v>BLZLSS99A01I156E</v>
      </c>
      <c r="N30" s="7" t="s">
        <v>83</v>
      </c>
      <c r="O30" s="7" t="s">
        <v>50</v>
      </c>
      <c r="P30" s="8">
        <v>44645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7">
        <v>285.01</v>
      </c>
      <c r="W30" s="7">
        <v>122.9</v>
      </c>
      <c r="X30" s="7">
        <v>113.49</v>
      </c>
      <c r="Y30" s="7">
        <v>0</v>
      </c>
      <c r="Z30" s="7">
        <v>48.62</v>
      </c>
    </row>
    <row r="31" spans="1:26" x14ac:dyDescent="0.35">
      <c r="A31" s="7" t="s">
        <v>27</v>
      </c>
      <c r="B31" s="7" t="s">
        <v>42</v>
      </c>
      <c r="C31" s="7" t="s">
        <v>46</v>
      </c>
      <c r="D31" s="7" t="s">
        <v>47</v>
      </c>
      <c r="E31" s="7" t="s">
        <v>43</v>
      </c>
      <c r="F31" s="7" t="s">
        <v>69</v>
      </c>
      <c r="G31" s="7">
        <v>2021</v>
      </c>
      <c r="H31" s="7" t="str">
        <f>CONCATENATE("14241203992")</f>
        <v>14241203992</v>
      </c>
      <c r="I31" s="7" t="s">
        <v>29</v>
      </c>
      <c r="J31" s="7" t="s">
        <v>30</v>
      </c>
      <c r="K31" s="7" t="str">
        <f>CONCATENATE("")</f>
        <v/>
      </c>
      <c r="L31" s="7" t="str">
        <f>CONCATENATE("11 11.2 4b")</f>
        <v>11 11.2 4b</v>
      </c>
      <c r="M31" s="7" t="str">
        <f>CONCATENATE("SCDMSL64C03I156L")</f>
        <v>SCDMSL64C03I156L</v>
      </c>
      <c r="N31" s="7" t="s">
        <v>84</v>
      </c>
      <c r="O31" s="7" t="s">
        <v>50</v>
      </c>
      <c r="P31" s="8">
        <v>44645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6750.1</v>
      </c>
      <c r="W31" s="9">
        <v>2910.64</v>
      </c>
      <c r="X31" s="9">
        <v>2687.89</v>
      </c>
      <c r="Y31" s="7">
        <v>0</v>
      </c>
      <c r="Z31" s="9">
        <v>1151.57</v>
      </c>
    </row>
    <row r="32" spans="1:26" x14ac:dyDescent="0.35">
      <c r="A32" s="7" t="s">
        <v>27</v>
      </c>
      <c r="B32" s="7" t="s">
        <v>42</v>
      </c>
      <c r="C32" s="7" t="s">
        <v>46</v>
      </c>
      <c r="D32" s="7" t="s">
        <v>47</v>
      </c>
      <c r="E32" s="7" t="s">
        <v>43</v>
      </c>
      <c r="F32" s="7" t="s">
        <v>69</v>
      </c>
      <c r="G32" s="7">
        <v>2021</v>
      </c>
      <c r="H32" s="7" t="str">
        <f>CONCATENATE("14241204008")</f>
        <v>14241204008</v>
      </c>
      <c r="I32" s="7" t="s">
        <v>29</v>
      </c>
      <c r="J32" s="7" t="s">
        <v>30</v>
      </c>
      <c r="K32" s="7" t="str">
        <f>CONCATENATE("")</f>
        <v/>
      </c>
      <c r="L32" s="7" t="str">
        <f>CONCATENATE("11 11.2 4b")</f>
        <v>11 11.2 4b</v>
      </c>
      <c r="M32" s="7" t="str">
        <f>CONCATENATE("SCDMSL64C03I156L")</f>
        <v>SCDMSL64C03I156L</v>
      </c>
      <c r="N32" s="7" t="s">
        <v>84</v>
      </c>
      <c r="O32" s="7" t="s">
        <v>50</v>
      </c>
      <c r="P32" s="8">
        <v>44645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7">
        <v>156.38999999999999</v>
      </c>
      <c r="W32" s="7">
        <v>67.44</v>
      </c>
      <c r="X32" s="7">
        <v>62.27</v>
      </c>
      <c r="Y32" s="7">
        <v>0</v>
      </c>
      <c r="Z32" s="7">
        <v>26.68</v>
      </c>
    </row>
    <row r="33" spans="1:26" x14ac:dyDescent="0.35">
      <c r="A33" s="7" t="s">
        <v>27</v>
      </c>
      <c r="B33" s="7" t="s">
        <v>42</v>
      </c>
      <c r="C33" s="7" t="s">
        <v>46</v>
      </c>
      <c r="D33" s="7" t="s">
        <v>47</v>
      </c>
      <c r="E33" s="7" t="s">
        <v>35</v>
      </c>
      <c r="F33" s="7" t="s">
        <v>61</v>
      </c>
      <c r="G33" s="7">
        <v>2021</v>
      </c>
      <c r="H33" s="7" t="str">
        <f>CONCATENATE("14241123174")</f>
        <v>14241123174</v>
      </c>
      <c r="I33" s="7" t="s">
        <v>29</v>
      </c>
      <c r="J33" s="7" t="s">
        <v>30</v>
      </c>
      <c r="K33" s="7" t="str">
        <f>CONCATENATE("")</f>
        <v/>
      </c>
      <c r="L33" s="7" t="str">
        <f>CONCATENATE("11 11.2 4b")</f>
        <v>11 11.2 4b</v>
      </c>
      <c r="M33" s="7" t="str">
        <f>CONCATENATE("CPPGLN61S26F051Y")</f>
        <v>CPPGLN61S26F051Y</v>
      </c>
      <c r="N33" s="7" t="s">
        <v>85</v>
      </c>
      <c r="O33" s="7" t="s">
        <v>50</v>
      </c>
      <c r="P33" s="8">
        <v>44645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15653.78</v>
      </c>
      <c r="W33" s="9">
        <v>6749.91</v>
      </c>
      <c r="X33" s="9">
        <v>6233.34</v>
      </c>
      <c r="Y33" s="7">
        <v>0</v>
      </c>
      <c r="Z33" s="9">
        <v>2670.53</v>
      </c>
    </row>
    <row r="34" spans="1:26" x14ac:dyDescent="0.35">
      <c r="A34" s="7" t="s">
        <v>27</v>
      </c>
      <c r="B34" s="7" t="s">
        <v>42</v>
      </c>
      <c r="C34" s="7" t="s">
        <v>46</v>
      </c>
      <c r="D34" s="7" t="s">
        <v>47</v>
      </c>
      <c r="E34" s="7" t="s">
        <v>37</v>
      </c>
      <c r="F34" s="7" t="s">
        <v>48</v>
      </c>
      <c r="G34" s="7">
        <v>2021</v>
      </c>
      <c r="H34" s="7" t="str">
        <f>CONCATENATE("14241377127")</f>
        <v>14241377127</v>
      </c>
      <c r="I34" s="7" t="s">
        <v>29</v>
      </c>
      <c r="J34" s="7" t="s">
        <v>30</v>
      </c>
      <c r="K34" s="7" t="str">
        <f>CONCATENATE("")</f>
        <v/>
      </c>
      <c r="L34" s="7" t="str">
        <f>CONCATENATE("11 11.2 4b")</f>
        <v>11 11.2 4b</v>
      </c>
      <c r="M34" s="7" t="str">
        <f>CONCATENATE("01856130438")</f>
        <v>01856130438</v>
      </c>
      <c r="N34" s="7" t="s">
        <v>86</v>
      </c>
      <c r="O34" s="7" t="s">
        <v>50</v>
      </c>
      <c r="P34" s="8">
        <v>44645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7">
        <v>683.42</v>
      </c>
      <c r="W34" s="7">
        <v>294.69</v>
      </c>
      <c r="X34" s="7">
        <v>272.14</v>
      </c>
      <c r="Y34" s="7">
        <v>0</v>
      </c>
      <c r="Z34" s="7">
        <v>116.59</v>
      </c>
    </row>
    <row r="35" spans="1:26" x14ac:dyDescent="0.35">
      <c r="A35" s="7" t="s">
        <v>27</v>
      </c>
      <c r="B35" s="7" t="s">
        <v>42</v>
      </c>
      <c r="C35" s="7" t="s">
        <v>46</v>
      </c>
      <c r="D35" s="7" t="s">
        <v>47</v>
      </c>
      <c r="E35" s="7" t="s">
        <v>35</v>
      </c>
      <c r="F35" s="7" t="s">
        <v>76</v>
      </c>
      <c r="G35" s="7">
        <v>2021</v>
      </c>
      <c r="H35" s="7" t="str">
        <f>CONCATENATE("14241172981")</f>
        <v>14241172981</v>
      </c>
      <c r="I35" s="7" t="s">
        <v>29</v>
      </c>
      <c r="J35" s="7" t="s">
        <v>30</v>
      </c>
      <c r="K35" s="7" t="str">
        <f>CONCATENATE("")</f>
        <v/>
      </c>
      <c r="L35" s="7" t="str">
        <f>CONCATENATE("11 11.2 4b")</f>
        <v>11 11.2 4b</v>
      </c>
      <c r="M35" s="7" t="str">
        <f>CONCATENATE("01939990436")</f>
        <v>01939990436</v>
      </c>
      <c r="N35" s="7" t="s">
        <v>87</v>
      </c>
      <c r="O35" s="7" t="s">
        <v>50</v>
      </c>
      <c r="P35" s="8">
        <v>44645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9">
        <v>1865.38</v>
      </c>
      <c r="W35" s="7">
        <v>804.35</v>
      </c>
      <c r="X35" s="7">
        <v>742.79</v>
      </c>
      <c r="Y35" s="7">
        <v>0</v>
      </c>
      <c r="Z35" s="7">
        <v>318.24</v>
      </c>
    </row>
    <row r="36" spans="1:26" x14ac:dyDescent="0.35">
      <c r="A36" s="7" t="s">
        <v>27</v>
      </c>
      <c r="B36" s="7" t="s">
        <v>42</v>
      </c>
      <c r="C36" s="7" t="s">
        <v>46</v>
      </c>
      <c r="D36" s="7" t="s">
        <v>47</v>
      </c>
      <c r="E36" s="7" t="s">
        <v>35</v>
      </c>
      <c r="F36" s="7" t="s">
        <v>76</v>
      </c>
      <c r="G36" s="7">
        <v>2021</v>
      </c>
      <c r="H36" s="7" t="str">
        <f>CONCATENATE("14241130005")</f>
        <v>14241130005</v>
      </c>
      <c r="I36" s="7" t="s">
        <v>29</v>
      </c>
      <c r="J36" s="7" t="s">
        <v>30</v>
      </c>
      <c r="K36" s="7" t="str">
        <f>CONCATENATE("")</f>
        <v/>
      </c>
      <c r="L36" s="7" t="str">
        <f>CONCATENATE("11 11.2 4b")</f>
        <v>11 11.2 4b</v>
      </c>
      <c r="M36" s="7" t="str">
        <f>CONCATENATE("01939990436")</f>
        <v>01939990436</v>
      </c>
      <c r="N36" s="7" t="s">
        <v>87</v>
      </c>
      <c r="O36" s="7" t="s">
        <v>50</v>
      </c>
      <c r="P36" s="8">
        <v>44645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7">
        <v>864.01</v>
      </c>
      <c r="W36" s="7">
        <v>372.56</v>
      </c>
      <c r="X36" s="7">
        <v>344.05</v>
      </c>
      <c r="Y36" s="7">
        <v>0</v>
      </c>
      <c r="Z36" s="7">
        <v>147.4</v>
      </c>
    </row>
    <row r="37" spans="1:26" x14ac:dyDescent="0.35">
      <c r="A37" s="7" t="s">
        <v>27</v>
      </c>
      <c r="B37" s="7" t="s">
        <v>42</v>
      </c>
      <c r="C37" s="7" t="s">
        <v>46</v>
      </c>
      <c r="D37" s="7" t="s">
        <v>47</v>
      </c>
      <c r="E37" s="7" t="s">
        <v>37</v>
      </c>
      <c r="F37" s="7" t="s">
        <v>71</v>
      </c>
      <c r="G37" s="7">
        <v>2021</v>
      </c>
      <c r="H37" s="7" t="str">
        <f>CONCATENATE("14241159152")</f>
        <v>14241159152</v>
      </c>
      <c r="I37" s="7" t="s">
        <v>29</v>
      </c>
      <c r="J37" s="7" t="s">
        <v>30</v>
      </c>
      <c r="K37" s="7" t="str">
        <f>CONCATENATE("")</f>
        <v/>
      </c>
      <c r="L37" s="7" t="str">
        <f>CONCATENATE("11 11.2 4b")</f>
        <v>11 11.2 4b</v>
      </c>
      <c r="M37" s="7" t="str">
        <f>CONCATENATE("VSSSFN73E01E783T")</f>
        <v>VSSSFN73E01E783T</v>
      </c>
      <c r="N37" s="7" t="s">
        <v>88</v>
      </c>
      <c r="O37" s="7" t="s">
        <v>50</v>
      </c>
      <c r="P37" s="8">
        <v>44645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7">
        <v>693.53</v>
      </c>
      <c r="W37" s="7">
        <v>299.05</v>
      </c>
      <c r="X37" s="7">
        <v>276.16000000000003</v>
      </c>
      <c r="Y37" s="7">
        <v>0</v>
      </c>
      <c r="Z37" s="7">
        <v>118.32</v>
      </c>
    </row>
    <row r="38" spans="1:26" x14ac:dyDescent="0.35">
      <c r="A38" s="7" t="s">
        <v>27</v>
      </c>
      <c r="B38" s="7" t="s">
        <v>42</v>
      </c>
      <c r="C38" s="7" t="s">
        <v>46</v>
      </c>
      <c r="D38" s="7" t="s">
        <v>47</v>
      </c>
      <c r="E38" s="7" t="s">
        <v>35</v>
      </c>
      <c r="F38" s="7" t="s">
        <v>76</v>
      </c>
      <c r="G38" s="7">
        <v>2021</v>
      </c>
      <c r="H38" s="7" t="str">
        <f>CONCATENATE("14241179499")</f>
        <v>14241179499</v>
      </c>
      <c r="I38" s="7" t="s">
        <v>29</v>
      </c>
      <c r="J38" s="7" t="s">
        <v>30</v>
      </c>
      <c r="K38" s="7" t="str">
        <f>CONCATENATE("")</f>
        <v/>
      </c>
      <c r="L38" s="7" t="str">
        <f>CONCATENATE("11 11.2 4b")</f>
        <v>11 11.2 4b</v>
      </c>
      <c r="M38" s="7" t="str">
        <f>CONCATENATE("01939990436")</f>
        <v>01939990436</v>
      </c>
      <c r="N38" s="7" t="s">
        <v>87</v>
      </c>
      <c r="O38" s="7" t="s">
        <v>50</v>
      </c>
      <c r="P38" s="8">
        <v>44645</v>
      </c>
      <c r="Q38" s="7" t="s">
        <v>31</v>
      </c>
      <c r="R38" s="7" t="s">
        <v>32</v>
      </c>
      <c r="S38" s="7" t="s">
        <v>33</v>
      </c>
      <c r="T38" s="7"/>
      <c r="U38" s="7" t="s">
        <v>34</v>
      </c>
      <c r="V38" s="9">
        <v>4686.5200000000004</v>
      </c>
      <c r="W38" s="9">
        <v>2020.83</v>
      </c>
      <c r="X38" s="9">
        <v>1866.17</v>
      </c>
      <c r="Y38" s="7">
        <v>0</v>
      </c>
      <c r="Z38" s="7">
        <v>799.52</v>
      </c>
    </row>
    <row r="39" spans="1:26" ht="17.5" x14ac:dyDescent="0.35">
      <c r="A39" s="7" t="s">
        <v>27</v>
      </c>
      <c r="B39" s="7" t="s">
        <v>42</v>
      </c>
      <c r="C39" s="7" t="s">
        <v>46</v>
      </c>
      <c r="D39" s="7" t="s">
        <v>47</v>
      </c>
      <c r="E39" s="7" t="s">
        <v>37</v>
      </c>
      <c r="F39" s="7" t="s">
        <v>48</v>
      </c>
      <c r="G39" s="7">
        <v>2021</v>
      </c>
      <c r="H39" s="7" t="str">
        <f>CONCATENATE("14241306688")</f>
        <v>14241306688</v>
      </c>
      <c r="I39" s="7" t="s">
        <v>29</v>
      </c>
      <c r="J39" s="7" t="s">
        <v>30</v>
      </c>
      <c r="K39" s="7" t="str">
        <f>CONCATENATE("")</f>
        <v/>
      </c>
      <c r="L39" s="7" t="str">
        <f>CONCATENATE("11 11.2 4b")</f>
        <v>11 11.2 4b</v>
      </c>
      <c r="M39" s="7" t="str">
        <f>CONCATENATE("01002500435")</f>
        <v>01002500435</v>
      </c>
      <c r="N39" s="7" t="s">
        <v>89</v>
      </c>
      <c r="O39" s="7" t="s">
        <v>50</v>
      </c>
      <c r="P39" s="8">
        <v>44645</v>
      </c>
      <c r="Q39" s="7" t="s">
        <v>31</v>
      </c>
      <c r="R39" s="7" t="s">
        <v>32</v>
      </c>
      <c r="S39" s="7" t="s">
        <v>33</v>
      </c>
      <c r="T39" s="7"/>
      <c r="U39" s="7" t="s">
        <v>34</v>
      </c>
      <c r="V39" s="9">
        <v>3448.76</v>
      </c>
      <c r="W39" s="9">
        <v>1487.11</v>
      </c>
      <c r="X39" s="9">
        <v>1373.3</v>
      </c>
      <c r="Y39" s="7">
        <v>0</v>
      </c>
      <c r="Z39" s="7">
        <v>588.35</v>
      </c>
    </row>
    <row r="40" spans="1:26" x14ac:dyDescent="0.35">
      <c r="A40" s="7" t="s">
        <v>27</v>
      </c>
      <c r="B40" s="7" t="s">
        <v>42</v>
      </c>
      <c r="C40" s="7" t="s">
        <v>46</v>
      </c>
      <c r="D40" s="7" t="s">
        <v>47</v>
      </c>
      <c r="E40" s="7" t="s">
        <v>37</v>
      </c>
      <c r="F40" s="7" t="s">
        <v>48</v>
      </c>
      <c r="G40" s="7">
        <v>2021</v>
      </c>
      <c r="H40" s="7" t="str">
        <f>CONCATENATE("14241323238")</f>
        <v>14241323238</v>
      </c>
      <c r="I40" s="7" t="s">
        <v>29</v>
      </c>
      <c r="J40" s="7" t="s">
        <v>30</v>
      </c>
      <c r="K40" s="7" t="str">
        <f>CONCATENATE("")</f>
        <v/>
      </c>
      <c r="L40" s="7" t="str">
        <f>CONCATENATE("11 11.1 4b")</f>
        <v>11 11.1 4b</v>
      </c>
      <c r="M40" s="7" t="str">
        <f>CONCATENATE("KRSSFN78C42Z133T")</f>
        <v>KRSSFN78C42Z133T</v>
      </c>
      <c r="N40" s="7" t="s">
        <v>90</v>
      </c>
      <c r="O40" s="7" t="s">
        <v>50</v>
      </c>
      <c r="P40" s="8">
        <v>44645</v>
      </c>
      <c r="Q40" s="7" t="s">
        <v>31</v>
      </c>
      <c r="R40" s="7" t="s">
        <v>32</v>
      </c>
      <c r="S40" s="7" t="s">
        <v>33</v>
      </c>
      <c r="T40" s="7"/>
      <c r="U40" s="7" t="s">
        <v>34</v>
      </c>
      <c r="V40" s="9">
        <v>2266.7600000000002</v>
      </c>
      <c r="W40" s="7">
        <v>977.43</v>
      </c>
      <c r="X40" s="7">
        <v>902.62</v>
      </c>
      <c r="Y40" s="7">
        <v>0</v>
      </c>
      <c r="Z40" s="7">
        <v>386.71</v>
      </c>
    </row>
    <row r="41" spans="1:26" x14ac:dyDescent="0.35">
      <c r="A41" s="7" t="s">
        <v>27</v>
      </c>
      <c r="B41" s="7" t="s">
        <v>42</v>
      </c>
      <c r="C41" s="7" t="s">
        <v>46</v>
      </c>
      <c r="D41" s="7" t="s">
        <v>47</v>
      </c>
      <c r="E41" s="7" t="s">
        <v>35</v>
      </c>
      <c r="F41" s="7" t="s">
        <v>57</v>
      </c>
      <c r="G41" s="7">
        <v>2021</v>
      </c>
      <c r="H41" s="7" t="str">
        <f>CONCATENATE("14240295700")</f>
        <v>14240295700</v>
      </c>
      <c r="I41" s="7" t="s">
        <v>29</v>
      </c>
      <c r="J41" s="7" t="s">
        <v>30</v>
      </c>
      <c r="K41" s="7" t="str">
        <f>CONCATENATE("")</f>
        <v/>
      </c>
      <c r="L41" s="7" t="str">
        <f>CONCATENATE("11 11.2 4b")</f>
        <v>11 11.2 4b</v>
      </c>
      <c r="M41" s="7" t="str">
        <f>CONCATENATE("VLICST75B57I436W")</f>
        <v>VLICST75B57I436W</v>
      </c>
      <c r="N41" s="7" t="s">
        <v>91</v>
      </c>
      <c r="O41" s="7" t="s">
        <v>50</v>
      </c>
      <c r="P41" s="8">
        <v>44645</v>
      </c>
      <c r="Q41" s="7" t="s">
        <v>31</v>
      </c>
      <c r="R41" s="7" t="s">
        <v>32</v>
      </c>
      <c r="S41" s="7" t="s">
        <v>33</v>
      </c>
      <c r="T41" s="7"/>
      <c r="U41" s="7" t="s">
        <v>34</v>
      </c>
      <c r="V41" s="7">
        <v>322.27</v>
      </c>
      <c r="W41" s="7">
        <v>138.96</v>
      </c>
      <c r="X41" s="7">
        <v>128.33000000000001</v>
      </c>
      <c r="Y41" s="7">
        <v>0</v>
      </c>
      <c r="Z41" s="7">
        <v>54.98</v>
      </c>
    </row>
    <row r="42" spans="1:26" x14ac:dyDescent="0.35">
      <c r="A42" s="7" t="s">
        <v>27</v>
      </c>
      <c r="B42" s="7" t="s">
        <v>42</v>
      </c>
      <c r="C42" s="7" t="s">
        <v>46</v>
      </c>
      <c r="D42" s="7" t="s">
        <v>47</v>
      </c>
      <c r="E42" s="7" t="s">
        <v>43</v>
      </c>
      <c r="F42" s="7" t="s">
        <v>92</v>
      </c>
      <c r="G42" s="7">
        <v>2021</v>
      </c>
      <c r="H42" s="7" t="str">
        <f>CONCATENATE("14240262007")</f>
        <v>14240262007</v>
      </c>
      <c r="I42" s="7" t="s">
        <v>29</v>
      </c>
      <c r="J42" s="7" t="s">
        <v>30</v>
      </c>
      <c r="K42" s="7" t="str">
        <f>CONCATENATE("")</f>
        <v/>
      </c>
      <c r="L42" s="7" t="str">
        <f>CONCATENATE("11 11.2 4b")</f>
        <v>11 11.2 4b</v>
      </c>
      <c r="M42" s="7" t="str">
        <f>CONCATENATE("01724630437")</f>
        <v>01724630437</v>
      </c>
      <c r="N42" s="7" t="s">
        <v>93</v>
      </c>
      <c r="O42" s="7" t="s">
        <v>50</v>
      </c>
      <c r="P42" s="8">
        <v>44645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1014.13</v>
      </c>
      <c r="W42" s="7">
        <v>437.29</v>
      </c>
      <c r="X42" s="7">
        <v>403.83</v>
      </c>
      <c r="Y42" s="7">
        <v>0</v>
      </c>
      <c r="Z42" s="7">
        <v>173.01</v>
      </c>
    </row>
    <row r="43" spans="1:26" x14ac:dyDescent="0.35">
      <c r="A43" s="7" t="s">
        <v>27</v>
      </c>
      <c r="B43" s="7" t="s">
        <v>42</v>
      </c>
      <c r="C43" s="7" t="s">
        <v>46</v>
      </c>
      <c r="D43" s="7" t="s">
        <v>47</v>
      </c>
      <c r="E43" s="7" t="s">
        <v>35</v>
      </c>
      <c r="F43" s="7" t="s">
        <v>94</v>
      </c>
      <c r="G43" s="7">
        <v>2021</v>
      </c>
      <c r="H43" s="7" t="str">
        <f>CONCATENATE("14240166646")</f>
        <v>14240166646</v>
      </c>
      <c r="I43" s="7" t="s">
        <v>29</v>
      </c>
      <c r="J43" s="7" t="s">
        <v>30</v>
      </c>
      <c r="K43" s="7" t="str">
        <f>CONCATENATE("")</f>
        <v/>
      </c>
      <c r="L43" s="7" t="str">
        <f>CONCATENATE("11 11.2 4b")</f>
        <v>11 11.2 4b</v>
      </c>
      <c r="M43" s="7" t="str">
        <f>CONCATENATE("GTTPGR59H02F454L")</f>
        <v>GTTPGR59H02F454L</v>
      </c>
      <c r="N43" s="7" t="s">
        <v>95</v>
      </c>
      <c r="O43" s="7" t="s">
        <v>50</v>
      </c>
      <c r="P43" s="8">
        <v>44645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7">
        <v>169.35</v>
      </c>
      <c r="W43" s="7">
        <v>73.02</v>
      </c>
      <c r="X43" s="7">
        <v>67.44</v>
      </c>
      <c r="Y43" s="7">
        <v>0</v>
      </c>
      <c r="Z43" s="7">
        <v>28.89</v>
      </c>
    </row>
    <row r="44" spans="1:26" x14ac:dyDescent="0.35">
      <c r="A44" s="7" t="s">
        <v>27</v>
      </c>
      <c r="B44" s="7" t="s">
        <v>42</v>
      </c>
      <c r="C44" s="7" t="s">
        <v>46</v>
      </c>
      <c r="D44" s="7" t="s">
        <v>47</v>
      </c>
      <c r="E44" s="7" t="s">
        <v>35</v>
      </c>
      <c r="F44" s="7" t="s">
        <v>76</v>
      </c>
      <c r="G44" s="7">
        <v>2021</v>
      </c>
      <c r="H44" s="7" t="str">
        <f>CONCATENATE("14241188490")</f>
        <v>14241188490</v>
      </c>
      <c r="I44" s="7" t="s">
        <v>29</v>
      </c>
      <c r="J44" s="7" t="s">
        <v>30</v>
      </c>
      <c r="K44" s="7" t="str">
        <f>CONCATENATE("")</f>
        <v/>
      </c>
      <c r="L44" s="7" t="str">
        <f>CONCATENATE("11 11.2 4b")</f>
        <v>11 11.2 4b</v>
      </c>
      <c r="M44" s="7" t="str">
        <f>CONCATENATE("SNCMRA82P08L191J")</f>
        <v>SNCMRA82P08L191J</v>
      </c>
      <c r="N44" s="7" t="s">
        <v>96</v>
      </c>
      <c r="O44" s="7" t="s">
        <v>50</v>
      </c>
      <c r="P44" s="8">
        <v>44645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16419.240000000002</v>
      </c>
      <c r="W44" s="9">
        <v>7079.98</v>
      </c>
      <c r="X44" s="9">
        <v>6538.14</v>
      </c>
      <c r="Y44" s="7">
        <v>0</v>
      </c>
      <c r="Z44" s="9">
        <v>2801.12</v>
      </c>
    </row>
    <row r="45" spans="1:26" x14ac:dyDescent="0.35">
      <c r="A45" s="7" t="s">
        <v>27</v>
      </c>
      <c r="B45" s="7" t="s">
        <v>42</v>
      </c>
      <c r="C45" s="7" t="s">
        <v>46</v>
      </c>
      <c r="D45" s="7" t="s">
        <v>47</v>
      </c>
      <c r="E45" s="7" t="s">
        <v>35</v>
      </c>
      <c r="F45" s="7" t="s">
        <v>61</v>
      </c>
      <c r="G45" s="7">
        <v>2021</v>
      </c>
      <c r="H45" s="7" t="str">
        <f>CONCATENATE("14240233339")</f>
        <v>14240233339</v>
      </c>
      <c r="I45" s="7" t="s">
        <v>29</v>
      </c>
      <c r="J45" s="7" t="s">
        <v>30</v>
      </c>
      <c r="K45" s="7" t="str">
        <f>CONCATENATE("")</f>
        <v/>
      </c>
      <c r="L45" s="7" t="str">
        <f>CONCATENATE("11 11.2 4b")</f>
        <v>11 11.2 4b</v>
      </c>
      <c r="M45" s="7" t="str">
        <f>CONCATENATE("BRNRRT67E04C704T")</f>
        <v>BRNRRT67E04C704T</v>
      </c>
      <c r="N45" s="7" t="s">
        <v>97</v>
      </c>
      <c r="O45" s="7" t="s">
        <v>50</v>
      </c>
      <c r="P45" s="8">
        <v>44645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1390.65</v>
      </c>
      <c r="W45" s="7">
        <v>599.65</v>
      </c>
      <c r="X45" s="7">
        <v>553.76</v>
      </c>
      <c r="Y45" s="7">
        <v>0</v>
      </c>
      <c r="Z45" s="7">
        <v>237.24</v>
      </c>
    </row>
    <row r="46" spans="1:26" ht="17.5" x14ac:dyDescent="0.35">
      <c r="A46" s="7" t="s">
        <v>27</v>
      </c>
      <c r="B46" s="7" t="s">
        <v>42</v>
      </c>
      <c r="C46" s="7" t="s">
        <v>46</v>
      </c>
      <c r="D46" s="7" t="s">
        <v>47</v>
      </c>
      <c r="E46" s="7" t="s">
        <v>37</v>
      </c>
      <c r="F46" s="7" t="s">
        <v>48</v>
      </c>
      <c r="G46" s="7">
        <v>2021</v>
      </c>
      <c r="H46" s="7" t="str">
        <f>CONCATENATE("14240650060")</f>
        <v>14240650060</v>
      </c>
      <c r="I46" s="7" t="s">
        <v>29</v>
      </c>
      <c r="J46" s="7" t="s">
        <v>30</v>
      </c>
      <c r="K46" s="7" t="str">
        <f>CONCATENATE("")</f>
        <v/>
      </c>
      <c r="L46" s="7" t="str">
        <f>CONCATENATE("11 11.2 4b")</f>
        <v>11 11.2 4b</v>
      </c>
      <c r="M46" s="7" t="str">
        <f>CONCATENATE("01597000437")</f>
        <v>01597000437</v>
      </c>
      <c r="N46" s="7" t="s">
        <v>98</v>
      </c>
      <c r="O46" s="7" t="s">
        <v>50</v>
      </c>
      <c r="P46" s="8">
        <v>44645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9">
        <v>6826.2</v>
      </c>
      <c r="W46" s="9">
        <v>2943.46</v>
      </c>
      <c r="X46" s="9">
        <v>2718.19</v>
      </c>
      <c r="Y46" s="7">
        <v>0</v>
      </c>
      <c r="Z46" s="9">
        <v>1164.55</v>
      </c>
    </row>
    <row r="47" spans="1:26" x14ac:dyDescent="0.35">
      <c r="A47" s="7" t="s">
        <v>27</v>
      </c>
      <c r="B47" s="7" t="s">
        <v>42</v>
      </c>
      <c r="C47" s="7" t="s">
        <v>46</v>
      </c>
      <c r="D47" s="7" t="s">
        <v>47</v>
      </c>
      <c r="E47" s="7" t="s">
        <v>35</v>
      </c>
      <c r="F47" s="7" t="s">
        <v>57</v>
      </c>
      <c r="G47" s="7">
        <v>2021</v>
      </c>
      <c r="H47" s="7" t="str">
        <f>CONCATENATE("14240629031")</f>
        <v>14240629031</v>
      </c>
      <c r="I47" s="7" t="s">
        <v>29</v>
      </c>
      <c r="J47" s="7" t="s">
        <v>30</v>
      </c>
      <c r="K47" s="7" t="str">
        <f>CONCATENATE("")</f>
        <v/>
      </c>
      <c r="L47" s="7" t="str">
        <f>CONCATENATE("11 11.2 4b")</f>
        <v>11 11.2 4b</v>
      </c>
      <c r="M47" s="7" t="str">
        <f>CONCATENATE("NSVLCU73D11B474I")</f>
        <v>NSVLCU73D11B474I</v>
      </c>
      <c r="N47" s="7" t="s">
        <v>99</v>
      </c>
      <c r="O47" s="7" t="s">
        <v>50</v>
      </c>
      <c r="P47" s="8">
        <v>44645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9">
        <v>1207.8599999999999</v>
      </c>
      <c r="W47" s="7">
        <v>520.83000000000004</v>
      </c>
      <c r="X47" s="7">
        <v>480.97</v>
      </c>
      <c r="Y47" s="7">
        <v>0</v>
      </c>
      <c r="Z47" s="7">
        <v>206.06</v>
      </c>
    </row>
    <row r="48" spans="1:26" x14ac:dyDescent="0.35">
      <c r="A48" s="7" t="s">
        <v>27</v>
      </c>
      <c r="B48" s="7" t="s">
        <v>42</v>
      </c>
      <c r="C48" s="7" t="s">
        <v>46</v>
      </c>
      <c r="D48" s="7" t="s">
        <v>47</v>
      </c>
      <c r="E48" s="7" t="s">
        <v>37</v>
      </c>
      <c r="F48" s="7" t="s">
        <v>48</v>
      </c>
      <c r="G48" s="7">
        <v>2021</v>
      </c>
      <c r="H48" s="7" t="str">
        <f>CONCATENATE("14241206425")</f>
        <v>14241206425</v>
      </c>
      <c r="I48" s="7" t="s">
        <v>29</v>
      </c>
      <c r="J48" s="7" t="s">
        <v>30</v>
      </c>
      <c r="K48" s="7" t="str">
        <f>CONCATENATE("")</f>
        <v/>
      </c>
      <c r="L48" s="7" t="str">
        <f>CONCATENATE("11 11.2 4b")</f>
        <v>11 11.2 4b</v>
      </c>
      <c r="M48" s="7" t="str">
        <f>CONCATENATE("FVRHRT68T18Z126T")</f>
        <v>FVRHRT68T18Z126T</v>
      </c>
      <c r="N48" s="7" t="s">
        <v>100</v>
      </c>
      <c r="O48" s="7" t="s">
        <v>50</v>
      </c>
      <c r="P48" s="8">
        <v>44645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7">
        <v>787.11</v>
      </c>
      <c r="W48" s="7">
        <v>339.4</v>
      </c>
      <c r="X48" s="7">
        <v>313.43</v>
      </c>
      <c r="Y48" s="7">
        <v>0</v>
      </c>
      <c r="Z48" s="7">
        <v>134.28</v>
      </c>
    </row>
    <row r="49" spans="1:26" x14ac:dyDescent="0.35">
      <c r="A49" s="7" t="s">
        <v>27</v>
      </c>
      <c r="B49" s="7" t="s">
        <v>42</v>
      </c>
      <c r="C49" s="7" t="s">
        <v>46</v>
      </c>
      <c r="D49" s="7" t="s">
        <v>47</v>
      </c>
      <c r="E49" s="7" t="s">
        <v>37</v>
      </c>
      <c r="F49" s="7" t="s">
        <v>48</v>
      </c>
      <c r="G49" s="7">
        <v>2021</v>
      </c>
      <c r="H49" s="7" t="str">
        <f>CONCATENATE("14241137091")</f>
        <v>14241137091</v>
      </c>
      <c r="I49" s="7" t="s">
        <v>29</v>
      </c>
      <c r="J49" s="7" t="s">
        <v>30</v>
      </c>
      <c r="K49" s="7" t="str">
        <f>CONCATENATE("")</f>
        <v/>
      </c>
      <c r="L49" s="7" t="str">
        <f>CONCATENATE("11 11.2 4b")</f>
        <v>11 11.2 4b</v>
      </c>
      <c r="M49" s="7" t="str">
        <f>CONCATENATE("SLRMCR52E48H501C")</f>
        <v>SLRMCR52E48H501C</v>
      </c>
      <c r="N49" s="7" t="s">
        <v>101</v>
      </c>
      <c r="O49" s="7" t="s">
        <v>50</v>
      </c>
      <c r="P49" s="8">
        <v>44645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9">
        <v>1596.84</v>
      </c>
      <c r="W49" s="7">
        <v>688.56</v>
      </c>
      <c r="X49" s="7">
        <v>635.86</v>
      </c>
      <c r="Y49" s="7">
        <v>0</v>
      </c>
      <c r="Z49" s="7">
        <v>272.42</v>
      </c>
    </row>
    <row r="50" spans="1:26" x14ac:dyDescent="0.35">
      <c r="A50" s="7" t="s">
        <v>27</v>
      </c>
      <c r="B50" s="7" t="s">
        <v>42</v>
      </c>
      <c r="C50" s="7" t="s">
        <v>46</v>
      </c>
      <c r="D50" s="7" t="s">
        <v>47</v>
      </c>
      <c r="E50" s="7" t="s">
        <v>35</v>
      </c>
      <c r="F50" s="7" t="s">
        <v>76</v>
      </c>
      <c r="G50" s="7">
        <v>2021</v>
      </c>
      <c r="H50" s="7" t="str">
        <f>CONCATENATE("14240554569")</f>
        <v>14240554569</v>
      </c>
      <c r="I50" s="7" t="s">
        <v>29</v>
      </c>
      <c r="J50" s="7" t="s">
        <v>30</v>
      </c>
      <c r="K50" s="7" t="str">
        <f>CONCATENATE("")</f>
        <v/>
      </c>
      <c r="L50" s="7" t="str">
        <f>CONCATENATE("11 11.2 4b")</f>
        <v>11 11.2 4b</v>
      </c>
      <c r="M50" s="7" t="str">
        <f>CONCATENATE("01593570433")</f>
        <v>01593570433</v>
      </c>
      <c r="N50" s="7" t="s">
        <v>102</v>
      </c>
      <c r="O50" s="7" t="s">
        <v>50</v>
      </c>
      <c r="P50" s="8">
        <v>44645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9">
        <v>1616.24</v>
      </c>
      <c r="W50" s="7">
        <v>696.92</v>
      </c>
      <c r="X50" s="7">
        <v>643.59</v>
      </c>
      <c r="Y50" s="7">
        <v>0</v>
      </c>
      <c r="Z50" s="7">
        <v>275.73</v>
      </c>
    </row>
    <row r="51" spans="1:26" x14ac:dyDescent="0.35">
      <c r="A51" s="7" t="s">
        <v>27</v>
      </c>
      <c r="B51" s="7" t="s">
        <v>42</v>
      </c>
      <c r="C51" s="7" t="s">
        <v>46</v>
      </c>
      <c r="D51" s="7" t="s">
        <v>47</v>
      </c>
      <c r="E51" s="7" t="s">
        <v>37</v>
      </c>
      <c r="F51" s="7" t="s">
        <v>103</v>
      </c>
      <c r="G51" s="7">
        <v>2021</v>
      </c>
      <c r="H51" s="7" t="str">
        <f>CONCATENATE("14240539719")</f>
        <v>14240539719</v>
      </c>
      <c r="I51" s="7" t="s">
        <v>29</v>
      </c>
      <c r="J51" s="7" t="s">
        <v>30</v>
      </c>
      <c r="K51" s="7" t="str">
        <f>CONCATENATE("")</f>
        <v/>
      </c>
      <c r="L51" s="7" t="str">
        <f>CONCATENATE("11 11.2 4b")</f>
        <v>11 11.2 4b</v>
      </c>
      <c r="M51" s="7" t="str">
        <f>CONCATENATE("SPTNRC76E27F051W")</f>
        <v>SPTNRC76E27F051W</v>
      </c>
      <c r="N51" s="7" t="s">
        <v>104</v>
      </c>
      <c r="O51" s="7" t="s">
        <v>50</v>
      </c>
      <c r="P51" s="8">
        <v>44645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9">
        <v>2307.83</v>
      </c>
      <c r="W51" s="7">
        <v>995.14</v>
      </c>
      <c r="X51" s="7">
        <v>918.98</v>
      </c>
      <c r="Y51" s="7">
        <v>0</v>
      </c>
      <c r="Z51" s="7">
        <v>393.71</v>
      </c>
    </row>
    <row r="52" spans="1:26" x14ac:dyDescent="0.35">
      <c r="A52" s="7" t="s">
        <v>27</v>
      </c>
      <c r="B52" s="7" t="s">
        <v>42</v>
      </c>
      <c r="C52" s="7" t="s">
        <v>46</v>
      </c>
      <c r="D52" s="7" t="s">
        <v>47</v>
      </c>
      <c r="E52" s="7" t="s">
        <v>35</v>
      </c>
      <c r="F52" s="7" t="s">
        <v>61</v>
      </c>
      <c r="G52" s="7">
        <v>2021</v>
      </c>
      <c r="H52" s="7" t="str">
        <f>CONCATENATE("14241088450")</f>
        <v>14241088450</v>
      </c>
      <c r="I52" s="7" t="s">
        <v>45</v>
      </c>
      <c r="J52" s="7" t="s">
        <v>30</v>
      </c>
      <c r="K52" s="7" t="str">
        <f>CONCATENATE("")</f>
        <v/>
      </c>
      <c r="L52" s="7" t="str">
        <f>CONCATENATE("11 11.2 4b")</f>
        <v>11 11.2 4b</v>
      </c>
      <c r="M52" s="7" t="str">
        <f>CONCATENATE("LBRLSS92P06B474R")</f>
        <v>LBRLSS92P06B474R</v>
      </c>
      <c r="N52" s="7" t="s">
        <v>105</v>
      </c>
      <c r="O52" s="7" t="s">
        <v>50</v>
      </c>
      <c r="P52" s="8">
        <v>44645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7">
        <v>589.09</v>
      </c>
      <c r="W52" s="7">
        <v>254.02</v>
      </c>
      <c r="X52" s="7">
        <v>234.58</v>
      </c>
      <c r="Y52" s="7">
        <v>0</v>
      </c>
      <c r="Z52" s="7">
        <v>100.49</v>
      </c>
    </row>
    <row r="53" spans="1:26" x14ac:dyDescent="0.35">
      <c r="A53" s="7" t="s">
        <v>27</v>
      </c>
      <c r="B53" s="7" t="s">
        <v>42</v>
      </c>
      <c r="C53" s="7" t="s">
        <v>46</v>
      </c>
      <c r="D53" s="7" t="s">
        <v>47</v>
      </c>
      <c r="E53" s="7" t="s">
        <v>37</v>
      </c>
      <c r="F53" s="7" t="s">
        <v>48</v>
      </c>
      <c r="G53" s="7">
        <v>2021</v>
      </c>
      <c r="H53" s="7" t="str">
        <f>CONCATENATE("14240777681")</f>
        <v>14240777681</v>
      </c>
      <c r="I53" s="7" t="s">
        <v>29</v>
      </c>
      <c r="J53" s="7" t="s">
        <v>30</v>
      </c>
      <c r="K53" s="7" t="str">
        <f>CONCATENATE("")</f>
        <v/>
      </c>
      <c r="L53" s="7" t="str">
        <f>CONCATENATE("11 11.2 4b")</f>
        <v>11 11.2 4b</v>
      </c>
      <c r="M53" s="7" t="str">
        <f>CONCATENATE("SRGMTN67T21I653A")</f>
        <v>SRGMTN67T21I653A</v>
      </c>
      <c r="N53" s="7" t="s">
        <v>106</v>
      </c>
      <c r="O53" s="7" t="s">
        <v>50</v>
      </c>
      <c r="P53" s="8">
        <v>44645</v>
      </c>
      <c r="Q53" s="7" t="s">
        <v>31</v>
      </c>
      <c r="R53" s="7" t="s">
        <v>32</v>
      </c>
      <c r="S53" s="7" t="s">
        <v>33</v>
      </c>
      <c r="T53" s="7"/>
      <c r="U53" s="7" t="s">
        <v>34</v>
      </c>
      <c r="V53" s="9">
        <v>12037.23</v>
      </c>
      <c r="W53" s="9">
        <v>5190.45</v>
      </c>
      <c r="X53" s="9">
        <v>4793.22</v>
      </c>
      <c r="Y53" s="7">
        <v>0</v>
      </c>
      <c r="Z53" s="9">
        <v>2053.56</v>
      </c>
    </row>
    <row r="54" spans="1:26" x14ac:dyDescent="0.35">
      <c r="A54" s="7" t="s">
        <v>27</v>
      </c>
      <c r="B54" s="7" t="s">
        <v>42</v>
      </c>
      <c r="C54" s="7" t="s">
        <v>46</v>
      </c>
      <c r="D54" s="7" t="s">
        <v>47</v>
      </c>
      <c r="E54" s="7" t="s">
        <v>37</v>
      </c>
      <c r="F54" s="7" t="s">
        <v>107</v>
      </c>
      <c r="G54" s="7">
        <v>2021</v>
      </c>
      <c r="H54" s="7" t="str">
        <f>CONCATENATE("14240705781")</f>
        <v>14240705781</v>
      </c>
      <c r="I54" s="7" t="s">
        <v>45</v>
      </c>
      <c r="J54" s="7" t="s">
        <v>30</v>
      </c>
      <c r="K54" s="7" t="str">
        <f>CONCATENATE("")</f>
        <v/>
      </c>
      <c r="L54" s="7" t="str">
        <f>CONCATENATE("11 11.2 4b")</f>
        <v>11 11.2 4b</v>
      </c>
      <c r="M54" s="7" t="str">
        <f>CONCATENATE("BSLLCU99A45I156E")</f>
        <v>BSLLCU99A45I156E</v>
      </c>
      <c r="N54" s="7" t="s">
        <v>108</v>
      </c>
      <c r="O54" s="7" t="s">
        <v>50</v>
      </c>
      <c r="P54" s="8">
        <v>44645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1536.34</v>
      </c>
      <c r="W54" s="7">
        <v>662.47</v>
      </c>
      <c r="X54" s="7">
        <v>611.77</v>
      </c>
      <c r="Y54" s="7">
        <v>0</v>
      </c>
      <c r="Z54" s="7">
        <v>262.10000000000002</v>
      </c>
    </row>
    <row r="55" spans="1:26" x14ac:dyDescent="0.35">
      <c r="A55" s="7" t="s">
        <v>27</v>
      </c>
      <c r="B55" s="7" t="s">
        <v>42</v>
      </c>
      <c r="C55" s="7" t="s">
        <v>46</v>
      </c>
      <c r="D55" s="7" t="s">
        <v>47</v>
      </c>
      <c r="E55" s="7" t="s">
        <v>35</v>
      </c>
      <c r="F55" s="7" t="s">
        <v>61</v>
      </c>
      <c r="G55" s="7">
        <v>2021</v>
      </c>
      <c r="H55" s="7" t="str">
        <f>CONCATENATE("14241108571")</f>
        <v>14241108571</v>
      </c>
      <c r="I55" s="7" t="s">
        <v>29</v>
      </c>
      <c r="J55" s="7" t="s">
        <v>30</v>
      </c>
      <c r="K55" s="7" t="str">
        <f>CONCATENATE("")</f>
        <v/>
      </c>
      <c r="L55" s="7" t="str">
        <f>CONCATENATE("11 11.2 4b")</f>
        <v>11 11.2 4b</v>
      </c>
      <c r="M55" s="7" t="str">
        <f>CONCATENATE("MCALSN96H01B474X")</f>
        <v>MCALSN96H01B474X</v>
      </c>
      <c r="N55" s="7" t="s">
        <v>109</v>
      </c>
      <c r="O55" s="7" t="s">
        <v>50</v>
      </c>
      <c r="P55" s="8">
        <v>44645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9">
        <v>2219.8000000000002</v>
      </c>
      <c r="W55" s="7">
        <v>957.18</v>
      </c>
      <c r="X55" s="7">
        <v>883.92</v>
      </c>
      <c r="Y55" s="7">
        <v>0</v>
      </c>
      <c r="Z55" s="7">
        <v>378.7</v>
      </c>
    </row>
    <row r="56" spans="1:26" x14ac:dyDescent="0.35">
      <c r="A56" s="7" t="s">
        <v>27</v>
      </c>
      <c r="B56" s="7" t="s">
        <v>42</v>
      </c>
      <c r="C56" s="7" t="s">
        <v>46</v>
      </c>
      <c r="D56" s="7" t="s">
        <v>47</v>
      </c>
      <c r="E56" s="7" t="s">
        <v>37</v>
      </c>
      <c r="F56" s="7" t="s">
        <v>48</v>
      </c>
      <c r="G56" s="7">
        <v>2021</v>
      </c>
      <c r="H56" s="7" t="str">
        <f>CONCATENATE("14241330613")</f>
        <v>14241330613</v>
      </c>
      <c r="I56" s="7" t="s">
        <v>29</v>
      </c>
      <c r="J56" s="7" t="s">
        <v>30</v>
      </c>
      <c r="K56" s="7" t="str">
        <f>CONCATENATE("")</f>
        <v/>
      </c>
      <c r="L56" s="7" t="str">
        <f>CONCATENATE("11 11.2 4b")</f>
        <v>11 11.2 4b</v>
      </c>
      <c r="M56" s="7" t="str">
        <f>CONCATENATE("RCCPRI60D14I148F")</f>
        <v>RCCPRI60D14I148F</v>
      </c>
      <c r="N56" s="7" t="s">
        <v>110</v>
      </c>
      <c r="O56" s="7" t="s">
        <v>50</v>
      </c>
      <c r="P56" s="8">
        <v>44645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9">
        <v>2126.9499999999998</v>
      </c>
      <c r="W56" s="7">
        <v>917.14</v>
      </c>
      <c r="X56" s="7">
        <v>846.95</v>
      </c>
      <c r="Y56" s="7">
        <v>0</v>
      </c>
      <c r="Z56" s="7">
        <v>362.86</v>
      </c>
    </row>
    <row r="57" spans="1:26" x14ac:dyDescent="0.35">
      <c r="A57" s="7" t="s">
        <v>27</v>
      </c>
      <c r="B57" s="7" t="s">
        <v>42</v>
      </c>
      <c r="C57" s="7" t="s">
        <v>46</v>
      </c>
      <c r="D57" s="7" t="s">
        <v>47</v>
      </c>
      <c r="E57" s="7" t="s">
        <v>35</v>
      </c>
      <c r="F57" s="7" t="s">
        <v>61</v>
      </c>
      <c r="G57" s="7">
        <v>2021</v>
      </c>
      <c r="H57" s="7" t="str">
        <f>CONCATENATE("14241144774")</f>
        <v>14241144774</v>
      </c>
      <c r="I57" s="7" t="s">
        <v>29</v>
      </c>
      <c r="J57" s="7" t="s">
        <v>30</v>
      </c>
      <c r="K57" s="7" t="str">
        <f>CONCATENATE("")</f>
        <v/>
      </c>
      <c r="L57" s="7" t="str">
        <f>CONCATENATE("11 11.2 4b")</f>
        <v>11 11.2 4b</v>
      </c>
      <c r="M57" s="7" t="str">
        <f>CONCATENATE("DLCFNC50E11F051G")</f>
        <v>DLCFNC50E11F051G</v>
      </c>
      <c r="N57" s="7" t="s">
        <v>111</v>
      </c>
      <c r="O57" s="7" t="s">
        <v>50</v>
      </c>
      <c r="P57" s="8">
        <v>44645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9">
        <v>7380.92</v>
      </c>
      <c r="W57" s="9">
        <v>3182.65</v>
      </c>
      <c r="X57" s="9">
        <v>2939.08</v>
      </c>
      <c r="Y57" s="7">
        <v>0</v>
      </c>
      <c r="Z57" s="9">
        <v>1259.19</v>
      </c>
    </row>
    <row r="58" spans="1:26" x14ac:dyDescent="0.35">
      <c r="A58" s="7" t="s">
        <v>27</v>
      </c>
      <c r="B58" s="7" t="s">
        <v>28</v>
      </c>
      <c r="C58" s="7" t="s">
        <v>46</v>
      </c>
      <c r="D58" s="7" t="s">
        <v>46</v>
      </c>
      <c r="E58" s="7" t="s">
        <v>36</v>
      </c>
      <c r="F58" s="7" t="s">
        <v>36</v>
      </c>
      <c r="G58" s="7">
        <v>2017</v>
      </c>
      <c r="H58" s="7" t="str">
        <f>CONCATENATE("14270341200")</f>
        <v>14270341200</v>
      </c>
      <c r="I58" s="7" t="s">
        <v>29</v>
      </c>
      <c r="J58" s="7" t="s">
        <v>30</v>
      </c>
      <c r="K58" s="7" t="str">
        <f>CONCATENATE("")</f>
        <v/>
      </c>
      <c r="L58" s="7" t="str">
        <f>CONCATENATE("19 19.2 6b")</f>
        <v>19 19.2 6b</v>
      </c>
      <c r="M58" s="7" t="str">
        <f>CONCATENATE("80001250440")</f>
        <v>80001250440</v>
      </c>
      <c r="N58" s="7" t="s">
        <v>112</v>
      </c>
      <c r="O58" s="7" t="s">
        <v>52</v>
      </c>
      <c r="P58" s="8">
        <v>44645</v>
      </c>
      <c r="Q58" s="7" t="s">
        <v>31</v>
      </c>
      <c r="R58" s="7" t="s">
        <v>40</v>
      </c>
      <c r="S58" s="7" t="s">
        <v>33</v>
      </c>
      <c r="T58" s="7"/>
      <c r="U58" s="7" t="s">
        <v>34</v>
      </c>
      <c r="V58" s="9">
        <v>36000</v>
      </c>
      <c r="W58" s="9">
        <v>15523.2</v>
      </c>
      <c r="X58" s="9">
        <v>14335.2</v>
      </c>
      <c r="Y58" s="7">
        <v>0</v>
      </c>
      <c r="Z58" s="9">
        <v>6141.6</v>
      </c>
    </row>
    <row r="59" spans="1:26" x14ac:dyDescent="0.35">
      <c r="A59" s="7" t="s">
        <v>27</v>
      </c>
      <c r="B59" s="7" t="s">
        <v>42</v>
      </c>
      <c r="C59" s="7" t="s">
        <v>46</v>
      </c>
      <c r="D59" s="7" t="s">
        <v>47</v>
      </c>
      <c r="E59" s="7" t="s">
        <v>36</v>
      </c>
      <c r="F59" s="7" t="s">
        <v>36</v>
      </c>
      <c r="G59" s="7">
        <v>2021</v>
      </c>
      <c r="H59" s="7" t="str">
        <f>CONCATENATE("14240867797")</f>
        <v>14240867797</v>
      </c>
      <c r="I59" s="7" t="s">
        <v>45</v>
      </c>
      <c r="J59" s="7" t="s">
        <v>30</v>
      </c>
      <c r="K59" s="7" t="str">
        <f>CONCATENATE("")</f>
        <v/>
      </c>
      <c r="L59" s="7" t="str">
        <f>CONCATENATE("14 14.1 3a")</f>
        <v>14 14.1 3a</v>
      </c>
      <c r="M59" s="7" t="str">
        <f>CONCATENATE("SCLMRC88D03D024S")</f>
        <v>SCLMRC88D03D024S</v>
      </c>
      <c r="N59" s="7" t="s">
        <v>113</v>
      </c>
      <c r="O59" s="7" t="s">
        <v>114</v>
      </c>
      <c r="P59" s="8">
        <v>44645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9">
        <v>24989.8</v>
      </c>
      <c r="W59" s="9">
        <v>10775.6</v>
      </c>
      <c r="X59" s="9">
        <v>9950.94</v>
      </c>
      <c r="Y59" s="7">
        <v>0</v>
      </c>
      <c r="Z59" s="9">
        <v>4263.26</v>
      </c>
    </row>
    <row r="60" spans="1:26" x14ac:dyDescent="0.35">
      <c r="A60" s="7" t="s">
        <v>27</v>
      </c>
      <c r="B60" s="7" t="s">
        <v>42</v>
      </c>
      <c r="C60" s="7" t="s">
        <v>46</v>
      </c>
      <c r="D60" s="7" t="s">
        <v>47</v>
      </c>
      <c r="E60" s="7" t="s">
        <v>35</v>
      </c>
      <c r="F60" s="7" t="s">
        <v>61</v>
      </c>
      <c r="G60" s="7">
        <v>2021</v>
      </c>
      <c r="H60" s="7" t="str">
        <f>CONCATENATE("14241597427")</f>
        <v>14241597427</v>
      </c>
      <c r="I60" s="7" t="s">
        <v>29</v>
      </c>
      <c r="J60" s="7" t="s">
        <v>30</v>
      </c>
      <c r="K60" s="7" t="str">
        <f>CONCATENATE("")</f>
        <v/>
      </c>
      <c r="L60" s="7" t="str">
        <f>CONCATENATE("14 14.1 3a")</f>
        <v>14 14.1 3a</v>
      </c>
      <c r="M60" s="7" t="str">
        <f>CONCATENATE("01761610433")</f>
        <v>01761610433</v>
      </c>
      <c r="N60" s="7" t="s">
        <v>115</v>
      </c>
      <c r="O60" s="7" t="s">
        <v>114</v>
      </c>
      <c r="P60" s="8">
        <v>44645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9">
        <v>18971.66</v>
      </c>
      <c r="W60" s="9">
        <v>8180.58</v>
      </c>
      <c r="X60" s="9">
        <v>7554.52</v>
      </c>
      <c r="Y60" s="7">
        <v>0</v>
      </c>
      <c r="Z60" s="9">
        <v>3236.56</v>
      </c>
    </row>
    <row r="61" spans="1:26" x14ac:dyDescent="0.35">
      <c r="A61" s="7" t="s">
        <v>27</v>
      </c>
      <c r="B61" s="7" t="s">
        <v>42</v>
      </c>
      <c r="C61" s="7" t="s">
        <v>46</v>
      </c>
      <c r="D61" s="7" t="s">
        <v>47</v>
      </c>
      <c r="E61" s="7" t="s">
        <v>35</v>
      </c>
      <c r="F61" s="7" t="s">
        <v>61</v>
      </c>
      <c r="G61" s="7">
        <v>2021</v>
      </c>
      <c r="H61" s="7" t="str">
        <f>CONCATENATE("14241278770")</f>
        <v>14241278770</v>
      </c>
      <c r="I61" s="7" t="s">
        <v>45</v>
      </c>
      <c r="J61" s="7" t="s">
        <v>30</v>
      </c>
      <c r="K61" s="7" t="str">
        <f>CONCATENATE("")</f>
        <v/>
      </c>
      <c r="L61" s="7" t="str">
        <f>CONCATENATE("14 14.1 3a")</f>
        <v>14 14.1 3a</v>
      </c>
      <c r="M61" s="7" t="str">
        <f>CONCATENATE("RCTGCR61M28B474D")</f>
        <v>RCTGCR61M28B474D</v>
      </c>
      <c r="N61" s="7" t="s">
        <v>116</v>
      </c>
      <c r="O61" s="7" t="s">
        <v>114</v>
      </c>
      <c r="P61" s="8">
        <v>44645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9">
        <v>4408</v>
      </c>
      <c r="W61" s="9">
        <v>1900.73</v>
      </c>
      <c r="X61" s="9">
        <v>1755.27</v>
      </c>
      <c r="Y61" s="7">
        <v>0</v>
      </c>
      <c r="Z61" s="7">
        <v>752</v>
      </c>
    </row>
    <row r="62" spans="1:26" x14ac:dyDescent="0.35">
      <c r="A62" s="7" t="s">
        <v>27</v>
      </c>
      <c r="B62" s="7" t="s">
        <v>42</v>
      </c>
      <c r="C62" s="7" t="s">
        <v>46</v>
      </c>
      <c r="D62" s="7" t="s">
        <v>47</v>
      </c>
      <c r="E62" s="7" t="s">
        <v>37</v>
      </c>
      <c r="F62" s="7" t="s">
        <v>103</v>
      </c>
      <c r="G62" s="7">
        <v>2021</v>
      </c>
      <c r="H62" s="7" t="str">
        <f>CONCATENATE("14240388836")</f>
        <v>14240388836</v>
      </c>
      <c r="I62" s="7" t="s">
        <v>45</v>
      </c>
      <c r="J62" s="7" t="s">
        <v>30</v>
      </c>
      <c r="K62" s="7" t="str">
        <f>CONCATENATE("")</f>
        <v/>
      </c>
      <c r="L62" s="7" t="str">
        <f>CONCATENATE("14 14.1 3a")</f>
        <v>14 14.1 3a</v>
      </c>
      <c r="M62" s="7" t="str">
        <f>CONCATENATE("CRFPPN66A10M078Z")</f>
        <v>CRFPPN66A10M078Z</v>
      </c>
      <c r="N62" s="7" t="s">
        <v>117</v>
      </c>
      <c r="O62" s="7" t="s">
        <v>114</v>
      </c>
      <c r="P62" s="8">
        <v>44645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9">
        <v>17979.919999999998</v>
      </c>
      <c r="W62" s="9">
        <v>7752.94</v>
      </c>
      <c r="X62" s="9">
        <v>7159.6</v>
      </c>
      <c r="Y62" s="7">
        <v>0</v>
      </c>
      <c r="Z62" s="9">
        <v>3067.38</v>
      </c>
    </row>
    <row r="63" spans="1:26" ht="17.5" x14ac:dyDescent="0.35">
      <c r="A63" s="7" t="s">
        <v>27</v>
      </c>
      <c r="B63" s="7" t="s">
        <v>42</v>
      </c>
      <c r="C63" s="7" t="s">
        <v>46</v>
      </c>
      <c r="D63" s="7" t="s">
        <v>47</v>
      </c>
      <c r="E63" s="7" t="s">
        <v>37</v>
      </c>
      <c r="F63" s="7" t="s">
        <v>118</v>
      </c>
      <c r="G63" s="7">
        <v>2021</v>
      </c>
      <c r="H63" s="7" t="str">
        <f>CONCATENATE("14241268250")</f>
        <v>14241268250</v>
      </c>
      <c r="I63" s="7" t="s">
        <v>45</v>
      </c>
      <c r="J63" s="7" t="s">
        <v>30</v>
      </c>
      <c r="K63" s="7" t="str">
        <f>CONCATENATE("")</f>
        <v/>
      </c>
      <c r="L63" s="7" t="str">
        <f>CONCATENATE("14 14.1 3a")</f>
        <v>14 14.1 3a</v>
      </c>
      <c r="M63" s="7" t="str">
        <f>CONCATENATE("01711460434")</f>
        <v>01711460434</v>
      </c>
      <c r="N63" s="7" t="s">
        <v>119</v>
      </c>
      <c r="O63" s="7" t="s">
        <v>114</v>
      </c>
      <c r="P63" s="8">
        <v>44645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9">
        <v>20124.8</v>
      </c>
      <c r="W63" s="9">
        <v>8677.81</v>
      </c>
      <c r="X63" s="9">
        <v>8013.7</v>
      </c>
      <c r="Y63" s="7">
        <v>0</v>
      </c>
      <c r="Z63" s="9">
        <v>3433.29</v>
      </c>
    </row>
    <row r="64" spans="1:26" x14ac:dyDescent="0.35">
      <c r="A64" s="7" t="s">
        <v>27</v>
      </c>
      <c r="B64" s="7" t="s">
        <v>42</v>
      </c>
      <c r="C64" s="7" t="s">
        <v>46</v>
      </c>
      <c r="D64" s="7" t="s">
        <v>47</v>
      </c>
      <c r="E64" s="7" t="s">
        <v>35</v>
      </c>
      <c r="F64" s="7" t="s">
        <v>61</v>
      </c>
      <c r="G64" s="7">
        <v>2021</v>
      </c>
      <c r="H64" s="7" t="str">
        <f>CONCATENATE("14240464959")</f>
        <v>14240464959</v>
      </c>
      <c r="I64" s="7" t="s">
        <v>45</v>
      </c>
      <c r="J64" s="7" t="s">
        <v>30</v>
      </c>
      <c r="K64" s="7" t="str">
        <f>CONCATENATE("")</f>
        <v/>
      </c>
      <c r="L64" s="7" t="str">
        <f>CONCATENATE("14 14.1 3a")</f>
        <v>14 14.1 3a</v>
      </c>
      <c r="M64" s="7" t="str">
        <f>CONCATENATE("TSCDNC49A01D653H")</f>
        <v>TSCDNC49A01D653H</v>
      </c>
      <c r="N64" s="7" t="s">
        <v>120</v>
      </c>
      <c r="O64" s="7" t="s">
        <v>114</v>
      </c>
      <c r="P64" s="8">
        <v>44645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9">
        <v>4720</v>
      </c>
      <c r="W64" s="9">
        <v>2035.26</v>
      </c>
      <c r="X64" s="9">
        <v>1879.5</v>
      </c>
      <c r="Y64" s="7">
        <v>0</v>
      </c>
      <c r="Z64" s="7">
        <v>805.24</v>
      </c>
    </row>
    <row r="65" spans="1:26" x14ac:dyDescent="0.35">
      <c r="A65" s="7" t="s">
        <v>27</v>
      </c>
      <c r="B65" s="7" t="s">
        <v>42</v>
      </c>
      <c r="C65" s="7" t="s">
        <v>46</v>
      </c>
      <c r="D65" s="7" t="s">
        <v>47</v>
      </c>
      <c r="E65" s="7" t="s">
        <v>37</v>
      </c>
      <c r="F65" s="7" t="s">
        <v>48</v>
      </c>
      <c r="G65" s="7">
        <v>2021</v>
      </c>
      <c r="H65" s="7" t="str">
        <f>CONCATENATE("14241137901")</f>
        <v>14241137901</v>
      </c>
      <c r="I65" s="7" t="s">
        <v>45</v>
      </c>
      <c r="J65" s="7" t="s">
        <v>30</v>
      </c>
      <c r="K65" s="7" t="str">
        <f>CONCATENATE("")</f>
        <v/>
      </c>
      <c r="L65" s="7" t="str">
        <f>CONCATENATE("14 14.1 3a")</f>
        <v>14 14.1 3a</v>
      </c>
      <c r="M65" s="7" t="str">
        <f>CONCATENATE("BRTGDU85T19B474U")</f>
        <v>BRTGDU85T19B474U</v>
      </c>
      <c r="N65" s="7" t="s">
        <v>121</v>
      </c>
      <c r="O65" s="7" t="s">
        <v>114</v>
      </c>
      <c r="P65" s="8">
        <v>44645</v>
      </c>
      <c r="Q65" s="7" t="s">
        <v>31</v>
      </c>
      <c r="R65" s="7" t="s">
        <v>32</v>
      </c>
      <c r="S65" s="7" t="s">
        <v>33</v>
      </c>
      <c r="T65" s="7"/>
      <c r="U65" s="7" t="s">
        <v>34</v>
      </c>
      <c r="V65" s="9">
        <v>9003.2000000000007</v>
      </c>
      <c r="W65" s="9">
        <v>3882.18</v>
      </c>
      <c r="X65" s="9">
        <v>3585.07</v>
      </c>
      <c r="Y65" s="7">
        <v>0</v>
      </c>
      <c r="Z65" s="9">
        <v>1535.95</v>
      </c>
    </row>
    <row r="66" spans="1:26" x14ac:dyDescent="0.35">
      <c r="A66" s="7" t="s">
        <v>27</v>
      </c>
      <c r="B66" s="7" t="s">
        <v>42</v>
      </c>
      <c r="C66" s="7" t="s">
        <v>46</v>
      </c>
      <c r="D66" s="7" t="s">
        <v>47</v>
      </c>
      <c r="E66" s="7" t="s">
        <v>41</v>
      </c>
      <c r="F66" s="7" t="s">
        <v>122</v>
      </c>
      <c r="G66" s="7">
        <v>2021</v>
      </c>
      <c r="H66" s="7" t="str">
        <f>CONCATENATE("14241051284")</f>
        <v>14241051284</v>
      </c>
      <c r="I66" s="7" t="s">
        <v>45</v>
      </c>
      <c r="J66" s="7" t="s">
        <v>30</v>
      </c>
      <c r="K66" s="7" t="str">
        <f>CONCATENATE("")</f>
        <v/>
      </c>
      <c r="L66" s="7" t="str">
        <f>CONCATENATE("14 14.1 3a")</f>
        <v>14 14.1 3a</v>
      </c>
      <c r="M66" s="7" t="str">
        <f>CONCATENATE("BRTSNO79H48L366G")</f>
        <v>BRTSNO79H48L366G</v>
      </c>
      <c r="N66" s="7" t="s">
        <v>123</v>
      </c>
      <c r="O66" s="7" t="s">
        <v>114</v>
      </c>
      <c r="P66" s="8">
        <v>44645</v>
      </c>
      <c r="Q66" s="7" t="s">
        <v>31</v>
      </c>
      <c r="R66" s="7" t="s">
        <v>32</v>
      </c>
      <c r="S66" s="7" t="s">
        <v>33</v>
      </c>
      <c r="T66" s="7"/>
      <c r="U66" s="7" t="s">
        <v>34</v>
      </c>
      <c r="V66" s="9">
        <v>6565</v>
      </c>
      <c r="W66" s="9">
        <v>2830.83</v>
      </c>
      <c r="X66" s="9">
        <v>2614.1799999999998</v>
      </c>
      <c r="Y66" s="7">
        <v>0</v>
      </c>
      <c r="Z66" s="9">
        <v>1119.99</v>
      </c>
    </row>
    <row r="67" spans="1:26" x14ac:dyDescent="0.35">
      <c r="A67" s="7" t="s">
        <v>27</v>
      </c>
      <c r="B67" s="7" t="s">
        <v>42</v>
      </c>
      <c r="C67" s="7" t="s">
        <v>46</v>
      </c>
      <c r="D67" s="7" t="s">
        <v>47</v>
      </c>
      <c r="E67" s="7" t="s">
        <v>35</v>
      </c>
      <c r="F67" s="7" t="s">
        <v>61</v>
      </c>
      <c r="G67" s="7">
        <v>2021</v>
      </c>
      <c r="H67" s="7" t="str">
        <f>CONCATENATE("14240406943")</f>
        <v>14240406943</v>
      </c>
      <c r="I67" s="7" t="s">
        <v>45</v>
      </c>
      <c r="J67" s="7" t="s">
        <v>30</v>
      </c>
      <c r="K67" s="7" t="str">
        <f>CONCATENATE("")</f>
        <v/>
      </c>
      <c r="L67" s="7" t="str">
        <f>CONCATENATE("14 14.1 3a")</f>
        <v>14 14.1 3a</v>
      </c>
      <c r="M67" s="7" t="str">
        <f>CONCATENATE("FBRFST81T23B474X")</f>
        <v>FBRFST81T23B474X</v>
      </c>
      <c r="N67" s="7" t="s">
        <v>124</v>
      </c>
      <c r="O67" s="7" t="s">
        <v>114</v>
      </c>
      <c r="P67" s="8">
        <v>44645</v>
      </c>
      <c r="Q67" s="7" t="s">
        <v>31</v>
      </c>
      <c r="R67" s="7" t="s">
        <v>32</v>
      </c>
      <c r="S67" s="7" t="s">
        <v>33</v>
      </c>
      <c r="T67" s="7"/>
      <c r="U67" s="7" t="s">
        <v>34</v>
      </c>
      <c r="V67" s="9">
        <v>7105.05</v>
      </c>
      <c r="W67" s="9">
        <v>3063.7</v>
      </c>
      <c r="X67" s="9">
        <v>2829.23</v>
      </c>
      <c r="Y67" s="7">
        <v>0</v>
      </c>
      <c r="Z67" s="9">
        <v>1212.1199999999999</v>
      </c>
    </row>
    <row r="68" spans="1:26" x14ac:dyDescent="0.35">
      <c r="A68" s="7" t="s">
        <v>27</v>
      </c>
      <c r="B68" s="7" t="s">
        <v>42</v>
      </c>
      <c r="C68" s="7" t="s">
        <v>46</v>
      </c>
      <c r="D68" s="7" t="s">
        <v>47</v>
      </c>
      <c r="E68" s="7" t="s">
        <v>35</v>
      </c>
      <c r="F68" s="7" t="s">
        <v>125</v>
      </c>
      <c r="G68" s="7">
        <v>2021</v>
      </c>
      <c r="H68" s="7" t="str">
        <f>CONCATENATE("14240801630")</f>
        <v>14240801630</v>
      </c>
      <c r="I68" s="7" t="s">
        <v>45</v>
      </c>
      <c r="J68" s="7" t="s">
        <v>30</v>
      </c>
      <c r="K68" s="7" t="str">
        <f>CONCATENATE("")</f>
        <v/>
      </c>
      <c r="L68" s="7" t="str">
        <f>CONCATENATE("14 14.1 3a")</f>
        <v>14 14.1 3a</v>
      </c>
      <c r="M68" s="7" t="str">
        <f>CONCATENATE("RZOWTR88E06E783C")</f>
        <v>RZOWTR88E06E783C</v>
      </c>
      <c r="N68" s="7" t="s">
        <v>126</v>
      </c>
      <c r="O68" s="7" t="s">
        <v>114</v>
      </c>
      <c r="P68" s="8">
        <v>44645</v>
      </c>
      <c r="Q68" s="7" t="s">
        <v>31</v>
      </c>
      <c r="R68" s="7" t="s">
        <v>32</v>
      </c>
      <c r="S68" s="7" t="s">
        <v>33</v>
      </c>
      <c r="T68" s="7"/>
      <c r="U68" s="7" t="s">
        <v>34</v>
      </c>
      <c r="V68" s="9">
        <v>5160</v>
      </c>
      <c r="W68" s="9">
        <v>2224.9899999999998</v>
      </c>
      <c r="X68" s="9">
        <v>2054.71</v>
      </c>
      <c r="Y68" s="7">
        <v>0</v>
      </c>
      <c r="Z68" s="7">
        <v>880.3</v>
      </c>
    </row>
    <row r="69" spans="1:26" x14ac:dyDescent="0.35">
      <c r="A69" s="7" t="s">
        <v>27</v>
      </c>
      <c r="B69" s="7" t="s">
        <v>28</v>
      </c>
      <c r="C69" s="7" t="s">
        <v>46</v>
      </c>
      <c r="D69" s="7" t="s">
        <v>46</v>
      </c>
      <c r="E69" s="7" t="s">
        <v>36</v>
      </c>
      <c r="F69" s="7" t="s">
        <v>36</v>
      </c>
      <c r="G69" s="7">
        <v>2017</v>
      </c>
      <c r="H69" s="7" t="str">
        <f>CONCATENATE("14270363691")</f>
        <v>14270363691</v>
      </c>
      <c r="I69" s="7" t="s">
        <v>29</v>
      </c>
      <c r="J69" s="7" t="s">
        <v>30</v>
      </c>
      <c r="K69" s="7" t="str">
        <f>CONCATENATE("")</f>
        <v/>
      </c>
      <c r="L69" s="7" t="str">
        <f>CONCATENATE("19 19.2 6b")</f>
        <v>19 19.2 6b</v>
      </c>
      <c r="M69" s="7" t="str">
        <f>CONCATENATE("02600080416")</f>
        <v>02600080416</v>
      </c>
      <c r="N69" s="7" t="s">
        <v>127</v>
      </c>
      <c r="O69" s="7" t="s">
        <v>128</v>
      </c>
      <c r="P69" s="8">
        <v>44645</v>
      </c>
      <c r="Q69" s="7" t="s">
        <v>31</v>
      </c>
      <c r="R69" s="7" t="s">
        <v>39</v>
      </c>
      <c r="S69" s="7" t="s">
        <v>33</v>
      </c>
      <c r="T69" s="7"/>
      <c r="U69" s="7" t="s">
        <v>34</v>
      </c>
      <c r="V69" s="9">
        <v>15000</v>
      </c>
      <c r="W69" s="9">
        <v>6468</v>
      </c>
      <c r="X69" s="9">
        <v>5973</v>
      </c>
      <c r="Y69" s="7">
        <v>0</v>
      </c>
      <c r="Z69" s="9">
        <v>2559</v>
      </c>
    </row>
    <row r="70" spans="1:26" ht="17.5" x14ac:dyDescent="0.35">
      <c r="A70" s="7" t="s">
        <v>27</v>
      </c>
      <c r="B70" s="7" t="s">
        <v>42</v>
      </c>
      <c r="C70" s="7" t="s">
        <v>46</v>
      </c>
      <c r="D70" s="7" t="s">
        <v>47</v>
      </c>
      <c r="E70" s="7" t="s">
        <v>37</v>
      </c>
      <c r="F70" s="7" t="s">
        <v>48</v>
      </c>
      <c r="G70" s="7">
        <v>2021</v>
      </c>
      <c r="H70" s="7" t="str">
        <f>CONCATENATE("14210568060")</f>
        <v>14210568060</v>
      </c>
      <c r="I70" s="7" t="s">
        <v>29</v>
      </c>
      <c r="J70" s="7" t="s">
        <v>30</v>
      </c>
      <c r="K70" s="7" t="str">
        <f>CONCATENATE("")</f>
        <v/>
      </c>
      <c r="L70" s="7" t="str">
        <f>CONCATENATE("13 13.1 4a")</f>
        <v>13 13.1 4a</v>
      </c>
      <c r="M70" s="7" t="str">
        <f>CONCATENATE("01597000437")</f>
        <v>01597000437</v>
      </c>
      <c r="N70" s="7" t="s">
        <v>98</v>
      </c>
      <c r="O70" s="7" t="s">
        <v>129</v>
      </c>
      <c r="P70" s="8">
        <v>44645</v>
      </c>
      <c r="Q70" s="7" t="s">
        <v>31</v>
      </c>
      <c r="R70" s="7" t="s">
        <v>32</v>
      </c>
      <c r="S70" s="7" t="s">
        <v>33</v>
      </c>
      <c r="T70" s="7"/>
      <c r="U70" s="7" t="s">
        <v>34</v>
      </c>
      <c r="V70" s="7">
        <v>492.09</v>
      </c>
      <c r="W70" s="7">
        <v>212.19</v>
      </c>
      <c r="X70" s="7">
        <v>195.95</v>
      </c>
      <c r="Y70" s="7">
        <v>0</v>
      </c>
      <c r="Z70" s="7">
        <v>83.95</v>
      </c>
    </row>
    <row r="71" spans="1:26" x14ac:dyDescent="0.35">
      <c r="A71" s="7" t="s">
        <v>27</v>
      </c>
      <c r="B71" s="7" t="s">
        <v>42</v>
      </c>
      <c r="C71" s="7" t="s">
        <v>46</v>
      </c>
      <c r="D71" s="7" t="s">
        <v>47</v>
      </c>
      <c r="E71" s="7" t="s">
        <v>37</v>
      </c>
      <c r="F71" s="7" t="s">
        <v>103</v>
      </c>
      <c r="G71" s="7">
        <v>2021</v>
      </c>
      <c r="H71" s="7" t="str">
        <f>CONCATENATE("14210405461")</f>
        <v>14210405461</v>
      </c>
      <c r="I71" s="7" t="s">
        <v>29</v>
      </c>
      <c r="J71" s="7" t="s">
        <v>30</v>
      </c>
      <c r="K71" s="7" t="str">
        <f>CONCATENATE("")</f>
        <v/>
      </c>
      <c r="L71" s="7" t="str">
        <f>CONCATENATE("13 13.1 4a")</f>
        <v>13 13.1 4a</v>
      </c>
      <c r="M71" s="7" t="str">
        <f>CONCATENATE("SPTNRC76E27F051W")</f>
        <v>SPTNRC76E27F051W</v>
      </c>
      <c r="N71" s="7" t="s">
        <v>104</v>
      </c>
      <c r="O71" s="7" t="s">
        <v>129</v>
      </c>
      <c r="P71" s="8">
        <v>44645</v>
      </c>
      <c r="Q71" s="7" t="s">
        <v>31</v>
      </c>
      <c r="R71" s="7" t="s">
        <v>32</v>
      </c>
      <c r="S71" s="7" t="s">
        <v>33</v>
      </c>
      <c r="T71" s="7"/>
      <c r="U71" s="7" t="s">
        <v>34</v>
      </c>
      <c r="V71" s="9">
        <v>3351.56</v>
      </c>
      <c r="W71" s="9">
        <v>1445.19</v>
      </c>
      <c r="X71" s="9">
        <v>1334.59</v>
      </c>
      <c r="Y71" s="7">
        <v>0</v>
      </c>
      <c r="Z71" s="7">
        <v>571.78</v>
      </c>
    </row>
    <row r="72" spans="1:26" x14ac:dyDescent="0.35">
      <c r="A72" s="7" t="s">
        <v>27</v>
      </c>
      <c r="B72" s="7" t="s">
        <v>42</v>
      </c>
      <c r="C72" s="7" t="s">
        <v>46</v>
      </c>
      <c r="D72" s="7" t="s">
        <v>47</v>
      </c>
      <c r="E72" s="7" t="s">
        <v>37</v>
      </c>
      <c r="F72" s="7" t="s">
        <v>103</v>
      </c>
      <c r="G72" s="7">
        <v>2021</v>
      </c>
      <c r="H72" s="7" t="str">
        <f>CONCATENATE("14210367943")</f>
        <v>14210367943</v>
      </c>
      <c r="I72" s="7" t="s">
        <v>29</v>
      </c>
      <c r="J72" s="7" t="s">
        <v>30</v>
      </c>
      <c r="K72" s="7" t="str">
        <f>CONCATENATE("")</f>
        <v/>
      </c>
      <c r="L72" s="7" t="str">
        <f>CONCATENATE("13 13.1 4a")</f>
        <v>13 13.1 4a</v>
      </c>
      <c r="M72" s="7" t="str">
        <f>CONCATENATE("PRSMHL86S54I156V")</f>
        <v>PRSMHL86S54I156V</v>
      </c>
      <c r="N72" s="7" t="s">
        <v>130</v>
      </c>
      <c r="O72" s="7" t="s">
        <v>129</v>
      </c>
      <c r="P72" s="8">
        <v>44645</v>
      </c>
      <c r="Q72" s="7" t="s">
        <v>31</v>
      </c>
      <c r="R72" s="7" t="s">
        <v>32</v>
      </c>
      <c r="S72" s="7" t="s">
        <v>33</v>
      </c>
      <c r="T72" s="7"/>
      <c r="U72" s="7" t="s">
        <v>34</v>
      </c>
      <c r="V72" s="9">
        <v>8316.0300000000007</v>
      </c>
      <c r="W72" s="9">
        <v>3585.87</v>
      </c>
      <c r="X72" s="9">
        <v>3311.44</v>
      </c>
      <c r="Y72" s="7">
        <v>0</v>
      </c>
      <c r="Z72" s="9">
        <v>1418.72</v>
      </c>
    </row>
    <row r="73" spans="1:26" x14ac:dyDescent="0.35">
      <c r="A73" s="7" t="s">
        <v>27</v>
      </c>
      <c r="B73" s="7" t="s">
        <v>42</v>
      </c>
      <c r="C73" s="7" t="s">
        <v>46</v>
      </c>
      <c r="D73" s="7" t="s">
        <v>47</v>
      </c>
      <c r="E73" s="7" t="s">
        <v>35</v>
      </c>
      <c r="F73" s="7" t="s">
        <v>61</v>
      </c>
      <c r="G73" s="7">
        <v>2021</v>
      </c>
      <c r="H73" s="7" t="str">
        <f>CONCATENATE("14210308749")</f>
        <v>14210308749</v>
      </c>
      <c r="I73" s="7" t="s">
        <v>45</v>
      </c>
      <c r="J73" s="7" t="s">
        <v>30</v>
      </c>
      <c r="K73" s="7" t="str">
        <f>CONCATENATE("")</f>
        <v/>
      </c>
      <c r="L73" s="7" t="str">
        <f>CONCATENATE("13 13.1 4a")</f>
        <v>13 13.1 4a</v>
      </c>
      <c r="M73" s="7" t="str">
        <f>CONCATENATE("LBRLSS92P06B474R")</f>
        <v>LBRLSS92P06B474R</v>
      </c>
      <c r="N73" s="7" t="s">
        <v>105</v>
      </c>
      <c r="O73" s="7" t="s">
        <v>129</v>
      </c>
      <c r="P73" s="8">
        <v>44645</v>
      </c>
      <c r="Q73" s="7" t="s">
        <v>31</v>
      </c>
      <c r="R73" s="7" t="s">
        <v>32</v>
      </c>
      <c r="S73" s="7" t="s">
        <v>33</v>
      </c>
      <c r="T73" s="7"/>
      <c r="U73" s="7" t="s">
        <v>34</v>
      </c>
      <c r="V73" s="7">
        <v>598.61</v>
      </c>
      <c r="W73" s="7">
        <v>258.12</v>
      </c>
      <c r="X73" s="7">
        <v>238.37</v>
      </c>
      <c r="Y73" s="7">
        <v>0</v>
      </c>
      <c r="Z73" s="7">
        <v>102.12</v>
      </c>
    </row>
    <row r="74" spans="1:26" x14ac:dyDescent="0.35">
      <c r="A74" s="7" t="s">
        <v>27</v>
      </c>
      <c r="B74" s="7" t="s">
        <v>42</v>
      </c>
      <c r="C74" s="7" t="s">
        <v>46</v>
      </c>
      <c r="D74" s="7" t="s">
        <v>47</v>
      </c>
      <c r="E74" s="7" t="s">
        <v>37</v>
      </c>
      <c r="F74" s="7" t="s">
        <v>107</v>
      </c>
      <c r="G74" s="7">
        <v>2021</v>
      </c>
      <c r="H74" s="7" t="str">
        <f>CONCATENATE("14210646049")</f>
        <v>14210646049</v>
      </c>
      <c r="I74" s="7" t="s">
        <v>45</v>
      </c>
      <c r="J74" s="7" t="s">
        <v>30</v>
      </c>
      <c r="K74" s="7" t="str">
        <f>CONCATENATE("")</f>
        <v/>
      </c>
      <c r="L74" s="7" t="str">
        <f>CONCATENATE("13 13.1 4a")</f>
        <v>13 13.1 4a</v>
      </c>
      <c r="M74" s="7" t="str">
        <f>CONCATENATE("BSLLCU99A45I156E")</f>
        <v>BSLLCU99A45I156E</v>
      </c>
      <c r="N74" s="7" t="s">
        <v>108</v>
      </c>
      <c r="O74" s="7" t="s">
        <v>129</v>
      </c>
      <c r="P74" s="8">
        <v>44645</v>
      </c>
      <c r="Q74" s="7" t="s">
        <v>31</v>
      </c>
      <c r="R74" s="7" t="s">
        <v>32</v>
      </c>
      <c r="S74" s="7" t="s">
        <v>33</v>
      </c>
      <c r="T74" s="7"/>
      <c r="U74" s="7" t="s">
        <v>34</v>
      </c>
      <c r="V74" s="9">
        <v>1350</v>
      </c>
      <c r="W74" s="7">
        <v>582.12</v>
      </c>
      <c r="X74" s="7">
        <v>537.57000000000005</v>
      </c>
      <c r="Y74" s="7">
        <v>0</v>
      </c>
      <c r="Z74" s="7">
        <v>230.31</v>
      </c>
    </row>
    <row r="75" spans="1:26" x14ac:dyDescent="0.35">
      <c r="A75" s="7" t="s">
        <v>27</v>
      </c>
      <c r="B75" s="7" t="s">
        <v>42</v>
      </c>
      <c r="C75" s="7" t="s">
        <v>46</v>
      </c>
      <c r="D75" s="7" t="s">
        <v>47</v>
      </c>
      <c r="E75" s="7" t="s">
        <v>35</v>
      </c>
      <c r="F75" s="7" t="s">
        <v>61</v>
      </c>
      <c r="G75" s="7">
        <v>2021</v>
      </c>
      <c r="H75" s="7" t="str">
        <f>CONCATENATE("14210182078")</f>
        <v>14210182078</v>
      </c>
      <c r="I75" s="7" t="s">
        <v>45</v>
      </c>
      <c r="J75" s="7" t="s">
        <v>30</v>
      </c>
      <c r="K75" s="7" t="str">
        <f>CONCATENATE("")</f>
        <v/>
      </c>
      <c r="L75" s="7" t="str">
        <f>CONCATENATE("13 13.1 4a")</f>
        <v>13 13.1 4a</v>
      </c>
      <c r="M75" s="7" t="str">
        <f>CONCATENATE("TSCDNC49A01D653H")</f>
        <v>TSCDNC49A01D653H</v>
      </c>
      <c r="N75" s="7" t="s">
        <v>120</v>
      </c>
      <c r="O75" s="7" t="s">
        <v>129</v>
      </c>
      <c r="P75" s="8">
        <v>44645</v>
      </c>
      <c r="Q75" s="7" t="s">
        <v>31</v>
      </c>
      <c r="R75" s="7" t="s">
        <v>32</v>
      </c>
      <c r="S75" s="7" t="s">
        <v>33</v>
      </c>
      <c r="T75" s="7"/>
      <c r="U75" s="7" t="s">
        <v>34</v>
      </c>
      <c r="V75" s="7">
        <v>570.72</v>
      </c>
      <c r="W75" s="7">
        <v>246.09</v>
      </c>
      <c r="X75" s="7">
        <v>227.26</v>
      </c>
      <c r="Y75" s="7">
        <v>0</v>
      </c>
      <c r="Z75" s="7">
        <v>97.37</v>
      </c>
    </row>
    <row r="76" spans="1:26" x14ac:dyDescent="0.35">
      <c r="A76" s="7" t="s">
        <v>27</v>
      </c>
      <c r="B76" s="7" t="s">
        <v>42</v>
      </c>
      <c r="C76" s="7" t="s">
        <v>46</v>
      </c>
      <c r="D76" s="7" t="s">
        <v>47</v>
      </c>
      <c r="E76" s="7" t="s">
        <v>37</v>
      </c>
      <c r="F76" s="7" t="s">
        <v>48</v>
      </c>
      <c r="G76" s="7">
        <v>2021</v>
      </c>
      <c r="H76" s="7" t="str">
        <f>CONCATENATE("14241082198")</f>
        <v>14241082198</v>
      </c>
      <c r="I76" s="7" t="s">
        <v>45</v>
      </c>
      <c r="J76" s="7" t="s">
        <v>30</v>
      </c>
      <c r="K76" s="7" t="str">
        <f>CONCATENATE("")</f>
        <v/>
      </c>
      <c r="L76" s="7" t="str">
        <f>CONCATENATE("14 14.1 3a")</f>
        <v>14 14.1 3a</v>
      </c>
      <c r="M76" s="7" t="str">
        <f>CONCATENATE("TRNMRA91D04B474F")</f>
        <v>TRNMRA91D04B474F</v>
      </c>
      <c r="N76" s="7" t="s">
        <v>131</v>
      </c>
      <c r="O76" s="7" t="s">
        <v>114</v>
      </c>
      <c r="P76" s="8">
        <v>44645</v>
      </c>
      <c r="Q76" s="7" t="s">
        <v>31</v>
      </c>
      <c r="R76" s="7" t="s">
        <v>32</v>
      </c>
      <c r="S76" s="7" t="s">
        <v>33</v>
      </c>
      <c r="T76" s="7"/>
      <c r="U76" s="7" t="s">
        <v>34</v>
      </c>
      <c r="V76" s="9">
        <v>16814.8</v>
      </c>
      <c r="W76" s="9">
        <v>7250.54</v>
      </c>
      <c r="X76" s="9">
        <v>6695.65</v>
      </c>
      <c r="Y76" s="7">
        <v>0</v>
      </c>
      <c r="Z76" s="9">
        <v>2868.61</v>
      </c>
    </row>
    <row r="77" spans="1:26" x14ac:dyDescent="0.35">
      <c r="A77" s="7" t="s">
        <v>27</v>
      </c>
      <c r="B77" s="7" t="s">
        <v>42</v>
      </c>
      <c r="C77" s="7" t="s">
        <v>46</v>
      </c>
      <c r="D77" s="7" t="s">
        <v>47</v>
      </c>
      <c r="E77" s="7" t="s">
        <v>35</v>
      </c>
      <c r="F77" s="7" t="s">
        <v>61</v>
      </c>
      <c r="G77" s="7">
        <v>2021</v>
      </c>
      <c r="H77" s="7" t="str">
        <f>CONCATENATE("14240441551")</f>
        <v>14240441551</v>
      </c>
      <c r="I77" s="7" t="s">
        <v>45</v>
      </c>
      <c r="J77" s="7" t="s">
        <v>30</v>
      </c>
      <c r="K77" s="7" t="str">
        <f>CONCATENATE("")</f>
        <v/>
      </c>
      <c r="L77" s="7" t="str">
        <f>CONCATENATE("14 14.1 3a")</f>
        <v>14 14.1 3a</v>
      </c>
      <c r="M77" s="7" t="str">
        <f>CONCATENATE("01015260431")</f>
        <v>01015260431</v>
      </c>
      <c r="N77" s="7" t="s">
        <v>132</v>
      </c>
      <c r="O77" s="7" t="s">
        <v>114</v>
      </c>
      <c r="P77" s="8">
        <v>44645</v>
      </c>
      <c r="Q77" s="7" t="s">
        <v>31</v>
      </c>
      <c r="R77" s="7" t="s">
        <v>32</v>
      </c>
      <c r="S77" s="7" t="s">
        <v>33</v>
      </c>
      <c r="T77" s="7"/>
      <c r="U77" s="7" t="s">
        <v>34</v>
      </c>
      <c r="V77" s="9">
        <v>31908.400000000001</v>
      </c>
      <c r="W77" s="9">
        <v>13758.9</v>
      </c>
      <c r="X77" s="9">
        <v>12705.92</v>
      </c>
      <c r="Y77" s="7">
        <v>0</v>
      </c>
      <c r="Z77" s="9">
        <v>5443.58</v>
      </c>
    </row>
    <row r="78" spans="1:26" x14ac:dyDescent="0.35">
      <c r="A78" s="7" t="s">
        <v>27</v>
      </c>
      <c r="B78" s="7" t="s">
        <v>42</v>
      </c>
      <c r="C78" s="7" t="s">
        <v>46</v>
      </c>
      <c r="D78" s="7" t="s">
        <v>47</v>
      </c>
      <c r="E78" s="7" t="s">
        <v>37</v>
      </c>
      <c r="F78" s="7" t="s">
        <v>103</v>
      </c>
      <c r="G78" s="7">
        <v>2021</v>
      </c>
      <c r="H78" s="7" t="str">
        <f>CONCATENATE("14210849817")</f>
        <v>14210849817</v>
      </c>
      <c r="I78" s="7" t="s">
        <v>29</v>
      </c>
      <c r="J78" s="7" t="s">
        <v>30</v>
      </c>
      <c r="K78" s="7" t="str">
        <f>CONCATENATE("")</f>
        <v/>
      </c>
      <c r="L78" s="7" t="str">
        <f>CONCATENATE("13 13.1 4a")</f>
        <v>13 13.1 4a</v>
      </c>
      <c r="M78" s="7" t="str">
        <f>CONCATENATE("MCAMGS61R55I661H")</f>
        <v>MCAMGS61R55I661H</v>
      </c>
      <c r="N78" s="7" t="s">
        <v>133</v>
      </c>
      <c r="O78" s="7" t="s">
        <v>129</v>
      </c>
      <c r="P78" s="8">
        <v>44645</v>
      </c>
      <c r="Q78" s="7" t="s">
        <v>31</v>
      </c>
      <c r="R78" s="7" t="s">
        <v>32</v>
      </c>
      <c r="S78" s="7" t="s">
        <v>33</v>
      </c>
      <c r="T78" s="7"/>
      <c r="U78" s="7" t="s">
        <v>34</v>
      </c>
      <c r="V78" s="9">
        <v>5347.24</v>
      </c>
      <c r="W78" s="9">
        <v>2305.73</v>
      </c>
      <c r="X78" s="9">
        <v>2129.27</v>
      </c>
      <c r="Y78" s="7">
        <v>0</v>
      </c>
      <c r="Z78" s="7">
        <v>912.24</v>
      </c>
    </row>
    <row r="79" spans="1:26" x14ac:dyDescent="0.35">
      <c r="A79" s="7" t="s">
        <v>27</v>
      </c>
      <c r="B79" s="7" t="s">
        <v>42</v>
      </c>
      <c r="C79" s="7" t="s">
        <v>46</v>
      </c>
      <c r="D79" s="7" t="s">
        <v>47</v>
      </c>
      <c r="E79" s="7" t="s">
        <v>35</v>
      </c>
      <c r="F79" s="7" t="s">
        <v>61</v>
      </c>
      <c r="G79" s="7">
        <v>2021</v>
      </c>
      <c r="H79" s="7" t="str">
        <f>CONCATENATE("14210097243")</f>
        <v>14210097243</v>
      </c>
      <c r="I79" s="7" t="s">
        <v>29</v>
      </c>
      <c r="J79" s="7" t="s">
        <v>30</v>
      </c>
      <c r="K79" s="7" t="str">
        <f>CONCATENATE("")</f>
        <v/>
      </c>
      <c r="L79" s="7" t="str">
        <f>CONCATENATE("13 13.1 4a")</f>
        <v>13 13.1 4a</v>
      </c>
      <c r="M79" s="7" t="str">
        <f>CONCATENATE("NGLSFN67A15B474H")</f>
        <v>NGLSFN67A15B474H</v>
      </c>
      <c r="N79" s="7" t="s">
        <v>134</v>
      </c>
      <c r="O79" s="7" t="s">
        <v>129</v>
      </c>
      <c r="P79" s="8">
        <v>44645</v>
      </c>
      <c r="Q79" s="7" t="s">
        <v>31</v>
      </c>
      <c r="R79" s="7" t="s">
        <v>32</v>
      </c>
      <c r="S79" s="7" t="s">
        <v>33</v>
      </c>
      <c r="T79" s="7"/>
      <c r="U79" s="7" t="s">
        <v>34</v>
      </c>
      <c r="V79" s="9">
        <v>8802.48</v>
      </c>
      <c r="W79" s="9">
        <v>3795.63</v>
      </c>
      <c r="X79" s="9">
        <v>3505.15</v>
      </c>
      <c r="Y79" s="7">
        <v>0</v>
      </c>
      <c r="Z79" s="9">
        <v>1501.7</v>
      </c>
    </row>
    <row r="80" spans="1:26" x14ac:dyDescent="0.35">
      <c r="A80" s="7" t="s">
        <v>27</v>
      </c>
      <c r="B80" s="7" t="s">
        <v>42</v>
      </c>
      <c r="C80" s="7" t="s">
        <v>46</v>
      </c>
      <c r="D80" s="7" t="s">
        <v>47</v>
      </c>
      <c r="E80" s="7" t="s">
        <v>35</v>
      </c>
      <c r="F80" s="7" t="s">
        <v>76</v>
      </c>
      <c r="G80" s="7">
        <v>2021</v>
      </c>
      <c r="H80" s="7" t="str">
        <f>CONCATENATE("14210757887")</f>
        <v>14210757887</v>
      </c>
      <c r="I80" s="7" t="s">
        <v>29</v>
      </c>
      <c r="J80" s="7" t="s">
        <v>30</v>
      </c>
      <c r="K80" s="7" t="str">
        <f>CONCATENATE("")</f>
        <v/>
      </c>
      <c r="L80" s="7" t="str">
        <f>CONCATENATE("13 13.1 4a")</f>
        <v>13 13.1 4a</v>
      </c>
      <c r="M80" s="7" t="str">
        <f>CONCATENATE("RDLDNC39T19B398Y")</f>
        <v>RDLDNC39T19B398Y</v>
      </c>
      <c r="N80" s="7" t="s">
        <v>135</v>
      </c>
      <c r="O80" s="7" t="s">
        <v>129</v>
      </c>
      <c r="P80" s="8">
        <v>44645</v>
      </c>
      <c r="Q80" s="7" t="s">
        <v>31</v>
      </c>
      <c r="R80" s="7" t="s">
        <v>32</v>
      </c>
      <c r="S80" s="7" t="s">
        <v>33</v>
      </c>
      <c r="T80" s="7"/>
      <c r="U80" s="7" t="s">
        <v>34</v>
      </c>
      <c r="V80" s="9">
        <v>4622.4399999999996</v>
      </c>
      <c r="W80" s="9">
        <v>1993.2</v>
      </c>
      <c r="X80" s="9">
        <v>1840.66</v>
      </c>
      <c r="Y80" s="7">
        <v>0</v>
      </c>
      <c r="Z80" s="7">
        <v>788.58</v>
      </c>
    </row>
    <row r="81" spans="1:26" x14ac:dyDescent="0.35">
      <c r="A81" s="7" t="s">
        <v>27</v>
      </c>
      <c r="B81" s="7" t="s">
        <v>42</v>
      </c>
      <c r="C81" s="7" t="s">
        <v>46</v>
      </c>
      <c r="D81" s="7" t="s">
        <v>47</v>
      </c>
      <c r="E81" s="7" t="s">
        <v>35</v>
      </c>
      <c r="F81" s="7" t="s">
        <v>61</v>
      </c>
      <c r="G81" s="7">
        <v>2021</v>
      </c>
      <c r="H81" s="7" t="str">
        <f>CONCATENATE("14210315835")</f>
        <v>14210315835</v>
      </c>
      <c r="I81" s="7" t="s">
        <v>29</v>
      </c>
      <c r="J81" s="7" t="s">
        <v>30</v>
      </c>
      <c r="K81" s="7" t="str">
        <f>CONCATENATE("")</f>
        <v/>
      </c>
      <c r="L81" s="7" t="str">
        <f>CONCATENATE("13 13.1 4a")</f>
        <v>13 13.1 4a</v>
      </c>
      <c r="M81" s="7" t="str">
        <f>CONCATENATE("PGLLCU61E24D653L")</f>
        <v>PGLLCU61E24D653L</v>
      </c>
      <c r="N81" s="7" t="s">
        <v>136</v>
      </c>
      <c r="O81" s="7" t="s">
        <v>129</v>
      </c>
      <c r="P81" s="8">
        <v>44645</v>
      </c>
      <c r="Q81" s="7" t="s">
        <v>31</v>
      </c>
      <c r="R81" s="7" t="s">
        <v>32</v>
      </c>
      <c r="S81" s="7" t="s">
        <v>33</v>
      </c>
      <c r="T81" s="7"/>
      <c r="U81" s="7" t="s">
        <v>34</v>
      </c>
      <c r="V81" s="7">
        <v>663.62</v>
      </c>
      <c r="W81" s="7">
        <v>286.14999999999998</v>
      </c>
      <c r="X81" s="7">
        <v>264.25</v>
      </c>
      <c r="Y81" s="7">
        <v>0</v>
      </c>
      <c r="Z81" s="7">
        <v>113.22</v>
      </c>
    </row>
    <row r="82" spans="1:26" x14ac:dyDescent="0.35">
      <c r="A82" s="7" t="s">
        <v>27</v>
      </c>
      <c r="B82" s="7" t="s">
        <v>42</v>
      </c>
      <c r="C82" s="7" t="s">
        <v>46</v>
      </c>
      <c r="D82" s="7" t="s">
        <v>47</v>
      </c>
      <c r="E82" s="7" t="s">
        <v>35</v>
      </c>
      <c r="F82" s="7" t="s">
        <v>61</v>
      </c>
      <c r="G82" s="7">
        <v>2021</v>
      </c>
      <c r="H82" s="7" t="str">
        <f>CONCATENATE("14211162798")</f>
        <v>14211162798</v>
      </c>
      <c r="I82" s="7" t="s">
        <v>29</v>
      </c>
      <c r="J82" s="7" t="s">
        <v>30</v>
      </c>
      <c r="K82" s="7" t="str">
        <f>CONCATENATE("")</f>
        <v/>
      </c>
      <c r="L82" s="7" t="str">
        <f>CONCATENATE("13 13.1 4a")</f>
        <v>13 13.1 4a</v>
      </c>
      <c r="M82" s="7" t="str">
        <f>CONCATENATE("VCCLSN85P14C615R")</f>
        <v>VCCLSN85P14C615R</v>
      </c>
      <c r="N82" s="7" t="s">
        <v>137</v>
      </c>
      <c r="O82" s="7" t="s">
        <v>129</v>
      </c>
      <c r="P82" s="8">
        <v>44645</v>
      </c>
      <c r="Q82" s="7" t="s">
        <v>31</v>
      </c>
      <c r="R82" s="7" t="s">
        <v>32</v>
      </c>
      <c r="S82" s="7" t="s">
        <v>33</v>
      </c>
      <c r="T82" s="7"/>
      <c r="U82" s="7" t="s">
        <v>34</v>
      </c>
      <c r="V82" s="7">
        <v>522.55999999999995</v>
      </c>
      <c r="W82" s="7">
        <v>225.33</v>
      </c>
      <c r="X82" s="7">
        <v>208.08</v>
      </c>
      <c r="Y82" s="7">
        <v>0</v>
      </c>
      <c r="Z82" s="7">
        <v>89.15</v>
      </c>
    </row>
    <row r="83" spans="1:26" x14ac:dyDescent="0.35">
      <c r="A83" s="7" t="s">
        <v>27</v>
      </c>
      <c r="B83" s="7" t="s">
        <v>42</v>
      </c>
      <c r="C83" s="7" t="s">
        <v>46</v>
      </c>
      <c r="D83" s="7" t="s">
        <v>47</v>
      </c>
      <c r="E83" s="7" t="s">
        <v>37</v>
      </c>
      <c r="F83" s="7" t="s">
        <v>107</v>
      </c>
      <c r="G83" s="7">
        <v>2021</v>
      </c>
      <c r="H83" s="7" t="str">
        <f>CONCATENATE("14210396769")</f>
        <v>14210396769</v>
      </c>
      <c r="I83" s="7" t="s">
        <v>29</v>
      </c>
      <c r="J83" s="7" t="s">
        <v>30</v>
      </c>
      <c r="K83" s="7" t="str">
        <f>CONCATENATE("")</f>
        <v/>
      </c>
      <c r="L83" s="7" t="str">
        <f>CONCATENATE("13 13.1 4a")</f>
        <v>13 13.1 4a</v>
      </c>
      <c r="M83" s="7" t="str">
        <f>CONCATENATE("SBRSLD37S11B474V")</f>
        <v>SBRSLD37S11B474V</v>
      </c>
      <c r="N83" s="7" t="s">
        <v>138</v>
      </c>
      <c r="O83" s="7" t="s">
        <v>129</v>
      </c>
      <c r="P83" s="8">
        <v>44645</v>
      </c>
      <c r="Q83" s="7" t="s">
        <v>31</v>
      </c>
      <c r="R83" s="7" t="s">
        <v>32</v>
      </c>
      <c r="S83" s="7" t="s">
        <v>33</v>
      </c>
      <c r="T83" s="7"/>
      <c r="U83" s="7" t="s">
        <v>34</v>
      </c>
      <c r="V83" s="9">
        <v>2517</v>
      </c>
      <c r="W83" s="9">
        <v>1085.33</v>
      </c>
      <c r="X83" s="9">
        <v>1002.27</v>
      </c>
      <c r="Y83" s="7">
        <v>0</v>
      </c>
      <c r="Z83" s="7">
        <v>429.4</v>
      </c>
    </row>
    <row r="84" spans="1:26" ht="17.5" x14ac:dyDescent="0.35">
      <c r="A84" s="7" t="s">
        <v>27</v>
      </c>
      <c r="B84" s="7" t="s">
        <v>42</v>
      </c>
      <c r="C84" s="7" t="s">
        <v>46</v>
      </c>
      <c r="D84" s="7" t="s">
        <v>47</v>
      </c>
      <c r="E84" s="7" t="s">
        <v>35</v>
      </c>
      <c r="F84" s="7" t="s">
        <v>61</v>
      </c>
      <c r="G84" s="7">
        <v>2021</v>
      </c>
      <c r="H84" s="7" t="str">
        <f>CONCATENATE("14210171303")</f>
        <v>14210171303</v>
      </c>
      <c r="I84" s="7" t="s">
        <v>29</v>
      </c>
      <c r="J84" s="7" t="s">
        <v>30</v>
      </c>
      <c r="K84" s="7" t="str">
        <f>CONCATENATE("")</f>
        <v/>
      </c>
      <c r="L84" s="7" t="str">
        <f>CONCATENATE("13 13.1 4a")</f>
        <v>13 13.1 4a</v>
      </c>
      <c r="M84" s="7" t="str">
        <f>CONCATENATE("CRFMRA51M48M078T")</f>
        <v>CRFMRA51M48M078T</v>
      </c>
      <c r="N84" s="7" t="s">
        <v>139</v>
      </c>
      <c r="O84" s="7" t="s">
        <v>129</v>
      </c>
      <c r="P84" s="8">
        <v>44645</v>
      </c>
      <c r="Q84" s="7" t="s">
        <v>31</v>
      </c>
      <c r="R84" s="7" t="s">
        <v>32</v>
      </c>
      <c r="S84" s="7" t="s">
        <v>33</v>
      </c>
      <c r="T84" s="7"/>
      <c r="U84" s="7" t="s">
        <v>34</v>
      </c>
      <c r="V84" s="9">
        <v>8172.74</v>
      </c>
      <c r="W84" s="9">
        <v>3524.09</v>
      </c>
      <c r="X84" s="9">
        <v>3254.39</v>
      </c>
      <c r="Y84" s="7">
        <v>0</v>
      </c>
      <c r="Z84" s="9">
        <v>1394.26</v>
      </c>
    </row>
    <row r="85" spans="1:26" x14ac:dyDescent="0.35">
      <c r="A85" s="7" t="s">
        <v>27</v>
      </c>
      <c r="B85" s="7" t="s">
        <v>42</v>
      </c>
      <c r="C85" s="7" t="s">
        <v>46</v>
      </c>
      <c r="D85" s="7" t="s">
        <v>47</v>
      </c>
      <c r="E85" s="7" t="s">
        <v>35</v>
      </c>
      <c r="F85" s="7" t="s">
        <v>61</v>
      </c>
      <c r="G85" s="7">
        <v>2021</v>
      </c>
      <c r="H85" s="7" t="str">
        <f>CONCATENATE("14210020575")</f>
        <v>14210020575</v>
      </c>
      <c r="I85" s="7" t="s">
        <v>29</v>
      </c>
      <c r="J85" s="7" t="s">
        <v>30</v>
      </c>
      <c r="K85" s="7" t="str">
        <f>CONCATENATE("")</f>
        <v/>
      </c>
      <c r="L85" s="7" t="str">
        <f>CONCATENATE("13 13.1 4a")</f>
        <v>13 13.1 4a</v>
      </c>
      <c r="M85" s="7" t="str">
        <f>CONCATENATE("MCAGST62A16H501I")</f>
        <v>MCAGST62A16H501I</v>
      </c>
      <c r="N85" s="7" t="s">
        <v>140</v>
      </c>
      <c r="O85" s="7" t="s">
        <v>129</v>
      </c>
      <c r="P85" s="8">
        <v>44645</v>
      </c>
      <c r="Q85" s="7" t="s">
        <v>31</v>
      </c>
      <c r="R85" s="7" t="s">
        <v>32</v>
      </c>
      <c r="S85" s="7" t="s">
        <v>33</v>
      </c>
      <c r="T85" s="7"/>
      <c r="U85" s="7" t="s">
        <v>34</v>
      </c>
      <c r="V85" s="9">
        <v>1578.3</v>
      </c>
      <c r="W85" s="7">
        <v>680.56</v>
      </c>
      <c r="X85" s="7">
        <v>628.48</v>
      </c>
      <c r="Y85" s="7">
        <v>0</v>
      </c>
      <c r="Z85" s="7">
        <v>269.26</v>
      </c>
    </row>
    <row r="86" spans="1:26" ht="17.5" x14ac:dyDescent="0.35">
      <c r="A86" s="7" t="s">
        <v>27</v>
      </c>
      <c r="B86" s="7" t="s">
        <v>42</v>
      </c>
      <c r="C86" s="7" t="s">
        <v>46</v>
      </c>
      <c r="D86" s="7" t="s">
        <v>47</v>
      </c>
      <c r="E86" s="7" t="s">
        <v>35</v>
      </c>
      <c r="F86" s="7" t="s">
        <v>76</v>
      </c>
      <c r="G86" s="7">
        <v>2021</v>
      </c>
      <c r="H86" s="7" t="str">
        <f>CONCATENATE("14210171634")</f>
        <v>14210171634</v>
      </c>
      <c r="I86" s="7" t="s">
        <v>29</v>
      </c>
      <c r="J86" s="7" t="s">
        <v>30</v>
      </c>
      <c r="K86" s="7" t="str">
        <f>CONCATENATE("")</f>
        <v/>
      </c>
      <c r="L86" s="7" t="str">
        <f>CONCATENATE("13 13.1 4a")</f>
        <v>13 13.1 4a</v>
      </c>
      <c r="M86" s="7" t="str">
        <f>CONCATENATE("DBGMRA58A64B398M")</f>
        <v>DBGMRA58A64B398M</v>
      </c>
      <c r="N86" s="7" t="s">
        <v>141</v>
      </c>
      <c r="O86" s="7" t="s">
        <v>129</v>
      </c>
      <c r="P86" s="8">
        <v>44645</v>
      </c>
      <c r="Q86" s="7" t="s">
        <v>31</v>
      </c>
      <c r="R86" s="7" t="s">
        <v>32</v>
      </c>
      <c r="S86" s="7" t="s">
        <v>33</v>
      </c>
      <c r="T86" s="7"/>
      <c r="U86" s="7" t="s">
        <v>34</v>
      </c>
      <c r="V86" s="9">
        <v>1620.56</v>
      </c>
      <c r="W86" s="7">
        <v>698.79</v>
      </c>
      <c r="X86" s="7">
        <v>645.30999999999995</v>
      </c>
      <c r="Y86" s="7">
        <v>0</v>
      </c>
      <c r="Z86" s="7">
        <v>276.45999999999998</v>
      </c>
    </row>
    <row r="87" spans="1:26" x14ac:dyDescent="0.35">
      <c r="A87" s="7" t="s">
        <v>27</v>
      </c>
      <c r="B87" s="7" t="s">
        <v>42</v>
      </c>
      <c r="C87" s="7" t="s">
        <v>46</v>
      </c>
      <c r="D87" s="7" t="s">
        <v>47</v>
      </c>
      <c r="E87" s="7" t="s">
        <v>35</v>
      </c>
      <c r="F87" s="7" t="s">
        <v>76</v>
      </c>
      <c r="G87" s="7">
        <v>2021</v>
      </c>
      <c r="H87" s="7" t="str">
        <f>CONCATENATE("14210157989")</f>
        <v>14210157989</v>
      </c>
      <c r="I87" s="7" t="s">
        <v>29</v>
      </c>
      <c r="J87" s="7" t="s">
        <v>30</v>
      </c>
      <c r="K87" s="7" t="str">
        <f>CONCATENATE("")</f>
        <v/>
      </c>
      <c r="L87" s="7" t="str">
        <f>CONCATENATE("13 13.1 4a")</f>
        <v>13 13.1 4a</v>
      </c>
      <c r="M87" s="7" t="str">
        <f>CONCATENATE("SLVGLN47T18A739R")</f>
        <v>SLVGLN47T18A739R</v>
      </c>
      <c r="N87" s="7" t="s">
        <v>142</v>
      </c>
      <c r="O87" s="7" t="s">
        <v>129</v>
      </c>
      <c r="P87" s="8">
        <v>44645</v>
      </c>
      <c r="Q87" s="7" t="s">
        <v>31</v>
      </c>
      <c r="R87" s="7" t="s">
        <v>32</v>
      </c>
      <c r="S87" s="7" t="s">
        <v>33</v>
      </c>
      <c r="T87" s="7"/>
      <c r="U87" s="7" t="s">
        <v>34</v>
      </c>
      <c r="V87" s="9">
        <v>1168.32</v>
      </c>
      <c r="W87" s="7">
        <v>503.78</v>
      </c>
      <c r="X87" s="7">
        <v>465.23</v>
      </c>
      <c r="Y87" s="7">
        <v>0</v>
      </c>
      <c r="Z87" s="7">
        <v>199.31</v>
      </c>
    </row>
    <row r="88" spans="1:26" x14ac:dyDescent="0.35">
      <c r="A88" s="7" t="s">
        <v>27</v>
      </c>
      <c r="B88" s="7" t="s">
        <v>42</v>
      </c>
      <c r="C88" s="7" t="s">
        <v>46</v>
      </c>
      <c r="D88" s="7" t="s">
        <v>47</v>
      </c>
      <c r="E88" s="7" t="s">
        <v>37</v>
      </c>
      <c r="F88" s="7" t="s">
        <v>107</v>
      </c>
      <c r="G88" s="7">
        <v>2021</v>
      </c>
      <c r="H88" s="7" t="str">
        <f>CONCATENATE("14210384237")</f>
        <v>14210384237</v>
      </c>
      <c r="I88" s="7" t="s">
        <v>45</v>
      </c>
      <c r="J88" s="7" t="s">
        <v>30</v>
      </c>
      <c r="K88" s="7" t="str">
        <f>CONCATENATE("")</f>
        <v/>
      </c>
      <c r="L88" s="7" t="str">
        <f>CONCATENATE("13 13.1 4a")</f>
        <v>13 13.1 4a</v>
      </c>
      <c r="M88" s="7" t="str">
        <f>CONCATENATE("MRLMRA49L55I661Y")</f>
        <v>MRLMRA49L55I661Y</v>
      </c>
      <c r="N88" s="7" t="s">
        <v>143</v>
      </c>
      <c r="O88" s="7" t="s">
        <v>129</v>
      </c>
      <c r="P88" s="8">
        <v>44645</v>
      </c>
      <c r="Q88" s="7" t="s">
        <v>31</v>
      </c>
      <c r="R88" s="7" t="s">
        <v>32</v>
      </c>
      <c r="S88" s="7" t="s">
        <v>33</v>
      </c>
      <c r="T88" s="7"/>
      <c r="U88" s="7" t="s">
        <v>34</v>
      </c>
      <c r="V88" s="7">
        <v>93.06</v>
      </c>
      <c r="W88" s="7">
        <v>40.130000000000003</v>
      </c>
      <c r="X88" s="7">
        <v>37.06</v>
      </c>
      <c r="Y88" s="7">
        <v>0</v>
      </c>
      <c r="Z88" s="7">
        <v>15.87</v>
      </c>
    </row>
    <row r="89" spans="1:26" x14ac:dyDescent="0.35">
      <c r="A89" s="7" t="s">
        <v>27</v>
      </c>
      <c r="B89" s="7" t="s">
        <v>42</v>
      </c>
      <c r="C89" s="7" t="s">
        <v>46</v>
      </c>
      <c r="D89" s="7" t="s">
        <v>47</v>
      </c>
      <c r="E89" s="7" t="s">
        <v>35</v>
      </c>
      <c r="F89" s="7" t="s">
        <v>61</v>
      </c>
      <c r="G89" s="7">
        <v>2021</v>
      </c>
      <c r="H89" s="7" t="str">
        <f>CONCATENATE("14210023223")</f>
        <v>14210023223</v>
      </c>
      <c r="I89" s="7" t="s">
        <v>29</v>
      </c>
      <c r="J89" s="7" t="s">
        <v>30</v>
      </c>
      <c r="K89" s="7" t="str">
        <f>CONCATENATE("")</f>
        <v/>
      </c>
      <c r="L89" s="7" t="str">
        <f>CONCATENATE("13 13.1 4a")</f>
        <v>13 13.1 4a</v>
      </c>
      <c r="M89" s="7" t="str">
        <f>CONCATENATE("MCABTL65C04H501X")</f>
        <v>MCABTL65C04H501X</v>
      </c>
      <c r="N89" s="7" t="s">
        <v>144</v>
      </c>
      <c r="O89" s="7" t="s">
        <v>129</v>
      </c>
      <c r="P89" s="8">
        <v>44645</v>
      </c>
      <c r="Q89" s="7" t="s">
        <v>31</v>
      </c>
      <c r="R89" s="7" t="s">
        <v>32</v>
      </c>
      <c r="S89" s="7" t="s">
        <v>33</v>
      </c>
      <c r="T89" s="7"/>
      <c r="U89" s="7" t="s">
        <v>34</v>
      </c>
      <c r="V89" s="9">
        <v>8347.5</v>
      </c>
      <c r="W89" s="9">
        <v>3599.44</v>
      </c>
      <c r="X89" s="9">
        <v>3323.97</v>
      </c>
      <c r="Y89" s="7">
        <v>0</v>
      </c>
      <c r="Z89" s="9">
        <v>1424.09</v>
      </c>
    </row>
    <row r="90" spans="1:26" x14ac:dyDescent="0.35">
      <c r="A90" s="7" t="s">
        <v>27</v>
      </c>
      <c r="B90" s="7" t="s">
        <v>42</v>
      </c>
      <c r="C90" s="7" t="s">
        <v>46</v>
      </c>
      <c r="D90" s="7" t="s">
        <v>47</v>
      </c>
      <c r="E90" s="7" t="s">
        <v>35</v>
      </c>
      <c r="F90" s="7" t="s">
        <v>61</v>
      </c>
      <c r="G90" s="7">
        <v>2021</v>
      </c>
      <c r="H90" s="7" t="str">
        <f>CONCATENATE("14210016318")</f>
        <v>14210016318</v>
      </c>
      <c r="I90" s="7" t="s">
        <v>29</v>
      </c>
      <c r="J90" s="7" t="s">
        <v>30</v>
      </c>
      <c r="K90" s="7" t="str">
        <f>CONCATENATE("")</f>
        <v/>
      </c>
      <c r="L90" s="7" t="str">
        <f>CONCATENATE("13 13.1 4a")</f>
        <v>13 13.1 4a</v>
      </c>
      <c r="M90" s="7" t="str">
        <f>CONCATENATE("PPLMRA57P15B474B")</f>
        <v>PPLMRA57P15B474B</v>
      </c>
      <c r="N90" s="7" t="s">
        <v>145</v>
      </c>
      <c r="O90" s="7" t="s">
        <v>129</v>
      </c>
      <c r="P90" s="8">
        <v>44645</v>
      </c>
      <c r="Q90" s="7" t="s">
        <v>31</v>
      </c>
      <c r="R90" s="7" t="s">
        <v>32</v>
      </c>
      <c r="S90" s="7" t="s">
        <v>33</v>
      </c>
      <c r="T90" s="7"/>
      <c r="U90" s="7" t="s">
        <v>34</v>
      </c>
      <c r="V90" s="9">
        <v>6150.69</v>
      </c>
      <c r="W90" s="9">
        <v>2652.18</v>
      </c>
      <c r="X90" s="9">
        <v>2449.1999999999998</v>
      </c>
      <c r="Y90" s="7">
        <v>0</v>
      </c>
      <c r="Z90" s="9">
        <v>1049.31</v>
      </c>
    </row>
    <row r="91" spans="1:26" x14ac:dyDescent="0.35">
      <c r="A91" s="7" t="s">
        <v>27</v>
      </c>
      <c r="B91" s="7" t="s">
        <v>42</v>
      </c>
      <c r="C91" s="7" t="s">
        <v>46</v>
      </c>
      <c r="D91" s="7" t="s">
        <v>47</v>
      </c>
      <c r="E91" s="7" t="s">
        <v>35</v>
      </c>
      <c r="F91" s="7" t="s">
        <v>76</v>
      </c>
      <c r="G91" s="7">
        <v>2021</v>
      </c>
      <c r="H91" s="7" t="str">
        <f>CONCATENATE("14210764875")</f>
        <v>14210764875</v>
      </c>
      <c r="I91" s="7" t="s">
        <v>29</v>
      </c>
      <c r="J91" s="7" t="s">
        <v>30</v>
      </c>
      <c r="K91" s="7" t="str">
        <f>CONCATENATE("")</f>
        <v/>
      </c>
      <c r="L91" s="7" t="str">
        <f>CONCATENATE("13 13.1 4a")</f>
        <v>13 13.1 4a</v>
      </c>
      <c r="M91" s="7" t="str">
        <f>CONCATENATE("01690330434")</f>
        <v>01690330434</v>
      </c>
      <c r="N91" s="7" t="s">
        <v>146</v>
      </c>
      <c r="O91" s="7" t="s">
        <v>129</v>
      </c>
      <c r="P91" s="8">
        <v>44645</v>
      </c>
      <c r="Q91" s="7" t="s">
        <v>31</v>
      </c>
      <c r="R91" s="7" t="s">
        <v>32</v>
      </c>
      <c r="S91" s="7" t="s">
        <v>33</v>
      </c>
      <c r="T91" s="7"/>
      <c r="U91" s="7" t="s">
        <v>34</v>
      </c>
      <c r="V91" s="9">
        <v>1558.69</v>
      </c>
      <c r="W91" s="7">
        <v>672.11</v>
      </c>
      <c r="X91" s="7">
        <v>620.66999999999996</v>
      </c>
      <c r="Y91" s="7">
        <v>0</v>
      </c>
      <c r="Z91" s="7">
        <v>265.91000000000003</v>
      </c>
    </row>
    <row r="92" spans="1:26" x14ac:dyDescent="0.35">
      <c r="A92" s="7" t="s">
        <v>27</v>
      </c>
      <c r="B92" s="7" t="s">
        <v>42</v>
      </c>
      <c r="C92" s="7" t="s">
        <v>46</v>
      </c>
      <c r="D92" s="7" t="s">
        <v>47</v>
      </c>
      <c r="E92" s="7" t="s">
        <v>35</v>
      </c>
      <c r="F92" s="7" t="s">
        <v>61</v>
      </c>
      <c r="G92" s="7">
        <v>2021</v>
      </c>
      <c r="H92" s="7" t="str">
        <f>CONCATENATE("14210245727")</f>
        <v>14210245727</v>
      </c>
      <c r="I92" s="7" t="s">
        <v>45</v>
      </c>
      <c r="J92" s="7" t="s">
        <v>30</v>
      </c>
      <c r="K92" s="7" t="str">
        <f>CONCATENATE("")</f>
        <v/>
      </c>
      <c r="L92" s="7" t="str">
        <f>CONCATENATE("13 13.1 4a")</f>
        <v>13 13.1 4a</v>
      </c>
      <c r="M92" s="7" t="str">
        <f>CONCATENATE("SBRMLD64L21B474N")</f>
        <v>SBRMLD64L21B474N</v>
      </c>
      <c r="N92" s="7" t="s">
        <v>147</v>
      </c>
      <c r="O92" s="7" t="s">
        <v>129</v>
      </c>
      <c r="P92" s="8">
        <v>44645</v>
      </c>
      <c r="Q92" s="7" t="s">
        <v>31</v>
      </c>
      <c r="R92" s="7" t="s">
        <v>32</v>
      </c>
      <c r="S92" s="7" t="s">
        <v>33</v>
      </c>
      <c r="T92" s="7"/>
      <c r="U92" s="7" t="s">
        <v>34</v>
      </c>
      <c r="V92" s="7">
        <v>181.03</v>
      </c>
      <c r="W92" s="7">
        <v>78.06</v>
      </c>
      <c r="X92" s="7">
        <v>72.09</v>
      </c>
      <c r="Y92" s="7">
        <v>0</v>
      </c>
      <c r="Z92" s="7">
        <v>30.88</v>
      </c>
    </row>
    <row r="93" spans="1:26" x14ac:dyDescent="0.35">
      <c r="A93" s="7" t="s">
        <v>27</v>
      </c>
      <c r="B93" s="7" t="s">
        <v>42</v>
      </c>
      <c r="C93" s="7" t="s">
        <v>46</v>
      </c>
      <c r="D93" s="7" t="s">
        <v>47</v>
      </c>
      <c r="E93" s="7" t="s">
        <v>37</v>
      </c>
      <c r="F93" s="7" t="s">
        <v>107</v>
      </c>
      <c r="G93" s="7">
        <v>2021</v>
      </c>
      <c r="H93" s="7" t="str">
        <f>CONCATENATE("14210566932")</f>
        <v>14210566932</v>
      </c>
      <c r="I93" s="7" t="s">
        <v>29</v>
      </c>
      <c r="J93" s="7" t="s">
        <v>30</v>
      </c>
      <c r="K93" s="7" t="str">
        <f>CONCATENATE("")</f>
        <v/>
      </c>
      <c r="L93" s="7" t="str">
        <f>CONCATENATE("13 13.1 4a")</f>
        <v>13 13.1 4a</v>
      </c>
      <c r="M93" s="7" t="str">
        <f>CONCATENATE("RGNTZN81R14D451O")</f>
        <v>RGNTZN81R14D451O</v>
      </c>
      <c r="N93" s="7" t="s">
        <v>148</v>
      </c>
      <c r="O93" s="7" t="s">
        <v>129</v>
      </c>
      <c r="P93" s="8">
        <v>44645</v>
      </c>
      <c r="Q93" s="7" t="s">
        <v>31</v>
      </c>
      <c r="R93" s="7" t="s">
        <v>32</v>
      </c>
      <c r="S93" s="7" t="s">
        <v>33</v>
      </c>
      <c r="T93" s="7"/>
      <c r="U93" s="7" t="s">
        <v>34</v>
      </c>
      <c r="V93" s="9">
        <v>1039.74</v>
      </c>
      <c r="W93" s="7">
        <v>448.34</v>
      </c>
      <c r="X93" s="7">
        <v>414.02</v>
      </c>
      <c r="Y93" s="7">
        <v>0</v>
      </c>
      <c r="Z93" s="7">
        <v>177.38</v>
      </c>
    </row>
    <row r="94" spans="1:26" x14ac:dyDescent="0.35">
      <c r="A94" s="7" t="s">
        <v>27</v>
      </c>
      <c r="B94" s="7" t="s">
        <v>42</v>
      </c>
      <c r="C94" s="7" t="s">
        <v>46</v>
      </c>
      <c r="D94" s="7" t="s">
        <v>47</v>
      </c>
      <c r="E94" s="7" t="s">
        <v>37</v>
      </c>
      <c r="F94" s="7" t="s">
        <v>103</v>
      </c>
      <c r="G94" s="7">
        <v>2021</v>
      </c>
      <c r="H94" s="7" t="str">
        <f>CONCATENATE("14210442266")</f>
        <v>14210442266</v>
      </c>
      <c r="I94" s="7" t="s">
        <v>29</v>
      </c>
      <c r="J94" s="7" t="s">
        <v>30</v>
      </c>
      <c r="K94" s="7" t="str">
        <f>CONCATENATE("")</f>
        <v/>
      </c>
      <c r="L94" s="7" t="str">
        <f>CONCATENATE("13 13.1 4a")</f>
        <v>13 13.1 4a</v>
      </c>
      <c r="M94" s="7" t="str">
        <f>CONCATENATE("VNCMNL71D55H501E")</f>
        <v>VNCMNL71D55H501E</v>
      </c>
      <c r="N94" s="7" t="s">
        <v>149</v>
      </c>
      <c r="O94" s="7" t="s">
        <v>129</v>
      </c>
      <c r="P94" s="8">
        <v>44645</v>
      </c>
      <c r="Q94" s="7" t="s">
        <v>31</v>
      </c>
      <c r="R94" s="7" t="s">
        <v>32</v>
      </c>
      <c r="S94" s="7" t="s">
        <v>33</v>
      </c>
      <c r="T94" s="7"/>
      <c r="U94" s="7" t="s">
        <v>34</v>
      </c>
      <c r="V94" s="9">
        <v>5752.71</v>
      </c>
      <c r="W94" s="9">
        <v>2480.5700000000002</v>
      </c>
      <c r="X94" s="9">
        <v>2290.73</v>
      </c>
      <c r="Y94" s="7">
        <v>0</v>
      </c>
      <c r="Z94" s="7">
        <v>981.41</v>
      </c>
    </row>
    <row r="95" spans="1:26" x14ac:dyDescent="0.35">
      <c r="A95" s="7" t="s">
        <v>27</v>
      </c>
      <c r="B95" s="7" t="s">
        <v>42</v>
      </c>
      <c r="C95" s="7" t="s">
        <v>46</v>
      </c>
      <c r="D95" s="7" t="s">
        <v>47</v>
      </c>
      <c r="E95" s="7" t="s">
        <v>35</v>
      </c>
      <c r="F95" s="7" t="s">
        <v>61</v>
      </c>
      <c r="G95" s="7">
        <v>2021</v>
      </c>
      <c r="H95" s="7" t="str">
        <f>CONCATENATE("14210101235")</f>
        <v>14210101235</v>
      </c>
      <c r="I95" s="7" t="s">
        <v>29</v>
      </c>
      <c r="J95" s="7" t="s">
        <v>30</v>
      </c>
      <c r="K95" s="7" t="str">
        <f>CONCATENATE("")</f>
        <v/>
      </c>
      <c r="L95" s="7" t="str">
        <f>CONCATENATE("13 13.1 4a")</f>
        <v>13 13.1 4a</v>
      </c>
      <c r="M95" s="7" t="str">
        <f>CONCATENATE("CRVGLI43D13I661C")</f>
        <v>CRVGLI43D13I661C</v>
      </c>
      <c r="N95" s="7" t="s">
        <v>150</v>
      </c>
      <c r="O95" s="7" t="s">
        <v>129</v>
      </c>
      <c r="P95" s="8">
        <v>44645</v>
      </c>
      <c r="Q95" s="7" t="s">
        <v>31</v>
      </c>
      <c r="R95" s="7" t="s">
        <v>32</v>
      </c>
      <c r="S95" s="7" t="s">
        <v>33</v>
      </c>
      <c r="T95" s="7"/>
      <c r="U95" s="7" t="s">
        <v>34</v>
      </c>
      <c r="V95" s="9">
        <v>1149.8599999999999</v>
      </c>
      <c r="W95" s="7">
        <v>495.82</v>
      </c>
      <c r="X95" s="7">
        <v>457.87</v>
      </c>
      <c r="Y95" s="7">
        <v>0</v>
      </c>
      <c r="Z95" s="7">
        <v>196.17</v>
      </c>
    </row>
    <row r="96" spans="1:26" x14ac:dyDescent="0.35">
      <c r="A96" s="7" t="s">
        <v>27</v>
      </c>
      <c r="B96" s="7" t="s">
        <v>42</v>
      </c>
      <c r="C96" s="7" t="s">
        <v>46</v>
      </c>
      <c r="D96" s="7" t="s">
        <v>47</v>
      </c>
      <c r="E96" s="7" t="s">
        <v>38</v>
      </c>
      <c r="F96" s="7" t="s">
        <v>151</v>
      </c>
      <c r="G96" s="7">
        <v>2021</v>
      </c>
      <c r="H96" s="7" t="str">
        <f>CONCATENATE("14211039426")</f>
        <v>14211039426</v>
      </c>
      <c r="I96" s="7" t="s">
        <v>45</v>
      </c>
      <c r="J96" s="7" t="s">
        <v>30</v>
      </c>
      <c r="K96" s="7" t="str">
        <f>CONCATENATE("")</f>
        <v/>
      </c>
      <c r="L96" s="7" t="str">
        <f>CONCATENATE("13 13.1 4a")</f>
        <v>13 13.1 4a</v>
      </c>
      <c r="M96" s="7" t="str">
        <f>CONCATENATE("02415440540")</f>
        <v>02415440540</v>
      </c>
      <c r="N96" s="7" t="s">
        <v>152</v>
      </c>
      <c r="O96" s="7" t="s">
        <v>129</v>
      </c>
      <c r="P96" s="8">
        <v>44645</v>
      </c>
      <c r="Q96" s="7" t="s">
        <v>31</v>
      </c>
      <c r="R96" s="7" t="s">
        <v>32</v>
      </c>
      <c r="S96" s="7" t="s">
        <v>33</v>
      </c>
      <c r="T96" s="7"/>
      <c r="U96" s="7" t="s">
        <v>34</v>
      </c>
      <c r="V96" s="7">
        <v>316.82</v>
      </c>
      <c r="W96" s="7">
        <v>136.61000000000001</v>
      </c>
      <c r="X96" s="7">
        <v>126.16</v>
      </c>
      <c r="Y96" s="7">
        <v>0</v>
      </c>
      <c r="Z96" s="7">
        <v>54.05</v>
      </c>
    </row>
    <row r="97" spans="1:26" x14ac:dyDescent="0.35">
      <c r="A97" s="7" t="s">
        <v>27</v>
      </c>
      <c r="B97" s="7" t="s">
        <v>42</v>
      </c>
      <c r="C97" s="7" t="s">
        <v>46</v>
      </c>
      <c r="D97" s="7" t="s">
        <v>47</v>
      </c>
      <c r="E97" s="7" t="s">
        <v>37</v>
      </c>
      <c r="F97" s="7" t="s">
        <v>107</v>
      </c>
      <c r="G97" s="7">
        <v>2021</v>
      </c>
      <c r="H97" s="7" t="str">
        <f>CONCATENATE("14210381241")</f>
        <v>14210381241</v>
      </c>
      <c r="I97" s="7" t="s">
        <v>45</v>
      </c>
      <c r="J97" s="7" t="s">
        <v>30</v>
      </c>
      <c r="K97" s="7" t="str">
        <f>CONCATENATE("")</f>
        <v/>
      </c>
      <c r="L97" s="7" t="str">
        <f>CONCATENATE("13 13.1 4a")</f>
        <v>13 13.1 4a</v>
      </c>
      <c r="M97" s="7" t="str">
        <f>CONCATENATE("FDLMNL52M24I661G")</f>
        <v>FDLMNL52M24I661G</v>
      </c>
      <c r="N97" s="7" t="s">
        <v>153</v>
      </c>
      <c r="O97" s="7" t="s">
        <v>129</v>
      </c>
      <c r="P97" s="8">
        <v>44645</v>
      </c>
      <c r="Q97" s="7" t="s">
        <v>31</v>
      </c>
      <c r="R97" s="7" t="s">
        <v>32</v>
      </c>
      <c r="S97" s="7" t="s">
        <v>33</v>
      </c>
      <c r="T97" s="7"/>
      <c r="U97" s="7" t="s">
        <v>34</v>
      </c>
      <c r="V97" s="7">
        <v>60.19</v>
      </c>
      <c r="W97" s="7">
        <v>25.95</v>
      </c>
      <c r="X97" s="7">
        <v>23.97</v>
      </c>
      <c r="Y97" s="7">
        <v>0</v>
      </c>
      <c r="Z97" s="7">
        <v>10.27</v>
      </c>
    </row>
    <row r="98" spans="1:26" x14ac:dyDescent="0.35">
      <c r="A98" s="7" t="s">
        <v>27</v>
      </c>
      <c r="B98" s="7" t="s">
        <v>42</v>
      </c>
      <c r="C98" s="7" t="s">
        <v>46</v>
      </c>
      <c r="D98" s="7" t="s">
        <v>47</v>
      </c>
      <c r="E98" s="7" t="s">
        <v>37</v>
      </c>
      <c r="F98" s="7" t="s">
        <v>71</v>
      </c>
      <c r="G98" s="7">
        <v>2021</v>
      </c>
      <c r="H98" s="7" t="str">
        <f>CONCATENATE("14211206017")</f>
        <v>14211206017</v>
      </c>
      <c r="I98" s="7" t="s">
        <v>45</v>
      </c>
      <c r="J98" s="7" t="s">
        <v>30</v>
      </c>
      <c r="K98" s="7" t="str">
        <f>CONCATENATE("")</f>
        <v/>
      </c>
      <c r="L98" s="7" t="str">
        <f>CONCATENATE("13 13.1 4a")</f>
        <v>13 13.1 4a</v>
      </c>
      <c r="M98" s="7" t="str">
        <f>CONCATENATE("CPRGNN63M17B474R")</f>
        <v>CPRGNN63M17B474R</v>
      </c>
      <c r="N98" s="7" t="s">
        <v>154</v>
      </c>
      <c r="O98" s="7" t="s">
        <v>129</v>
      </c>
      <c r="P98" s="8">
        <v>44645</v>
      </c>
      <c r="Q98" s="7" t="s">
        <v>31</v>
      </c>
      <c r="R98" s="7" t="s">
        <v>32</v>
      </c>
      <c r="S98" s="7" t="s">
        <v>33</v>
      </c>
      <c r="T98" s="7"/>
      <c r="U98" s="7" t="s">
        <v>34</v>
      </c>
      <c r="V98" s="7">
        <v>96.39</v>
      </c>
      <c r="W98" s="7">
        <v>41.56</v>
      </c>
      <c r="X98" s="7">
        <v>38.380000000000003</v>
      </c>
      <c r="Y98" s="7">
        <v>0</v>
      </c>
      <c r="Z98" s="7">
        <v>16.45</v>
      </c>
    </row>
    <row r="99" spans="1:26" ht="17.5" x14ac:dyDescent="0.35">
      <c r="A99" s="7" t="s">
        <v>27</v>
      </c>
      <c r="B99" s="7" t="s">
        <v>28</v>
      </c>
      <c r="C99" s="7" t="s">
        <v>46</v>
      </c>
      <c r="D99" s="7" t="s">
        <v>47</v>
      </c>
      <c r="E99" s="7" t="s">
        <v>36</v>
      </c>
      <c r="F99" s="7" t="s">
        <v>36</v>
      </c>
      <c r="G99" s="7">
        <v>2017</v>
      </c>
      <c r="H99" s="7" t="str">
        <f>CONCATENATE("24270041874")</f>
        <v>24270041874</v>
      </c>
      <c r="I99" s="7" t="s">
        <v>29</v>
      </c>
      <c r="J99" s="7" t="s">
        <v>30</v>
      </c>
      <c r="K99" s="7" t="str">
        <f>CONCATENATE("")</f>
        <v/>
      </c>
      <c r="L99" s="7" t="str">
        <f>CONCATENATE("8 8.1 5e")</f>
        <v>8 8.1 5e</v>
      </c>
      <c r="M99" s="7" t="str">
        <f>CONCATENATE("02164470441")</f>
        <v>02164470441</v>
      </c>
      <c r="N99" s="7" t="s">
        <v>155</v>
      </c>
      <c r="O99" s="7" t="s">
        <v>156</v>
      </c>
      <c r="P99" s="8">
        <v>44645</v>
      </c>
      <c r="Q99" s="7" t="s">
        <v>31</v>
      </c>
      <c r="R99" s="7" t="s">
        <v>40</v>
      </c>
      <c r="S99" s="7" t="s">
        <v>33</v>
      </c>
      <c r="T99" s="7"/>
      <c r="U99" s="7" t="s">
        <v>34</v>
      </c>
      <c r="V99" s="9">
        <v>18403.37</v>
      </c>
      <c r="W99" s="9">
        <v>7935.53</v>
      </c>
      <c r="X99" s="9">
        <v>7328.22</v>
      </c>
      <c r="Y99" s="7">
        <v>0</v>
      </c>
      <c r="Z99" s="9">
        <v>3139.62</v>
      </c>
    </row>
    <row r="100" spans="1:26" x14ac:dyDescent="0.35">
      <c r="A100" s="7" t="s">
        <v>27</v>
      </c>
      <c r="B100" s="7" t="s">
        <v>42</v>
      </c>
      <c r="C100" s="7" t="s">
        <v>46</v>
      </c>
      <c r="D100" s="7" t="s">
        <v>47</v>
      </c>
      <c r="E100" s="7" t="s">
        <v>35</v>
      </c>
      <c r="F100" s="7" t="s">
        <v>61</v>
      </c>
      <c r="G100" s="7">
        <v>2021</v>
      </c>
      <c r="H100" s="7" t="str">
        <f>CONCATENATE("14240936915")</f>
        <v>14240936915</v>
      </c>
      <c r="I100" s="7" t="s">
        <v>29</v>
      </c>
      <c r="J100" s="7" t="s">
        <v>30</v>
      </c>
      <c r="K100" s="7" t="str">
        <f>CONCATENATE("")</f>
        <v/>
      </c>
      <c r="L100" s="7" t="str">
        <f>CONCATENATE("10 10.1 4a")</f>
        <v>10 10.1 4a</v>
      </c>
      <c r="M100" s="7" t="str">
        <f>CONCATENATE("MCALSN96H01B474X")</f>
        <v>MCALSN96H01B474X</v>
      </c>
      <c r="N100" s="7" t="s">
        <v>109</v>
      </c>
      <c r="O100" s="7" t="s">
        <v>157</v>
      </c>
      <c r="P100" s="8">
        <v>44645</v>
      </c>
      <c r="Q100" s="7" t="s">
        <v>31</v>
      </c>
      <c r="R100" s="7" t="s">
        <v>32</v>
      </c>
      <c r="S100" s="7" t="s">
        <v>33</v>
      </c>
      <c r="T100" s="7"/>
      <c r="U100" s="7" t="s">
        <v>34</v>
      </c>
      <c r="V100" s="9">
        <v>13534.21</v>
      </c>
      <c r="W100" s="9">
        <v>5835.95</v>
      </c>
      <c r="X100" s="9">
        <v>5389.32</v>
      </c>
      <c r="Y100" s="7">
        <v>0</v>
      </c>
      <c r="Z100" s="9">
        <v>2308.94</v>
      </c>
    </row>
    <row r="101" spans="1:26" x14ac:dyDescent="0.35">
      <c r="A101" s="7" t="s">
        <v>27</v>
      </c>
      <c r="B101" s="7" t="s">
        <v>28</v>
      </c>
      <c r="C101" s="7" t="s">
        <v>46</v>
      </c>
      <c r="D101" s="7" t="s">
        <v>158</v>
      </c>
      <c r="E101" s="7" t="s">
        <v>36</v>
      </c>
      <c r="F101" s="7" t="s">
        <v>36</v>
      </c>
      <c r="G101" s="7">
        <v>2017</v>
      </c>
      <c r="H101" s="7" t="str">
        <f>CONCATENATE("24270042724")</f>
        <v>24270042724</v>
      </c>
      <c r="I101" s="7" t="s">
        <v>29</v>
      </c>
      <c r="J101" s="7" t="s">
        <v>30</v>
      </c>
      <c r="K101" s="7" t="str">
        <f>CONCATENATE("")</f>
        <v/>
      </c>
      <c r="L101" s="7" t="str">
        <f>CONCATENATE("4 4.1 2a")</f>
        <v>4 4.1 2a</v>
      </c>
      <c r="M101" s="7" t="str">
        <f>CONCATENATE("NCLLSS89A26I156L")</f>
        <v>NCLLSS89A26I156L</v>
      </c>
      <c r="N101" s="7" t="s">
        <v>159</v>
      </c>
      <c r="O101" s="7" t="s">
        <v>160</v>
      </c>
      <c r="P101" s="8">
        <v>44648</v>
      </c>
      <c r="Q101" s="7" t="s">
        <v>31</v>
      </c>
      <c r="R101" s="7" t="s">
        <v>40</v>
      </c>
      <c r="S101" s="7" t="s">
        <v>33</v>
      </c>
      <c r="T101" s="7"/>
      <c r="U101" s="7" t="s">
        <v>34</v>
      </c>
      <c r="V101" s="9">
        <v>29075.1</v>
      </c>
      <c r="W101" s="9">
        <v>12537.18</v>
      </c>
      <c r="X101" s="9">
        <v>11577.7</v>
      </c>
      <c r="Y101" s="7">
        <v>0</v>
      </c>
      <c r="Z101" s="9">
        <v>4960.22</v>
      </c>
    </row>
    <row r="102" spans="1:26" x14ac:dyDescent="0.35">
      <c r="A102" s="7" t="s">
        <v>27</v>
      </c>
      <c r="B102" s="7" t="s">
        <v>42</v>
      </c>
      <c r="C102" s="7" t="s">
        <v>46</v>
      </c>
      <c r="D102" s="7" t="s">
        <v>47</v>
      </c>
      <c r="E102" s="7" t="s">
        <v>37</v>
      </c>
      <c r="F102" s="7" t="s">
        <v>107</v>
      </c>
      <c r="G102" s="7">
        <v>2021</v>
      </c>
      <c r="H102" s="7" t="str">
        <f>CONCATENATE("14210365038")</f>
        <v>14210365038</v>
      </c>
      <c r="I102" s="7" t="s">
        <v>29</v>
      </c>
      <c r="J102" s="7" t="s">
        <v>30</v>
      </c>
      <c r="K102" s="7" t="str">
        <f>CONCATENATE("")</f>
        <v/>
      </c>
      <c r="L102" s="7" t="str">
        <f>CONCATENATE("13 13.1 4a")</f>
        <v>13 13.1 4a</v>
      </c>
      <c r="M102" s="7" t="str">
        <f>CONCATENATE("CNGLSN74P02B474U")</f>
        <v>CNGLSN74P02B474U</v>
      </c>
      <c r="N102" s="7" t="s">
        <v>161</v>
      </c>
      <c r="O102" s="7" t="s">
        <v>129</v>
      </c>
      <c r="P102" s="8">
        <v>44645</v>
      </c>
      <c r="Q102" s="7" t="s">
        <v>31</v>
      </c>
      <c r="R102" s="7" t="s">
        <v>32</v>
      </c>
      <c r="S102" s="7" t="s">
        <v>33</v>
      </c>
      <c r="T102" s="7"/>
      <c r="U102" s="7" t="s">
        <v>34</v>
      </c>
      <c r="V102" s="9">
        <v>2312.98</v>
      </c>
      <c r="W102" s="7">
        <v>997.36</v>
      </c>
      <c r="X102" s="7">
        <v>921.03</v>
      </c>
      <c r="Y102" s="7">
        <v>0</v>
      </c>
      <c r="Z102" s="7">
        <v>394.59</v>
      </c>
    </row>
    <row r="103" spans="1:26" x14ac:dyDescent="0.35">
      <c r="A103" s="7" t="s">
        <v>27</v>
      </c>
      <c r="B103" s="7" t="s">
        <v>42</v>
      </c>
      <c r="C103" s="7" t="s">
        <v>46</v>
      </c>
      <c r="D103" s="7" t="s">
        <v>47</v>
      </c>
      <c r="E103" s="7" t="s">
        <v>37</v>
      </c>
      <c r="F103" s="7" t="s">
        <v>107</v>
      </c>
      <c r="G103" s="7">
        <v>2021</v>
      </c>
      <c r="H103" s="7" t="str">
        <f>CONCATENATE("14210364445")</f>
        <v>14210364445</v>
      </c>
      <c r="I103" s="7" t="s">
        <v>45</v>
      </c>
      <c r="J103" s="7" t="s">
        <v>30</v>
      </c>
      <c r="K103" s="7" t="str">
        <f>CONCATENATE("")</f>
        <v/>
      </c>
      <c r="L103" s="7" t="str">
        <f>CONCATENATE("13 13.1 4a")</f>
        <v>13 13.1 4a</v>
      </c>
      <c r="M103" s="7" t="str">
        <f>CONCATENATE("CPRGRG59S27B474X")</f>
        <v>CPRGRG59S27B474X</v>
      </c>
      <c r="N103" s="7" t="s">
        <v>162</v>
      </c>
      <c r="O103" s="7" t="s">
        <v>129</v>
      </c>
      <c r="P103" s="8">
        <v>44645</v>
      </c>
      <c r="Q103" s="7" t="s">
        <v>31</v>
      </c>
      <c r="R103" s="7" t="s">
        <v>32</v>
      </c>
      <c r="S103" s="7" t="s">
        <v>33</v>
      </c>
      <c r="T103" s="7"/>
      <c r="U103" s="7" t="s">
        <v>34</v>
      </c>
      <c r="V103" s="7">
        <v>124.9</v>
      </c>
      <c r="W103" s="7">
        <v>53.86</v>
      </c>
      <c r="X103" s="7">
        <v>49.74</v>
      </c>
      <c r="Y103" s="7">
        <v>0</v>
      </c>
      <c r="Z103" s="7">
        <v>21.3</v>
      </c>
    </row>
    <row r="104" spans="1:26" x14ac:dyDescent="0.35">
      <c r="A104" s="7" t="s">
        <v>27</v>
      </c>
      <c r="B104" s="7" t="s">
        <v>42</v>
      </c>
      <c r="C104" s="7" t="s">
        <v>46</v>
      </c>
      <c r="D104" s="7" t="s">
        <v>47</v>
      </c>
      <c r="E104" s="7" t="s">
        <v>37</v>
      </c>
      <c r="F104" s="7" t="s">
        <v>107</v>
      </c>
      <c r="G104" s="7">
        <v>2021</v>
      </c>
      <c r="H104" s="7" t="str">
        <f>CONCATENATE("14210406873")</f>
        <v>14210406873</v>
      </c>
      <c r="I104" s="7" t="s">
        <v>29</v>
      </c>
      <c r="J104" s="7" t="s">
        <v>30</v>
      </c>
      <c r="K104" s="7" t="str">
        <f>CONCATENATE("")</f>
        <v/>
      </c>
      <c r="L104" s="7" t="str">
        <f>CONCATENATE("13 13.1 4a")</f>
        <v>13 13.1 4a</v>
      </c>
      <c r="M104" s="7" t="str">
        <f>CONCATENATE("ZFFLVZ53A23G637Y")</f>
        <v>ZFFLVZ53A23G637Y</v>
      </c>
      <c r="N104" s="7" t="s">
        <v>163</v>
      </c>
      <c r="O104" s="7" t="s">
        <v>129</v>
      </c>
      <c r="P104" s="8">
        <v>44645</v>
      </c>
      <c r="Q104" s="7" t="s">
        <v>31</v>
      </c>
      <c r="R104" s="7" t="s">
        <v>32</v>
      </c>
      <c r="S104" s="7" t="s">
        <v>33</v>
      </c>
      <c r="T104" s="7"/>
      <c r="U104" s="7" t="s">
        <v>34</v>
      </c>
      <c r="V104" s="9">
        <v>1643.8</v>
      </c>
      <c r="W104" s="7">
        <v>708.81</v>
      </c>
      <c r="X104" s="7">
        <v>654.55999999999995</v>
      </c>
      <c r="Y104" s="7">
        <v>0</v>
      </c>
      <c r="Z104" s="7">
        <v>280.43</v>
      </c>
    </row>
    <row r="105" spans="1:26" x14ac:dyDescent="0.35">
      <c r="A105" s="7" t="s">
        <v>27</v>
      </c>
      <c r="B105" s="7" t="s">
        <v>42</v>
      </c>
      <c r="C105" s="7" t="s">
        <v>46</v>
      </c>
      <c r="D105" s="7" t="s">
        <v>47</v>
      </c>
      <c r="E105" s="7" t="s">
        <v>37</v>
      </c>
      <c r="F105" s="7" t="s">
        <v>107</v>
      </c>
      <c r="G105" s="7">
        <v>2021</v>
      </c>
      <c r="H105" s="7" t="str">
        <f>CONCATENATE("14210473568")</f>
        <v>14210473568</v>
      </c>
      <c r="I105" s="7" t="s">
        <v>45</v>
      </c>
      <c r="J105" s="7" t="s">
        <v>30</v>
      </c>
      <c r="K105" s="7" t="str">
        <f>CONCATENATE("")</f>
        <v/>
      </c>
      <c r="L105" s="7" t="str">
        <f>CONCATENATE("13 13.1 4a")</f>
        <v>13 13.1 4a</v>
      </c>
      <c r="M105" s="7" t="str">
        <f>CONCATENATE("TMSFRZ66E10B474E")</f>
        <v>TMSFRZ66E10B474E</v>
      </c>
      <c r="N105" s="7" t="s">
        <v>164</v>
      </c>
      <c r="O105" s="7" t="s">
        <v>129</v>
      </c>
      <c r="P105" s="8">
        <v>44645</v>
      </c>
      <c r="Q105" s="7" t="s">
        <v>31</v>
      </c>
      <c r="R105" s="7" t="s">
        <v>32</v>
      </c>
      <c r="S105" s="7" t="s">
        <v>33</v>
      </c>
      <c r="T105" s="7"/>
      <c r="U105" s="7" t="s">
        <v>34</v>
      </c>
      <c r="V105" s="7">
        <v>763.72</v>
      </c>
      <c r="W105" s="7">
        <v>329.32</v>
      </c>
      <c r="X105" s="7">
        <v>304.11</v>
      </c>
      <c r="Y105" s="7">
        <v>0</v>
      </c>
      <c r="Z105" s="7">
        <v>130.29</v>
      </c>
    </row>
    <row r="106" spans="1:26" ht="17.5" x14ac:dyDescent="0.35">
      <c r="A106" s="7" t="s">
        <v>27</v>
      </c>
      <c r="B106" s="7" t="s">
        <v>42</v>
      </c>
      <c r="C106" s="7" t="s">
        <v>46</v>
      </c>
      <c r="D106" s="7" t="s">
        <v>47</v>
      </c>
      <c r="E106" s="7" t="s">
        <v>35</v>
      </c>
      <c r="F106" s="7" t="s">
        <v>165</v>
      </c>
      <c r="G106" s="7">
        <v>2021</v>
      </c>
      <c r="H106" s="7" t="str">
        <f>CONCATENATE("14210322013")</f>
        <v>14210322013</v>
      </c>
      <c r="I106" s="7" t="s">
        <v>29</v>
      </c>
      <c r="J106" s="7" t="s">
        <v>30</v>
      </c>
      <c r="K106" s="7" t="str">
        <f>CONCATENATE("")</f>
        <v/>
      </c>
      <c r="L106" s="7" t="str">
        <f>CONCATENATE("13 13.1 4a")</f>
        <v>13 13.1 4a</v>
      </c>
      <c r="M106" s="7" t="str">
        <f>CONCATENATE("CMPRME38A24A329M")</f>
        <v>CMPRME38A24A329M</v>
      </c>
      <c r="N106" s="7" t="s">
        <v>166</v>
      </c>
      <c r="O106" s="7" t="s">
        <v>129</v>
      </c>
      <c r="P106" s="8">
        <v>44645</v>
      </c>
      <c r="Q106" s="7" t="s">
        <v>31</v>
      </c>
      <c r="R106" s="7" t="s">
        <v>32</v>
      </c>
      <c r="S106" s="7" t="s">
        <v>33</v>
      </c>
      <c r="T106" s="7"/>
      <c r="U106" s="7" t="s">
        <v>34</v>
      </c>
      <c r="V106" s="7">
        <v>108.43</v>
      </c>
      <c r="W106" s="7">
        <v>46.76</v>
      </c>
      <c r="X106" s="7">
        <v>43.18</v>
      </c>
      <c r="Y106" s="7">
        <v>0</v>
      </c>
      <c r="Z106" s="7">
        <v>18.489999999999998</v>
      </c>
    </row>
    <row r="107" spans="1:26" x14ac:dyDescent="0.35">
      <c r="A107" s="7" t="s">
        <v>27</v>
      </c>
      <c r="B107" s="7" t="s">
        <v>42</v>
      </c>
      <c r="C107" s="7" t="s">
        <v>46</v>
      </c>
      <c r="D107" s="7" t="s">
        <v>47</v>
      </c>
      <c r="E107" s="7" t="s">
        <v>35</v>
      </c>
      <c r="F107" s="7" t="s">
        <v>61</v>
      </c>
      <c r="G107" s="7">
        <v>2021</v>
      </c>
      <c r="H107" s="7" t="str">
        <f>CONCATENATE("14210307048")</f>
        <v>14210307048</v>
      </c>
      <c r="I107" s="7" t="s">
        <v>45</v>
      </c>
      <c r="J107" s="7" t="s">
        <v>30</v>
      </c>
      <c r="K107" s="7" t="str">
        <f>CONCATENATE("")</f>
        <v/>
      </c>
      <c r="L107" s="7" t="str">
        <f>CONCATENATE("13 13.1 4a")</f>
        <v>13 13.1 4a</v>
      </c>
      <c r="M107" s="7" t="str">
        <f>CONCATENATE("FNCLBT61M54H501Z")</f>
        <v>FNCLBT61M54H501Z</v>
      </c>
      <c r="N107" s="7" t="s">
        <v>167</v>
      </c>
      <c r="O107" s="7" t="s">
        <v>129</v>
      </c>
      <c r="P107" s="8">
        <v>44645</v>
      </c>
      <c r="Q107" s="7" t="s">
        <v>31</v>
      </c>
      <c r="R107" s="7" t="s">
        <v>32</v>
      </c>
      <c r="S107" s="7" t="s">
        <v>33</v>
      </c>
      <c r="T107" s="7"/>
      <c r="U107" s="7" t="s">
        <v>34</v>
      </c>
      <c r="V107" s="7">
        <v>661.15</v>
      </c>
      <c r="W107" s="7">
        <v>285.08999999999997</v>
      </c>
      <c r="X107" s="7">
        <v>263.27</v>
      </c>
      <c r="Y107" s="7">
        <v>0</v>
      </c>
      <c r="Z107" s="7">
        <v>112.79</v>
      </c>
    </row>
    <row r="108" spans="1:26" x14ac:dyDescent="0.35">
      <c r="A108" s="7" t="s">
        <v>27</v>
      </c>
      <c r="B108" s="7" t="s">
        <v>42</v>
      </c>
      <c r="C108" s="7" t="s">
        <v>46</v>
      </c>
      <c r="D108" s="7" t="s">
        <v>47</v>
      </c>
      <c r="E108" s="7" t="s">
        <v>37</v>
      </c>
      <c r="F108" s="7" t="s">
        <v>107</v>
      </c>
      <c r="G108" s="7">
        <v>2021</v>
      </c>
      <c r="H108" s="7" t="str">
        <f>CONCATENATE("14210361763")</f>
        <v>14210361763</v>
      </c>
      <c r="I108" s="7" t="s">
        <v>45</v>
      </c>
      <c r="J108" s="7" t="s">
        <v>30</v>
      </c>
      <c r="K108" s="7" t="str">
        <f>CONCATENATE("")</f>
        <v/>
      </c>
      <c r="L108" s="7" t="str">
        <f>CONCATENATE("13 13.1 4a")</f>
        <v>13 13.1 4a</v>
      </c>
      <c r="M108" s="7" t="str">
        <f>CONCATENATE("BLLLRT57R29B474A")</f>
        <v>BLLLRT57R29B474A</v>
      </c>
      <c r="N108" s="7" t="s">
        <v>168</v>
      </c>
      <c r="O108" s="7" t="s">
        <v>129</v>
      </c>
      <c r="P108" s="8">
        <v>44645</v>
      </c>
      <c r="Q108" s="7" t="s">
        <v>31</v>
      </c>
      <c r="R108" s="7" t="s">
        <v>32</v>
      </c>
      <c r="S108" s="7" t="s">
        <v>33</v>
      </c>
      <c r="T108" s="7"/>
      <c r="U108" s="7" t="s">
        <v>34</v>
      </c>
      <c r="V108" s="7">
        <v>307.25</v>
      </c>
      <c r="W108" s="7">
        <v>132.49</v>
      </c>
      <c r="X108" s="7">
        <v>122.35</v>
      </c>
      <c r="Y108" s="7">
        <v>0</v>
      </c>
      <c r="Z108" s="7">
        <v>52.41</v>
      </c>
    </row>
    <row r="109" spans="1:26" x14ac:dyDescent="0.35">
      <c r="A109" s="7" t="s">
        <v>27</v>
      </c>
      <c r="B109" s="7" t="s">
        <v>42</v>
      </c>
      <c r="C109" s="7" t="s">
        <v>46</v>
      </c>
      <c r="D109" s="7" t="s">
        <v>47</v>
      </c>
      <c r="E109" s="7" t="s">
        <v>37</v>
      </c>
      <c r="F109" s="7" t="s">
        <v>107</v>
      </c>
      <c r="G109" s="7">
        <v>2021</v>
      </c>
      <c r="H109" s="7" t="str">
        <f>CONCATENATE("14210365293")</f>
        <v>14210365293</v>
      </c>
      <c r="I109" s="7" t="s">
        <v>45</v>
      </c>
      <c r="J109" s="7" t="s">
        <v>30</v>
      </c>
      <c r="K109" s="7" t="str">
        <f>CONCATENATE("")</f>
        <v/>
      </c>
      <c r="L109" s="7" t="str">
        <f>CONCATENATE("13 13.1 4a")</f>
        <v>13 13.1 4a</v>
      </c>
      <c r="M109" s="7" t="str">
        <f>CONCATENATE("CPRNGL49R01B474P")</f>
        <v>CPRNGL49R01B474P</v>
      </c>
      <c r="N109" s="7" t="s">
        <v>169</v>
      </c>
      <c r="O109" s="7" t="s">
        <v>129</v>
      </c>
      <c r="P109" s="8">
        <v>44645</v>
      </c>
      <c r="Q109" s="7" t="s">
        <v>31</v>
      </c>
      <c r="R109" s="7" t="s">
        <v>32</v>
      </c>
      <c r="S109" s="7" t="s">
        <v>33</v>
      </c>
      <c r="T109" s="7"/>
      <c r="U109" s="7" t="s">
        <v>34</v>
      </c>
      <c r="V109" s="7">
        <v>380.94</v>
      </c>
      <c r="W109" s="7">
        <v>164.26</v>
      </c>
      <c r="X109" s="7">
        <v>151.69</v>
      </c>
      <c r="Y109" s="7">
        <v>0</v>
      </c>
      <c r="Z109" s="7">
        <v>64.989999999999995</v>
      </c>
    </row>
    <row r="110" spans="1:26" x14ac:dyDescent="0.35">
      <c r="A110" s="7" t="s">
        <v>27</v>
      </c>
      <c r="B110" s="7" t="s">
        <v>42</v>
      </c>
      <c r="C110" s="7" t="s">
        <v>46</v>
      </c>
      <c r="D110" s="7" t="s">
        <v>47</v>
      </c>
      <c r="E110" s="7" t="s">
        <v>43</v>
      </c>
      <c r="F110" s="7" t="s">
        <v>170</v>
      </c>
      <c r="G110" s="7">
        <v>2021</v>
      </c>
      <c r="H110" s="7" t="str">
        <f>CONCATENATE("14211123113")</f>
        <v>14211123113</v>
      </c>
      <c r="I110" s="7" t="s">
        <v>29</v>
      </c>
      <c r="J110" s="7" t="s">
        <v>30</v>
      </c>
      <c r="K110" s="7" t="str">
        <f>CONCATENATE("")</f>
        <v/>
      </c>
      <c r="L110" s="7" t="str">
        <f>CONCATENATE("13 13.1 4a")</f>
        <v>13 13.1 4a</v>
      </c>
      <c r="M110" s="7" t="str">
        <f>CONCATENATE("PZZRMN71A46B474H")</f>
        <v>PZZRMN71A46B474H</v>
      </c>
      <c r="N110" s="7" t="s">
        <v>171</v>
      </c>
      <c r="O110" s="7" t="s">
        <v>129</v>
      </c>
      <c r="P110" s="8">
        <v>44645</v>
      </c>
      <c r="Q110" s="7" t="s">
        <v>31</v>
      </c>
      <c r="R110" s="7" t="s">
        <v>32</v>
      </c>
      <c r="S110" s="7" t="s">
        <v>33</v>
      </c>
      <c r="T110" s="7"/>
      <c r="U110" s="7" t="s">
        <v>34</v>
      </c>
      <c r="V110" s="9">
        <v>1516.44</v>
      </c>
      <c r="W110" s="7">
        <v>653.89</v>
      </c>
      <c r="X110" s="7">
        <v>603.85</v>
      </c>
      <c r="Y110" s="7">
        <v>0</v>
      </c>
      <c r="Z110" s="7">
        <v>258.7</v>
      </c>
    </row>
    <row r="111" spans="1:26" x14ac:dyDescent="0.35">
      <c r="A111" s="7" t="s">
        <v>27</v>
      </c>
      <c r="B111" s="7" t="s">
        <v>42</v>
      </c>
      <c r="C111" s="7" t="s">
        <v>46</v>
      </c>
      <c r="D111" s="7" t="s">
        <v>47</v>
      </c>
      <c r="E111" s="7" t="s">
        <v>35</v>
      </c>
      <c r="F111" s="7" t="s">
        <v>57</v>
      </c>
      <c r="G111" s="7">
        <v>2021</v>
      </c>
      <c r="H111" s="7" t="str">
        <f>CONCATENATE("14210026242")</f>
        <v>14210026242</v>
      </c>
      <c r="I111" s="7" t="s">
        <v>29</v>
      </c>
      <c r="J111" s="7" t="s">
        <v>30</v>
      </c>
      <c r="K111" s="7" t="str">
        <f>CONCATENATE("")</f>
        <v/>
      </c>
      <c r="L111" s="7" t="str">
        <f>CONCATENATE("13 13.1 4a")</f>
        <v>13 13.1 4a</v>
      </c>
      <c r="M111" s="7" t="str">
        <f>CONCATENATE("CNTVIO49P12A252Y")</f>
        <v>CNTVIO49P12A252Y</v>
      </c>
      <c r="N111" s="7" t="s">
        <v>172</v>
      </c>
      <c r="O111" s="7" t="s">
        <v>129</v>
      </c>
      <c r="P111" s="8">
        <v>44645</v>
      </c>
      <c r="Q111" s="7" t="s">
        <v>31</v>
      </c>
      <c r="R111" s="7" t="s">
        <v>32</v>
      </c>
      <c r="S111" s="7" t="s">
        <v>33</v>
      </c>
      <c r="T111" s="7"/>
      <c r="U111" s="7" t="s">
        <v>34</v>
      </c>
      <c r="V111" s="9">
        <v>2385.7800000000002</v>
      </c>
      <c r="W111" s="9">
        <v>1028.75</v>
      </c>
      <c r="X111" s="7">
        <v>950.02</v>
      </c>
      <c r="Y111" s="7">
        <v>0</v>
      </c>
      <c r="Z111" s="7">
        <v>407.01</v>
      </c>
    </row>
    <row r="112" spans="1:26" x14ac:dyDescent="0.35">
      <c r="A112" s="7" t="s">
        <v>27</v>
      </c>
      <c r="B112" s="7" t="s">
        <v>42</v>
      </c>
      <c r="C112" s="7" t="s">
        <v>46</v>
      </c>
      <c r="D112" s="7" t="s">
        <v>47</v>
      </c>
      <c r="E112" s="7" t="s">
        <v>35</v>
      </c>
      <c r="F112" s="7" t="s">
        <v>61</v>
      </c>
      <c r="G112" s="7">
        <v>2021</v>
      </c>
      <c r="H112" s="7" t="str">
        <f>CONCATENATE("14210100203")</f>
        <v>14210100203</v>
      </c>
      <c r="I112" s="7" t="s">
        <v>45</v>
      </c>
      <c r="J112" s="7" t="s">
        <v>30</v>
      </c>
      <c r="K112" s="7" t="str">
        <f>CONCATENATE("")</f>
        <v/>
      </c>
      <c r="L112" s="7" t="str">
        <f>CONCATENATE("13 13.1 4a")</f>
        <v>13 13.1 4a</v>
      </c>
      <c r="M112" s="7" t="str">
        <f>CONCATENATE("TLLMGH57H41D653E")</f>
        <v>TLLMGH57H41D653E</v>
      </c>
      <c r="N112" s="7" t="s">
        <v>173</v>
      </c>
      <c r="O112" s="7" t="s">
        <v>129</v>
      </c>
      <c r="P112" s="8">
        <v>44645</v>
      </c>
      <c r="Q112" s="7" t="s">
        <v>31</v>
      </c>
      <c r="R112" s="7" t="s">
        <v>32</v>
      </c>
      <c r="S112" s="7" t="s">
        <v>33</v>
      </c>
      <c r="T112" s="7"/>
      <c r="U112" s="7" t="s">
        <v>34</v>
      </c>
      <c r="V112" s="7">
        <v>141.80000000000001</v>
      </c>
      <c r="W112" s="7">
        <v>61.14</v>
      </c>
      <c r="X112" s="7">
        <v>56.46</v>
      </c>
      <c r="Y112" s="7">
        <v>0</v>
      </c>
      <c r="Z112" s="7">
        <v>24.2</v>
      </c>
    </row>
    <row r="113" spans="1:26" x14ac:dyDescent="0.35">
      <c r="A113" s="7" t="s">
        <v>27</v>
      </c>
      <c r="B113" s="7" t="s">
        <v>42</v>
      </c>
      <c r="C113" s="7" t="s">
        <v>46</v>
      </c>
      <c r="D113" s="7" t="s">
        <v>47</v>
      </c>
      <c r="E113" s="7" t="s">
        <v>35</v>
      </c>
      <c r="F113" s="7" t="s">
        <v>61</v>
      </c>
      <c r="G113" s="7">
        <v>2021</v>
      </c>
      <c r="H113" s="7" t="str">
        <f>CONCATENATE("14210687019")</f>
        <v>14210687019</v>
      </c>
      <c r="I113" s="7" t="s">
        <v>29</v>
      </c>
      <c r="J113" s="7" t="s">
        <v>30</v>
      </c>
      <c r="K113" s="7" t="str">
        <f>CONCATENATE("")</f>
        <v/>
      </c>
      <c r="L113" s="7" t="str">
        <f>CONCATENATE("13 13.1 4a")</f>
        <v>13 13.1 4a</v>
      </c>
      <c r="M113" s="7" t="str">
        <f>CONCATENATE("01945810438")</f>
        <v>01945810438</v>
      </c>
      <c r="N113" s="7" t="s">
        <v>174</v>
      </c>
      <c r="O113" s="7" t="s">
        <v>129</v>
      </c>
      <c r="P113" s="8">
        <v>44645</v>
      </c>
      <c r="Q113" s="7" t="s">
        <v>31</v>
      </c>
      <c r="R113" s="7" t="s">
        <v>32</v>
      </c>
      <c r="S113" s="7" t="s">
        <v>33</v>
      </c>
      <c r="T113" s="7"/>
      <c r="U113" s="7" t="s">
        <v>34</v>
      </c>
      <c r="V113" s="7">
        <v>26.98</v>
      </c>
      <c r="W113" s="7">
        <v>11.63</v>
      </c>
      <c r="X113" s="7">
        <v>10.74</v>
      </c>
      <c r="Y113" s="7">
        <v>0</v>
      </c>
      <c r="Z113" s="7">
        <v>4.6100000000000003</v>
      </c>
    </row>
    <row r="114" spans="1:26" x14ac:dyDescent="0.35">
      <c r="A114" s="7" t="s">
        <v>27</v>
      </c>
      <c r="B114" s="7" t="s">
        <v>42</v>
      </c>
      <c r="C114" s="7" t="s">
        <v>46</v>
      </c>
      <c r="D114" s="7" t="s">
        <v>47</v>
      </c>
      <c r="E114" s="7" t="s">
        <v>35</v>
      </c>
      <c r="F114" s="7" t="s">
        <v>61</v>
      </c>
      <c r="G114" s="7">
        <v>2021</v>
      </c>
      <c r="H114" s="7" t="str">
        <f>CONCATENATE("14210017951")</f>
        <v>14210017951</v>
      </c>
      <c r="I114" s="7" t="s">
        <v>45</v>
      </c>
      <c r="J114" s="7" t="s">
        <v>30</v>
      </c>
      <c r="K114" s="7" t="str">
        <f>CONCATENATE("")</f>
        <v/>
      </c>
      <c r="L114" s="7" t="str">
        <f>CONCATENATE("13 13.1 4a")</f>
        <v>13 13.1 4a</v>
      </c>
      <c r="M114" s="7" t="str">
        <f>CONCATENATE("PRMNDR74S08B474X")</f>
        <v>PRMNDR74S08B474X</v>
      </c>
      <c r="N114" s="7" t="s">
        <v>175</v>
      </c>
      <c r="O114" s="7" t="s">
        <v>129</v>
      </c>
      <c r="P114" s="8">
        <v>44645</v>
      </c>
      <c r="Q114" s="7" t="s">
        <v>31</v>
      </c>
      <c r="R114" s="7" t="s">
        <v>32</v>
      </c>
      <c r="S114" s="7" t="s">
        <v>33</v>
      </c>
      <c r="T114" s="7"/>
      <c r="U114" s="7" t="s">
        <v>34</v>
      </c>
      <c r="V114" s="7">
        <v>242.14</v>
      </c>
      <c r="W114" s="7">
        <v>104.41</v>
      </c>
      <c r="X114" s="7">
        <v>96.42</v>
      </c>
      <c r="Y114" s="7">
        <v>0</v>
      </c>
      <c r="Z114" s="7">
        <v>41.31</v>
      </c>
    </row>
    <row r="115" spans="1:26" x14ac:dyDescent="0.35">
      <c r="A115" s="7" t="s">
        <v>27</v>
      </c>
      <c r="B115" s="7" t="s">
        <v>42</v>
      </c>
      <c r="C115" s="7" t="s">
        <v>46</v>
      </c>
      <c r="D115" s="7" t="s">
        <v>47</v>
      </c>
      <c r="E115" s="7" t="s">
        <v>37</v>
      </c>
      <c r="F115" s="7" t="s">
        <v>107</v>
      </c>
      <c r="G115" s="7">
        <v>2021</v>
      </c>
      <c r="H115" s="7" t="str">
        <f>CONCATENATE("14210396355")</f>
        <v>14210396355</v>
      </c>
      <c r="I115" s="7" t="s">
        <v>45</v>
      </c>
      <c r="J115" s="7" t="s">
        <v>30</v>
      </c>
      <c r="K115" s="7" t="str">
        <f>CONCATENATE("")</f>
        <v/>
      </c>
      <c r="L115" s="7" t="str">
        <f>CONCATENATE("13 13.1 4a")</f>
        <v>13 13.1 4a</v>
      </c>
      <c r="M115" s="7" t="str">
        <f>CONCATENATE("SNTRST40R12D653K")</f>
        <v>SNTRST40R12D653K</v>
      </c>
      <c r="N115" s="7" t="s">
        <v>176</v>
      </c>
      <c r="O115" s="7" t="s">
        <v>129</v>
      </c>
      <c r="P115" s="8">
        <v>44645</v>
      </c>
      <c r="Q115" s="7" t="s">
        <v>31</v>
      </c>
      <c r="R115" s="7" t="s">
        <v>32</v>
      </c>
      <c r="S115" s="7" t="s">
        <v>33</v>
      </c>
      <c r="T115" s="7"/>
      <c r="U115" s="7" t="s">
        <v>34</v>
      </c>
      <c r="V115" s="7">
        <v>186.05</v>
      </c>
      <c r="W115" s="7">
        <v>80.22</v>
      </c>
      <c r="X115" s="7">
        <v>74.09</v>
      </c>
      <c r="Y115" s="7">
        <v>0</v>
      </c>
      <c r="Z115" s="7">
        <v>31.74</v>
      </c>
    </row>
    <row r="116" spans="1:26" x14ac:dyDescent="0.35">
      <c r="A116" s="7" t="s">
        <v>27</v>
      </c>
      <c r="B116" s="7" t="s">
        <v>42</v>
      </c>
      <c r="C116" s="7" t="s">
        <v>46</v>
      </c>
      <c r="D116" s="7" t="s">
        <v>47</v>
      </c>
      <c r="E116" s="7" t="s">
        <v>37</v>
      </c>
      <c r="F116" s="7" t="s">
        <v>107</v>
      </c>
      <c r="G116" s="7">
        <v>2021</v>
      </c>
      <c r="H116" s="7" t="str">
        <f>CONCATENATE("14210382538")</f>
        <v>14210382538</v>
      </c>
      <c r="I116" s="7" t="s">
        <v>45</v>
      </c>
      <c r="J116" s="7" t="s">
        <v>30</v>
      </c>
      <c r="K116" s="7" t="str">
        <f>CONCATENATE("")</f>
        <v/>
      </c>
      <c r="L116" s="7" t="str">
        <f>CONCATENATE("13 13.1 4a")</f>
        <v>13 13.1 4a</v>
      </c>
      <c r="M116" s="7" t="str">
        <f>CONCATENATE("GLILSU55A66I661B")</f>
        <v>GLILSU55A66I661B</v>
      </c>
      <c r="N116" s="7" t="s">
        <v>177</v>
      </c>
      <c r="O116" s="7" t="s">
        <v>129</v>
      </c>
      <c r="P116" s="8">
        <v>44645</v>
      </c>
      <c r="Q116" s="7" t="s">
        <v>31</v>
      </c>
      <c r="R116" s="7" t="s">
        <v>32</v>
      </c>
      <c r="S116" s="7" t="s">
        <v>33</v>
      </c>
      <c r="T116" s="7"/>
      <c r="U116" s="7" t="s">
        <v>34</v>
      </c>
      <c r="V116" s="7">
        <v>337.69</v>
      </c>
      <c r="W116" s="7">
        <v>145.61000000000001</v>
      </c>
      <c r="X116" s="7">
        <v>134.47</v>
      </c>
      <c r="Y116" s="7">
        <v>0</v>
      </c>
      <c r="Z116" s="7">
        <v>57.61</v>
      </c>
    </row>
    <row r="117" spans="1:26" x14ac:dyDescent="0.35">
      <c r="A117" s="7" t="s">
        <v>27</v>
      </c>
      <c r="B117" s="7" t="s">
        <v>42</v>
      </c>
      <c r="C117" s="7" t="s">
        <v>46</v>
      </c>
      <c r="D117" s="7" t="s">
        <v>47</v>
      </c>
      <c r="E117" s="7" t="s">
        <v>44</v>
      </c>
      <c r="F117" s="7" t="s">
        <v>178</v>
      </c>
      <c r="G117" s="7">
        <v>2021</v>
      </c>
      <c r="H117" s="7" t="str">
        <f>CONCATENATE("14210933991")</f>
        <v>14210933991</v>
      </c>
      <c r="I117" s="7" t="s">
        <v>45</v>
      </c>
      <c r="J117" s="7" t="s">
        <v>30</v>
      </c>
      <c r="K117" s="7" t="str">
        <f>CONCATENATE("")</f>
        <v/>
      </c>
      <c r="L117" s="7" t="str">
        <f>CONCATENATE("13 13.1 4a")</f>
        <v>13 13.1 4a</v>
      </c>
      <c r="M117" s="7" t="str">
        <f>CONCATENATE("ZCCGNN55P03B474T")</f>
        <v>ZCCGNN55P03B474T</v>
      </c>
      <c r="N117" s="7" t="s">
        <v>179</v>
      </c>
      <c r="O117" s="7" t="s">
        <v>129</v>
      </c>
      <c r="P117" s="8">
        <v>44645</v>
      </c>
      <c r="Q117" s="7" t="s">
        <v>31</v>
      </c>
      <c r="R117" s="7" t="s">
        <v>32</v>
      </c>
      <c r="S117" s="7" t="s">
        <v>33</v>
      </c>
      <c r="T117" s="7"/>
      <c r="U117" s="7" t="s">
        <v>34</v>
      </c>
      <c r="V117" s="7">
        <v>290.99</v>
      </c>
      <c r="W117" s="7">
        <v>125.47</v>
      </c>
      <c r="X117" s="7">
        <v>115.87</v>
      </c>
      <c r="Y117" s="7">
        <v>0</v>
      </c>
      <c r="Z117" s="7">
        <v>49.65</v>
      </c>
    </row>
    <row r="118" spans="1:26" x14ac:dyDescent="0.35">
      <c r="A118" s="7" t="s">
        <v>27</v>
      </c>
      <c r="B118" s="7" t="s">
        <v>42</v>
      </c>
      <c r="C118" s="7" t="s">
        <v>46</v>
      </c>
      <c r="D118" s="7" t="s">
        <v>47</v>
      </c>
      <c r="E118" s="7" t="s">
        <v>35</v>
      </c>
      <c r="F118" s="7" t="s">
        <v>61</v>
      </c>
      <c r="G118" s="7">
        <v>2021</v>
      </c>
      <c r="H118" s="7" t="str">
        <f>CONCATENATE("14210041928")</f>
        <v>14210041928</v>
      </c>
      <c r="I118" s="7" t="s">
        <v>45</v>
      </c>
      <c r="J118" s="7" t="s">
        <v>30</v>
      </c>
      <c r="K118" s="7" t="str">
        <f>CONCATENATE("")</f>
        <v/>
      </c>
      <c r="L118" s="7" t="str">
        <f>CONCATENATE("13 13.1 4a")</f>
        <v>13 13.1 4a</v>
      </c>
      <c r="M118" s="7" t="str">
        <f>CONCATENATE("SCRGTN69M02B474Y")</f>
        <v>SCRGTN69M02B474Y</v>
      </c>
      <c r="N118" s="7" t="s">
        <v>180</v>
      </c>
      <c r="O118" s="7" t="s">
        <v>129</v>
      </c>
      <c r="P118" s="8">
        <v>44645</v>
      </c>
      <c r="Q118" s="7" t="s">
        <v>31</v>
      </c>
      <c r="R118" s="7" t="s">
        <v>32</v>
      </c>
      <c r="S118" s="7" t="s">
        <v>33</v>
      </c>
      <c r="T118" s="7"/>
      <c r="U118" s="7" t="s">
        <v>34</v>
      </c>
      <c r="V118" s="7">
        <v>207.62</v>
      </c>
      <c r="W118" s="7">
        <v>89.53</v>
      </c>
      <c r="X118" s="7">
        <v>82.67</v>
      </c>
      <c r="Y118" s="7">
        <v>0</v>
      </c>
      <c r="Z118" s="7">
        <v>35.42</v>
      </c>
    </row>
    <row r="119" spans="1:26" x14ac:dyDescent="0.35">
      <c r="A119" s="7" t="s">
        <v>27</v>
      </c>
      <c r="B119" s="7" t="s">
        <v>42</v>
      </c>
      <c r="C119" s="7" t="s">
        <v>46</v>
      </c>
      <c r="D119" s="7" t="s">
        <v>47</v>
      </c>
      <c r="E119" s="7" t="s">
        <v>37</v>
      </c>
      <c r="F119" s="7" t="s">
        <v>103</v>
      </c>
      <c r="G119" s="7">
        <v>2021</v>
      </c>
      <c r="H119" s="7" t="str">
        <f>CONCATENATE("14210442217")</f>
        <v>14210442217</v>
      </c>
      <c r="I119" s="7" t="s">
        <v>45</v>
      </c>
      <c r="J119" s="7" t="s">
        <v>30</v>
      </c>
      <c r="K119" s="7" t="str">
        <f>CONCATENATE("")</f>
        <v/>
      </c>
      <c r="L119" s="7" t="str">
        <f>CONCATENATE("13 13.1 4a")</f>
        <v>13 13.1 4a</v>
      </c>
      <c r="M119" s="7" t="str">
        <f>CONCATENATE("VNNPRI71C70I436K")</f>
        <v>VNNPRI71C70I436K</v>
      </c>
      <c r="N119" s="7" t="s">
        <v>181</v>
      </c>
      <c r="O119" s="7" t="s">
        <v>129</v>
      </c>
      <c r="P119" s="8">
        <v>44645</v>
      </c>
      <c r="Q119" s="7" t="s">
        <v>31</v>
      </c>
      <c r="R119" s="7" t="s">
        <v>32</v>
      </c>
      <c r="S119" s="7" t="s">
        <v>33</v>
      </c>
      <c r="T119" s="7"/>
      <c r="U119" s="7" t="s">
        <v>34</v>
      </c>
      <c r="V119" s="7">
        <v>515.69000000000005</v>
      </c>
      <c r="W119" s="7">
        <v>222.37</v>
      </c>
      <c r="X119" s="7">
        <v>205.35</v>
      </c>
      <c r="Y119" s="7">
        <v>0</v>
      </c>
      <c r="Z119" s="7">
        <v>87.97</v>
      </c>
    </row>
    <row r="120" spans="1:26" x14ac:dyDescent="0.35">
      <c r="A120" s="7" t="s">
        <v>27</v>
      </c>
      <c r="B120" s="7" t="s">
        <v>42</v>
      </c>
      <c r="C120" s="7" t="s">
        <v>46</v>
      </c>
      <c r="D120" s="7" t="s">
        <v>47</v>
      </c>
      <c r="E120" s="7" t="s">
        <v>35</v>
      </c>
      <c r="F120" s="7" t="s">
        <v>61</v>
      </c>
      <c r="G120" s="7">
        <v>2021</v>
      </c>
      <c r="H120" s="7" t="str">
        <f>CONCATENATE("14210027109")</f>
        <v>14210027109</v>
      </c>
      <c r="I120" s="7" t="s">
        <v>29</v>
      </c>
      <c r="J120" s="7" t="s">
        <v>30</v>
      </c>
      <c r="K120" s="7" t="str">
        <f>CONCATENATE("")</f>
        <v/>
      </c>
      <c r="L120" s="7" t="str">
        <f>CONCATENATE("13 13.1 4a")</f>
        <v>13 13.1 4a</v>
      </c>
      <c r="M120" s="7" t="str">
        <f>CONCATENATE("BRZMRS55C52D451Y")</f>
        <v>BRZMRS55C52D451Y</v>
      </c>
      <c r="N120" s="7" t="s">
        <v>182</v>
      </c>
      <c r="O120" s="7" t="s">
        <v>129</v>
      </c>
      <c r="P120" s="8">
        <v>44645</v>
      </c>
      <c r="Q120" s="7" t="s">
        <v>31</v>
      </c>
      <c r="R120" s="7" t="s">
        <v>32</v>
      </c>
      <c r="S120" s="7" t="s">
        <v>33</v>
      </c>
      <c r="T120" s="7"/>
      <c r="U120" s="7" t="s">
        <v>34</v>
      </c>
      <c r="V120" s="9">
        <v>1281.76</v>
      </c>
      <c r="W120" s="7">
        <v>552.69000000000005</v>
      </c>
      <c r="X120" s="7">
        <v>510.4</v>
      </c>
      <c r="Y120" s="7">
        <v>0</v>
      </c>
      <c r="Z120" s="7">
        <v>218.67</v>
      </c>
    </row>
    <row r="121" spans="1:26" x14ac:dyDescent="0.35">
      <c r="A121" s="7" t="s">
        <v>27</v>
      </c>
      <c r="B121" s="7" t="s">
        <v>42</v>
      </c>
      <c r="C121" s="7" t="s">
        <v>46</v>
      </c>
      <c r="D121" s="7" t="s">
        <v>47</v>
      </c>
      <c r="E121" s="7" t="s">
        <v>37</v>
      </c>
      <c r="F121" s="7" t="s">
        <v>107</v>
      </c>
      <c r="G121" s="7">
        <v>2021</v>
      </c>
      <c r="H121" s="7" t="str">
        <f>CONCATENATE("14210382785")</f>
        <v>14210382785</v>
      </c>
      <c r="I121" s="7" t="s">
        <v>29</v>
      </c>
      <c r="J121" s="7" t="s">
        <v>30</v>
      </c>
      <c r="K121" s="7" t="str">
        <f>CONCATENATE("")</f>
        <v/>
      </c>
      <c r="L121" s="7" t="str">
        <f>CONCATENATE("13 13.1 4a")</f>
        <v>13 13.1 4a</v>
      </c>
      <c r="M121" s="7" t="str">
        <f>CONCATENATE("GRNNGL74T13D653I")</f>
        <v>GRNNGL74T13D653I</v>
      </c>
      <c r="N121" s="7" t="s">
        <v>183</v>
      </c>
      <c r="O121" s="7" t="s">
        <v>129</v>
      </c>
      <c r="P121" s="8">
        <v>44645</v>
      </c>
      <c r="Q121" s="7" t="s">
        <v>31</v>
      </c>
      <c r="R121" s="7" t="s">
        <v>32</v>
      </c>
      <c r="S121" s="7" t="s">
        <v>33</v>
      </c>
      <c r="T121" s="7"/>
      <c r="U121" s="7" t="s">
        <v>34</v>
      </c>
      <c r="V121" s="9">
        <v>6178.3</v>
      </c>
      <c r="W121" s="9">
        <v>2664.08</v>
      </c>
      <c r="X121" s="9">
        <v>2460.1999999999998</v>
      </c>
      <c r="Y121" s="7">
        <v>0</v>
      </c>
      <c r="Z121" s="9">
        <v>1054.02</v>
      </c>
    </row>
    <row r="122" spans="1:26" x14ac:dyDescent="0.35">
      <c r="A122" s="7" t="s">
        <v>27</v>
      </c>
      <c r="B122" s="7" t="s">
        <v>42</v>
      </c>
      <c r="C122" s="7" t="s">
        <v>46</v>
      </c>
      <c r="D122" s="7" t="s">
        <v>47</v>
      </c>
      <c r="E122" s="7" t="s">
        <v>43</v>
      </c>
      <c r="F122" s="7" t="s">
        <v>170</v>
      </c>
      <c r="G122" s="7">
        <v>2021</v>
      </c>
      <c r="H122" s="7" t="str">
        <f>CONCATENATE("14210030467")</f>
        <v>14210030467</v>
      </c>
      <c r="I122" s="7" t="s">
        <v>45</v>
      </c>
      <c r="J122" s="7" t="s">
        <v>30</v>
      </c>
      <c r="K122" s="7" t="str">
        <f>CONCATENATE("")</f>
        <v/>
      </c>
      <c r="L122" s="7" t="str">
        <f>CONCATENATE("13 13.1 4a")</f>
        <v>13 13.1 4a</v>
      </c>
      <c r="M122" s="7" t="str">
        <f>CONCATENATE("MCCMHL59P05I661C")</f>
        <v>MCCMHL59P05I661C</v>
      </c>
      <c r="N122" s="7" t="s">
        <v>184</v>
      </c>
      <c r="O122" s="7" t="s">
        <v>129</v>
      </c>
      <c r="P122" s="8">
        <v>44645</v>
      </c>
      <c r="Q122" s="7" t="s">
        <v>31</v>
      </c>
      <c r="R122" s="7" t="s">
        <v>32</v>
      </c>
      <c r="S122" s="7" t="s">
        <v>33</v>
      </c>
      <c r="T122" s="7"/>
      <c r="U122" s="7" t="s">
        <v>34</v>
      </c>
      <c r="V122" s="7">
        <v>140.16999999999999</v>
      </c>
      <c r="W122" s="7">
        <v>60.44</v>
      </c>
      <c r="X122" s="7">
        <v>55.82</v>
      </c>
      <c r="Y122" s="7">
        <v>0</v>
      </c>
      <c r="Z122" s="7">
        <v>23.91</v>
      </c>
    </row>
    <row r="123" spans="1:26" x14ac:dyDescent="0.35">
      <c r="A123" s="7" t="s">
        <v>27</v>
      </c>
      <c r="B123" s="7" t="s">
        <v>42</v>
      </c>
      <c r="C123" s="7" t="s">
        <v>46</v>
      </c>
      <c r="D123" s="7" t="s">
        <v>47</v>
      </c>
      <c r="E123" s="7" t="s">
        <v>35</v>
      </c>
      <c r="F123" s="7" t="s">
        <v>61</v>
      </c>
      <c r="G123" s="7">
        <v>2021</v>
      </c>
      <c r="H123" s="7" t="str">
        <f>CONCATENATE("14210052016")</f>
        <v>14210052016</v>
      </c>
      <c r="I123" s="7" t="s">
        <v>45</v>
      </c>
      <c r="J123" s="7" t="s">
        <v>30</v>
      </c>
      <c r="K123" s="7" t="str">
        <f>CONCATENATE("")</f>
        <v/>
      </c>
      <c r="L123" s="7" t="str">
        <f>CONCATENATE("13 13.1 4a")</f>
        <v>13 13.1 4a</v>
      </c>
      <c r="M123" s="7" t="str">
        <f>CONCATENATE("PGNDNC64S30M078Y")</f>
        <v>PGNDNC64S30M078Y</v>
      </c>
      <c r="N123" s="7" t="s">
        <v>185</v>
      </c>
      <c r="O123" s="7" t="s">
        <v>129</v>
      </c>
      <c r="P123" s="8">
        <v>44645</v>
      </c>
      <c r="Q123" s="7" t="s">
        <v>31</v>
      </c>
      <c r="R123" s="7" t="s">
        <v>32</v>
      </c>
      <c r="S123" s="7" t="s">
        <v>33</v>
      </c>
      <c r="T123" s="7"/>
      <c r="U123" s="7" t="s">
        <v>34</v>
      </c>
      <c r="V123" s="7">
        <v>213.63</v>
      </c>
      <c r="W123" s="7">
        <v>92.12</v>
      </c>
      <c r="X123" s="7">
        <v>85.07</v>
      </c>
      <c r="Y123" s="7">
        <v>0</v>
      </c>
      <c r="Z123" s="7">
        <v>36.44</v>
      </c>
    </row>
    <row r="124" spans="1:26" x14ac:dyDescent="0.35">
      <c r="A124" s="7" t="s">
        <v>27</v>
      </c>
      <c r="B124" s="7" t="s">
        <v>42</v>
      </c>
      <c r="C124" s="7" t="s">
        <v>46</v>
      </c>
      <c r="D124" s="7" t="s">
        <v>47</v>
      </c>
      <c r="E124" s="7" t="s">
        <v>35</v>
      </c>
      <c r="F124" s="7" t="s">
        <v>61</v>
      </c>
      <c r="G124" s="7">
        <v>2021</v>
      </c>
      <c r="H124" s="7" t="str">
        <f>CONCATENATE("14210087376")</f>
        <v>14210087376</v>
      </c>
      <c r="I124" s="7" t="s">
        <v>45</v>
      </c>
      <c r="J124" s="7" t="s">
        <v>30</v>
      </c>
      <c r="K124" s="7" t="str">
        <f>CONCATENATE("")</f>
        <v/>
      </c>
      <c r="L124" s="7" t="str">
        <f>CONCATENATE("13 13.1 4a")</f>
        <v>13 13.1 4a</v>
      </c>
      <c r="M124" s="7" t="str">
        <f>CONCATENATE("FRTGPP53M31D653F")</f>
        <v>FRTGPP53M31D653F</v>
      </c>
      <c r="N124" s="7" t="s">
        <v>186</v>
      </c>
      <c r="O124" s="7" t="s">
        <v>129</v>
      </c>
      <c r="P124" s="8">
        <v>44645</v>
      </c>
      <c r="Q124" s="7" t="s">
        <v>31</v>
      </c>
      <c r="R124" s="7" t="s">
        <v>32</v>
      </c>
      <c r="S124" s="7" t="s">
        <v>33</v>
      </c>
      <c r="T124" s="7"/>
      <c r="U124" s="7" t="s">
        <v>34</v>
      </c>
      <c r="V124" s="7">
        <v>298.98</v>
      </c>
      <c r="W124" s="7">
        <v>128.91999999999999</v>
      </c>
      <c r="X124" s="7">
        <v>119.05</v>
      </c>
      <c r="Y124" s="7">
        <v>0</v>
      </c>
      <c r="Z124" s="7">
        <v>51.01</v>
      </c>
    </row>
    <row r="125" spans="1:26" x14ac:dyDescent="0.35">
      <c r="A125" s="7" t="s">
        <v>27</v>
      </c>
      <c r="B125" s="7" t="s">
        <v>42</v>
      </c>
      <c r="C125" s="7" t="s">
        <v>46</v>
      </c>
      <c r="D125" s="7" t="s">
        <v>47</v>
      </c>
      <c r="E125" s="7" t="s">
        <v>35</v>
      </c>
      <c r="F125" s="7" t="s">
        <v>61</v>
      </c>
      <c r="G125" s="7">
        <v>2021</v>
      </c>
      <c r="H125" s="7" t="str">
        <f>CONCATENATE("14210211851")</f>
        <v>14210211851</v>
      </c>
      <c r="I125" s="7" t="s">
        <v>45</v>
      </c>
      <c r="J125" s="7" t="s">
        <v>30</v>
      </c>
      <c r="K125" s="7" t="str">
        <f>CONCATENATE("")</f>
        <v/>
      </c>
      <c r="L125" s="7" t="str">
        <f>CONCATENATE("13 13.1 4a")</f>
        <v>13 13.1 4a</v>
      </c>
      <c r="M125" s="7" t="str">
        <f>CONCATENATE("PGNGFR72T15B474I")</f>
        <v>PGNGFR72T15B474I</v>
      </c>
      <c r="N125" s="7" t="s">
        <v>187</v>
      </c>
      <c r="O125" s="7" t="s">
        <v>129</v>
      </c>
      <c r="P125" s="8">
        <v>44645</v>
      </c>
      <c r="Q125" s="7" t="s">
        <v>31</v>
      </c>
      <c r="R125" s="7" t="s">
        <v>32</v>
      </c>
      <c r="S125" s="7" t="s">
        <v>33</v>
      </c>
      <c r="T125" s="7"/>
      <c r="U125" s="7" t="s">
        <v>34</v>
      </c>
      <c r="V125" s="9">
        <v>1150.48</v>
      </c>
      <c r="W125" s="7">
        <v>496.09</v>
      </c>
      <c r="X125" s="7">
        <v>458.12</v>
      </c>
      <c r="Y125" s="7">
        <v>0</v>
      </c>
      <c r="Z125" s="7">
        <v>196.27</v>
      </c>
    </row>
    <row r="126" spans="1:26" x14ac:dyDescent="0.35">
      <c r="A126" s="7" t="s">
        <v>27</v>
      </c>
      <c r="B126" s="7" t="s">
        <v>42</v>
      </c>
      <c r="C126" s="7" t="s">
        <v>46</v>
      </c>
      <c r="D126" s="7" t="s">
        <v>47</v>
      </c>
      <c r="E126" s="7" t="s">
        <v>35</v>
      </c>
      <c r="F126" s="7" t="s">
        <v>61</v>
      </c>
      <c r="G126" s="7">
        <v>2021</v>
      </c>
      <c r="H126" s="7" t="str">
        <f>CONCATENATE("14210177961")</f>
        <v>14210177961</v>
      </c>
      <c r="I126" s="7" t="s">
        <v>29</v>
      </c>
      <c r="J126" s="7" t="s">
        <v>30</v>
      </c>
      <c r="K126" s="7" t="str">
        <f>CONCATENATE("")</f>
        <v/>
      </c>
      <c r="L126" s="7" t="str">
        <f>CONCATENATE("13 13.1 4a")</f>
        <v>13 13.1 4a</v>
      </c>
      <c r="M126" s="7" t="str">
        <f>CONCATENATE("BRTMSM60D06B474A")</f>
        <v>BRTMSM60D06B474A</v>
      </c>
      <c r="N126" s="7" t="s">
        <v>188</v>
      </c>
      <c r="O126" s="7" t="s">
        <v>129</v>
      </c>
      <c r="P126" s="8">
        <v>44645</v>
      </c>
      <c r="Q126" s="7" t="s">
        <v>31</v>
      </c>
      <c r="R126" s="7" t="s">
        <v>32</v>
      </c>
      <c r="S126" s="7" t="s">
        <v>33</v>
      </c>
      <c r="T126" s="7"/>
      <c r="U126" s="7" t="s">
        <v>34</v>
      </c>
      <c r="V126" s="9">
        <v>1769.72</v>
      </c>
      <c r="W126" s="7">
        <v>763.1</v>
      </c>
      <c r="X126" s="7">
        <v>704.7</v>
      </c>
      <c r="Y126" s="7">
        <v>0</v>
      </c>
      <c r="Z126" s="7">
        <v>301.92</v>
      </c>
    </row>
    <row r="127" spans="1:26" x14ac:dyDescent="0.35">
      <c r="A127" s="7" t="s">
        <v>27</v>
      </c>
      <c r="B127" s="7" t="s">
        <v>42</v>
      </c>
      <c r="C127" s="7" t="s">
        <v>46</v>
      </c>
      <c r="D127" s="7" t="s">
        <v>47</v>
      </c>
      <c r="E127" s="7" t="s">
        <v>44</v>
      </c>
      <c r="F127" s="7" t="s">
        <v>66</v>
      </c>
      <c r="G127" s="7">
        <v>2021</v>
      </c>
      <c r="H127" s="7" t="str">
        <f>CONCATENATE("14241399923")</f>
        <v>14241399923</v>
      </c>
      <c r="I127" s="7" t="s">
        <v>29</v>
      </c>
      <c r="J127" s="7" t="s">
        <v>30</v>
      </c>
      <c r="K127" s="7" t="str">
        <f>CONCATENATE("")</f>
        <v/>
      </c>
      <c r="L127" s="7" t="str">
        <f>CONCATENATE("10 10.1 4a")</f>
        <v>10 10.1 4a</v>
      </c>
      <c r="M127" s="7" t="str">
        <f>CONCATENATE("01975760438")</f>
        <v>01975760438</v>
      </c>
      <c r="N127" s="7" t="s">
        <v>189</v>
      </c>
      <c r="O127" s="7" t="s">
        <v>157</v>
      </c>
      <c r="P127" s="8">
        <v>44645</v>
      </c>
      <c r="Q127" s="7" t="s">
        <v>31</v>
      </c>
      <c r="R127" s="7" t="s">
        <v>32</v>
      </c>
      <c r="S127" s="7" t="s">
        <v>33</v>
      </c>
      <c r="T127" s="7"/>
      <c r="U127" s="7" t="s">
        <v>34</v>
      </c>
      <c r="V127" s="9">
        <v>8991.4500000000007</v>
      </c>
      <c r="W127" s="9">
        <v>3877.11</v>
      </c>
      <c r="X127" s="9">
        <v>3580.4</v>
      </c>
      <c r="Y127" s="7">
        <v>0</v>
      </c>
      <c r="Z127" s="9">
        <v>1533.94</v>
      </c>
    </row>
    <row r="128" spans="1:26" x14ac:dyDescent="0.35">
      <c r="A128" s="7" t="s">
        <v>27</v>
      </c>
      <c r="B128" s="7" t="s">
        <v>42</v>
      </c>
      <c r="C128" s="7" t="s">
        <v>46</v>
      </c>
      <c r="D128" s="7" t="s">
        <v>47</v>
      </c>
      <c r="E128" s="7" t="s">
        <v>35</v>
      </c>
      <c r="F128" s="7" t="s">
        <v>61</v>
      </c>
      <c r="G128" s="7">
        <v>2020</v>
      </c>
      <c r="H128" s="7" t="str">
        <f>CONCATENATE("04241115254")</f>
        <v>04241115254</v>
      </c>
      <c r="I128" s="7" t="s">
        <v>29</v>
      </c>
      <c r="J128" s="7" t="s">
        <v>30</v>
      </c>
      <c r="K128" s="7" t="str">
        <f>CONCATENATE("")</f>
        <v/>
      </c>
      <c r="L128" s="7" t="str">
        <f>CONCATENATE("10 10.1 4a")</f>
        <v>10 10.1 4a</v>
      </c>
      <c r="M128" s="7" t="str">
        <f>CONCATENATE("PSLLSE01S52I156A")</f>
        <v>PSLLSE01S52I156A</v>
      </c>
      <c r="N128" s="7" t="s">
        <v>190</v>
      </c>
      <c r="O128" s="7" t="s">
        <v>157</v>
      </c>
      <c r="P128" s="8">
        <v>44645</v>
      </c>
      <c r="Q128" s="7" t="s">
        <v>31</v>
      </c>
      <c r="R128" s="7" t="s">
        <v>32</v>
      </c>
      <c r="S128" s="7" t="s">
        <v>33</v>
      </c>
      <c r="T128" s="7"/>
      <c r="U128" s="7" t="s">
        <v>34</v>
      </c>
      <c r="V128" s="9">
        <v>4255.6000000000004</v>
      </c>
      <c r="W128" s="9">
        <v>1835.01</v>
      </c>
      <c r="X128" s="9">
        <v>1694.58</v>
      </c>
      <c r="Y128" s="7">
        <v>0</v>
      </c>
      <c r="Z128" s="7">
        <v>726.01</v>
      </c>
    </row>
    <row r="129" spans="1:26" x14ac:dyDescent="0.35">
      <c r="A129" s="7" t="s">
        <v>27</v>
      </c>
      <c r="B129" s="7" t="s">
        <v>28</v>
      </c>
      <c r="C129" s="7" t="s">
        <v>46</v>
      </c>
      <c r="D129" s="7" t="s">
        <v>46</v>
      </c>
      <c r="E129" s="7" t="s">
        <v>36</v>
      </c>
      <c r="F129" s="7" t="s">
        <v>36</v>
      </c>
      <c r="G129" s="7">
        <v>2017</v>
      </c>
      <c r="H129" s="7" t="str">
        <f>CONCATENATE("14270363659")</f>
        <v>14270363659</v>
      </c>
      <c r="I129" s="7" t="s">
        <v>29</v>
      </c>
      <c r="J129" s="7" t="s">
        <v>30</v>
      </c>
      <c r="K129" s="7" t="str">
        <f>CONCATENATE("")</f>
        <v/>
      </c>
      <c r="L129" s="7" t="str">
        <f>CONCATENATE("19 19.2 6b")</f>
        <v>19 19.2 6b</v>
      </c>
      <c r="M129" s="7" t="str">
        <f>CONCATENATE("PRRDNG76T56Z404B")</f>
        <v>PRRDNG76T56Z404B</v>
      </c>
      <c r="N129" s="7" t="s">
        <v>191</v>
      </c>
      <c r="O129" s="7" t="s">
        <v>192</v>
      </c>
      <c r="P129" s="8">
        <v>44645</v>
      </c>
      <c r="Q129" s="7" t="s">
        <v>31</v>
      </c>
      <c r="R129" s="7" t="s">
        <v>39</v>
      </c>
      <c r="S129" s="7" t="s">
        <v>33</v>
      </c>
      <c r="T129" s="7"/>
      <c r="U129" s="7" t="s">
        <v>34</v>
      </c>
      <c r="V129" s="9">
        <v>15000</v>
      </c>
      <c r="W129" s="9">
        <v>6468</v>
      </c>
      <c r="X129" s="9">
        <v>5973</v>
      </c>
      <c r="Y129" s="7">
        <v>0</v>
      </c>
      <c r="Z129" s="9">
        <v>2559</v>
      </c>
    </row>
    <row r="130" spans="1:26" x14ac:dyDescent="0.35">
      <c r="A130" s="7" t="s">
        <v>27</v>
      </c>
      <c r="B130" s="7" t="s">
        <v>28</v>
      </c>
      <c r="C130" s="7" t="s">
        <v>46</v>
      </c>
      <c r="D130" s="7" t="s">
        <v>46</v>
      </c>
      <c r="E130" s="7" t="s">
        <v>36</v>
      </c>
      <c r="F130" s="7" t="s">
        <v>36</v>
      </c>
      <c r="G130" s="7">
        <v>2017</v>
      </c>
      <c r="H130" s="7" t="str">
        <f>CONCATENATE("14270350540")</f>
        <v>14270350540</v>
      </c>
      <c r="I130" s="7" t="s">
        <v>29</v>
      </c>
      <c r="J130" s="7" t="s">
        <v>30</v>
      </c>
      <c r="K130" s="7" t="str">
        <f>CONCATENATE("")</f>
        <v/>
      </c>
      <c r="L130" s="7" t="str">
        <f>CONCATENATE("19 19.2 6b")</f>
        <v>19 19.2 6b</v>
      </c>
      <c r="M130" s="7" t="str">
        <f>CONCATENATE("00291360444")</f>
        <v>00291360444</v>
      </c>
      <c r="N130" s="7" t="s">
        <v>51</v>
      </c>
      <c r="O130" s="7" t="s">
        <v>193</v>
      </c>
      <c r="P130" s="8">
        <v>44645</v>
      </c>
      <c r="Q130" s="7" t="s">
        <v>31</v>
      </c>
      <c r="R130" s="7" t="s">
        <v>39</v>
      </c>
      <c r="S130" s="7" t="s">
        <v>33</v>
      </c>
      <c r="T130" s="7"/>
      <c r="U130" s="7" t="s">
        <v>34</v>
      </c>
      <c r="V130" s="9">
        <v>22500</v>
      </c>
      <c r="W130" s="9">
        <v>9702</v>
      </c>
      <c r="X130" s="9">
        <v>8959.5</v>
      </c>
      <c r="Y130" s="7">
        <v>0</v>
      </c>
      <c r="Z130" s="9">
        <v>3838.5</v>
      </c>
    </row>
    <row r="131" spans="1:26" x14ac:dyDescent="0.35">
      <c r="A131" s="7" t="s">
        <v>27</v>
      </c>
      <c r="B131" s="7" t="s">
        <v>28</v>
      </c>
      <c r="C131" s="7" t="s">
        <v>46</v>
      </c>
      <c r="D131" s="7" t="s">
        <v>47</v>
      </c>
      <c r="E131" s="7" t="s">
        <v>35</v>
      </c>
      <c r="F131" s="7" t="s">
        <v>61</v>
      </c>
      <c r="G131" s="7">
        <v>2017</v>
      </c>
      <c r="H131" s="7" t="str">
        <f>CONCATENATE("24270042427")</f>
        <v>24270042427</v>
      </c>
      <c r="I131" s="7" t="s">
        <v>29</v>
      </c>
      <c r="J131" s="7" t="s">
        <v>30</v>
      </c>
      <c r="K131" s="7" t="str">
        <f>CONCATENATE("")</f>
        <v/>
      </c>
      <c r="L131" s="7" t="str">
        <f>CONCATENATE("4 4.4 4c")</f>
        <v>4 4.4 4c</v>
      </c>
      <c r="M131" s="7" t="str">
        <f>CONCATENATE("NGLSFN67A15B474H")</f>
        <v>NGLSFN67A15B474H</v>
      </c>
      <c r="N131" s="7" t="s">
        <v>134</v>
      </c>
      <c r="O131" s="7" t="s">
        <v>194</v>
      </c>
      <c r="P131" s="8">
        <v>44645</v>
      </c>
      <c r="Q131" s="7" t="s">
        <v>31</v>
      </c>
      <c r="R131" s="7" t="s">
        <v>32</v>
      </c>
      <c r="S131" s="7" t="s">
        <v>33</v>
      </c>
      <c r="T131" s="7"/>
      <c r="U131" s="7" t="s">
        <v>34</v>
      </c>
      <c r="V131" s="9">
        <v>16830</v>
      </c>
      <c r="W131" s="9">
        <v>7257.1</v>
      </c>
      <c r="X131" s="9">
        <v>6701.71</v>
      </c>
      <c r="Y131" s="7">
        <v>0</v>
      </c>
      <c r="Z131" s="9">
        <v>2871.19</v>
      </c>
    </row>
    <row r="132" spans="1:26" x14ac:dyDescent="0.35">
      <c r="A132" s="7" t="s">
        <v>27</v>
      </c>
      <c r="B132" s="7" t="s">
        <v>28</v>
      </c>
      <c r="C132" s="7" t="s">
        <v>46</v>
      </c>
      <c r="D132" s="7" t="s">
        <v>158</v>
      </c>
      <c r="E132" s="7" t="s">
        <v>36</v>
      </c>
      <c r="F132" s="7" t="s">
        <v>36</v>
      </c>
      <c r="G132" s="7">
        <v>2017</v>
      </c>
      <c r="H132" s="7" t="str">
        <f>CONCATENATE("24270042716")</f>
        <v>24270042716</v>
      </c>
      <c r="I132" s="7" t="s">
        <v>29</v>
      </c>
      <c r="J132" s="7" t="s">
        <v>30</v>
      </c>
      <c r="K132" s="7" t="str">
        <f>CONCATENATE("")</f>
        <v/>
      </c>
      <c r="L132" s="7" t="str">
        <f>CONCATENATE("6 6.4 2a")</f>
        <v>6 6.4 2a</v>
      </c>
      <c r="M132" s="7" t="str">
        <f>CONCATENATE("NCLLSS89A26I156L")</f>
        <v>NCLLSS89A26I156L</v>
      </c>
      <c r="N132" s="7" t="s">
        <v>159</v>
      </c>
      <c r="O132" s="7" t="s">
        <v>195</v>
      </c>
      <c r="P132" s="8">
        <v>44648</v>
      </c>
      <c r="Q132" s="7" t="s">
        <v>31</v>
      </c>
      <c r="R132" s="7" t="s">
        <v>40</v>
      </c>
      <c r="S132" s="7" t="s">
        <v>33</v>
      </c>
      <c r="T132" s="7"/>
      <c r="U132" s="7" t="s">
        <v>34</v>
      </c>
      <c r="V132" s="9">
        <v>50059.3</v>
      </c>
      <c r="W132" s="9">
        <v>21585.57</v>
      </c>
      <c r="X132" s="9">
        <v>19933.61</v>
      </c>
      <c r="Y132" s="7">
        <v>0</v>
      </c>
      <c r="Z132" s="9">
        <v>8540.1200000000008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35904</vt:lpwstr>
  </property>
  <property fmtid="{D5CDD505-2E9C-101B-9397-08002B2CF9AE}" pid="4" name="OptimizationTime">
    <vt:lpwstr>20220414_1907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2022-04-14T15:48:50Z</dcterms:created>
  <dcterms:modified xsi:type="dcterms:W3CDTF">2022-04-14T15:49:36Z</dcterms:modified>
</cp:coreProperties>
</file>