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31/"/>
    </mc:Choice>
  </mc:AlternateContent>
  <xr:revisionPtr revIDLastSave="0" documentId="8_{E717E34F-EE46-42DA-9DE7-ABC69D89B37B}" xr6:coauthVersionLast="46" xr6:coauthVersionMax="46" xr10:uidLastSave="{00000000-0000-0000-0000-000000000000}"/>
  <bookViews>
    <workbookView xWindow="-110" yWindow="-110" windowWidth="19420" windowHeight="10420" xr2:uid="{E2EB2F70-4E90-4151-80DB-58CD768F58B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<sst xmlns="http://schemas.openxmlformats.org/spreadsheetml/2006/main" count="685" uniqueCount="127">
  <si>
    <t>Dettaglio Domande Pagabili Decreto 531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</si>
  <si>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</si>
  <si>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</si>
  <si>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</si>
  <si>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</si>
  <si>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</si>
  <si>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</si>
  <si>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</si>
  <si>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</si>
  <si>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</si>
  <si>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</si>
  <si>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</si>
  <si>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</si>
  <si>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</si>
  <si>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</si>
  <si>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</si>
  <si>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</si>
  <si>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</si>
  <si>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</si>
  <si>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</si>
  <si>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</si>
  <si>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</si>
  <si>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</si>
  <si>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</si>
  <si>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</si>
  <si>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</si>
  <si>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</si>
  <si>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</si>
  <si>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</si>
  <si>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</si>
  <si>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</si>
  <si>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</si>
  <si>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</si>
  <si>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</si>
  <si>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</si>
  <si>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Ordinario</t>
  </si>
  <si>
    <t>Saldo</t>
  </si>
  <si>
    <t>CAA CIA srl</t>
  </si>
  <si>
    <t>Misure a Superficie</t>
  </si>
  <si>
    <t>CAA UNICAA srl</t>
  </si>
  <si>
    <t>CAA LiberiAgricoltori srl già CAA AGCI srl</t>
  </si>
  <si>
    <t>CAA Confagricoltura srl</t>
  </si>
  <si>
    <t>CAA Coldiretti srl</t>
  </si>
  <si>
    <t>CAA UNSIC s.r.l.</t>
  </si>
  <si>
    <t>CAA-CAF AGRI S.R.L.</t>
  </si>
  <si>
    <t>SAL</t>
  </si>
  <si>
    <t>SI</t>
  </si>
  <si>
    <t>CAA Confagricoltura - ASCOLI PICENO - 001</t>
  </si>
  <si>
    <t>MARCHE</t>
  </si>
  <si>
    <t>SERV. DEC. AGRICOLTURA E ALIMENTAZIONE - PESARO</t>
  </si>
  <si>
    <t>CAA Coldiretti - PESARO E URBINO - 004</t>
  </si>
  <si>
    <t>AZIENDA AGRICOLA CA' PRIMO DI SPADA ANTONIO &amp; C SNC SOCIETA' AGRICOLA</t>
  </si>
  <si>
    <t>AGEA.ASR.2022.0242095</t>
  </si>
  <si>
    <t>SERV. DEC. AGRICOLTURA E ALIM. -ASCOLI PICENO</t>
  </si>
  <si>
    <t>CAA Coldiretti - ASCOLI PICENO - 010</t>
  </si>
  <si>
    <t>VALORI GUIDO</t>
  </si>
  <si>
    <t>CAA UNSIC - ASCOLI PICENO - 001</t>
  </si>
  <si>
    <t>DI FABIO GIACOMO</t>
  </si>
  <si>
    <t>CAA CIA - PESARO E URBINO - 007</t>
  </si>
  <si>
    <t>RE SOLE SOCIETA' AGRICOLA SRL</t>
  </si>
  <si>
    <t>CAA Coldiretti - PESARO E URBINO - 001</t>
  </si>
  <si>
    <t>MATTEUCCI DEBORAH</t>
  </si>
  <si>
    <t>ERCOLANI PIETRO</t>
  </si>
  <si>
    <t>CAA CIA - ASCOLI PICENO - 004</t>
  </si>
  <si>
    <t>TRAINI FRANCESCO E SCIAMANNETTI ANGELA MARIA SDF</t>
  </si>
  <si>
    <t>CAA CAF AGRI - PESARO E URBINO - 221</t>
  </si>
  <si>
    <t>SARTI PIER MARINO</t>
  </si>
  <si>
    <t>CATALUCCI ANGELA</t>
  </si>
  <si>
    <t>TAGNANI NAZZARENO</t>
  </si>
  <si>
    <t>GIOVAGNOLI DOMENICO</t>
  </si>
  <si>
    <t>CAA Confagricoltura - PESARO E URBINO - 001</t>
  </si>
  <si>
    <t>PURCARO VALERIA</t>
  </si>
  <si>
    <t>CAA Confagricoltura - FORLI' - CESENA - 001</t>
  </si>
  <si>
    <t>BALACCHI FABRIZIO</t>
  </si>
  <si>
    <t>CAA Coldiretti - PESARO E URBINO - 008</t>
  </si>
  <si>
    <t>CIANDRINI SILVANA</t>
  </si>
  <si>
    <t>CAA Coldiretti - FERMO - 001</t>
  </si>
  <si>
    <t>MASILI FRANCESCO</t>
  </si>
  <si>
    <t>BRUNETTI VINCENZINA CATERINA</t>
  </si>
  <si>
    <t>MONTEFELTRO FORAGGI S.R.L.</t>
  </si>
  <si>
    <t>SOCIETA' AGRICOLA RAFFAELLI DINO &amp; C SS</t>
  </si>
  <si>
    <t>CAA LiberiAgricoltori - MACERATA - 005</t>
  </si>
  <si>
    <t>SOCIETA' AGRICOLA MICHELE S.R.L.</t>
  </si>
  <si>
    <t>DI COLA ANNUNZIO</t>
  </si>
  <si>
    <t>SOCIETA' COOPERATIVA AGRICOLA AGRITEMP</t>
  </si>
  <si>
    <t>CHESSA GIOVANNA CONSOLATA</t>
  </si>
  <si>
    <t>CAA CIA - ASCOLI PICENO - 001</t>
  </si>
  <si>
    <t>POLI MICHELA</t>
  </si>
  <si>
    <t>ZACHMANN ROBERTA</t>
  </si>
  <si>
    <t>AGRICOLA SAN LORENZO S.S. DI SALTARELLI MAURO &amp; C. - SOCIETA'</t>
  </si>
  <si>
    <t>CAA CAF AGRI - ANCONA - 224</t>
  </si>
  <si>
    <t>POLVERARI ROSETTA</t>
  </si>
  <si>
    <t>AGEA.ASR.2022.0244387</t>
  </si>
  <si>
    <t>CAA CIA - PESARO E URBINO - 001</t>
  </si>
  <si>
    <t>RANOCCHI SANDRO</t>
  </si>
  <si>
    <t>CAA LiberiAgricoltori - PESARO E URBINO - 002</t>
  </si>
  <si>
    <t>BANCI SERAFINO</t>
  </si>
  <si>
    <t>CIACCI ALESSANDRO</t>
  </si>
  <si>
    <t>FULVI FRANCESCO</t>
  </si>
  <si>
    <t>BONCI SIMONE</t>
  </si>
  <si>
    <t>CAA Coldiretti - PESARO E URBINO - 010</t>
  </si>
  <si>
    <t>SOCIETA' AGRICOLA ORADEI FERNANDO E VALENTINO SS</t>
  </si>
  <si>
    <t>CAA Coldiretti - PESARO E URBINO - 007</t>
  </si>
  <si>
    <t>GIOVANNINI ELISABETTA</t>
  </si>
  <si>
    <t>SERV. DEC. AGRICOLTURA E ALIM. - MACERATA</t>
  </si>
  <si>
    <t>CAA Coldiretti - MACERATA - 017</t>
  </si>
  <si>
    <t>VALERIANI LINO</t>
  </si>
  <si>
    <t>AGEA.ASR.2022.0244381</t>
  </si>
  <si>
    <t>MORBIDELLI RAFFAELA</t>
  </si>
  <si>
    <t>COMUNE DI BELVEDERE OSTRENSE</t>
  </si>
  <si>
    <t>AGEA.ASR.2022.0208420</t>
  </si>
  <si>
    <t>SOCIETA' AGRICOLA IL MONTANARO SOCIETA' SEMPLICE</t>
  </si>
  <si>
    <t>AGEA.ASR.2022.0234028</t>
  </si>
  <si>
    <t>CAA UNICAA - MACERATA - 002</t>
  </si>
  <si>
    <t>GRANDONI CORRADO</t>
  </si>
  <si>
    <t>COMUNE DI ROCCAFLUVIONE</t>
  </si>
  <si>
    <t>AGEA.ASR.2022.0217180</t>
  </si>
  <si>
    <t>SCODERONI MARSILIO</t>
  </si>
  <si>
    <t>AGEA.ASR.2022.0218229</t>
  </si>
  <si>
    <t>COMUNE DI AMANDOLA</t>
  </si>
  <si>
    <t>AGEA.ASR.2022.0217579</t>
  </si>
  <si>
    <t>SERV. DEC. AGRICOLTURA E ALIMENTAZIONE - ANCONA</t>
  </si>
  <si>
    <t>COMUNE DI ARCEVIA</t>
  </si>
  <si>
    <t>AGEA.ASR.2022.0239479</t>
  </si>
  <si>
    <t>CAA CIA - ANCONA - 006</t>
  </si>
  <si>
    <t>SOC.AGR.FOR.DI GESTIONE DIE BENI AGRO SILVO PASTORALI MARCHE</t>
  </si>
  <si>
    <t>AGEA.ASR.2022.0243752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</si>
</sst>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467A-E857-40CA-9BB3-0B8B6FC714DB}">
  <dimension ref="A1:Z50"/>
  <sheetViews>
    <sheetView showGridLines="0" tabSelected="1" workbookViewId="0">
      <selection activeCell="I55" sqref="I55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816406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2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ht="17.5" x14ac:dyDescent="0.35">
      <c r="A4" s="7" t="s">
        <v>27</v>
      </c>
      <c r="B4" s="7" t="s">
        <v>38</v>
      </c>
      <c r="C4" s="7" t="s">
        <v>48</v>
      </c>
      <c r="D4" s="7" t="s">
        <v>49</v>
      </c>
      <c r="E4" s="7" t="s">
        <v>42</v>
      </c>
      <c r="F4" s="7" t="s">
        <v>50</v>
      </c>
      <c r="G4" s="7">
        <v>2021</v>
      </c>
      <c r="H4" s="7" t="str">
        <f>CONCATENATE("14210316866")</f>
        <v>14210316866</v>
      </c>
      <c r="I4" s="7" t="s">
        <v>30</v>
      </c>
      <c r="J4" s="7" t="s">
        <v>31</v>
      </c>
      <c r="K4" s="7" t="str">
        <f>CONCATENATE("")</f>
        <v/>
      </c>
      <c r="L4" s="7" t="str">
        <f>CONCATENATE("13 13.1 4a")</f>
        <v>13 13.1 4a</v>
      </c>
      <c r="M4" s="7" t="str">
        <f>CONCATENATE("00349040394")</f>
        <v>00349040394</v>
      </c>
      <c r="N4" s="7" t="s">
        <v>51</v>
      </c>
      <c r="O4" s="7" t="s">
        <v>52</v>
      </c>
      <c r="P4" s="8">
        <v>44634</v>
      </c>
      <c r="Q4" s="7" t="s">
        <v>32</v>
      </c>
      <c r="R4" s="7" t="s">
        <v>36</v>
      </c>
      <c r="S4" s="7" t="s">
        <v>34</v>
      </c>
      <c r="T4" s="7"/>
      <c r="U4" s="7" t="s">
        <v>35</v>
      </c>
      <c r="V4" s="7">
        <v>494.34</v>
      </c>
      <c r="W4" s="7">
        <v>213.16</v>
      </c>
      <c r="X4" s="7">
        <v>196.85</v>
      </c>
      <c r="Y4" s="7">
        <v>0</v>
      </c>
      <c r="Z4" s="7">
        <v>84.33</v>
      </c>
    </row>
    <row r="5" spans="1:26" x14ac:dyDescent="0.35">
      <c r="A5" s="7" t="s">
        <v>27</v>
      </c>
      <c r="B5" s="7" t="s">
        <v>38</v>
      </c>
      <c r="C5" s="7" t="s">
        <v>48</v>
      </c>
      <c r="D5" s="7" t="s">
        <v>53</v>
      </c>
      <c r="E5" s="7" t="s">
        <v>42</v>
      </c>
      <c r="F5" s="7" t="s">
        <v>54</v>
      </c>
      <c r="G5" s="7">
        <v>2021</v>
      </c>
      <c r="H5" s="7" t="str">
        <f>CONCATENATE("14210351566")</f>
        <v>14210351566</v>
      </c>
      <c r="I5" s="7" t="s">
        <v>30</v>
      </c>
      <c r="J5" s="7" t="s">
        <v>31</v>
      </c>
      <c r="K5" s="7" t="str">
        <f>CONCATENATE("")</f>
        <v/>
      </c>
      <c r="L5" s="7" t="str">
        <f>CONCATENATE("13 13.1 4a")</f>
        <v>13 13.1 4a</v>
      </c>
      <c r="M5" s="7" t="str">
        <f>CONCATENATE("VLRGDU58L28H501Y")</f>
        <v>VLRGDU58L28H501Y</v>
      </c>
      <c r="N5" s="7" t="s">
        <v>55</v>
      </c>
      <c r="O5" s="7" t="s">
        <v>52</v>
      </c>
      <c r="P5" s="8">
        <v>44634</v>
      </c>
      <c r="Q5" s="7" t="s">
        <v>32</v>
      </c>
      <c r="R5" s="7" t="s">
        <v>36</v>
      </c>
      <c r="S5" s="7" t="s">
        <v>34</v>
      </c>
      <c r="T5" s="7"/>
      <c r="U5" s="7" t="s">
        <v>35</v>
      </c>
      <c r="V5" s="7">
        <v>976.4</v>
      </c>
      <c r="W5" s="7">
        <v>421.02</v>
      </c>
      <c r="X5" s="7">
        <v>388.8</v>
      </c>
      <c r="Y5" s="7">
        <v>0</v>
      </c>
      <c r="Z5" s="7">
        <v>166.58</v>
      </c>
    </row>
    <row r="6" spans="1:26" x14ac:dyDescent="0.35">
      <c r="A6" s="7" t="s">
        <v>27</v>
      </c>
      <c r="B6" s="7" t="s">
        <v>38</v>
      </c>
      <c r="C6" s="7" t="s">
        <v>48</v>
      </c>
      <c r="D6" s="7" t="s">
        <v>53</v>
      </c>
      <c r="E6" s="7" t="s">
        <v>43</v>
      </c>
      <c r="F6" s="7" t="s">
        <v>56</v>
      </c>
      <c r="G6" s="7">
        <v>2021</v>
      </c>
      <c r="H6" s="7" t="str">
        <f>CONCATENATE("14210397809")</f>
        <v>14210397809</v>
      </c>
      <c r="I6" s="7" t="s">
        <v>30</v>
      </c>
      <c r="J6" s="7" t="s">
        <v>31</v>
      </c>
      <c r="K6" s="7" t="str">
        <f>CONCATENATE("")</f>
        <v/>
      </c>
      <c r="L6" s="7" t="str">
        <f>CONCATENATE("13 13.1 4a")</f>
        <v>13 13.1 4a</v>
      </c>
      <c r="M6" s="7" t="str">
        <f>CONCATENATE("DFBGCM78D07A462A")</f>
        <v>DFBGCM78D07A462A</v>
      </c>
      <c r="N6" s="7" t="s">
        <v>57</v>
      </c>
      <c r="O6" s="7" t="s">
        <v>52</v>
      </c>
      <c r="P6" s="8">
        <v>44634</v>
      </c>
      <c r="Q6" s="7" t="s">
        <v>32</v>
      </c>
      <c r="R6" s="7" t="s">
        <v>36</v>
      </c>
      <c r="S6" s="7" t="s">
        <v>34</v>
      </c>
      <c r="T6" s="7"/>
      <c r="U6" s="7" t="s">
        <v>35</v>
      </c>
      <c r="V6" s="9">
        <v>2166.46</v>
      </c>
      <c r="W6" s="7">
        <v>934.18</v>
      </c>
      <c r="X6" s="7">
        <v>862.68</v>
      </c>
      <c r="Y6" s="7">
        <v>0</v>
      </c>
      <c r="Z6" s="7">
        <v>369.6</v>
      </c>
    </row>
    <row r="7" spans="1:26" x14ac:dyDescent="0.35">
      <c r="A7" s="7" t="s">
        <v>27</v>
      </c>
      <c r="B7" s="7" t="s">
        <v>38</v>
      </c>
      <c r="C7" s="7" t="s">
        <v>48</v>
      </c>
      <c r="D7" s="7" t="s">
        <v>49</v>
      </c>
      <c r="E7" s="7" t="s">
        <v>37</v>
      </c>
      <c r="F7" s="7" t="s">
        <v>58</v>
      </c>
      <c r="G7" s="7">
        <v>2021</v>
      </c>
      <c r="H7" s="7" t="str">
        <f>CONCATENATE("14210763786")</f>
        <v>14210763786</v>
      </c>
      <c r="I7" s="7" t="s">
        <v>30</v>
      </c>
      <c r="J7" s="7" t="s">
        <v>31</v>
      </c>
      <c r="K7" s="7" t="str">
        <f>CONCATENATE("")</f>
        <v/>
      </c>
      <c r="L7" s="7" t="str">
        <f>CONCATENATE("13 13.1 4a")</f>
        <v>13 13.1 4a</v>
      </c>
      <c r="M7" s="7" t="str">
        <f>CONCATENATE("02344190414")</f>
        <v>02344190414</v>
      </c>
      <c r="N7" s="7" t="s">
        <v>59</v>
      </c>
      <c r="O7" s="7" t="s">
        <v>52</v>
      </c>
      <c r="P7" s="8">
        <v>44634</v>
      </c>
      <c r="Q7" s="7" t="s">
        <v>32</v>
      </c>
      <c r="R7" s="7" t="s">
        <v>36</v>
      </c>
      <c r="S7" s="7" t="s">
        <v>34</v>
      </c>
      <c r="T7" s="7"/>
      <c r="U7" s="7" t="s">
        <v>35</v>
      </c>
      <c r="V7" s="9">
        <v>1011.88</v>
      </c>
      <c r="W7" s="7">
        <v>436.32</v>
      </c>
      <c r="X7" s="7">
        <v>402.93</v>
      </c>
      <c r="Y7" s="7">
        <v>0</v>
      </c>
      <c r="Z7" s="7">
        <v>172.63</v>
      </c>
    </row>
    <row r="8" spans="1:26" x14ac:dyDescent="0.35">
      <c r="A8" s="7" t="s">
        <v>27</v>
      </c>
      <c r="B8" s="7" t="s">
        <v>38</v>
      </c>
      <c r="C8" s="7" t="s">
        <v>48</v>
      </c>
      <c r="D8" s="7" t="s">
        <v>49</v>
      </c>
      <c r="E8" s="7" t="s">
        <v>42</v>
      </c>
      <c r="F8" s="7" t="s">
        <v>60</v>
      </c>
      <c r="G8" s="7">
        <v>2021</v>
      </c>
      <c r="H8" s="7" t="str">
        <f>CONCATENATE("14211308128")</f>
        <v>14211308128</v>
      </c>
      <c r="I8" s="7" t="s">
        <v>30</v>
      </c>
      <c r="J8" s="7" t="s">
        <v>31</v>
      </c>
      <c r="K8" s="7" t="str">
        <f>CONCATENATE("")</f>
        <v/>
      </c>
      <c r="L8" s="7" t="str">
        <f>CONCATENATE("13 13.1 4a")</f>
        <v>13 13.1 4a</v>
      </c>
      <c r="M8" s="7" t="str">
        <f>CONCATENATE("MTTDRH69P52G479T")</f>
        <v>MTTDRH69P52G479T</v>
      </c>
      <c r="N8" s="7" t="s">
        <v>61</v>
      </c>
      <c r="O8" s="7" t="s">
        <v>52</v>
      </c>
      <c r="P8" s="8">
        <v>44634</v>
      </c>
      <c r="Q8" s="7" t="s">
        <v>32</v>
      </c>
      <c r="R8" s="7" t="s">
        <v>36</v>
      </c>
      <c r="S8" s="7" t="s">
        <v>34</v>
      </c>
      <c r="T8" s="7"/>
      <c r="U8" s="7" t="s">
        <v>35</v>
      </c>
      <c r="V8" s="9">
        <v>3035.88</v>
      </c>
      <c r="W8" s="9">
        <v>1309.07</v>
      </c>
      <c r="X8" s="9">
        <v>1208.8900000000001</v>
      </c>
      <c r="Y8" s="7">
        <v>0</v>
      </c>
      <c r="Z8" s="7">
        <v>517.91999999999996</v>
      </c>
    </row>
    <row r="9" spans="1:26" x14ac:dyDescent="0.35">
      <c r="A9" s="7" t="s">
        <v>27</v>
      </c>
      <c r="B9" s="7" t="s">
        <v>38</v>
      </c>
      <c r="C9" s="7" t="s">
        <v>48</v>
      </c>
      <c r="D9" s="7" t="s">
        <v>49</v>
      </c>
      <c r="E9" s="7" t="s">
        <v>42</v>
      </c>
      <c r="F9" s="7" t="s">
        <v>50</v>
      </c>
      <c r="G9" s="7">
        <v>2018</v>
      </c>
      <c r="H9" s="7" t="str">
        <f>CONCATENATE("84210238451")</f>
        <v>84210238451</v>
      </c>
      <c r="I9" s="7" t="s">
        <v>30</v>
      </c>
      <c r="J9" s="7" t="s">
        <v>31</v>
      </c>
      <c r="K9" s="7" t="str">
        <f>CONCATENATE("")</f>
        <v/>
      </c>
      <c r="L9" s="7" t="str">
        <f>CONCATENATE("13 13.1 4a")</f>
        <v>13 13.1 4a</v>
      </c>
      <c r="M9" s="7" t="str">
        <f>CONCATENATE("RCLPTR49R09D807Q")</f>
        <v>RCLPTR49R09D807Q</v>
      </c>
      <c r="N9" s="7" t="s">
        <v>62</v>
      </c>
      <c r="O9" s="7" t="s">
        <v>52</v>
      </c>
      <c r="P9" s="8">
        <v>44634</v>
      </c>
      <c r="Q9" s="7" t="s">
        <v>32</v>
      </c>
      <c r="R9" s="7" t="s">
        <v>36</v>
      </c>
      <c r="S9" s="7" t="s">
        <v>34</v>
      </c>
      <c r="T9" s="7"/>
      <c r="U9" s="7" t="s">
        <v>35</v>
      </c>
      <c r="V9" s="9">
        <v>3701.72</v>
      </c>
      <c r="W9" s="9">
        <v>1596.18</v>
      </c>
      <c r="X9" s="9">
        <v>1474.02</v>
      </c>
      <c r="Y9" s="7">
        <v>0</v>
      </c>
      <c r="Z9" s="7">
        <v>631.52</v>
      </c>
    </row>
    <row r="10" spans="1:26" x14ac:dyDescent="0.35">
      <c r="A10" s="7" t="s">
        <v>27</v>
      </c>
      <c r="B10" s="7" t="s">
        <v>38</v>
      </c>
      <c r="C10" s="7" t="s">
        <v>48</v>
      </c>
      <c r="D10" s="7" t="s">
        <v>53</v>
      </c>
      <c r="E10" s="7" t="s">
        <v>37</v>
      </c>
      <c r="F10" s="7" t="s">
        <v>63</v>
      </c>
      <c r="G10" s="7">
        <v>2021</v>
      </c>
      <c r="H10" s="7" t="str">
        <f>CONCATENATE("14210386935")</f>
        <v>14210386935</v>
      </c>
      <c r="I10" s="7" t="s">
        <v>30</v>
      </c>
      <c r="J10" s="7" t="s">
        <v>31</v>
      </c>
      <c r="K10" s="7" t="str">
        <f>CONCATENATE("")</f>
        <v/>
      </c>
      <c r="L10" s="7" t="str">
        <f>CONCATENATE("13 13.1 4a")</f>
        <v>13 13.1 4a</v>
      </c>
      <c r="M10" s="7" t="str">
        <f>CONCATENATE("01121830440")</f>
        <v>01121830440</v>
      </c>
      <c r="N10" s="7" t="s">
        <v>64</v>
      </c>
      <c r="O10" s="7" t="s">
        <v>52</v>
      </c>
      <c r="P10" s="8">
        <v>44634</v>
      </c>
      <c r="Q10" s="7" t="s">
        <v>32</v>
      </c>
      <c r="R10" s="7" t="s">
        <v>36</v>
      </c>
      <c r="S10" s="7" t="s">
        <v>34</v>
      </c>
      <c r="T10" s="7"/>
      <c r="U10" s="7" t="s">
        <v>35</v>
      </c>
      <c r="V10" s="7">
        <v>574.41999999999996</v>
      </c>
      <c r="W10" s="7">
        <v>247.69</v>
      </c>
      <c r="X10" s="7">
        <v>228.73</v>
      </c>
      <c r="Y10" s="7">
        <v>0</v>
      </c>
      <c r="Z10" s="7">
        <v>98</v>
      </c>
    </row>
    <row r="11" spans="1:26" x14ac:dyDescent="0.35">
      <c r="A11" s="7" t="s">
        <v>27</v>
      </c>
      <c r="B11" s="7" t="s">
        <v>38</v>
      </c>
      <c r="C11" s="7" t="s">
        <v>48</v>
      </c>
      <c r="D11" s="7" t="s">
        <v>49</v>
      </c>
      <c r="E11" s="7" t="s">
        <v>44</v>
      </c>
      <c r="F11" s="7" t="s">
        <v>65</v>
      </c>
      <c r="G11" s="7">
        <v>2021</v>
      </c>
      <c r="H11" s="7" t="str">
        <f>CONCATENATE("14211203493")</f>
        <v>14211203493</v>
      </c>
      <c r="I11" s="7" t="s">
        <v>30</v>
      </c>
      <c r="J11" s="7" t="s">
        <v>31</v>
      </c>
      <c r="K11" s="7" t="str">
        <f>CONCATENATE("")</f>
        <v/>
      </c>
      <c r="L11" s="7" t="str">
        <f>CONCATENATE("13 13.1 4a")</f>
        <v>13 13.1 4a</v>
      </c>
      <c r="M11" s="7" t="str">
        <f>CONCATENATE("SRTPMR60E20E785G")</f>
        <v>SRTPMR60E20E785G</v>
      </c>
      <c r="N11" s="7" t="s">
        <v>66</v>
      </c>
      <c r="O11" s="7" t="s">
        <v>52</v>
      </c>
      <c r="P11" s="8">
        <v>44634</v>
      </c>
      <c r="Q11" s="7" t="s">
        <v>32</v>
      </c>
      <c r="R11" s="7" t="s">
        <v>36</v>
      </c>
      <c r="S11" s="7" t="s">
        <v>34</v>
      </c>
      <c r="T11" s="7"/>
      <c r="U11" s="7" t="s">
        <v>35</v>
      </c>
      <c r="V11" s="9">
        <v>3966.39</v>
      </c>
      <c r="W11" s="9">
        <v>1710.31</v>
      </c>
      <c r="X11" s="9">
        <v>1579.42</v>
      </c>
      <c r="Y11" s="7">
        <v>0</v>
      </c>
      <c r="Z11" s="7">
        <v>676.66</v>
      </c>
    </row>
    <row r="12" spans="1:26" x14ac:dyDescent="0.35">
      <c r="A12" s="7" t="s">
        <v>27</v>
      </c>
      <c r="B12" s="7" t="s">
        <v>38</v>
      </c>
      <c r="C12" s="7" t="s">
        <v>48</v>
      </c>
      <c r="D12" s="7" t="s">
        <v>53</v>
      </c>
      <c r="E12" s="7" t="s">
        <v>42</v>
      </c>
      <c r="F12" s="7" t="s">
        <v>54</v>
      </c>
      <c r="G12" s="7">
        <v>2021</v>
      </c>
      <c r="H12" s="7" t="str">
        <f>CONCATENATE("14210153137")</f>
        <v>14210153137</v>
      </c>
      <c r="I12" s="7" t="s">
        <v>30</v>
      </c>
      <c r="J12" s="7" t="s">
        <v>31</v>
      </c>
      <c r="K12" s="7" t="str">
        <f>CONCATENATE("")</f>
        <v/>
      </c>
      <c r="L12" s="7" t="str">
        <f>CONCATENATE("13 13.1 4a")</f>
        <v>13 13.1 4a</v>
      </c>
      <c r="M12" s="7" t="str">
        <f>CONCATENATE("CTLNGL68L45A462B")</f>
        <v>CTLNGL68L45A462B</v>
      </c>
      <c r="N12" s="7" t="s">
        <v>67</v>
      </c>
      <c r="O12" s="7" t="s">
        <v>52</v>
      </c>
      <c r="P12" s="8">
        <v>44634</v>
      </c>
      <c r="Q12" s="7" t="s">
        <v>32</v>
      </c>
      <c r="R12" s="7" t="s">
        <v>36</v>
      </c>
      <c r="S12" s="7" t="s">
        <v>34</v>
      </c>
      <c r="T12" s="7"/>
      <c r="U12" s="7" t="s">
        <v>35</v>
      </c>
      <c r="V12" s="7">
        <v>603.78</v>
      </c>
      <c r="W12" s="7">
        <v>260.35000000000002</v>
      </c>
      <c r="X12" s="7">
        <v>240.43</v>
      </c>
      <c r="Y12" s="7">
        <v>0</v>
      </c>
      <c r="Z12" s="7">
        <v>103</v>
      </c>
    </row>
    <row r="13" spans="1:26" x14ac:dyDescent="0.35">
      <c r="A13" s="7" t="s">
        <v>27</v>
      </c>
      <c r="B13" s="7" t="s">
        <v>38</v>
      </c>
      <c r="C13" s="7" t="s">
        <v>48</v>
      </c>
      <c r="D13" s="7" t="s">
        <v>49</v>
      </c>
      <c r="E13" s="7" t="s">
        <v>42</v>
      </c>
      <c r="F13" s="7" t="s">
        <v>60</v>
      </c>
      <c r="G13" s="7">
        <v>2021</v>
      </c>
      <c r="H13" s="7" t="str">
        <f>CONCATENATE("14210571148")</f>
        <v>14210571148</v>
      </c>
      <c r="I13" s="7" t="s">
        <v>30</v>
      </c>
      <c r="J13" s="7" t="s">
        <v>31</v>
      </c>
      <c r="K13" s="7" t="str">
        <f>CONCATENATE("")</f>
        <v/>
      </c>
      <c r="L13" s="7" t="str">
        <f>CONCATENATE("13 13.1 4a")</f>
        <v>13 13.1 4a</v>
      </c>
      <c r="M13" s="7" t="str">
        <f>CONCATENATE("TGNNZR57D20D808I")</f>
        <v>TGNNZR57D20D808I</v>
      </c>
      <c r="N13" s="7" t="s">
        <v>68</v>
      </c>
      <c r="O13" s="7" t="s">
        <v>52</v>
      </c>
      <c r="P13" s="8">
        <v>44634</v>
      </c>
      <c r="Q13" s="7" t="s">
        <v>32</v>
      </c>
      <c r="R13" s="7" t="s">
        <v>36</v>
      </c>
      <c r="S13" s="7" t="s">
        <v>34</v>
      </c>
      <c r="T13" s="7"/>
      <c r="U13" s="7" t="s">
        <v>35</v>
      </c>
      <c r="V13" s="7">
        <v>626.32000000000005</v>
      </c>
      <c r="W13" s="7">
        <v>270.07</v>
      </c>
      <c r="X13" s="7">
        <v>249.4</v>
      </c>
      <c r="Y13" s="7">
        <v>0</v>
      </c>
      <c r="Z13" s="7">
        <v>106.85</v>
      </c>
    </row>
    <row r="14" spans="1:26" x14ac:dyDescent="0.35">
      <c r="A14" s="7" t="s">
        <v>27</v>
      </c>
      <c r="B14" s="7" t="s">
        <v>38</v>
      </c>
      <c r="C14" s="7" t="s">
        <v>48</v>
      </c>
      <c r="D14" s="7" t="s">
        <v>49</v>
      </c>
      <c r="E14" s="7" t="s">
        <v>42</v>
      </c>
      <c r="F14" s="7" t="s">
        <v>50</v>
      </c>
      <c r="G14" s="7">
        <v>2021</v>
      </c>
      <c r="H14" s="7" t="str">
        <f>CONCATENATE("14210019114")</f>
        <v>14210019114</v>
      </c>
      <c r="I14" s="7" t="s">
        <v>30</v>
      </c>
      <c r="J14" s="7" t="s">
        <v>31</v>
      </c>
      <c r="K14" s="7" t="str">
        <f>CONCATENATE("")</f>
        <v/>
      </c>
      <c r="L14" s="7" t="str">
        <f>CONCATENATE("13 13.1 4a")</f>
        <v>13 13.1 4a</v>
      </c>
      <c r="M14" s="7" t="str">
        <f>CONCATENATE("GVGDNC52A29B816V")</f>
        <v>GVGDNC52A29B816V</v>
      </c>
      <c r="N14" s="7" t="s">
        <v>69</v>
      </c>
      <c r="O14" s="7" t="s">
        <v>52</v>
      </c>
      <c r="P14" s="8">
        <v>44634</v>
      </c>
      <c r="Q14" s="7" t="s">
        <v>32</v>
      </c>
      <c r="R14" s="7" t="s">
        <v>36</v>
      </c>
      <c r="S14" s="7" t="s">
        <v>34</v>
      </c>
      <c r="T14" s="7"/>
      <c r="U14" s="7" t="s">
        <v>35</v>
      </c>
      <c r="V14" s="7">
        <v>964.44</v>
      </c>
      <c r="W14" s="7">
        <v>415.87</v>
      </c>
      <c r="X14" s="7">
        <v>384.04</v>
      </c>
      <c r="Y14" s="7">
        <v>0</v>
      </c>
      <c r="Z14" s="7">
        <v>164.53</v>
      </c>
    </row>
    <row r="15" spans="1:26" x14ac:dyDescent="0.35">
      <c r="A15" s="7" t="s">
        <v>27</v>
      </c>
      <c r="B15" s="7" t="s">
        <v>38</v>
      </c>
      <c r="C15" s="7" t="s">
        <v>48</v>
      </c>
      <c r="D15" s="7" t="s">
        <v>49</v>
      </c>
      <c r="E15" s="7" t="s">
        <v>41</v>
      </c>
      <c r="F15" s="7" t="s">
        <v>70</v>
      </c>
      <c r="G15" s="7">
        <v>2021</v>
      </c>
      <c r="H15" s="7" t="str">
        <f>CONCATENATE("14210638202")</f>
        <v>14210638202</v>
      </c>
      <c r="I15" s="7" t="s">
        <v>30</v>
      </c>
      <c r="J15" s="7" t="s">
        <v>31</v>
      </c>
      <c r="K15" s="7" t="str">
        <f>CONCATENATE("")</f>
        <v/>
      </c>
      <c r="L15" s="7" t="str">
        <f>CONCATENATE("13 13.1 4a")</f>
        <v>13 13.1 4a</v>
      </c>
      <c r="M15" s="7" t="str">
        <f>CONCATENATE("PRCVLR47S53D488Q")</f>
        <v>PRCVLR47S53D488Q</v>
      </c>
      <c r="N15" s="7" t="s">
        <v>71</v>
      </c>
      <c r="O15" s="7" t="s">
        <v>52</v>
      </c>
      <c r="P15" s="8">
        <v>44634</v>
      </c>
      <c r="Q15" s="7" t="s">
        <v>32</v>
      </c>
      <c r="R15" s="7" t="s">
        <v>36</v>
      </c>
      <c r="S15" s="7" t="s">
        <v>34</v>
      </c>
      <c r="T15" s="7"/>
      <c r="U15" s="7" t="s">
        <v>35</v>
      </c>
      <c r="V15" s="9">
        <v>1913.12</v>
      </c>
      <c r="W15" s="7">
        <v>824.94</v>
      </c>
      <c r="X15" s="7">
        <v>761.8</v>
      </c>
      <c r="Y15" s="7">
        <v>0</v>
      </c>
      <c r="Z15" s="7">
        <v>326.38</v>
      </c>
    </row>
    <row r="16" spans="1:26" x14ac:dyDescent="0.35">
      <c r="A16" s="7" t="s">
        <v>27</v>
      </c>
      <c r="B16" s="7" t="s">
        <v>38</v>
      </c>
      <c r="C16" s="7" t="s">
        <v>48</v>
      </c>
      <c r="D16" s="7" t="s">
        <v>49</v>
      </c>
      <c r="E16" s="7" t="s">
        <v>41</v>
      </c>
      <c r="F16" s="7" t="s">
        <v>72</v>
      </c>
      <c r="G16" s="7">
        <v>2016</v>
      </c>
      <c r="H16" s="7" t="str">
        <f>CONCATENATE("64210757395")</f>
        <v>64210757395</v>
      </c>
      <c r="I16" s="7" t="s">
        <v>46</v>
      </c>
      <c r="J16" s="7" t="s">
        <v>31</v>
      </c>
      <c r="K16" s="7" t="str">
        <f>CONCATENATE("")</f>
        <v/>
      </c>
      <c r="L16" s="7" t="str">
        <f>CONCATENATE("13 13.1 4a")</f>
        <v>13 13.1 4a</v>
      </c>
      <c r="M16" s="7" t="str">
        <f>CONCATENATE("BLCFRZ67C28H274A")</f>
        <v>BLCFRZ67C28H274A</v>
      </c>
      <c r="N16" s="7" t="s">
        <v>73</v>
      </c>
      <c r="O16" s="7" t="s">
        <v>52</v>
      </c>
      <c r="P16" s="8">
        <v>44634</v>
      </c>
      <c r="Q16" s="7" t="s">
        <v>32</v>
      </c>
      <c r="R16" s="7" t="s">
        <v>36</v>
      </c>
      <c r="S16" s="7" t="s">
        <v>34</v>
      </c>
      <c r="T16" s="7"/>
      <c r="U16" s="7" t="s">
        <v>35</v>
      </c>
      <c r="V16" s="7">
        <v>114.57</v>
      </c>
      <c r="W16" s="7">
        <v>49.4</v>
      </c>
      <c r="X16" s="7">
        <v>45.62</v>
      </c>
      <c r="Y16" s="7">
        <v>0</v>
      </c>
      <c r="Z16" s="7">
        <v>19.55</v>
      </c>
    </row>
    <row r="17" spans="1:26" x14ac:dyDescent="0.35">
      <c r="A17" s="7" t="s">
        <v>27</v>
      </c>
      <c r="B17" s="7" t="s">
        <v>38</v>
      </c>
      <c r="C17" s="7" t="s">
        <v>48</v>
      </c>
      <c r="D17" s="7" t="s">
        <v>49</v>
      </c>
      <c r="E17" s="7" t="s">
        <v>42</v>
      </c>
      <c r="F17" s="7" t="s">
        <v>74</v>
      </c>
      <c r="G17" s="7">
        <v>2021</v>
      </c>
      <c r="H17" s="7" t="str">
        <f>CONCATENATE("14211549572")</f>
        <v>14211549572</v>
      </c>
      <c r="I17" s="7" t="s">
        <v>30</v>
      </c>
      <c r="J17" s="7" t="s">
        <v>31</v>
      </c>
      <c r="K17" s="7" t="str">
        <f>CONCATENATE("")</f>
        <v/>
      </c>
      <c r="L17" s="7" t="str">
        <f>CONCATENATE("13 13.1 4a")</f>
        <v>13 13.1 4a</v>
      </c>
      <c r="M17" s="7" t="str">
        <f>CONCATENATE("CNDSVN44E59I459B")</f>
        <v>CNDSVN44E59I459B</v>
      </c>
      <c r="N17" s="7" t="s">
        <v>75</v>
      </c>
      <c r="O17" s="7" t="s">
        <v>52</v>
      </c>
      <c r="P17" s="8">
        <v>44634</v>
      </c>
      <c r="Q17" s="7" t="s">
        <v>32</v>
      </c>
      <c r="R17" s="7" t="s">
        <v>36</v>
      </c>
      <c r="S17" s="7" t="s">
        <v>34</v>
      </c>
      <c r="T17" s="7"/>
      <c r="U17" s="7" t="s">
        <v>35</v>
      </c>
      <c r="V17" s="9">
        <v>2436.2600000000002</v>
      </c>
      <c r="W17" s="9">
        <v>1050.52</v>
      </c>
      <c r="X17" s="7">
        <v>970.12</v>
      </c>
      <c r="Y17" s="7">
        <v>0</v>
      </c>
      <c r="Z17" s="7">
        <v>415.62</v>
      </c>
    </row>
    <row r="18" spans="1:26" x14ac:dyDescent="0.35">
      <c r="A18" s="7" t="s">
        <v>27</v>
      </c>
      <c r="B18" s="7" t="s">
        <v>38</v>
      </c>
      <c r="C18" s="7" t="s">
        <v>48</v>
      </c>
      <c r="D18" s="7" t="s">
        <v>53</v>
      </c>
      <c r="E18" s="7" t="s">
        <v>42</v>
      </c>
      <c r="F18" s="7" t="s">
        <v>76</v>
      </c>
      <c r="G18" s="7">
        <v>2021</v>
      </c>
      <c r="H18" s="7" t="str">
        <f>CONCATENATE("14210332764")</f>
        <v>14210332764</v>
      </c>
      <c r="I18" s="7" t="s">
        <v>30</v>
      </c>
      <c r="J18" s="7" t="s">
        <v>31</v>
      </c>
      <c r="K18" s="7" t="str">
        <f>CONCATENATE("")</f>
        <v/>
      </c>
      <c r="L18" s="7" t="str">
        <f>CONCATENATE("13 13.1 4a")</f>
        <v>13 13.1 4a</v>
      </c>
      <c r="M18" s="7" t="str">
        <f>CONCATENATE("MSLFNC86M28A252Q")</f>
        <v>MSLFNC86M28A252Q</v>
      </c>
      <c r="N18" s="7" t="s">
        <v>77</v>
      </c>
      <c r="O18" s="7" t="s">
        <v>52</v>
      </c>
      <c r="P18" s="8">
        <v>44634</v>
      </c>
      <c r="Q18" s="7" t="s">
        <v>32</v>
      </c>
      <c r="R18" s="7" t="s">
        <v>36</v>
      </c>
      <c r="S18" s="7" t="s">
        <v>34</v>
      </c>
      <c r="T18" s="7"/>
      <c r="U18" s="7" t="s">
        <v>35</v>
      </c>
      <c r="V18" s="9">
        <v>4101.26</v>
      </c>
      <c r="W18" s="9">
        <v>1768.46</v>
      </c>
      <c r="X18" s="9">
        <v>1633.12</v>
      </c>
      <c r="Y18" s="7">
        <v>0</v>
      </c>
      <c r="Z18" s="7">
        <v>699.68</v>
      </c>
    </row>
    <row r="19" spans="1:26" x14ac:dyDescent="0.35">
      <c r="A19" s="7" t="s">
        <v>27</v>
      </c>
      <c r="B19" s="7" t="s">
        <v>38</v>
      </c>
      <c r="C19" s="7" t="s">
        <v>48</v>
      </c>
      <c r="D19" s="7" t="s">
        <v>53</v>
      </c>
      <c r="E19" s="7" t="s">
        <v>42</v>
      </c>
      <c r="F19" s="7" t="s">
        <v>54</v>
      </c>
      <c r="G19" s="7">
        <v>2021</v>
      </c>
      <c r="H19" s="7" t="str">
        <f>CONCATENATE("14210026382")</f>
        <v>14210026382</v>
      </c>
      <c r="I19" s="7" t="s">
        <v>30</v>
      </c>
      <c r="J19" s="7" t="s">
        <v>31</v>
      </c>
      <c r="K19" s="7" t="str">
        <f>CONCATENATE("")</f>
        <v/>
      </c>
      <c r="L19" s="7" t="str">
        <f>CONCATENATE("13 13.1 4a")</f>
        <v>13 13.1 4a</v>
      </c>
      <c r="M19" s="7" t="str">
        <f>CONCATENATE("BRNVCN53D43L728D")</f>
        <v>BRNVCN53D43L728D</v>
      </c>
      <c r="N19" s="7" t="s">
        <v>78</v>
      </c>
      <c r="O19" s="7" t="s">
        <v>52</v>
      </c>
      <c r="P19" s="8">
        <v>44634</v>
      </c>
      <c r="Q19" s="7" t="s">
        <v>32</v>
      </c>
      <c r="R19" s="7" t="s">
        <v>36</v>
      </c>
      <c r="S19" s="7" t="s">
        <v>34</v>
      </c>
      <c r="T19" s="7"/>
      <c r="U19" s="7" t="s">
        <v>35</v>
      </c>
      <c r="V19" s="7">
        <v>518.4</v>
      </c>
      <c r="W19" s="7">
        <v>223.53</v>
      </c>
      <c r="X19" s="7">
        <v>206.43</v>
      </c>
      <c r="Y19" s="7">
        <v>0</v>
      </c>
      <c r="Z19" s="7">
        <v>88.44</v>
      </c>
    </row>
    <row r="20" spans="1:26" x14ac:dyDescent="0.35">
      <c r="A20" s="7" t="s">
        <v>27</v>
      </c>
      <c r="B20" s="7" t="s">
        <v>38</v>
      </c>
      <c r="C20" s="7" t="s">
        <v>48</v>
      </c>
      <c r="D20" s="7" t="s">
        <v>49</v>
      </c>
      <c r="E20" s="7" t="s">
        <v>42</v>
      </c>
      <c r="F20" s="7" t="s">
        <v>74</v>
      </c>
      <c r="G20" s="7">
        <v>2021</v>
      </c>
      <c r="H20" s="7" t="str">
        <f>CONCATENATE("14210590122")</f>
        <v>14210590122</v>
      </c>
      <c r="I20" s="7" t="s">
        <v>30</v>
      </c>
      <c r="J20" s="7" t="s">
        <v>31</v>
      </c>
      <c r="K20" s="7" t="str">
        <f>CONCATENATE("")</f>
        <v/>
      </c>
      <c r="L20" s="7" t="str">
        <f>CONCATENATE("13 13.1 4a")</f>
        <v>13 13.1 4a</v>
      </c>
      <c r="M20" s="7" t="str">
        <f>CONCATENATE("02055070417")</f>
        <v>02055070417</v>
      </c>
      <c r="N20" s="7" t="s">
        <v>79</v>
      </c>
      <c r="O20" s="7" t="s">
        <v>52</v>
      </c>
      <c r="P20" s="8">
        <v>44634</v>
      </c>
      <c r="Q20" s="7" t="s">
        <v>32</v>
      </c>
      <c r="R20" s="7" t="s">
        <v>36</v>
      </c>
      <c r="S20" s="7" t="s">
        <v>34</v>
      </c>
      <c r="T20" s="7"/>
      <c r="U20" s="7" t="s">
        <v>35</v>
      </c>
      <c r="V20" s="9">
        <v>1880.53</v>
      </c>
      <c r="W20" s="7">
        <v>810.88</v>
      </c>
      <c r="X20" s="7">
        <v>748.83</v>
      </c>
      <c r="Y20" s="7">
        <v>0</v>
      </c>
      <c r="Z20" s="7">
        <v>320.82</v>
      </c>
    </row>
    <row r="21" spans="1:26" x14ac:dyDescent="0.35">
      <c r="A21" s="7" t="s">
        <v>27</v>
      </c>
      <c r="B21" s="7" t="s">
        <v>38</v>
      </c>
      <c r="C21" s="7" t="s">
        <v>48</v>
      </c>
      <c r="D21" s="7" t="s">
        <v>49</v>
      </c>
      <c r="E21" s="7" t="s">
        <v>42</v>
      </c>
      <c r="F21" s="7" t="s">
        <v>50</v>
      </c>
      <c r="G21" s="7">
        <v>2021</v>
      </c>
      <c r="H21" s="7" t="str">
        <f>CONCATENATE("14210368669")</f>
        <v>14210368669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CONCATENATE("00454810417")</f>
        <v>00454810417</v>
      </c>
      <c r="N21" s="7" t="s">
        <v>80</v>
      </c>
      <c r="O21" s="7" t="s">
        <v>52</v>
      </c>
      <c r="P21" s="8">
        <v>44634</v>
      </c>
      <c r="Q21" s="7" t="s">
        <v>32</v>
      </c>
      <c r="R21" s="7" t="s">
        <v>36</v>
      </c>
      <c r="S21" s="7" t="s">
        <v>34</v>
      </c>
      <c r="T21" s="7"/>
      <c r="U21" s="7" t="s">
        <v>35</v>
      </c>
      <c r="V21" s="9">
        <v>2965.5</v>
      </c>
      <c r="W21" s="9">
        <v>1278.72</v>
      </c>
      <c r="X21" s="9">
        <v>1180.8599999999999</v>
      </c>
      <c r="Y21" s="7">
        <v>0</v>
      </c>
      <c r="Z21" s="7">
        <v>505.92</v>
      </c>
    </row>
    <row r="22" spans="1:26" x14ac:dyDescent="0.35">
      <c r="A22" s="7" t="s">
        <v>27</v>
      </c>
      <c r="B22" s="7" t="s">
        <v>38</v>
      </c>
      <c r="C22" s="7" t="s">
        <v>48</v>
      </c>
      <c r="D22" s="7" t="s">
        <v>53</v>
      </c>
      <c r="E22" s="7" t="s">
        <v>40</v>
      </c>
      <c r="F22" s="7" t="s">
        <v>81</v>
      </c>
      <c r="G22" s="7">
        <v>2021</v>
      </c>
      <c r="H22" s="7" t="str">
        <f>CONCATENATE("14210908878")</f>
        <v>14210908878</v>
      </c>
      <c r="I22" s="7" t="s">
        <v>30</v>
      </c>
      <c r="J22" s="7" t="s">
        <v>31</v>
      </c>
      <c r="K22" s="7" t="str">
        <f>CONCATENATE("")</f>
        <v/>
      </c>
      <c r="L22" s="7" t="str">
        <f>CONCATENATE("13 13.1 4a")</f>
        <v>13 13.1 4a</v>
      </c>
      <c r="M22" s="7" t="str">
        <f>CONCATENATE("01924080441")</f>
        <v>01924080441</v>
      </c>
      <c r="N22" s="7" t="s">
        <v>82</v>
      </c>
      <c r="O22" s="7" t="s">
        <v>52</v>
      </c>
      <c r="P22" s="8">
        <v>44634</v>
      </c>
      <c r="Q22" s="7" t="s">
        <v>32</v>
      </c>
      <c r="R22" s="7" t="s">
        <v>36</v>
      </c>
      <c r="S22" s="7" t="s">
        <v>34</v>
      </c>
      <c r="T22" s="7"/>
      <c r="U22" s="7" t="s">
        <v>35</v>
      </c>
      <c r="V22" s="9">
        <v>4822.8</v>
      </c>
      <c r="W22" s="9">
        <v>2079.59</v>
      </c>
      <c r="X22" s="9">
        <v>1920.44</v>
      </c>
      <c r="Y22" s="7">
        <v>0</v>
      </c>
      <c r="Z22" s="7">
        <v>822.77</v>
      </c>
    </row>
    <row r="23" spans="1:26" x14ac:dyDescent="0.35">
      <c r="A23" s="7" t="s">
        <v>27</v>
      </c>
      <c r="B23" s="7" t="s">
        <v>38</v>
      </c>
      <c r="C23" s="7" t="s">
        <v>48</v>
      </c>
      <c r="D23" s="7" t="s">
        <v>53</v>
      </c>
      <c r="E23" s="7" t="s">
        <v>42</v>
      </c>
      <c r="F23" s="7" t="s">
        <v>54</v>
      </c>
      <c r="G23" s="7">
        <v>2021</v>
      </c>
      <c r="H23" s="7" t="str">
        <f>CONCATENATE("14210632924")</f>
        <v>14210632924</v>
      </c>
      <c r="I23" s="7" t="s">
        <v>30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CONCATENATE("DCLNNZ83C05H501B")</f>
        <v>DCLNNZ83C05H501B</v>
      </c>
      <c r="N23" s="7" t="s">
        <v>83</v>
      </c>
      <c r="O23" s="7" t="s">
        <v>52</v>
      </c>
      <c r="P23" s="8">
        <v>44634</v>
      </c>
      <c r="Q23" s="7" t="s">
        <v>32</v>
      </c>
      <c r="R23" s="7" t="s">
        <v>36</v>
      </c>
      <c r="S23" s="7" t="s">
        <v>34</v>
      </c>
      <c r="T23" s="7"/>
      <c r="U23" s="7" t="s">
        <v>35</v>
      </c>
      <c r="V23" s="7">
        <v>400.6</v>
      </c>
      <c r="W23" s="7">
        <v>172.74</v>
      </c>
      <c r="X23" s="7">
        <v>159.52000000000001</v>
      </c>
      <c r="Y23" s="7">
        <v>0</v>
      </c>
      <c r="Z23" s="7">
        <v>68.34</v>
      </c>
    </row>
    <row r="24" spans="1:26" x14ac:dyDescent="0.35">
      <c r="A24" s="7" t="s">
        <v>27</v>
      </c>
      <c r="B24" s="7" t="s">
        <v>38</v>
      </c>
      <c r="C24" s="7" t="s">
        <v>48</v>
      </c>
      <c r="D24" s="7" t="s">
        <v>53</v>
      </c>
      <c r="E24" s="7" t="s">
        <v>41</v>
      </c>
      <c r="F24" s="7" t="s">
        <v>47</v>
      </c>
      <c r="G24" s="7">
        <v>2021</v>
      </c>
      <c r="H24" s="7" t="str">
        <f>CONCATENATE("14210235785")</f>
        <v>14210235785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CONCATENATE("02200350441")</f>
        <v>02200350441</v>
      </c>
      <c r="N24" s="7" t="s">
        <v>84</v>
      </c>
      <c r="O24" s="7" t="s">
        <v>52</v>
      </c>
      <c r="P24" s="8">
        <v>44634</v>
      </c>
      <c r="Q24" s="7" t="s">
        <v>32</v>
      </c>
      <c r="R24" s="7" t="s">
        <v>36</v>
      </c>
      <c r="S24" s="7" t="s">
        <v>34</v>
      </c>
      <c r="T24" s="7"/>
      <c r="U24" s="7" t="s">
        <v>35</v>
      </c>
      <c r="V24" s="9">
        <v>4202.18</v>
      </c>
      <c r="W24" s="9">
        <v>1811.98</v>
      </c>
      <c r="X24" s="9">
        <v>1673.31</v>
      </c>
      <c r="Y24" s="7">
        <v>0</v>
      </c>
      <c r="Z24" s="7">
        <v>716.89</v>
      </c>
    </row>
    <row r="25" spans="1:26" x14ac:dyDescent="0.35">
      <c r="A25" s="7" t="s">
        <v>27</v>
      </c>
      <c r="B25" s="7" t="s">
        <v>38</v>
      </c>
      <c r="C25" s="7" t="s">
        <v>48</v>
      </c>
      <c r="D25" s="7" t="s">
        <v>49</v>
      </c>
      <c r="E25" s="7" t="s">
        <v>37</v>
      </c>
      <c r="F25" s="7" t="s">
        <v>58</v>
      </c>
      <c r="G25" s="7">
        <v>2021</v>
      </c>
      <c r="H25" s="7" t="str">
        <f>CONCATENATE("14210193828")</f>
        <v>14210193828</v>
      </c>
      <c r="I25" s="7" t="s">
        <v>30</v>
      </c>
      <c r="J25" s="7" t="s">
        <v>31</v>
      </c>
      <c r="K25" s="7" t="str">
        <f>CONCATENATE("")</f>
        <v/>
      </c>
      <c r="L25" s="7" t="str">
        <f>CONCATENATE("13 13.1 4a")</f>
        <v>13 13.1 4a</v>
      </c>
      <c r="M25" s="7" t="str">
        <f>CONCATENATE("CHSGNN61M46G147N")</f>
        <v>CHSGNN61M46G147N</v>
      </c>
      <c r="N25" s="7" t="s">
        <v>85</v>
      </c>
      <c r="O25" s="7" t="s">
        <v>52</v>
      </c>
      <c r="P25" s="8">
        <v>44634</v>
      </c>
      <c r="Q25" s="7" t="s">
        <v>32</v>
      </c>
      <c r="R25" s="7" t="s">
        <v>36</v>
      </c>
      <c r="S25" s="7" t="s">
        <v>34</v>
      </c>
      <c r="T25" s="7"/>
      <c r="U25" s="7" t="s">
        <v>35</v>
      </c>
      <c r="V25" s="9">
        <v>1326.68</v>
      </c>
      <c r="W25" s="7">
        <v>572.05999999999995</v>
      </c>
      <c r="X25" s="7">
        <v>528.28</v>
      </c>
      <c r="Y25" s="7">
        <v>0</v>
      </c>
      <c r="Z25" s="7">
        <v>226.34</v>
      </c>
    </row>
    <row r="26" spans="1:26" x14ac:dyDescent="0.35">
      <c r="A26" s="7" t="s">
        <v>27</v>
      </c>
      <c r="B26" s="7" t="s">
        <v>38</v>
      </c>
      <c r="C26" s="7" t="s">
        <v>48</v>
      </c>
      <c r="D26" s="7" t="s">
        <v>53</v>
      </c>
      <c r="E26" s="7" t="s">
        <v>37</v>
      </c>
      <c r="F26" s="7" t="s">
        <v>86</v>
      </c>
      <c r="G26" s="7">
        <v>2021</v>
      </c>
      <c r="H26" s="7" t="str">
        <f>CONCATENATE("14210911799")</f>
        <v>14210911799</v>
      </c>
      <c r="I26" s="7" t="s">
        <v>30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CONCATENATE("PLOMHL75B68A462C")</f>
        <v>PLOMHL75B68A462C</v>
      </c>
      <c r="N26" s="7" t="s">
        <v>87</v>
      </c>
      <c r="O26" s="7" t="s">
        <v>52</v>
      </c>
      <c r="P26" s="8">
        <v>44634</v>
      </c>
      <c r="Q26" s="7" t="s">
        <v>32</v>
      </c>
      <c r="R26" s="7" t="s">
        <v>36</v>
      </c>
      <c r="S26" s="7" t="s">
        <v>34</v>
      </c>
      <c r="T26" s="7"/>
      <c r="U26" s="7" t="s">
        <v>35</v>
      </c>
      <c r="V26" s="9">
        <v>1664.52</v>
      </c>
      <c r="W26" s="7">
        <v>717.74</v>
      </c>
      <c r="X26" s="7">
        <v>662.81</v>
      </c>
      <c r="Y26" s="7">
        <v>0</v>
      </c>
      <c r="Z26" s="7">
        <v>283.97000000000003</v>
      </c>
    </row>
    <row r="27" spans="1:26" x14ac:dyDescent="0.35">
      <c r="A27" s="7" t="s">
        <v>27</v>
      </c>
      <c r="B27" s="7" t="s">
        <v>38</v>
      </c>
      <c r="C27" s="7" t="s">
        <v>48</v>
      </c>
      <c r="D27" s="7" t="s">
        <v>53</v>
      </c>
      <c r="E27" s="7" t="s">
        <v>42</v>
      </c>
      <c r="F27" s="7" t="s">
        <v>54</v>
      </c>
      <c r="G27" s="7">
        <v>2021</v>
      </c>
      <c r="H27" s="7" t="str">
        <f>CONCATENATE("14210077153")</f>
        <v>14210077153</v>
      </c>
      <c r="I27" s="7" t="s">
        <v>30</v>
      </c>
      <c r="J27" s="7" t="s">
        <v>31</v>
      </c>
      <c r="K27" s="7" t="str">
        <f>CONCATENATE("")</f>
        <v/>
      </c>
      <c r="L27" s="7" t="str">
        <f>CONCATENATE("13 13.1 4a")</f>
        <v>13 13.1 4a</v>
      </c>
      <c r="M27" s="7" t="str">
        <f>CONCATENATE("ZCHRRT64S45F205B")</f>
        <v>ZCHRRT64S45F205B</v>
      </c>
      <c r="N27" s="7" t="s">
        <v>88</v>
      </c>
      <c r="O27" s="7" t="s">
        <v>52</v>
      </c>
      <c r="P27" s="8">
        <v>44634</v>
      </c>
      <c r="Q27" s="7" t="s">
        <v>32</v>
      </c>
      <c r="R27" s="7" t="s">
        <v>36</v>
      </c>
      <c r="S27" s="7" t="s">
        <v>34</v>
      </c>
      <c r="T27" s="7"/>
      <c r="U27" s="7" t="s">
        <v>35</v>
      </c>
      <c r="V27" s="7">
        <v>143.96</v>
      </c>
      <c r="W27" s="7">
        <v>62.08</v>
      </c>
      <c r="X27" s="7">
        <v>57.32</v>
      </c>
      <c r="Y27" s="7">
        <v>0</v>
      </c>
      <c r="Z27" s="7">
        <v>24.56</v>
      </c>
    </row>
    <row r="28" spans="1:26" x14ac:dyDescent="0.35">
      <c r="A28" s="7" t="s">
        <v>27</v>
      </c>
      <c r="B28" s="7" t="s">
        <v>38</v>
      </c>
      <c r="C28" s="7" t="s">
        <v>48</v>
      </c>
      <c r="D28" s="7" t="s">
        <v>49</v>
      </c>
      <c r="E28" s="7" t="s">
        <v>41</v>
      </c>
      <c r="F28" s="7" t="s">
        <v>70</v>
      </c>
      <c r="G28" s="7">
        <v>2021</v>
      </c>
      <c r="H28" s="7" t="str">
        <f>CONCATENATE("14210519717")</f>
        <v>14210519717</v>
      </c>
      <c r="I28" s="7" t="s">
        <v>30</v>
      </c>
      <c r="J28" s="7" t="s">
        <v>31</v>
      </c>
      <c r="K28" s="7" t="str">
        <f>CONCATENATE("")</f>
        <v/>
      </c>
      <c r="L28" s="7" t="str">
        <f>CONCATENATE("13 13.1 4a")</f>
        <v>13 13.1 4a</v>
      </c>
      <c r="M28" s="7" t="str">
        <f>CONCATENATE("02465610414")</f>
        <v>02465610414</v>
      </c>
      <c r="N28" s="7" t="s">
        <v>89</v>
      </c>
      <c r="O28" s="7" t="s">
        <v>52</v>
      </c>
      <c r="P28" s="8">
        <v>44634</v>
      </c>
      <c r="Q28" s="7" t="s">
        <v>32</v>
      </c>
      <c r="R28" s="7" t="s">
        <v>36</v>
      </c>
      <c r="S28" s="7" t="s">
        <v>34</v>
      </c>
      <c r="T28" s="7"/>
      <c r="U28" s="7" t="s">
        <v>35</v>
      </c>
      <c r="V28" s="9">
        <v>6344.53</v>
      </c>
      <c r="W28" s="9">
        <v>2735.76</v>
      </c>
      <c r="X28" s="9">
        <v>2526.39</v>
      </c>
      <c r="Y28" s="7">
        <v>0</v>
      </c>
      <c r="Z28" s="9">
        <v>1082.3800000000001</v>
      </c>
    </row>
    <row r="29" spans="1:26" x14ac:dyDescent="0.35">
      <c r="A29" s="7" t="s">
        <v>27</v>
      </c>
      <c r="B29" s="7" t="s">
        <v>38</v>
      </c>
      <c r="C29" s="7" t="s">
        <v>48</v>
      </c>
      <c r="D29" s="7" t="s">
        <v>49</v>
      </c>
      <c r="E29" s="7" t="s">
        <v>44</v>
      </c>
      <c r="F29" s="7" t="s">
        <v>90</v>
      </c>
      <c r="G29" s="7">
        <v>2021</v>
      </c>
      <c r="H29" s="7" t="str">
        <f>CONCATENATE("14240598129")</f>
        <v>14240598129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CONCATENATE("PLVRTT60C64D749Y")</f>
        <v>PLVRTT60C64D749Y</v>
      </c>
      <c r="N29" s="7" t="s">
        <v>91</v>
      </c>
      <c r="O29" s="7" t="s">
        <v>92</v>
      </c>
      <c r="P29" s="8">
        <v>44634</v>
      </c>
      <c r="Q29" s="7" t="s">
        <v>32</v>
      </c>
      <c r="R29" s="7" t="s">
        <v>36</v>
      </c>
      <c r="S29" s="7" t="s">
        <v>34</v>
      </c>
      <c r="T29" s="7"/>
      <c r="U29" s="7" t="s">
        <v>35</v>
      </c>
      <c r="V29" s="7">
        <v>618.71</v>
      </c>
      <c r="W29" s="7">
        <v>266.79000000000002</v>
      </c>
      <c r="X29" s="7">
        <v>246.37</v>
      </c>
      <c r="Y29" s="7">
        <v>0</v>
      </c>
      <c r="Z29" s="7">
        <v>105.55</v>
      </c>
    </row>
    <row r="30" spans="1:26" x14ac:dyDescent="0.35">
      <c r="A30" s="7" t="s">
        <v>27</v>
      </c>
      <c r="B30" s="7" t="s">
        <v>38</v>
      </c>
      <c r="C30" s="7" t="s">
        <v>48</v>
      </c>
      <c r="D30" s="7" t="s">
        <v>49</v>
      </c>
      <c r="E30" s="7" t="s">
        <v>37</v>
      </c>
      <c r="F30" s="7" t="s">
        <v>93</v>
      </c>
      <c r="G30" s="7">
        <v>2021</v>
      </c>
      <c r="H30" s="7" t="str">
        <f>CONCATENATE("14241162065")</f>
        <v>14241162065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11.1 4b")</f>
        <v>11 11.1 4b</v>
      </c>
      <c r="M30" s="7" t="str">
        <f>CONCATENATE("RNCSDR56P20C830O")</f>
        <v>RNCSDR56P20C830O</v>
      </c>
      <c r="N30" s="7" t="s">
        <v>94</v>
      </c>
      <c r="O30" s="7" t="s">
        <v>92</v>
      </c>
      <c r="P30" s="8">
        <v>44634</v>
      </c>
      <c r="Q30" s="7" t="s">
        <v>32</v>
      </c>
      <c r="R30" s="7" t="s">
        <v>36</v>
      </c>
      <c r="S30" s="7" t="s">
        <v>34</v>
      </c>
      <c r="T30" s="7"/>
      <c r="U30" s="7" t="s">
        <v>35</v>
      </c>
      <c r="V30" s="7">
        <v>251.68</v>
      </c>
      <c r="W30" s="7">
        <v>108.52</v>
      </c>
      <c r="X30" s="7">
        <v>100.22</v>
      </c>
      <c r="Y30" s="7">
        <v>0</v>
      </c>
      <c r="Z30" s="7">
        <v>42.94</v>
      </c>
    </row>
    <row r="31" spans="1:26" x14ac:dyDescent="0.35">
      <c r="A31" s="7" t="s">
        <v>27</v>
      </c>
      <c r="B31" s="7" t="s">
        <v>38</v>
      </c>
      <c r="C31" s="7" t="s">
        <v>48</v>
      </c>
      <c r="D31" s="7" t="s">
        <v>49</v>
      </c>
      <c r="E31" s="7" t="s">
        <v>40</v>
      </c>
      <c r="F31" s="7" t="s">
        <v>95</v>
      </c>
      <c r="G31" s="7">
        <v>2021</v>
      </c>
      <c r="H31" s="7" t="str">
        <f>CONCATENATE("14240865502")</f>
        <v>14240865502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CONCATENATE("BNCSFN62C04L500O")</f>
        <v>BNCSFN62C04L500O</v>
      </c>
      <c r="N31" s="7" t="s">
        <v>96</v>
      </c>
      <c r="O31" s="7" t="s">
        <v>92</v>
      </c>
      <c r="P31" s="8">
        <v>44634</v>
      </c>
      <c r="Q31" s="7" t="s">
        <v>32</v>
      </c>
      <c r="R31" s="7" t="s">
        <v>36</v>
      </c>
      <c r="S31" s="7" t="s">
        <v>34</v>
      </c>
      <c r="T31" s="7"/>
      <c r="U31" s="7" t="s">
        <v>35</v>
      </c>
      <c r="V31" s="9">
        <v>7369.28</v>
      </c>
      <c r="W31" s="9">
        <v>3177.63</v>
      </c>
      <c r="X31" s="9">
        <v>2934.45</v>
      </c>
      <c r="Y31" s="7">
        <v>0</v>
      </c>
      <c r="Z31" s="9">
        <v>1257.2</v>
      </c>
    </row>
    <row r="32" spans="1:26" x14ac:dyDescent="0.35">
      <c r="A32" s="7" t="s">
        <v>27</v>
      </c>
      <c r="B32" s="7" t="s">
        <v>38</v>
      </c>
      <c r="C32" s="7" t="s">
        <v>48</v>
      </c>
      <c r="D32" s="7" t="s">
        <v>49</v>
      </c>
      <c r="E32" s="7" t="s">
        <v>42</v>
      </c>
      <c r="F32" s="7" t="s">
        <v>50</v>
      </c>
      <c r="G32" s="7">
        <v>2021</v>
      </c>
      <c r="H32" s="7" t="str">
        <f>CONCATENATE("14240422247")</f>
        <v>14240422247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CONCATENATE("CCCLSN77R24I459E")</f>
        <v>CCCLSN77R24I459E</v>
      </c>
      <c r="N32" s="7" t="s">
        <v>97</v>
      </c>
      <c r="O32" s="7" t="s">
        <v>92</v>
      </c>
      <c r="P32" s="8">
        <v>44634</v>
      </c>
      <c r="Q32" s="7" t="s">
        <v>32</v>
      </c>
      <c r="R32" s="7" t="s">
        <v>36</v>
      </c>
      <c r="S32" s="7" t="s">
        <v>34</v>
      </c>
      <c r="T32" s="7"/>
      <c r="U32" s="7" t="s">
        <v>35</v>
      </c>
      <c r="V32" s="7">
        <v>671.51</v>
      </c>
      <c r="W32" s="7">
        <v>289.56</v>
      </c>
      <c r="X32" s="7">
        <v>267.39999999999998</v>
      </c>
      <c r="Y32" s="7">
        <v>0</v>
      </c>
      <c r="Z32" s="7">
        <v>114.55</v>
      </c>
    </row>
    <row r="33" spans="1:26" x14ac:dyDescent="0.35">
      <c r="A33" s="7" t="s">
        <v>27</v>
      </c>
      <c r="B33" s="7" t="s">
        <v>38</v>
      </c>
      <c r="C33" s="7" t="s">
        <v>48</v>
      </c>
      <c r="D33" s="7" t="s">
        <v>49</v>
      </c>
      <c r="E33" s="7" t="s">
        <v>42</v>
      </c>
      <c r="F33" s="7" t="s">
        <v>50</v>
      </c>
      <c r="G33" s="7">
        <v>2021</v>
      </c>
      <c r="H33" s="7" t="str">
        <f>CONCATENATE("14240413576")</f>
        <v>14240413576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11.1 4b")</f>
        <v>11 11.1 4b</v>
      </c>
      <c r="M33" s="7" t="str">
        <f>CONCATENATE("CCCLSN77R24I459E")</f>
        <v>CCCLSN77R24I459E</v>
      </c>
      <c r="N33" s="7" t="s">
        <v>97</v>
      </c>
      <c r="O33" s="7" t="s">
        <v>92</v>
      </c>
      <c r="P33" s="8">
        <v>44634</v>
      </c>
      <c r="Q33" s="7" t="s">
        <v>32</v>
      </c>
      <c r="R33" s="7" t="s">
        <v>36</v>
      </c>
      <c r="S33" s="7" t="s">
        <v>34</v>
      </c>
      <c r="T33" s="7"/>
      <c r="U33" s="7" t="s">
        <v>35</v>
      </c>
      <c r="V33" s="9">
        <v>2824.62</v>
      </c>
      <c r="W33" s="9">
        <v>1217.98</v>
      </c>
      <c r="X33" s="9">
        <v>1124.76</v>
      </c>
      <c r="Y33" s="7">
        <v>0</v>
      </c>
      <c r="Z33" s="7">
        <v>481.88</v>
      </c>
    </row>
    <row r="34" spans="1:26" x14ac:dyDescent="0.35">
      <c r="A34" s="7" t="s">
        <v>27</v>
      </c>
      <c r="B34" s="7" t="s">
        <v>38</v>
      </c>
      <c r="C34" s="7" t="s">
        <v>48</v>
      </c>
      <c r="D34" s="7" t="s">
        <v>49</v>
      </c>
      <c r="E34" s="7" t="s">
        <v>42</v>
      </c>
      <c r="F34" s="7" t="s">
        <v>60</v>
      </c>
      <c r="G34" s="7">
        <v>2021</v>
      </c>
      <c r="H34" s="7" t="str">
        <f>CONCATENATE("14240755240")</f>
        <v>14240755240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CONCATENATE("FLVFNC72S09B352B")</f>
        <v>FLVFNC72S09B352B</v>
      </c>
      <c r="N34" s="7" t="s">
        <v>98</v>
      </c>
      <c r="O34" s="7" t="s">
        <v>92</v>
      </c>
      <c r="P34" s="8">
        <v>44634</v>
      </c>
      <c r="Q34" s="7" t="s">
        <v>32</v>
      </c>
      <c r="R34" s="7" t="s">
        <v>36</v>
      </c>
      <c r="S34" s="7" t="s">
        <v>34</v>
      </c>
      <c r="T34" s="7"/>
      <c r="U34" s="7" t="s">
        <v>35</v>
      </c>
      <c r="V34" s="9">
        <v>17155.87</v>
      </c>
      <c r="W34" s="9">
        <v>7397.61</v>
      </c>
      <c r="X34" s="9">
        <v>6831.47</v>
      </c>
      <c r="Y34" s="7">
        <v>0</v>
      </c>
      <c r="Z34" s="9">
        <v>2926.79</v>
      </c>
    </row>
    <row r="35" spans="1:26" x14ac:dyDescent="0.35">
      <c r="A35" s="7" t="s">
        <v>27</v>
      </c>
      <c r="B35" s="7" t="s">
        <v>38</v>
      </c>
      <c r="C35" s="7" t="s">
        <v>48</v>
      </c>
      <c r="D35" s="7" t="s">
        <v>49</v>
      </c>
      <c r="E35" s="7" t="s">
        <v>44</v>
      </c>
      <c r="F35" s="7" t="s">
        <v>65</v>
      </c>
      <c r="G35" s="7">
        <v>2021</v>
      </c>
      <c r="H35" s="7" t="str">
        <f>CONCATENATE("14241359109")</f>
        <v>14241359109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CONCATENATE("BNCSMN71R06D749X")</f>
        <v>BNCSMN71R06D749X</v>
      </c>
      <c r="N35" s="7" t="s">
        <v>99</v>
      </c>
      <c r="O35" s="7" t="s">
        <v>92</v>
      </c>
      <c r="P35" s="8">
        <v>44634</v>
      </c>
      <c r="Q35" s="7" t="s">
        <v>32</v>
      </c>
      <c r="R35" s="7" t="s">
        <v>36</v>
      </c>
      <c r="S35" s="7" t="s">
        <v>34</v>
      </c>
      <c r="T35" s="7"/>
      <c r="U35" s="7" t="s">
        <v>35</v>
      </c>
      <c r="V35" s="7">
        <v>579.09</v>
      </c>
      <c r="W35" s="7">
        <v>249.7</v>
      </c>
      <c r="X35" s="7">
        <v>230.59</v>
      </c>
      <c r="Y35" s="7">
        <v>0</v>
      </c>
      <c r="Z35" s="7">
        <v>98.8</v>
      </c>
    </row>
    <row r="36" spans="1:26" x14ac:dyDescent="0.35">
      <c r="A36" s="7" t="s">
        <v>27</v>
      </c>
      <c r="B36" s="7" t="s">
        <v>38</v>
      </c>
      <c r="C36" s="7" t="s">
        <v>48</v>
      </c>
      <c r="D36" s="7" t="s">
        <v>49</v>
      </c>
      <c r="E36" s="7" t="s">
        <v>42</v>
      </c>
      <c r="F36" s="7" t="s">
        <v>100</v>
      </c>
      <c r="G36" s="7">
        <v>2021</v>
      </c>
      <c r="H36" s="7" t="str">
        <f>CONCATENATE("14240440215")</f>
        <v>14240440215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CONCATENATE("01068070414")</f>
        <v>01068070414</v>
      </c>
      <c r="N36" s="7" t="s">
        <v>101</v>
      </c>
      <c r="O36" s="7" t="s">
        <v>92</v>
      </c>
      <c r="P36" s="8">
        <v>44634</v>
      </c>
      <c r="Q36" s="7" t="s">
        <v>32</v>
      </c>
      <c r="R36" s="7" t="s">
        <v>36</v>
      </c>
      <c r="S36" s="7" t="s">
        <v>34</v>
      </c>
      <c r="T36" s="7"/>
      <c r="U36" s="7" t="s">
        <v>35</v>
      </c>
      <c r="V36" s="7">
        <v>218.64</v>
      </c>
      <c r="W36" s="7">
        <v>94.28</v>
      </c>
      <c r="X36" s="7">
        <v>87.06</v>
      </c>
      <c r="Y36" s="7">
        <v>0</v>
      </c>
      <c r="Z36" s="7">
        <v>37.299999999999997</v>
      </c>
    </row>
    <row r="37" spans="1:26" x14ac:dyDescent="0.35">
      <c r="A37" s="7" t="s">
        <v>27</v>
      </c>
      <c r="B37" s="7" t="s">
        <v>38</v>
      </c>
      <c r="C37" s="7" t="s">
        <v>48</v>
      </c>
      <c r="D37" s="7" t="s">
        <v>49</v>
      </c>
      <c r="E37" s="7" t="s">
        <v>42</v>
      </c>
      <c r="F37" s="7" t="s">
        <v>102</v>
      </c>
      <c r="G37" s="7">
        <v>2021</v>
      </c>
      <c r="H37" s="7" t="str">
        <f>CONCATENATE("14240381393")</f>
        <v>14240381393</v>
      </c>
      <c r="I37" s="7" t="s">
        <v>30</v>
      </c>
      <c r="J37" s="7" t="s">
        <v>31</v>
      </c>
      <c r="K37" s="7" t="str">
        <f>CONCATENATE("")</f>
        <v/>
      </c>
      <c r="L37" s="7" t="str">
        <f>CONCATENATE("11 11.2 4b")</f>
        <v>11 11.2 4b</v>
      </c>
      <c r="M37" s="7" t="str">
        <f>CONCATENATE("GVNLBT67R43G479O")</f>
        <v>GVNLBT67R43G479O</v>
      </c>
      <c r="N37" s="7" t="s">
        <v>103</v>
      </c>
      <c r="O37" s="7" t="s">
        <v>92</v>
      </c>
      <c r="P37" s="8">
        <v>44634</v>
      </c>
      <c r="Q37" s="7" t="s">
        <v>32</v>
      </c>
      <c r="R37" s="7" t="s">
        <v>36</v>
      </c>
      <c r="S37" s="7" t="s">
        <v>34</v>
      </c>
      <c r="T37" s="7"/>
      <c r="U37" s="7" t="s">
        <v>35</v>
      </c>
      <c r="V37" s="7">
        <v>395.62</v>
      </c>
      <c r="W37" s="7">
        <v>170.59</v>
      </c>
      <c r="X37" s="7">
        <v>157.54</v>
      </c>
      <c r="Y37" s="7">
        <v>0</v>
      </c>
      <c r="Z37" s="7">
        <v>67.489999999999995</v>
      </c>
    </row>
    <row r="38" spans="1:26" x14ac:dyDescent="0.35">
      <c r="A38" s="7" t="s">
        <v>27</v>
      </c>
      <c r="B38" s="7" t="s">
        <v>38</v>
      </c>
      <c r="C38" s="7" t="s">
        <v>48</v>
      </c>
      <c r="D38" s="7" t="s">
        <v>104</v>
      </c>
      <c r="E38" s="7" t="s">
        <v>42</v>
      </c>
      <c r="F38" s="7" t="s">
        <v>105</v>
      </c>
      <c r="G38" s="7">
        <v>2018</v>
      </c>
      <c r="H38" s="7" t="str">
        <f>CONCATENATE("84240507545")</f>
        <v>84240507545</v>
      </c>
      <c r="I38" s="7" t="s">
        <v>30</v>
      </c>
      <c r="J38" s="7" t="s">
        <v>31</v>
      </c>
      <c r="K38" s="7" t="str">
        <f>CONCATENATE("")</f>
        <v/>
      </c>
      <c r="L38" s="7" t="str">
        <f>CONCATENATE("10 10.1 4a")</f>
        <v>10 10.1 4a</v>
      </c>
      <c r="M38" s="7" t="str">
        <f>CONCATENATE("VLRLNI75B15B474A")</f>
        <v>VLRLNI75B15B474A</v>
      </c>
      <c r="N38" s="7" t="s">
        <v>106</v>
      </c>
      <c r="O38" s="7" t="s">
        <v>107</v>
      </c>
      <c r="P38" s="8">
        <v>44634</v>
      </c>
      <c r="Q38" s="7" t="s">
        <v>32</v>
      </c>
      <c r="R38" s="7" t="s">
        <v>36</v>
      </c>
      <c r="S38" s="7" t="s">
        <v>34</v>
      </c>
      <c r="T38" s="7"/>
      <c r="U38" s="7" t="s">
        <v>35</v>
      </c>
      <c r="V38" s="9">
        <v>10249.16</v>
      </c>
      <c r="W38" s="9">
        <v>4419.4399999999996</v>
      </c>
      <c r="X38" s="9">
        <v>4081.22</v>
      </c>
      <c r="Y38" s="7">
        <v>0</v>
      </c>
      <c r="Z38" s="9">
        <v>1748.5</v>
      </c>
    </row>
    <row r="39" spans="1:26" x14ac:dyDescent="0.35">
      <c r="A39" s="7" t="s">
        <v>27</v>
      </c>
      <c r="B39" s="7" t="s">
        <v>38</v>
      </c>
      <c r="C39" s="7" t="s">
        <v>48</v>
      </c>
      <c r="D39" s="7" t="s">
        <v>104</v>
      </c>
      <c r="E39" s="7" t="s">
        <v>42</v>
      </c>
      <c r="F39" s="7" t="s">
        <v>105</v>
      </c>
      <c r="G39" s="7">
        <v>2020</v>
      </c>
      <c r="H39" s="7" t="str">
        <f>CONCATENATE("04240207813")</f>
        <v>04240207813</v>
      </c>
      <c r="I39" s="7" t="s">
        <v>30</v>
      </c>
      <c r="J39" s="7" t="s">
        <v>31</v>
      </c>
      <c r="K39" s="7" t="str">
        <f>CONCATENATE("")</f>
        <v/>
      </c>
      <c r="L39" s="7" t="str">
        <f>CONCATENATE("10 10.1 4a")</f>
        <v>10 10.1 4a</v>
      </c>
      <c r="M39" s="7" t="str">
        <f>CONCATENATE("VLRLNI75B15B474A")</f>
        <v>VLRLNI75B15B474A</v>
      </c>
      <c r="N39" s="7" t="s">
        <v>106</v>
      </c>
      <c r="O39" s="7" t="s">
        <v>107</v>
      </c>
      <c r="P39" s="8">
        <v>44634</v>
      </c>
      <c r="Q39" s="7" t="s">
        <v>32</v>
      </c>
      <c r="R39" s="7" t="s">
        <v>36</v>
      </c>
      <c r="S39" s="7" t="s">
        <v>34</v>
      </c>
      <c r="T39" s="7"/>
      <c r="U39" s="7" t="s">
        <v>35</v>
      </c>
      <c r="V39" s="9">
        <v>10286.969999999999</v>
      </c>
      <c r="W39" s="9">
        <v>4435.74</v>
      </c>
      <c r="X39" s="9">
        <v>4096.2700000000004</v>
      </c>
      <c r="Y39" s="7">
        <v>0</v>
      </c>
      <c r="Z39" s="9">
        <v>1754.96</v>
      </c>
    </row>
    <row r="40" spans="1:26" x14ac:dyDescent="0.35">
      <c r="A40" s="7" t="s">
        <v>27</v>
      </c>
      <c r="B40" s="7" t="s">
        <v>38</v>
      </c>
      <c r="C40" s="7" t="s">
        <v>48</v>
      </c>
      <c r="D40" s="7" t="s">
        <v>49</v>
      </c>
      <c r="E40" s="7" t="s">
        <v>42</v>
      </c>
      <c r="F40" s="7" t="s">
        <v>60</v>
      </c>
      <c r="G40" s="7">
        <v>2021</v>
      </c>
      <c r="H40" s="7" t="str">
        <f>CONCATENATE("14241593202")</f>
        <v>14241593202</v>
      </c>
      <c r="I40" s="7" t="s">
        <v>30</v>
      </c>
      <c r="J40" s="7" t="s">
        <v>31</v>
      </c>
      <c r="K40" s="7" t="str">
        <f>CONCATENATE("")</f>
        <v/>
      </c>
      <c r="L40" s="7" t="str">
        <f>CONCATENATE("10 10.1 4a")</f>
        <v>10 10.1 4a</v>
      </c>
      <c r="M40" s="7" t="str">
        <f>CONCATENATE("MRBRFL81D54B352F")</f>
        <v>MRBRFL81D54B352F</v>
      </c>
      <c r="N40" s="7" t="s">
        <v>108</v>
      </c>
      <c r="O40" s="7" t="s">
        <v>107</v>
      </c>
      <c r="P40" s="8">
        <v>44634</v>
      </c>
      <c r="Q40" s="7" t="s">
        <v>32</v>
      </c>
      <c r="R40" s="7" t="s">
        <v>36</v>
      </c>
      <c r="S40" s="7" t="s">
        <v>34</v>
      </c>
      <c r="T40" s="7"/>
      <c r="U40" s="7" t="s">
        <v>35</v>
      </c>
      <c r="V40" s="9">
        <v>1000</v>
      </c>
      <c r="W40" s="7">
        <v>431.2</v>
      </c>
      <c r="X40" s="7">
        <v>398.2</v>
      </c>
      <c r="Y40" s="7">
        <v>0</v>
      </c>
      <c r="Z40" s="7">
        <v>170.6</v>
      </c>
    </row>
    <row r="41" spans="1:26" x14ac:dyDescent="0.35">
      <c r="A41" s="7" t="s">
        <v>27</v>
      </c>
      <c r="B41" s="7" t="s">
        <v>28</v>
      </c>
      <c r="C41" s="7" t="s">
        <v>48</v>
      </c>
      <c r="D41" s="7" t="s">
        <v>48</v>
      </c>
      <c r="E41" s="7" t="s">
        <v>29</v>
      </c>
      <c r="F41" s="7" t="s">
        <v>29</v>
      </c>
      <c r="G41" s="7">
        <v>2017</v>
      </c>
      <c r="H41" s="7" t="str">
        <f>CONCATENATE("14270320493")</f>
        <v>14270320493</v>
      </c>
      <c r="I41" s="7" t="s">
        <v>30</v>
      </c>
      <c r="J41" s="7" t="s">
        <v>31</v>
      </c>
      <c r="K41" s="7" t="str">
        <f>CONCATENATE("")</f>
        <v/>
      </c>
      <c r="L41" s="7" t="str">
        <f>CONCATENATE("19 19.2 6b")</f>
        <v>19 19.2 6b</v>
      </c>
      <c r="M41" s="7" t="str">
        <f>CONCATENATE("00185520426")</f>
        <v>00185520426</v>
      </c>
      <c r="N41" s="7" t="s">
        <v>109</v>
      </c>
      <c r="O41" s="7" t="s">
        <v>110</v>
      </c>
      <c r="P41" s="8">
        <v>44635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63135.22</v>
      </c>
      <c r="W41" s="9">
        <v>27223.91</v>
      </c>
      <c r="X41" s="9">
        <v>25140.44</v>
      </c>
      <c r="Y41" s="7">
        <v>0</v>
      </c>
      <c r="Z41" s="9">
        <v>10770.87</v>
      </c>
    </row>
    <row r="42" spans="1:26" x14ac:dyDescent="0.35">
      <c r="A42" s="7" t="s">
        <v>27</v>
      </c>
      <c r="B42" s="7" t="s">
        <v>28</v>
      </c>
      <c r="C42" s="7" t="s">
        <v>48</v>
      </c>
      <c r="D42" s="7" t="s">
        <v>104</v>
      </c>
      <c r="E42" s="7" t="s">
        <v>29</v>
      </c>
      <c r="F42" s="7" t="s">
        <v>29</v>
      </c>
      <c r="G42" s="7">
        <v>2017</v>
      </c>
      <c r="H42" s="7" t="str">
        <f>CONCATENATE("14270363519")</f>
        <v>14270363519</v>
      </c>
      <c r="I42" s="7" t="s">
        <v>30</v>
      </c>
      <c r="J42" s="7" t="s">
        <v>31</v>
      </c>
      <c r="K42" s="7" t="str">
        <f>CONCATENATE("")</f>
        <v/>
      </c>
      <c r="L42" s="7" t="str">
        <f>CONCATENATE("4 4.4 4c")</f>
        <v>4 4.4 4c</v>
      </c>
      <c r="M42" s="7" t="str">
        <f>CONCATENATE("01626490435")</f>
        <v>01626490435</v>
      </c>
      <c r="N42" s="7" t="s">
        <v>111</v>
      </c>
      <c r="O42" s="7" t="s">
        <v>112</v>
      </c>
      <c r="P42" s="8">
        <v>44634</v>
      </c>
      <c r="Q42" s="7" t="s">
        <v>32</v>
      </c>
      <c r="R42" s="7" t="s">
        <v>36</v>
      </c>
      <c r="S42" s="7" t="s">
        <v>34</v>
      </c>
      <c r="T42" s="7"/>
      <c r="U42" s="7" t="s">
        <v>35</v>
      </c>
      <c r="V42" s="9">
        <v>5310.8</v>
      </c>
      <c r="W42" s="9">
        <v>2290.02</v>
      </c>
      <c r="X42" s="9">
        <v>2114.7600000000002</v>
      </c>
      <c r="Y42" s="7">
        <v>0</v>
      </c>
      <c r="Z42" s="7">
        <v>906.02</v>
      </c>
    </row>
    <row r="43" spans="1:26" x14ac:dyDescent="0.35">
      <c r="A43" s="7" t="s">
        <v>27</v>
      </c>
      <c r="B43" s="7" t="s">
        <v>38</v>
      </c>
      <c r="C43" s="7" t="s">
        <v>48</v>
      </c>
      <c r="D43" s="7" t="s">
        <v>104</v>
      </c>
      <c r="E43" s="7" t="s">
        <v>42</v>
      </c>
      <c r="F43" s="7" t="s">
        <v>105</v>
      </c>
      <c r="G43" s="7">
        <v>2021</v>
      </c>
      <c r="H43" s="7" t="str">
        <f>CONCATENATE("14240732496")</f>
        <v>14240732496</v>
      </c>
      <c r="I43" s="7" t="s">
        <v>30</v>
      </c>
      <c r="J43" s="7" t="s">
        <v>31</v>
      </c>
      <c r="K43" s="7" t="str">
        <f>CONCATENATE("")</f>
        <v/>
      </c>
      <c r="L43" s="7" t="str">
        <f>CONCATENATE("10 10.1 4a")</f>
        <v>10 10.1 4a</v>
      </c>
      <c r="M43" s="7" t="str">
        <f>CONCATENATE("VLRLNI75B15B474A")</f>
        <v>VLRLNI75B15B474A</v>
      </c>
      <c r="N43" s="7" t="s">
        <v>106</v>
      </c>
      <c r="O43" s="7" t="s">
        <v>107</v>
      </c>
      <c r="P43" s="8">
        <v>44634</v>
      </c>
      <c r="Q43" s="7" t="s">
        <v>32</v>
      </c>
      <c r="R43" s="7" t="s">
        <v>36</v>
      </c>
      <c r="S43" s="7" t="s">
        <v>34</v>
      </c>
      <c r="T43" s="7"/>
      <c r="U43" s="7" t="s">
        <v>35</v>
      </c>
      <c r="V43" s="9">
        <v>10014.129999999999</v>
      </c>
      <c r="W43" s="9">
        <v>4318.09</v>
      </c>
      <c r="X43" s="9">
        <v>3987.63</v>
      </c>
      <c r="Y43" s="7">
        <v>0</v>
      </c>
      <c r="Z43" s="9">
        <v>1708.41</v>
      </c>
    </row>
    <row r="44" spans="1:26" x14ac:dyDescent="0.35">
      <c r="A44" s="7" t="s">
        <v>27</v>
      </c>
      <c r="B44" s="7" t="s">
        <v>38</v>
      </c>
      <c r="C44" s="7" t="s">
        <v>48</v>
      </c>
      <c r="D44" s="7" t="s">
        <v>104</v>
      </c>
      <c r="E44" s="7" t="s">
        <v>39</v>
      </c>
      <c r="F44" s="7" t="s">
        <v>113</v>
      </c>
      <c r="G44" s="7">
        <v>2021</v>
      </c>
      <c r="H44" s="7" t="str">
        <f>CONCATENATE("14241341719")</f>
        <v>14241341719</v>
      </c>
      <c r="I44" s="7" t="s">
        <v>30</v>
      </c>
      <c r="J44" s="7" t="s">
        <v>31</v>
      </c>
      <c r="K44" s="7" t="str">
        <f>CONCATENATE("")</f>
        <v/>
      </c>
      <c r="L44" s="7" t="str">
        <f>CONCATENATE("10 10.1 4a")</f>
        <v>10 10.1 4a</v>
      </c>
      <c r="M44" s="7" t="str">
        <f>CONCATENATE("GRNCRD73E01I156S")</f>
        <v>GRNCRD73E01I156S</v>
      </c>
      <c r="N44" s="7" t="s">
        <v>114</v>
      </c>
      <c r="O44" s="7" t="s">
        <v>107</v>
      </c>
      <c r="P44" s="8">
        <v>44634</v>
      </c>
      <c r="Q44" s="7" t="s">
        <v>32</v>
      </c>
      <c r="R44" s="7" t="s">
        <v>36</v>
      </c>
      <c r="S44" s="7" t="s">
        <v>34</v>
      </c>
      <c r="T44" s="7"/>
      <c r="U44" s="7" t="s">
        <v>35</v>
      </c>
      <c r="V44" s="9">
        <v>5202.91</v>
      </c>
      <c r="W44" s="9">
        <v>2243.4899999999998</v>
      </c>
      <c r="X44" s="9">
        <v>2071.8000000000002</v>
      </c>
      <c r="Y44" s="7">
        <v>0</v>
      </c>
      <c r="Z44" s="7">
        <v>887.62</v>
      </c>
    </row>
    <row r="45" spans="1:26" x14ac:dyDescent="0.35">
      <c r="A45" s="7" t="s">
        <v>27</v>
      </c>
      <c r="B45" s="7" t="s">
        <v>28</v>
      </c>
      <c r="C45" s="7" t="s">
        <v>48</v>
      </c>
      <c r="D45" s="7" t="s">
        <v>48</v>
      </c>
      <c r="E45" s="7" t="s">
        <v>29</v>
      </c>
      <c r="F45" s="7" t="s">
        <v>29</v>
      </c>
      <c r="G45" s="7">
        <v>2017</v>
      </c>
      <c r="H45" s="7" t="str">
        <f>CONCATENATE("14270363493")</f>
        <v>14270363493</v>
      </c>
      <c r="I45" s="7" t="s">
        <v>30</v>
      </c>
      <c r="J45" s="7" t="s">
        <v>31</v>
      </c>
      <c r="K45" s="7" t="str">
        <f>CONCATENATE("")</f>
        <v/>
      </c>
      <c r="L45" s="7" t="str">
        <f>CONCATENATE("19 19.2 6b")</f>
        <v>19 19.2 6b</v>
      </c>
      <c r="M45" s="7" t="str">
        <f>CONCATENATE("80004250447")</f>
        <v>80004250447</v>
      </c>
      <c r="N45" s="7" t="s">
        <v>115</v>
      </c>
      <c r="O45" s="7" t="s">
        <v>116</v>
      </c>
      <c r="P45" s="8">
        <v>44623</v>
      </c>
      <c r="Q45" s="7" t="s">
        <v>32</v>
      </c>
      <c r="R45" s="7" t="s">
        <v>45</v>
      </c>
      <c r="S45" s="7" t="s">
        <v>34</v>
      </c>
      <c r="T45" s="7"/>
      <c r="U45" s="7" t="s">
        <v>35</v>
      </c>
      <c r="V45" s="9">
        <v>19700</v>
      </c>
      <c r="W45" s="9">
        <v>8494.64</v>
      </c>
      <c r="X45" s="9">
        <v>7844.54</v>
      </c>
      <c r="Y45" s="7">
        <v>0</v>
      </c>
      <c r="Z45" s="9">
        <v>3360.82</v>
      </c>
    </row>
    <row r="46" spans="1:26" x14ac:dyDescent="0.35">
      <c r="A46" s="7" t="s">
        <v>27</v>
      </c>
      <c r="B46" s="7" t="s">
        <v>28</v>
      </c>
      <c r="C46" s="7" t="s">
        <v>48</v>
      </c>
      <c r="D46" s="7" t="s">
        <v>104</v>
      </c>
      <c r="E46" s="7" t="s">
        <v>29</v>
      </c>
      <c r="F46" s="7" t="s">
        <v>29</v>
      </c>
      <c r="G46" s="7">
        <v>2017</v>
      </c>
      <c r="H46" s="7" t="str">
        <f>CONCATENATE("14270363550")</f>
        <v>14270363550</v>
      </c>
      <c r="I46" s="7" t="s">
        <v>46</v>
      </c>
      <c r="J46" s="7" t="s">
        <v>31</v>
      </c>
      <c r="K46" s="7" t="str">
        <f>CONCATENATE("")</f>
        <v/>
      </c>
      <c r="L46" s="7" t="str">
        <f>CONCATENATE("8 8.1 5e")</f>
        <v>8 8.1 5e</v>
      </c>
      <c r="M46" s="7" t="str">
        <f>CONCATENATE("SCDMSL64C03I156L")</f>
        <v>SCDMSL64C03I156L</v>
      </c>
      <c r="N46" s="7" t="s">
        <v>117</v>
      </c>
      <c r="O46" s="7" t="s">
        <v>118</v>
      </c>
      <c r="P46" s="8">
        <v>44634</v>
      </c>
      <c r="Q46" s="7" t="s">
        <v>32</v>
      </c>
      <c r="R46" s="7" t="s">
        <v>36</v>
      </c>
      <c r="S46" s="7" t="s">
        <v>34</v>
      </c>
      <c r="T46" s="7"/>
      <c r="U46" s="7" t="s">
        <v>35</v>
      </c>
      <c r="V46" s="9">
        <v>12770.08</v>
      </c>
      <c r="W46" s="9">
        <v>5506.46</v>
      </c>
      <c r="X46" s="9">
        <v>5085.05</v>
      </c>
      <c r="Y46" s="7">
        <v>0</v>
      </c>
      <c r="Z46" s="9">
        <v>2178.5700000000002</v>
      </c>
    </row>
    <row r="47" spans="1:26" x14ac:dyDescent="0.35">
      <c r="A47" s="7" t="s">
        <v>27</v>
      </c>
      <c r="B47" s="7" t="s">
        <v>28</v>
      </c>
      <c r="C47" s="7" t="s">
        <v>48</v>
      </c>
      <c r="D47" s="7" t="s">
        <v>53</v>
      </c>
      <c r="E47" s="7" t="s">
        <v>29</v>
      </c>
      <c r="F47" s="7" t="s">
        <v>29</v>
      </c>
      <c r="G47" s="7">
        <v>2017</v>
      </c>
      <c r="H47" s="7" t="str">
        <f>CONCATENATE("14270363543")</f>
        <v>14270363543</v>
      </c>
      <c r="I47" s="7" t="s">
        <v>30</v>
      </c>
      <c r="J47" s="7" t="s">
        <v>31</v>
      </c>
      <c r="K47" s="7" t="str">
        <f>CONCATENATE("")</f>
        <v/>
      </c>
      <c r="L47" s="7" t="str">
        <f>CONCATENATE("4 4.3 2a")</f>
        <v>4 4.3 2a</v>
      </c>
      <c r="M47" s="7" t="str">
        <f>CONCATENATE("80001030446")</f>
        <v>80001030446</v>
      </c>
      <c r="N47" s="7" t="s">
        <v>119</v>
      </c>
      <c r="O47" s="7" t="s">
        <v>120</v>
      </c>
      <c r="P47" s="8">
        <v>44623</v>
      </c>
      <c r="Q47" s="7" t="s">
        <v>32</v>
      </c>
      <c r="R47" s="7" t="s">
        <v>36</v>
      </c>
      <c r="S47" s="7" t="s">
        <v>34</v>
      </c>
      <c r="T47" s="7"/>
      <c r="U47" s="7" t="s">
        <v>35</v>
      </c>
      <c r="V47" s="9">
        <v>32411.11</v>
      </c>
      <c r="W47" s="9">
        <v>13975.67</v>
      </c>
      <c r="X47" s="9">
        <v>12906.1</v>
      </c>
      <c r="Y47" s="7">
        <v>0</v>
      </c>
      <c r="Z47" s="9">
        <v>5529.34</v>
      </c>
    </row>
    <row r="48" spans="1:26" x14ac:dyDescent="0.35">
      <c r="A48" s="7" t="s">
        <v>27</v>
      </c>
      <c r="B48" s="7" t="s">
        <v>28</v>
      </c>
      <c r="C48" s="7" t="s">
        <v>48</v>
      </c>
      <c r="D48" s="7" t="s">
        <v>53</v>
      </c>
      <c r="E48" s="7" t="s">
        <v>29</v>
      </c>
      <c r="F48" s="7" t="s">
        <v>29</v>
      </c>
      <c r="G48" s="7">
        <v>2017</v>
      </c>
      <c r="H48" s="7" t="str">
        <f>CONCATENATE("14270363535")</f>
        <v>14270363535</v>
      </c>
      <c r="I48" s="7" t="s">
        <v>30</v>
      </c>
      <c r="J48" s="7" t="s">
        <v>31</v>
      </c>
      <c r="K48" s="7" t="str">
        <f>CONCATENATE("")</f>
        <v/>
      </c>
      <c r="L48" s="7" t="str">
        <f>CONCATENATE("4 4.3 2a")</f>
        <v>4 4.3 2a</v>
      </c>
      <c r="M48" s="7" t="str">
        <f>CONCATENATE("80001030446")</f>
        <v>80001030446</v>
      </c>
      <c r="N48" s="7" t="s">
        <v>119</v>
      </c>
      <c r="O48" s="7" t="s">
        <v>120</v>
      </c>
      <c r="P48" s="8">
        <v>44623</v>
      </c>
      <c r="Q48" s="7" t="s">
        <v>32</v>
      </c>
      <c r="R48" s="7" t="s">
        <v>36</v>
      </c>
      <c r="S48" s="7" t="s">
        <v>34</v>
      </c>
      <c r="T48" s="7"/>
      <c r="U48" s="7" t="s">
        <v>35</v>
      </c>
      <c r="V48" s="9">
        <v>20735.88</v>
      </c>
      <c r="W48" s="9">
        <v>8941.31</v>
      </c>
      <c r="X48" s="9">
        <v>8257.0300000000007</v>
      </c>
      <c r="Y48" s="7">
        <v>0</v>
      </c>
      <c r="Z48" s="9">
        <v>3537.54</v>
      </c>
    </row>
    <row r="49" spans="1:26" x14ac:dyDescent="0.35">
      <c r="A49" s="7" t="s">
        <v>27</v>
      </c>
      <c r="B49" s="7" t="s">
        <v>28</v>
      </c>
      <c r="C49" s="7" t="s">
        <v>48</v>
      </c>
      <c r="D49" s="7" t="s">
        <v>121</v>
      </c>
      <c r="E49" s="7" t="s">
        <v>29</v>
      </c>
      <c r="F49" s="7" t="s">
        <v>29</v>
      </c>
      <c r="G49" s="7">
        <v>2017</v>
      </c>
      <c r="H49" s="7" t="str">
        <f>CONCATENATE("14270363527")</f>
        <v>14270363527</v>
      </c>
      <c r="I49" s="7" t="s">
        <v>30</v>
      </c>
      <c r="J49" s="7" t="s">
        <v>31</v>
      </c>
      <c r="K49" s="7" t="str">
        <f>CONCATENATE("")</f>
        <v/>
      </c>
      <c r="L49" s="7" t="str">
        <f>CONCATENATE("7 7.6 6a")</f>
        <v>7 7.6 6a</v>
      </c>
      <c r="M49" s="7" t="str">
        <f>CONCATENATE("00106720428")</f>
        <v>00106720428</v>
      </c>
      <c r="N49" s="7" t="s">
        <v>122</v>
      </c>
      <c r="O49" s="7" t="s">
        <v>123</v>
      </c>
      <c r="P49" s="8">
        <v>44635</v>
      </c>
      <c r="Q49" s="7" t="s">
        <v>32</v>
      </c>
      <c r="R49" s="7" t="s">
        <v>36</v>
      </c>
      <c r="S49" s="7" t="s">
        <v>34</v>
      </c>
      <c r="T49" s="7"/>
      <c r="U49" s="7" t="s">
        <v>35</v>
      </c>
      <c r="V49" s="9">
        <v>52532.29</v>
      </c>
      <c r="W49" s="9">
        <v>22651.919999999998</v>
      </c>
      <c r="X49" s="9">
        <v>20918.36</v>
      </c>
      <c r="Y49" s="7">
        <v>0</v>
      </c>
      <c r="Z49" s="9">
        <v>8962.01</v>
      </c>
    </row>
    <row r="50" spans="1:26" x14ac:dyDescent="0.35">
      <c r="A50" s="7" t="s">
        <v>27</v>
      </c>
      <c r="B50" s="7" t="s">
        <v>28</v>
      </c>
      <c r="C50" s="7" t="s">
        <v>48</v>
      </c>
      <c r="D50" s="7" t="s">
        <v>121</v>
      </c>
      <c r="E50" s="7" t="s">
        <v>37</v>
      </c>
      <c r="F50" s="7" t="s">
        <v>124</v>
      </c>
      <c r="G50" s="7">
        <v>2017</v>
      </c>
      <c r="H50" s="7" t="str">
        <f>CONCATENATE("14270363436")</f>
        <v>14270363436</v>
      </c>
      <c r="I50" s="7" t="s">
        <v>46</v>
      </c>
      <c r="J50" s="7" t="s">
        <v>31</v>
      </c>
      <c r="K50" s="7" t="str">
        <f>CONCATENATE("")</f>
        <v/>
      </c>
      <c r="L50" s="7" t="str">
        <f>CONCATENATE("8 8.5 4a")</f>
        <v>8 8.5 4a</v>
      </c>
      <c r="M50" s="7" t="str">
        <f>CONCATENATE("02419450420")</f>
        <v>02419450420</v>
      </c>
      <c r="N50" s="7" t="s">
        <v>125</v>
      </c>
      <c r="O50" s="7" t="s">
        <v>126</v>
      </c>
      <c r="P50" s="8">
        <v>44635</v>
      </c>
      <c r="Q50" s="7" t="s">
        <v>32</v>
      </c>
      <c r="R50" s="7" t="s">
        <v>36</v>
      </c>
      <c r="S50" s="7" t="s">
        <v>34</v>
      </c>
      <c r="T50" s="7"/>
      <c r="U50" s="7" t="s">
        <v>35</v>
      </c>
      <c r="V50" s="9">
        <v>161839</v>
      </c>
      <c r="W50" s="9">
        <v>69784.98</v>
      </c>
      <c r="X50" s="9">
        <v>64444.29</v>
      </c>
      <c r="Y50" s="7">
        <v>0</v>
      </c>
      <c r="Z50" s="9">
        <v>27609.73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20897</vt:lpwstr>
  </property>
  <property fmtid="{D5CDD505-2E9C-101B-9397-08002B2CF9AE}" pid="4" name="OptimizationTime">
    <vt:lpwstr>20220323_1211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2022-03-22T10:34:45Z</dcterms:created>
  <dcterms:modified xsi:type="dcterms:W3CDTF">2022-03-22T10:35:27Z</dcterms:modified>
</cp:coreProperties>
</file>