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495/"/>
    </mc:Choice>
  </mc:AlternateContent>
  <xr:revisionPtr revIDLastSave="0" documentId="8_{6F93A4DC-72E5-43B2-A4ED-035761D17E63}" xr6:coauthVersionLast="46" xr6:coauthVersionMax="46" xr10:uidLastSave="{00000000-0000-0000-0000-000000000000}"/>
  <bookViews>
    <workbookView xWindow="-110" yWindow="-110" windowWidth="19420" windowHeight="10420" xr2:uid="{E07FEF6B-4542-46D0-A29E-B2D327D6AF73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1" i="1" l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<sst xmlns="http://schemas.openxmlformats.org/spreadsheetml/2006/main" count="559" uniqueCount="107">
  <si>
    <t>Dettaglio Domande Pagabili Decreto 495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</si>
  <si>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</si>
  <si>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</si>
  <si>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</si>
  <si>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</si>
  <si>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</si>
  <si>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</si>
  <si>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</si>
  <si>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</si>
  <si>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</si>
  <si>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</si>
  <si>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</si>
  <si>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</si>
  <si>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</si>
  <si>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</si>
  <si>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</si>
  <si>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</si>
  <si>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</si>
  <si>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</si>
  <si>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</si>
  <si>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</si>
  <si>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</si>
  <si>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</si>
  <si>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</si>
  <si>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</si>
  <si>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</si>
  <si>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</si>
  <si>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</si>
  <si>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</si>
  <si>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IN PROPRIO</t>
  </si>
  <si>
    <t>NO</t>
  </si>
  <si>
    <t>Nuova Programmazione</t>
  </si>
  <si>
    <t>In Liquidazione</t>
  </si>
  <si>
    <t>Saldo</t>
  </si>
  <si>
    <t>Co-Finanziato</t>
  </si>
  <si>
    <t>Ordinario</t>
  </si>
  <si>
    <t>CAA UNICAA srl</t>
  </si>
  <si>
    <t>SAL</t>
  </si>
  <si>
    <t>CAA CIA srl</t>
  </si>
  <si>
    <t>SI</t>
  </si>
  <si>
    <t>CAA Coldiretti srl</t>
  </si>
  <si>
    <t>CAA Confagricoltura srl</t>
  </si>
  <si>
    <t>MARCHE</t>
  </si>
  <si>
    <t>SERV. DEC. AGRICOLTURA E ALIM. - MACERATA</t>
  </si>
  <si>
    <t>COMUNE DI ESANATOGLIA</t>
  </si>
  <si>
    <t>AGEA.ASR.2021.1252996</t>
  </si>
  <si>
    <t>Anticipo</t>
  </si>
  <si>
    <t>COMUNE DI SAN GINESIO</t>
  </si>
  <si>
    <t>Misure a Superficie</t>
  </si>
  <si>
    <t>CAA Coldiretti - MACERATA - 007</t>
  </si>
  <si>
    <t>MANCINI BERARDINO</t>
  </si>
  <si>
    <t>AGEA.ASR.2021.1254799</t>
  </si>
  <si>
    <t>SERV. DEC. AGRICOLTURA E ALIMENTAZIONE - PESARO</t>
  </si>
  <si>
    <t>CAA Confagricoltura - PESARO E URBINO - 001</t>
  </si>
  <si>
    <t>AGRICOLA SAN LORENZO S.S. DI SALTARELLI MAURO &amp; C. - SOCIETA'</t>
  </si>
  <si>
    <t>AGEA.ASR.2021.1254138</t>
  </si>
  <si>
    <t>SERV. DEC. AGRICOLTURA E ALIM. -ASCOLI PICENO</t>
  </si>
  <si>
    <t>PETRELLI CARNI SOCIETA' AGRICOLA SEMPLICE</t>
  </si>
  <si>
    <t>AGEA.ASR.2021.1250997</t>
  </si>
  <si>
    <t>SOCIETA' AGRICOLA BIOLOGICA FILENI SRL</t>
  </si>
  <si>
    <t>AGEA.ASR.2021.1251170</t>
  </si>
  <si>
    <t>AZIENDA AGRICOLA FIENAROLO DI BASSETTI JACOPO E BASSETTI NAZZARENO SOC</t>
  </si>
  <si>
    <t>AGEA.ASR.2021.1258033</t>
  </si>
  <si>
    <t>AGEA.ASR.2021.1251000</t>
  </si>
  <si>
    <t>ANGELI GIOVANNI</t>
  </si>
  <si>
    <t>AGEA.ASR.2021.1258029</t>
  </si>
  <si>
    <t>CAA CIA - ANCONA - 006</t>
  </si>
  <si>
    <t>RONCONI VALERIA</t>
  </si>
  <si>
    <t>AGEA.ASR.2021.1255249</t>
  </si>
  <si>
    <t>SERV. DEC. AGRICOLTURA E ALIMENTAZIONE - ANCONA</t>
  </si>
  <si>
    <t>COLLEONORATO SOCIETA' AGRICOLA S.S.</t>
  </si>
  <si>
    <t>AGEA.ASR.2021.1258026</t>
  </si>
  <si>
    <t>COMUNE DI CORRIDONIA</t>
  </si>
  <si>
    <t>AGEA.ASR.2021.1252967</t>
  </si>
  <si>
    <t>CAA-CAF AGRI S.R.L.</t>
  </si>
  <si>
    <t>CAA CAF AGRI - ASCOLI PICENO - 222</t>
  </si>
  <si>
    <t>FIOCCHI GIANNI</t>
  </si>
  <si>
    <t>AGEA.ASR.2021.1244106</t>
  </si>
  <si>
    <t>CAA Coldiretti - ANCONA - 002</t>
  </si>
  <si>
    <t>STROPPA RENZO</t>
  </si>
  <si>
    <t>VIRGILI TOMMASO</t>
  </si>
  <si>
    <t>IMPRESA VERDE MARCHE SRL</t>
  </si>
  <si>
    <t>AGEA.ASR.2021.1257179</t>
  </si>
  <si>
    <t>AGEA.ASR.2021.1258019</t>
  </si>
  <si>
    <t>FABBRIZI DAVID</t>
  </si>
  <si>
    <t>COMUNE DI SERRA DE' CONTI</t>
  </si>
  <si>
    <t>AGEA.ASR.2021.1252946</t>
  </si>
  <si>
    <t>AGEA.ASR.2021.1258032</t>
  </si>
  <si>
    <t>CAA Coldiretti - PESARO E URBINO - 013</t>
  </si>
  <si>
    <t>ROMITI LINDO</t>
  </si>
  <si>
    <t>AGEA.ASR.2021.1251955</t>
  </si>
  <si>
    <t>CAA UNICAA - ASCOLI PICENO - 004</t>
  </si>
  <si>
    <t>D'ANGELO GUIDO</t>
  </si>
  <si>
    <t>AGEA.ASR.2021.1257121</t>
  </si>
  <si>
    <t>MASSACCI ANDREA</t>
  </si>
  <si>
    <t>CAA Coldiretti - FERMO - 001</t>
  </si>
  <si>
    <t>VITTORI ENRICO</t>
  </si>
  <si>
    <t>VESPERINI EUGENIA</t>
  </si>
  <si>
    <t>DI MATTIA ANDREA</t>
  </si>
  <si>
    <t>SOCIETA' AGRICOLA GREGORI GIOVANNI E LUIGI</t>
  </si>
  <si>
    <t>ORAZI LEONARDO</t>
  </si>
  <si>
    <t>AGEA.ASR.2021.1256377</t>
  </si>
  <si>
    <t>AGEA.ASR.2021.1242963</t>
  </si>
  <si>
    <t>PAPETTI MARIA ELISA</t>
  </si>
  <si>
    <t>AGEA.ASR.2021.1242948</t>
  </si>
  <si>
    <t>CAA CIA - PESARO E URBINO - 005</t>
  </si>
  <si>
    <t>SANTI MORENA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</si>
</sst>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58604-10A3-4DD1-909A-00C9CED949B2}">
  <dimension ref="A1:Z41"/>
  <sheetViews>
    <sheetView showGridLines="0" tabSelected="1" workbookViewId="0">
      <selection activeCell="H45" sqref="H45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7.54296875" bestFit="1" customWidth="1"/>
    <col min="5" max="5" width="20.36328125" bestFit="1" customWidth="1"/>
    <col min="6" max="6" width="22.5429687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0.632812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42</v>
      </c>
      <c r="D4" s="7" t="s">
        <v>43</v>
      </c>
      <c r="E4" s="7" t="s">
        <v>29</v>
      </c>
      <c r="F4" s="7" t="s">
        <v>29</v>
      </c>
      <c r="G4" s="7">
        <v>2017</v>
      </c>
      <c r="H4" s="7" t="str">
        <f>CONCATENATE("14270298046")</f>
        <v>14270298046</v>
      </c>
      <c r="I4" s="7" t="s">
        <v>30</v>
      </c>
      <c r="J4" s="7" t="s">
        <v>31</v>
      </c>
      <c r="K4" s="7" t="str">
        <f>CONCATENATE("")</f>
        <v/>
      </c>
      <c r="L4" s="7" t="str">
        <f>CONCATENATE("4 4.3 2a")</f>
        <v>4 4.3 2a</v>
      </c>
      <c r="M4" s="7" t="str">
        <f>CONCATENATE("00169080439")</f>
        <v>00169080439</v>
      </c>
      <c r="N4" s="7" t="s">
        <v>44</v>
      </c>
      <c r="O4" s="7" t="s">
        <v>45</v>
      </c>
      <c r="P4" s="8">
        <v>44504</v>
      </c>
      <c r="Q4" s="7" t="s">
        <v>32</v>
      </c>
      <c r="R4" s="7" t="s">
        <v>46</v>
      </c>
      <c r="S4" s="7" t="s">
        <v>34</v>
      </c>
      <c r="T4" s="7"/>
      <c r="U4" s="7" t="s">
        <v>35</v>
      </c>
      <c r="V4" s="9">
        <v>35634.94</v>
      </c>
      <c r="W4" s="9">
        <v>15365.79</v>
      </c>
      <c r="X4" s="9">
        <v>14189.83</v>
      </c>
      <c r="Y4" s="7">
        <v>0</v>
      </c>
      <c r="Z4" s="9">
        <v>6079.32</v>
      </c>
    </row>
    <row r="5" spans="1:26" x14ac:dyDescent="0.35">
      <c r="A5" s="7" t="s">
        <v>27</v>
      </c>
      <c r="B5" s="7" t="s">
        <v>28</v>
      </c>
      <c r="C5" s="7" t="s">
        <v>42</v>
      </c>
      <c r="D5" s="7" t="s">
        <v>43</v>
      </c>
      <c r="E5" s="7" t="s">
        <v>29</v>
      </c>
      <c r="F5" s="7" t="s">
        <v>29</v>
      </c>
      <c r="G5" s="7">
        <v>2017</v>
      </c>
      <c r="H5" s="7" t="str">
        <f>CONCATENATE("14270298020")</f>
        <v>14270298020</v>
      </c>
      <c r="I5" s="7" t="s">
        <v>30</v>
      </c>
      <c r="J5" s="7" t="s">
        <v>31</v>
      </c>
      <c r="K5" s="7" t="str">
        <f>CONCATENATE("")</f>
        <v/>
      </c>
      <c r="L5" s="7" t="str">
        <f>CONCATENATE("4 4.3 2a")</f>
        <v>4 4.3 2a</v>
      </c>
      <c r="M5" s="7" t="str">
        <f>CONCATENATE("00169080439")</f>
        <v>00169080439</v>
      </c>
      <c r="N5" s="7" t="s">
        <v>44</v>
      </c>
      <c r="O5" s="7" t="s">
        <v>45</v>
      </c>
      <c r="P5" s="8">
        <v>44504</v>
      </c>
      <c r="Q5" s="7" t="s">
        <v>32</v>
      </c>
      <c r="R5" s="7" t="s">
        <v>46</v>
      </c>
      <c r="S5" s="7" t="s">
        <v>34</v>
      </c>
      <c r="T5" s="7"/>
      <c r="U5" s="7" t="s">
        <v>35</v>
      </c>
      <c r="V5" s="9">
        <v>76211.5</v>
      </c>
      <c r="W5" s="9">
        <v>32862.400000000001</v>
      </c>
      <c r="X5" s="9">
        <v>30347.42</v>
      </c>
      <c r="Y5" s="7">
        <v>0</v>
      </c>
      <c r="Z5" s="9">
        <v>13001.68</v>
      </c>
    </row>
    <row r="6" spans="1:26" x14ac:dyDescent="0.35">
      <c r="A6" s="7" t="s">
        <v>27</v>
      </c>
      <c r="B6" s="7" t="s">
        <v>28</v>
      </c>
      <c r="C6" s="7" t="s">
        <v>42</v>
      </c>
      <c r="D6" s="7" t="s">
        <v>43</v>
      </c>
      <c r="E6" s="7" t="s">
        <v>29</v>
      </c>
      <c r="F6" s="7" t="s">
        <v>29</v>
      </c>
      <c r="G6" s="7">
        <v>2017</v>
      </c>
      <c r="H6" s="7" t="str">
        <f>CONCATENATE("14270298038")</f>
        <v>14270298038</v>
      </c>
      <c r="I6" s="7" t="s">
        <v>30</v>
      </c>
      <c r="J6" s="7" t="s">
        <v>31</v>
      </c>
      <c r="K6" s="7" t="str">
        <f>CONCATENATE("")</f>
        <v/>
      </c>
      <c r="L6" s="7" t="str">
        <f>CONCATENATE("4 4.3 2a")</f>
        <v>4 4.3 2a</v>
      </c>
      <c r="M6" s="7" t="str">
        <f>CONCATENATE("00169080439")</f>
        <v>00169080439</v>
      </c>
      <c r="N6" s="7" t="s">
        <v>44</v>
      </c>
      <c r="O6" s="7" t="s">
        <v>45</v>
      </c>
      <c r="P6" s="8">
        <v>44504</v>
      </c>
      <c r="Q6" s="7" t="s">
        <v>32</v>
      </c>
      <c r="R6" s="7" t="s">
        <v>46</v>
      </c>
      <c r="S6" s="7" t="s">
        <v>34</v>
      </c>
      <c r="T6" s="7"/>
      <c r="U6" s="7" t="s">
        <v>35</v>
      </c>
      <c r="V6" s="9">
        <v>27095.71</v>
      </c>
      <c r="W6" s="9">
        <v>11683.67</v>
      </c>
      <c r="X6" s="9">
        <v>10789.51</v>
      </c>
      <c r="Y6" s="7">
        <v>0</v>
      </c>
      <c r="Z6" s="9">
        <v>4622.53</v>
      </c>
    </row>
    <row r="7" spans="1:26" x14ac:dyDescent="0.35">
      <c r="A7" s="7" t="s">
        <v>27</v>
      </c>
      <c r="B7" s="7" t="s">
        <v>28</v>
      </c>
      <c r="C7" s="7" t="s">
        <v>42</v>
      </c>
      <c r="D7" s="7" t="s">
        <v>43</v>
      </c>
      <c r="E7" s="7" t="s">
        <v>29</v>
      </c>
      <c r="F7" s="7" t="s">
        <v>29</v>
      </c>
      <c r="G7" s="7">
        <v>2017</v>
      </c>
      <c r="H7" s="7" t="str">
        <f>CONCATENATE("14270297998")</f>
        <v>14270297998</v>
      </c>
      <c r="I7" s="7" t="s">
        <v>30</v>
      </c>
      <c r="J7" s="7" t="s">
        <v>31</v>
      </c>
      <c r="K7" s="7" t="str">
        <f>CONCATENATE("")</f>
        <v/>
      </c>
      <c r="L7" s="7" t="str">
        <f>CONCATENATE("4 4.3 2a")</f>
        <v>4 4.3 2a</v>
      </c>
      <c r="M7" s="7" t="str">
        <f>CONCATENATE("00169080439")</f>
        <v>00169080439</v>
      </c>
      <c r="N7" s="7" t="s">
        <v>44</v>
      </c>
      <c r="O7" s="7" t="s">
        <v>45</v>
      </c>
      <c r="P7" s="8">
        <v>44504</v>
      </c>
      <c r="Q7" s="7" t="s">
        <v>32</v>
      </c>
      <c r="R7" s="7" t="s">
        <v>46</v>
      </c>
      <c r="S7" s="7" t="s">
        <v>34</v>
      </c>
      <c r="T7" s="7"/>
      <c r="U7" s="7" t="s">
        <v>35</v>
      </c>
      <c r="V7" s="9">
        <v>22938.400000000001</v>
      </c>
      <c r="W7" s="9">
        <v>9891.0400000000009</v>
      </c>
      <c r="X7" s="9">
        <v>9134.07</v>
      </c>
      <c r="Y7" s="7">
        <v>0</v>
      </c>
      <c r="Z7" s="9">
        <v>3913.29</v>
      </c>
    </row>
    <row r="8" spans="1:26" x14ac:dyDescent="0.35">
      <c r="A8" s="7" t="s">
        <v>27</v>
      </c>
      <c r="B8" s="7" t="s">
        <v>28</v>
      </c>
      <c r="C8" s="7" t="s">
        <v>42</v>
      </c>
      <c r="D8" s="7" t="s">
        <v>43</v>
      </c>
      <c r="E8" s="7" t="s">
        <v>29</v>
      </c>
      <c r="F8" s="7" t="s">
        <v>29</v>
      </c>
      <c r="G8" s="7">
        <v>2017</v>
      </c>
      <c r="H8" s="7" t="str">
        <f>CONCATENATE("14270298004")</f>
        <v>14270298004</v>
      </c>
      <c r="I8" s="7" t="s">
        <v>30</v>
      </c>
      <c r="J8" s="7" t="s">
        <v>31</v>
      </c>
      <c r="K8" s="7" t="str">
        <f>CONCATENATE("")</f>
        <v/>
      </c>
      <c r="L8" s="7" t="str">
        <f>CONCATENATE("4 4.3 2a")</f>
        <v>4 4.3 2a</v>
      </c>
      <c r="M8" s="7" t="str">
        <f>CONCATENATE("00169080439")</f>
        <v>00169080439</v>
      </c>
      <c r="N8" s="7" t="s">
        <v>44</v>
      </c>
      <c r="O8" s="7" t="s">
        <v>45</v>
      </c>
      <c r="P8" s="8">
        <v>44504</v>
      </c>
      <c r="Q8" s="7" t="s">
        <v>32</v>
      </c>
      <c r="R8" s="7" t="s">
        <v>46</v>
      </c>
      <c r="S8" s="7" t="s">
        <v>34</v>
      </c>
      <c r="T8" s="7"/>
      <c r="U8" s="7" t="s">
        <v>35</v>
      </c>
      <c r="V8" s="9">
        <v>13257.65</v>
      </c>
      <c r="W8" s="9">
        <v>5716.7</v>
      </c>
      <c r="X8" s="9">
        <v>5279.2</v>
      </c>
      <c r="Y8" s="7">
        <v>0</v>
      </c>
      <c r="Z8" s="9">
        <v>2261.75</v>
      </c>
    </row>
    <row r="9" spans="1:26" x14ac:dyDescent="0.35">
      <c r="A9" s="7" t="s">
        <v>27</v>
      </c>
      <c r="B9" s="7" t="s">
        <v>28</v>
      </c>
      <c r="C9" s="7" t="s">
        <v>42</v>
      </c>
      <c r="D9" s="7" t="s">
        <v>43</v>
      </c>
      <c r="E9" s="7" t="s">
        <v>29</v>
      </c>
      <c r="F9" s="7" t="s">
        <v>29</v>
      </c>
      <c r="G9" s="7">
        <v>2017</v>
      </c>
      <c r="H9" s="7" t="str">
        <f>CONCATENATE("14270298012")</f>
        <v>14270298012</v>
      </c>
      <c r="I9" s="7" t="s">
        <v>30</v>
      </c>
      <c r="J9" s="7" t="s">
        <v>31</v>
      </c>
      <c r="K9" s="7" t="str">
        <f>CONCATENATE("")</f>
        <v/>
      </c>
      <c r="L9" s="7" t="str">
        <f>CONCATENATE("4 4.3 2a")</f>
        <v>4 4.3 2a</v>
      </c>
      <c r="M9" s="7" t="str">
        <f>CONCATENATE("00169080439")</f>
        <v>00169080439</v>
      </c>
      <c r="N9" s="7" t="s">
        <v>44</v>
      </c>
      <c r="O9" s="7" t="s">
        <v>45</v>
      </c>
      <c r="P9" s="8">
        <v>44504</v>
      </c>
      <c r="Q9" s="7" t="s">
        <v>32</v>
      </c>
      <c r="R9" s="7" t="s">
        <v>46</v>
      </c>
      <c r="S9" s="7" t="s">
        <v>34</v>
      </c>
      <c r="T9" s="7"/>
      <c r="U9" s="7" t="s">
        <v>35</v>
      </c>
      <c r="V9" s="9">
        <v>34373.57</v>
      </c>
      <c r="W9" s="9">
        <v>14821.88</v>
      </c>
      <c r="X9" s="9">
        <v>13687.56</v>
      </c>
      <c r="Y9" s="7">
        <v>0</v>
      </c>
      <c r="Z9" s="9">
        <v>5864.13</v>
      </c>
    </row>
    <row r="10" spans="1:26" x14ac:dyDescent="0.35">
      <c r="A10" s="7" t="s">
        <v>27</v>
      </c>
      <c r="B10" s="7" t="s">
        <v>28</v>
      </c>
      <c r="C10" s="7" t="s">
        <v>42</v>
      </c>
      <c r="D10" s="7" t="s">
        <v>43</v>
      </c>
      <c r="E10" s="7" t="s">
        <v>29</v>
      </c>
      <c r="F10" s="7" t="s">
        <v>29</v>
      </c>
      <c r="G10" s="7">
        <v>2017</v>
      </c>
      <c r="H10" s="7" t="str">
        <f>CONCATENATE("14270298053")</f>
        <v>14270298053</v>
      </c>
      <c r="I10" s="7" t="s">
        <v>30</v>
      </c>
      <c r="J10" s="7" t="s">
        <v>31</v>
      </c>
      <c r="K10" s="7" t="str">
        <f>CONCATENATE("")</f>
        <v/>
      </c>
      <c r="L10" s="7" t="str">
        <f>CONCATENATE("4 4.3 2a")</f>
        <v>4 4.3 2a</v>
      </c>
      <c r="M10" s="7" t="str">
        <f>CONCATENATE("00215270430")</f>
        <v>00215270430</v>
      </c>
      <c r="N10" s="7" t="s">
        <v>47</v>
      </c>
      <c r="O10" s="7" t="s">
        <v>45</v>
      </c>
      <c r="P10" s="8">
        <v>44504</v>
      </c>
      <c r="Q10" s="7" t="s">
        <v>32</v>
      </c>
      <c r="R10" s="7" t="s">
        <v>46</v>
      </c>
      <c r="S10" s="7" t="s">
        <v>34</v>
      </c>
      <c r="T10" s="7"/>
      <c r="U10" s="7" t="s">
        <v>35</v>
      </c>
      <c r="V10" s="9">
        <v>48317.35</v>
      </c>
      <c r="W10" s="9">
        <v>20834.439999999999</v>
      </c>
      <c r="X10" s="9">
        <v>19239.97</v>
      </c>
      <c r="Y10" s="7">
        <v>0</v>
      </c>
      <c r="Z10" s="9">
        <v>8242.94</v>
      </c>
    </row>
    <row r="11" spans="1:26" x14ac:dyDescent="0.35">
      <c r="A11" s="7" t="s">
        <v>27</v>
      </c>
      <c r="B11" s="7" t="s">
        <v>28</v>
      </c>
      <c r="C11" s="7" t="s">
        <v>42</v>
      </c>
      <c r="D11" s="7" t="s">
        <v>43</v>
      </c>
      <c r="E11" s="7" t="s">
        <v>29</v>
      </c>
      <c r="F11" s="7" t="s">
        <v>29</v>
      </c>
      <c r="G11" s="7">
        <v>2017</v>
      </c>
      <c r="H11" s="7" t="str">
        <f>CONCATENATE("14270298079")</f>
        <v>14270298079</v>
      </c>
      <c r="I11" s="7" t="s">
        <v>30</v>
      </c>
      <c r="J11" s="7" t="s">
        <v>31</v>
      </c>
      <c r="K11" s="7" t="str">
        <f>CONCATENATE("")</f>
        <v/>
      </c>
      <c r="L11" s="7" t="str">
        <f>CONCATENATE("4 4.3 2a")</f>
        <v>4 4.3 2a</v>
      </c>
      <c r="M11" s="7" t="str">
        <f>CONCATENATE("00215270430")</f>
        <v>00215270430</v>
      </c>
      <c r="N11" s="7" t="s">
        <v>47</v>
      </c>
      <c r="O11" s="7" t="s">
        <v>45</v>
      </c>
      <c r="P11" s="8">
        <v>44504</v>
      </c>
      <c r="Q11" s="7" t="s">
        <v>32</v>
      </c>
      <c r="R11" s="7" t="s">
        <v>46</v>
      </c>
      <c r="S11" s="7" t="s">
        <v>34</v>
      </c>
      <c r="T11" s="7"/>
      <c r="U11" s="7" t="s">
        <v>35</v>
      </c>
      <c r="V11" s="9">
        <v>70591.289999999994</v>
      </c>
      <c r="W11" s="9">
        <v>30438.959999999999</v>
      </c>
      <c r="X11" s="9">
        <v>28109.45</v>
      </c>
      <c r="Y11" s="7">
        <v>0</v>
      </c>
      <c r="Z11" s="9">
        <v>12042.88</v>
      </c>
    </row>
    <row r="12" spans="1:26" x14ac:dyDescent="0.35">
      <c r="A12" s="7" t="s">
        <v>27</v>
      </c>
      <c r="B12" s="7" t="s">
        <v>28</v>
      </c>
      <c r="C12" s="7" t="s">
        <v>42</v>
      </c>
      <c r="D12" s="7" t="s">
        <v>43</v>
      </c>
      <c r="E12" s="7" t="s">
        <v>29</v>
      </c>
      <c r="F12" s="7" t="s">
        <v>29</v>
      </c>
      <c r="G12" s="7">
        <v>2017</v>
      </c>
      <c r="H12" s="7" t="str">
        <f>CONCATENATE("14270298061")</f>
        <v>14270298061</v>
      </c>
      <c r="I12" s="7" t="s">
        <v>30</v>
      </c>
      <c r="J12" s="7" t="s">
        <v>31</v>
      </c>
      <c r="K12" s="7" t="str">
        <f>CONCATENATE("")</f>
        <v/>
      </c>
      <c r="L12" s="7" t="str">
        <f>CONCATENATE("4 4.3 2a")</f>
        <v>4 4.3 2a</v>
      </c>
      <c r="M12" s="7" t="str">
        <f>CONCATENATE("00215270430")</f>
        <v>00215270430</v>
      </c>
      <c r="N12" s="7" t="s">
        <v>47</v>
      </c>
      <c r="O12" s="7" t="s">
        <v>45</v>
      </c>
      <c r="P12" s="8">
        <v>44504</v>
      </c>
      <c r="Q12" s="7" t="s">
        <v>32</v>
      </c>
      <c r="R12" s="7" t="s">
        <v>46</v>
      </c>
      <c r="S12" s="7" t="s">
        <v>34</v>
      </c>
      <c r="T12" s="7"/>
      <c r="U12" s="7" t="s">
        <v>35</v>
      </c>
      <c r="V12" s="9">
        <v>51131.16</v>
      </c>
      <c r="W12" s="9">
        <v>22047.759999999998</v>
      </c>
      <c r="X12" s="9">
        <v>20360.43</v>
      </c>
      <c r="Y12" s="7">
        <v>0</v>
      </c>
      <c r="Z12" s="9">
        <v>8722.9699999999993</v>
      </c>
    </row>
    <row r="13" spans="1:26" x14ac:dyDescent="0.35">
      <c r="A13" s="7" t="s">
        <v>27</v>
      </c>
      <c r="B13" s="7" t="s">
        <v>48</v>
      </c>
      <c r="C13" s="7" t="s">
        <v>42</v>
      </c>
      <c r="D13" s="7" t="s">
        <v>43</v>
      </c>
      <c r="E13" s="7" t="s">
        <v>40</v>
      </c>
      <c r="F13" s="7" t="s">
        <v>49</v>
      </c>
      <c r="G13" s="7">
        <v>2017</v>
      </c>
      <c r="H13" s="7" t="str">
        <f>CONCATENATE("74241461982")</f>
        <v>74241461982</v>
      </c>
      <c r="I13" s="7" t="s">
        <v>30</v>
      </c>
      <c r="J13" s="7" t="s">
        <v>31</v>
      </c>
      <c r="K13" s="7" t="str">
        <f>CONCATENATE("")</f>
        <v/>
      </c>
      <c r="L13" s="7" t="str">
        <f>CONCATENATE("10 10.1 4a")</f>
        <v>10 10.1 4a</v>
      </c>
      <c r="M13" s="7" t="str">
        <f>CONCATENATE("MNCBRD55E12L597B")</f>
        <v>MNCBRD55E12L597B</v>
      </c>
      <c r="N13" s="7" t="s">
        <v>50</v>
      </c>
      <c r="O13" s="7" t="s">
        <v>51</v>
      </c>
      <c r="P13" s="8">
        <v>44508</v>
      </c>
      <c r="Q13" s="7" t="s">
        <v>32</v>
      </c>
      <c r="R13" s="7" t="s">
        <v>33</v>
      </c>
      <c r="S13" s="7" t="s">
        <v>34</v>
      </c>
      <c r="T13" s="7"/>
      <c r="U13" s="7" t="s">
        <v>35</v>
      </c>
      <c r="V13" s="9">
        <v>12076.12</v>
      </c>
      <c r="W13" s="9">
        <v>5207.22</v>
      </c>
      <c r="X13" s="9">
        <v>4808.71</v>
      </c>
      <c r="Y13" s="7">
        <v>0</v>
      </c>
      <c r="Z13" s="9">
        <v>2060.19</v>
      </c>
    </row>
    <row r="14" spans="1:26" x14ac:dyDescent="0.35">
      <c r="A14" s="7" t="s">
        <v>27</v>
      </c>
      <c r="B14" s="7" t="s">
        <v>48</v>
      </c>
      <c r="C14" s="7" t="s">
        <v>42</v>
      </c>
      <c r="D14" s="7" t="s">
        <v>52</v>
      </c>
      <c r="E14" s="7" t="s">
        <v>41</v>
      </c>
      <c r="F14" s="7" t="s">
        <v>53</v>
      </c>
      <c r="G14" s="7">
        <v>2016</v>
      </c>
      <c r="H14" s="7" t="str">
        <f>CONCATENATE("64210677288")</f>
        <v>64210677288</v>
      </c>
      <c r="I14" s="7" t="s">
        <v>30</v>
      </c>
      <c r="J14" s="7" t="s">
        <v>31</v>
      </c>
      <c r="K14" s="7" t="str">
        <f>CONCATENATE("")</f>
        <v/>
      </c>
      <c r="L14" s="7" t="str">
        <f>CONCATENATE("13 13.1 4a")</f>
        <v>13 13.1 4a</v>
      </c>
      <c r="M14" s="7" t="str">
        <f>CONCATENATE("02465610414")</f>
        <v>02465610414</v>
      </c>
      <c r="N14" s="7" t="s">
        <v>54</v>
      </c>
      <c r="O14" s="7" t="s">
        <v>55</v>
      </c>
      <c r="P14" s="8">
        <v>44508</v>
      </c>
      <c r="Q14" s="7" t="s">
        <v>32</v>
      </c>
      <c r="R14" s="7" t="s">
        <v>33</v>
      </c>
      <c r="S14" s="7" t="s">
        <v>34</v>
      </c>
      <c r="T14" s="7"/>
      <c r="U14" s="7" t="s">
        <v>35</v>
      </c>
      <c r="V14" s="9">
        <v>3144.8</v>
      </c>
      <c r="W14" s="9">
        <v>1356.04</v>
      </c>
      <c r="X14" s="9">
        <v>1252.26</v>
      </c>
      <c r="Y14" s="7">
        <v>0</v>
      </c>
      <c r="Z14" s="7">
        <v>536.5</v>
      </c>
    </row>
    <row r="15" spans="1:26" x14ac:dyDescent="0.35">
      <c r="A15" s="7" t="s">
        <v>27</v>
      </c>
      <c r="B15" s="7" t="s">
        <v>28</v>
      </c>
      <c r="C15" s="7" t="s">
        <v>42</v>
      </c>
      <c r="D15" s="7" t="s">
        <v>56</v>
      </c>
      <c r="E15" s="7" t="s">
        <v>29</v>
      </c>
      <c r="F15" s="7" t="s">
        <v>29</v>
      </c>
      <c r="G15" s="7">
        <v>2017</v>
      </c>
      <c r="H15" s="7" t="str">
        <f>CONCATENATE("14270299630")</f>
        <v>14270299630</v>
      </c>
      <c r="I15" s="7" t="s">
        <v>30</v>
      </c>
      <c r="J15" s="7" t="s">
        <v>31</v>
      </c>
      <c r="K15" s="7" t="str">
        <f>CONCATENATE("")</f>
        <v/>
      </c>
      <c r="L15" s="7" t="str">
        <f>CONCATENATE("6 6.1 2b")</f>
        <v>6 6.1 2b</v>
      </c>
      <c r="M15" s="7" t="str">
        <f>CONCATENATE("02274720446")</f>
        <v>02274720446</v>
      </c>
      <c r="N15" s="7" t="s">
        <v>57</v>
      </c>
      <c r="O15" s="7" t="s">
        <v>58</v>
      </c>
      <c r="P15" s="8">
        <v>44504</v>
      </c>
      <c r="Q15" s="7" t="s">
        <v>32</v>
      </c>
      <c r="R15" s="7" t="s">
        <v>33</v>
      </c>
      <c r="S15" s="7" t="s">
        <v>34</v>
      </c>
      <c r="T15" s="7"/>
      <c r="U15" s="7" t="s">
        <v>35</v>
      </c>
      <c r="V15" s="9">
        <v>21000</v>
      </c>
      <c r="W15" s="9">
        <v>9055.2000000000007</v>
      </c>
      <c r="X15" s="9">
        <v>8362.2000000000007</v>
      </c>
      <c r="Y15" s="7">
        <v>0</v>
      </c>
      <c r="Z15" s="9">
        <v>3582.6</v>
      </c>
    </row>
    <row r="16" spans="1:26" x14ac:dyDescent="0.35">
      <c r="A16" s="7" t="s">
        <v>27</v>
      </c>
      <c r="B16" s="7" t="s">
        <v>28</v>
      </c>
      <c r="C16" s="7" t="s">
        <v>42</v>
      </c>
      <c r="D16" s="7" t="s">
        <v>43</v>
      </c>
      <c r="E16" s="7" t="s">
        <v>29</v>
      </c>
      <c r="F16" s="7" t="s">
        <v>29</v>
      </c>
      <c r="G16" s="7">
        <v>2017</v>
      </c>
      <c r="H16" s="7" t="str">
        <f>CONCATENATE("04270233838")</f>
        <v>04270233838</v>
      </c>
      <c r="I16" s="7" t="s">
        <v>30</v>
      </c>
      <c r="J16" s="7" t="s">
        <v>31</v>
      </c>
      <c r="K16" s="7" t="str">
        <f>CONCATENATE("")</f>
        <v/>
      </c>
      <c r="L16" s="7" t="str">
        <f>CONCATENATE("16 16.1 2a")</f>
        <v>16 16.1 2a</v>
      </c>
      <c r="M16" s="7" t="str">
        <f>CONCATENATE("01776160432")</f>
        <v>01776160432</v>
      </c>
      <c r="N16" s="7" t="s">
        <v>59</v>
      </c>
      <c r="O16" s="7" t="s">
        <v>60</v>
      </c>
      <c r="P16" s="8">
        <v>44504</v>
      </c>
      <c r="Q16" s="7" t="s">
        <v>32</v>
      </c>
      <c r="R16" s="7" t="s">
        <v>37</v>
      </c>
      <c r="S16" s="7" t="s">
        <v>34</v>
      </c>
      <c r="T16" s="7"/>
      <c r="U16" s="7" t="s">
        <v>35</v>
      </c>
      <c r="V16" s="9">
        <v>52242.44</v>
      </c>
      <c r="W16" s="9">
        <v>22526.94</v>
      </c>
      <c r="X16" s="9">
        <v>20802.939999999999</v>
      </c>
      <c r="Y16" s="7">
        <v>0</v>
      </c>
      <c r="Z16" s="9">
        <v>8912.56</v>
      </c>
    </row>
    <row r="17" spans="1:26" ht="17.5" x14ac:dyDescent="0.35">
      <c r="A17" s="7" t="s">
        <v>27</v>
      </c>
      <c r="B17" s="7" t="s">
        <v>28</v>
      </c>
      <c r="C17" s="7" t="s">
        <v>42</v>
      </c>
      <c r="D17" s="7" t="s">
        <v>56</v>
      </c>
      <c r="E17" s="7" t="s">
        <v>29</v>
      </c>
      <c r="F17" s="7" t="s">
        <v>29</v>
      </c>
      <c r="G17" s="7">
        <v>2017</v>
      </c>
      <c r="H17" s="7" t="str">
        <f>CONCATENATE("14270304877")</f>
        <v>14270304877</v>
      </c>
      <c r="I17" s="7" t="s">
        <v>30</v>
      </c>
      <c r="J17" s="7" t="s">
        <v>31</v>
      </c>
      <c r="K17" s="7" t="str">
        <f>CONCATENATE("")</f>
        <v/>
      </c>
      <c r="L17" s="7" t="str">
        <f>CONCATENATE("6 6.1 2b")</f>
        <v>6 6.1 2b</v>
      </c>
      <c r="M17" s="7" t="str">
        <f>CONCATENATE("02267520449")</f>
        <v>02267520449</v>
      </c>
      <c r="N17" s="7" t="s">
        <v>61</v>
      </c>
      <c r="O17" s="7" t="s">
        <v>62</v>
      </c>
      <c r="P17" s="8">
        <v>44509</v>
      </c>
      <c r="Q17" s="7" t="s">
        <v>32</v>
      </c>
      <c r="R17" s="7" t="s">
        <v>33</v>
      </c>
      <c r="S17" s="7" t="s">
        <v>34</v>
      </c>
      <c r="T17" s="7"/>
      <c r="U17" s="7" t="s">
        <v>35</v>
      </c>
      <c r="V17" s="9">
        <v>20370</v>
      </c>
      <c r="W17" s="9">
        <v>8783.5400000000009</v>
      </c>
      <c r="X17" s="9">
        <v>8111.33</v>
      </c>
      <c r="Y17" s="7">
        <v>0</v>
      </c>
      <c r="Z17" s="9">
        <v>3475.13</v>
      </c>
    </row>
    <row r="18" spans="1:26" x14ac:dyDescent="0.35">
      <c r="A18" s="7" t="s">
        <v>27</v>
      </c>
      <c r="B18" s="7" t="s">
        <v>28</v>
      </c>
      <c r="C18" s="7" t="s">
        <v>42</v>
      </c>
      <c r="D18" s="7" t="s">
        <v>56</v>
      </c>
      <c r="E18" s="7" t="s">
        <v>29</v>
      </c>
      <c r="F18" s="7" t="s">
        <v>29</v>
      </c>
      <c r="G18" s="7">
        <v>2017</v>
      </c>
      <c r="H18" s="7" t="str">
        <f>CONCATENATE("14270299648")</f>
        <v>14270299648</v>
      </c>
      <c r="I18" s="7" t="s">
        <v>30</v>
      </c>
      <c r="J18" s="7" t="s">
        <v>31</v>
      </c>
      <c r="K18" s="7" t="str">
        <f>CONCATENATE("")</f>
        <v/>
      </c>
      <c r="L18" s="7" t="str">
        <f>CONCATENATE("4 4.1 2a")</f>
        <v>4 4.1 2a</v>
      </c>
      <c r="M18" s="7" t="str">
        <f>CONCATENATE("02274720446")</f>
        <v>02274720446</v>
      </c>
      <c r="N18" s="7" t="s">
        <v>57</v>
      </c>
      <c r="O18" s="7" t="s">
        <v>63</v>
      </c>
      <c r="P18" s="8">
        <v>44504</v>
      </c>
      <c r="Q18" s="7" t="s">
        <v>32</v>
      </c>
      <c r="R18" s="7" t="s">
        <v>33</v>
      </c>
      <c r="S18" s="7" t="s">
        <v>34</v>
      </c>
      <c r="T18" s="7"/>
      <c r="U18" s="7" t="s">
        <v>35</v>
      </c>
      <c r="V18" s="9">
        <v>250000</v>
      </c>
      <c r="W18" s="9">
        <v>107800</v>
      </c>
      <c r="X18" s="9">
        <v>99550</v>
      </c>
      <c r="Y18" s="7">
        <v>0</v>
      </c>
      <c r="Z18" s="9">
        <v>42650</v>
      </c>
    </row>
    <row r="19" spans="1:26" x14ac:dyDescent="0.35">
      <c r="A19" s="7" t="s">
        <v>27</v>
      </c>
      <c r="B19" s="7" t="s">
        <v>28</v>
      </c>
      <c r="C19" s="7" t="s">
        <v>42</v>
      </c>
      <c r="D19" s="7" t="s">
        <v>43</v>
      </c>
      <c r="E19" s="7" t="s">
        <v>29</v>
      </c>
      <c r="F19" s="7" t="s">
        <v>29</v>
      </c>
      <c r="G19" s="7">
        <v>2017</v>
      </c>
      <c r="H19" s="7" t="str">
        <f>CONCATENATE("14270304927")</f>
        <v>14270304927</v>
      </c>
      <c r="I19" s="7" t="s">
        <v>30</v>
      </c>
      <c r="J19" s="7" t="s">
        <v>31</v>
      </c>
      <c r="K19" s="7" t="str">
        <f>CONCATENATE("")</f>
        <v/>
      </c>
      <c r="L19" s="7" t="str">
        <f>CONCATENATE("6 6.1 2b")</f>
        <v>6 6.1 2b</v>
      </c>
      <c r="M19" s="7" t="str">
        <f>CONCATENATE("NGLGNN90P20B474S")</f>
        <v>NGLGNN90P20B474S</v>
      </c>
      <c r="N19" s="7" t="s">
        <v>64</v>
      </c>
      <c r="O19" s="7" t="s">
        <v>65</v>
      </c>
      <c r="P19" s="8">
        <v>44509</v>
      </c>
      <c r="Q19" s="7" t="s">
        <v>32</v>
      </c>
      <c r="R19" s="7" t="s">
        <v>33</v>
      </c>
      <c r="S19" s="7" t="s">
        <v>34</v>
      </c>
      <c r="T19" s="7"/>
      <c r="U19" s="7" t="s">
        <v>35</v>
      </c>
      <c r="V19" s="9">
        <v>21000</v>
      </c>
      <c r="W19" s="9">
        <v>9055.2000000000007</v>
      </c>
      <c r="X19" s="9">
        <v>8362.2000000000007</v>
      </c>
      <c r="Y19" s="7">
        <v>0</v>
      </c>
      <c r="Z19" s="9">
        <v>3582.6</v>
      </c>
    </row>
    <row r="20" spans="1:26" x14ac:dyDescent="0.35">
      <c r="A20" s="7" t="s">
        <v>27</v>
      </c>
      <c r="B20" s="7" t="s">
        <v>28</v>
      </c>
      <c r="C20" s="7" t="s">
        <v>42</v>
      </c>
      <c r="D20" s="7" t="s">
        <v>42</v>
      </c>
      <c r="E20" s="7" t="s">
        <v>38</v>
      </c>
      <c r="F20" s="7" t="s">
        <v>66</v>
      </c>
      <c r="G20" s="7">
        <v>2017</v>
      </c>
      <c r="H20" s="7" t="str">
        <f>CONCATENATE("14270302863")</f>
        <v>14270302863</v>
      </c>
      <c r="I20" s="7" t="s">
        <v>30</v>
      </c>
      <c r="J20" s="7" t="s">
        <v>31</v>
      </c>
      <c r="K20" s="7" t="str">
        <f>CONCATENATE("")</f>
        <v/>
      </c>
      <c r="L20" s="7" t="str">
        <f>CONCATENATE("19 19.2 6b")</f>
        <v>19 19.2 6b</v>
      </c>
      <c r="M20" s="7" t="str">
        <f>CONCATENATE("RNCVLR83C60E388K")</f>
        <v>RNCVLR83C60E388K</v>
      </c>
      <c r="N20" s="7" t="s">
        <v>67</v>
      </c>
      <c r="O20" s="7" t="s">
        <v>68</v>
      </c>
      <c r="P20" s="8">
        <v>44508</v>
      </c>
      <c r="Q20" s="7" t="s">
        <v>32</v>
      </c>
      <c r="R20" s="7" t="s">
        <v>37</v>
      </c>
      <c r="S20" s="7" t="s">
        <v>34</v>
      </c>
      <c r="T20" s="7"/>
      <c r="U20" s="7" t="s">
        <v>35</v>
      </c>
      <c r="V20" s="9">
        <v>10000</v>
      </c>
      <c r="W20" s="9">
        <v>4312</v>
      </c>
      <c r="X20" s="9">
        <v>3982</v>
      </c>
      <c r="Y20" s="7">
        <v>0</v>
      </c>
      <c r="Z20" s="9">
        <v>1706</v>
      </c>
    </row>
    <row r="21" spans="1:26" x14ac:dyDescent="0.35">
      <c r="A21" s="7" t="s">
        <v>27</v>
      </c>
      <c r="B21" s="7" t="s">
        <v>28</v>
      </c>
      <c r="C21" s="7" t="s">
        <v>42</v>
      </c>
      <c r="D21" s="7" t="s">
        <v>69</v>
      </c>
      <c r="E21" s="7" t="s">
        <v>29</v>
      </c>
      <c r="F21" s="7" t="s">
        <v>29</v>
      </c>
      <c r="G21" s="7">
        <v>2017</v>
      </c>
      <c r="H21" s="7" t="str">
        <f>CONCATENATE("14270305031")</f>
        <v>14270305031</v>
      </c>
      <c r="I21" s="7" t="s">
        <v>30</v>
      </c>
      <c r="J21" s="7" t="s">
        <v>31</v>
      </c>
      <c r="K21" s="7" t="str">
        <f>CONCATENATE("")</f>
        <v/>
      </c>
      <c r="L21" s="7" t="str">
        <f>CONCATENATE("4 4.1 2a")</f>
        <v>4 4.1 2a</v>
      </c>
      <c r="M21" s="7" t="str">
        <f>CONCATENATE("02745190427")</f>
        <v>02745190427</v>
      </c>
      <c r="N21" s="7" t="s">
        <v>70</v>
      </c>
      <c r="O21" s="7" t="s">
        <v>71</v>
      </c>
      <c r="P21" s="8">
        <v>44509</v>
      </c>
      <c r="Q21" s="7" t="s">
        <v>32</v>
      </c>
      <c r="R21" s="7" t="s">
        <v>33</v>
      </c>
      <c r="S21" s="7" t="s">
        <v>34</v>
      </c>
      <c r="T21" s="7"/>
      <c r="U21" s="7" t="s">
        <v>35</v>
      </c>
      <c r="V21" s="9">
        <v>21313.08</v>
      </c>
      <c r="W21" s="9">
        <v>9190.2000000000007</v>
      </c>
      <c r="X21" s="9">
        <v>8486.8700000000008</v>
      </c>
      <c r="Y21" s="7">
        <v>0</v>
      </c>
      <c r="Z21" s="9">
        <v>3636.01</v>
      </c>
    </row>
    <row r="22" spans="1:26" x14ac:dyDescent="0.35">
      <c r="A22" s="7" t="s">
        <v>27</v>
      </c>
      <c r="B22" s="7" t="s">
        <v>28</v>
      </c>
      <c r="C22" s="7" t="s">
        <v>42</v>
      </c>
      <c r="D22" s="7" t="s">
        <v>42</v>
      </c>
      <c r="E22" s="7" t="s">
        <v>29</v>
      </c>
      <c r="F22" s="7" t="s">
        <v>29</v>
      </c>
      <c r="G22" s="7">
        <v>2017</v>
      </c>
      <c r="H22" s="7" t="str">
        <f>CONCATENATE("14270297972")</f>
        <v>14270297972</v>
      </c>
      <c r="I22" s="7" t="s">
        <v>30</v>
      </c>
      <c r="J22" s="7" t="s">
        <v>31</v>
      </c>
      <c r="K22" s="7" t="str">
        <f>CONCATENATE("")</f>
        <v/>
      </c>
      <c r="L22" s="7" t="str">
        <f>CONCATENATE("19 19.2 6b")</f>
        <v>19 19.2 6b</v>
      </c>
      <c r="M22" s="7" t="str">
        <f>CONCATENATE("00182490433")</f>
        <v>00182490433</v>
      </c>
      <c r="N22" s="7" t="s">
        <v>72</v>
      </c>
      <c r="O22" s="7" t="s">
        <v>73</v>
      </c>
      <c r="P22" s="8">
        <v>44504</v>
      </c>
      <c r="Q22" s="7" t="s">
        <v>32</v>
      </c>
      <c r="R22" s="7" t="s">
        <v>46</v>
      </c>
      <c r="S22" s="7" t="s">
        <v>34</v>
      </c>
      <c r="T22" s="7"/>
      <c r="U22" s="7" t="s">
        <v>35</v>
      </c>
      <c r="V22" s="9">
        <v>48740.93</v>
      </c>
      <c r="W22" s="9">
        <v>21017.09</v>
      </c>
      <c r="X22" s="9">
        <v>19408.64</v>
      </c>
      <c r="Y22" s="7">
        <v>0</v>
      </c>
      <c r="Z22" s="9">
        <v>8315.2000000000007</v>
      </c>
    </row>
    <row r="23" spans="1:26" x14ac:dyDescent="0.35">
      <c r="A23" s="7" t="s">
        <v>27</v>
      </c>
      <c r="B23" s="7" t="s">
        <v>28</v>
      </c>
      <c r="C23" s="7" t="s">
        <v>42</v>
      </c>
      <c r="D23" s="7" t="s">
        <v>56</v>
      </c>
      <c r="E23" s="7" t="s">
        <v>74</v>
      </c>
      <c r="F23" s="7" t="s">
        <v>75</v>
      </c>
      <c r="G23" s="7">
        <v>2017</v>
      </c>
      <c r="H23" s="7" t="str">
        <f>CONCATENATE("14270283881")</f>
        <v>14270283881</v>
      </c>
      <c r="I23" s="7" t="s">
        <v>30</v>
      </c>
      <c r="J23" s="7" t="s">
        <v>31</v>
      </c>
      <c r="K23" s="7" t="str">
        <f>CONCATENATE("")</f>
        <v/>
      </c>
      <c r="L23" s="7" t="str">
        <f>CONCATENATE("4 4.4 4c")</f>
        <v>4 4.4 4c</v>
      </c>
      <c r="M23" s="7" t="str">
        <f>CONCATENATE("FCCGNN70D21A252W")</f>
        <v>FCCGNN70D21A252W</v>
      </c>
      <c r="N23" s="7" t="s">
        <v>76</v>
      </c>
      <c r="O23" s="7" t="s">
        <v>77</v>
      </c>
      <c r="P23" s="8">
        <v>44504</v>
      </c>
      <c r="Q23" s="7" t="s">
        <v>32</v>
      </c>
      <c r="R23" s="7" t="s">
        <v>33</v>
      </c>
      <c r="S23" s="7" t="s">
        <v>34</v>
      </c>
      <c r="T23" s="7"/>
      <c r="U23" s="7" t="s">
        <v>35</v>
      </c>
      <c r="V23" s="7">
        <v>748.93</v>
      </c>
      <c r="W23" s="7">
        <v>322.94</v>
      </c>
      <c r="X23" s="7">
        <v>298.22000000000003</v>
      </c>
      <c r="Y23" s="7">
        <v>0</v>
      </c>
      <c r="Z23" s="7">
        <v>127.77</v>
      </c>
    </row>
    <row r="24" spans="1:26" x14ac:dyDescent="0.35">
      <c r="A24" s="7" t="s">
        <v>27</v>
      </c>
      <c r="B24" s="7" t="s">
        <v>28</v>
      </c>
      <c r="C24" s="7" t="s">
        <v>42</v>
      </c>
      <c r="D24" s="7" t="s">
        <v>69</v>
      </c>
      <c r="E24" s="7" t="s">
        <v>40</v>
      </c>
      <c r="F24" s="7" t="s">
        <v>78</v>
      </c>
      <c r="G24" s="7">
        <v>2017</v>
      </c>
      <c r="H24" s="7" t="str">
        <f>CONCATENATE("14270283840")</f>
        <v>14270283840</v>
      </c>
      <c r="I24" s="7" t="s">
        <v>30</v>
      </c>
      <c r="J24" s="7" t="s">
        <v>31</v>
      </c>
      <c r="K24" s="7" t="str">
        <f>CONCATENATE("")</f>
        <v/>
      </c>
      <c r="L24" s="7" t="str">
        <f>CONCATENATE("4 4.4 4c")</f>
        <v>4 4.4 4c</v>
      </c>
      <c r="M24" s="7" t="str">
        <f>CONCATENATE("STRRNZ60S18D451J")</f>
        <v>STRRNZ60S18D451J</v>
      </c>
      <c r="N24" s="7" t="s">
        <v>79</v>
      </c>
      <c r="O24" s="7" t="s">
        <v>77</v>
      </c>
      <c r="P24" s="8">
        <v>44504</v>
      </c>
      <c r="Q24" s="7" t="s">
        <v>32</v>
      </c>
      <c r="R24" s="7" t="s">
        <v>33</v>
      </c>
      <c r="S24" s="7" t="s">
        <v>34</v>
      </c>
      <c r="T24" s="7"/>
      <c r="U24" s="7" t="s">
        <v>35</v>
      </c>
      <c r="V24" s="9">
        <v>3645</v>
      </c>
      <c r="W24" s="9">
        <v>1571.72</v>
      </c>
      <c r="X24" s="9">
        <v>1451.44</v>
      </c>
      <c r="Y24" s="7">
        <v>0</v>
      </c>
      <c r="Z24" s="7">
        <v>621.84</v>
      </c>
    </row>
    <row r="25" spans="1:26" x14ac:dyDescent="0.35">
      <c r="A25" s="7" t="s">
        <v>27</v>
      </c>
      <c r="B25" s="7" t="s">
        <v>28</v>
      </c>
      <c r="C25" s="7" t="s">
        <v>42</v>
      </c>
      <c r="D25" s="7" t="s">
        <v>56</v>
      </c>
      <c r="E25" s="7" t="s">
        <v>74</v>
      </c>
      <c r="F25" s="7" t="s">
        <v>75</v>
      </c>
      <c r="G25" s="7">
        <v>2017</v>
      </c>
      <c r="H25" s="7" t="str">
        <f>CONCATENATE("14270283832")</f>
        <v>14270283832</v>
      </c>
      <c r="I25" s="7" t="s">
        <v>30</v>
      </c>
      <c r="J25" s="7" t="s">
        <v>31</v>
      </c>
      <c r="K25" s="7" t="str">
        <f>CONCATENATE("")</f>
        <v/>
      </c>
      <c r="L25" s="7" t="str">
        <f>CONCATENATE("4 4.4 4c")</f>
        <v>4 4.4 4c</v>
      </c>
      <c r="M25" s="7" t="str">
        <f>CONCATENATE("VRGTMS56D28C935B")</f>
        <v>VRGTMS56D28C935B</v>
      </c>
      <c r="N25" s="7" t="s">
        <v>80</v>
      </c>
      <c r="O25" s="7" t="s">
        <v>77</v>
      </c>
      <c r="P25" s="8">
        <v>44504</v>
      </c>
      <c r="Q25" s="7" t="s">
        <v>32</v>
      </c>
      <c r="R25" s="7" t="s">
        <v>33</v>
      </c>
      <c r="S25" s="7" t="s">
        <v>34</v>
      </c>
      <c r="T25" s="7"/>
      <c r="U25" s="7" t="s">
        <v>35</v>
      </c>
      <c r="V25" s="7">
        <v>729.94</v>
      </c>
      <c r="W25" s="7">
        <v>314.75</v>
      </c>
      <c r="X25" s="7">
        <v>290.66000000000003</v>
      </c>
      <c r="Y25" s="7">
        <v>0</v>
      </c>
      <c r="Z25" s="7">
        <v>124.53</v>
      </c>
    </row>
    <row r="26" spans="1:26" x14ac:dyDescent="0.35">
      <c r="A26" s="7" t="s">
        <v>27</v>
      </c>
      <c r="B26" s="7" t="s">
        <v>28</v>
      </c>
      <c r="C26" s="7" t="s">
        <v>42</v>
      </c>
      <c r="D26" s="7" t="s">
        <v>43</v>
      </c>
      <c r="E26" s="7" t="s">
        <v>29</v>
      </c>
      <c r="F26" s="7" t="s">
        <v>29</v>
      </c>
      <c r="G26" s="7">
        <v>2017</v>
      </c>
      <c r="H26" s="7" t="str">
        <f>CONCATENATE("14270305155")</f>
        <v>14270305155</v>
      </c>
      <c r="I26" s="7" t="s">
        <v>30</v>
      </c>
      <c r="J26" s="7" t="s">
        <v>31</v>
      </c>
      <c r="K26" s="7" t="str">
        <f>CONCATENATE("")</f>
        <v/>
      </c>
      <c r="L26" s="7" t="str">
        <f>CONCATENATE("1 1.1 2a")</f>
        <v>1 1.1 2a</v>
      </c>
      <c r="M26" s="7" t="str">
        <f>CONCATENATE("02051370423")</f>
        <v>02051370423</v>
      </c>
      <c r="N26" s="7" t="s">
        <v>81</v>
      </c>
      <c r="O26" s="7" t="s">
        <v>82</v>
      </c>
      <c r="P26" s="8">
        <v>44509</v>
      </c>
      <c r="Q26" s="7" t="s">
        <v>32</v>
      </c>
      <c r="R26" s="7" t="s">
        <v>33</v>
      </c>
      <c r="S26" s="7" t="s">
        <v>34</v>
      </c>
      <c r="T26" s="7"/>
      <c r="U26" s="7" t="s">
        <v>35</v>
      </c>
      <c r="V26" s="9">
        <v>5280</v>
      </c>
      <c r="W26" s="9">
        <v>2276.7399999999998</v>
      </c>
      <c r="X26" s="9">
        <v>2102.5</v>
      </c>
      <c r="Y26" s="7">
        <v>0</v>
      </c>
      <c r="Z26" s="7">
        <v>900.76</v>
      </c>
    </row>
    <row r="27" spans="1:26" x14ac:dyDescent="0.35">
      <c r="A27" s="7" t="s">
        <v>27</v>
      </c>
      <c r="B27" s="7" t="s">
        <v>28</v>
      </c>
      <c r="C27" s="7" t="s">
        <v>42</v>
      </c>
      <c r="D27" s="7" t="s">
        <v>69</v>
      </c>
      <c r="E27" s="7" t="s">
        <v>29</v>
      </c>
      <c r="F27" s="7" t="s">
        <v>29</v>
      </c>
      <c r="G27" s="7">
        <v>2017</v>
      </c>
      <c r="H27" s="7" t="str">
        <f>CONCATENATE("14270305023")</f>
        <v>14270305023</v>
      </c>
      <c r="I27" s="7" t="s">
        <v>30</v>
      </c>
      <c r="J27" s="7" t="s">
        <v>31</v>
      </c>
      <c r="K27" s="7" t="str">
        <f>CONCATENATE("")</f>
        <v/>
      </c>
      <c r="L27" s="7" t="str">
        <f>CONCATENATE("6 6.1 2b")</f>
        <v>6 6.1 2b</v>
      </c>
      <c r="M27" s="7" t="str">
        <f>CONCATENATE("02745190427")</f>
        <v>02745190427</v>
      </c>
      <c r="N27" s="7" t="s">
        <v>70</v>
      </c>
      <c r="O27" s="7" t="s">
        <v>83</v>
      </c>
      <c r="P27" s="8">
        <v>44509</v>
      </c>
      <c r="Q27" s="7" t="s">
        <v>32</v>
      </c>
      <c r="R27" s="7" t="s">
        <v>33</v>
      </c>
      <c r="S27" s="7" t="s">
        <v>34</v>
      </c>
      <c r="T27" s="7"/>
      <c r="U27" s="7" t="s">
        <v>35</v>
      </c>
      <c r="V27" s="9">
        <v>15000</v>
      </c>
      <c r="W27" s="9">
        <v>6468</v>
      </c>
      <c r="X27" s="9">
        <v>5973</v>
      </c>
      <c r="Y27" s="7">
        <v>0</v>
      </c>
      <c r="Z27" s="9">
        <v>2559</v>
      </c>
    </row>
    <row r="28" spans="1:26" x14ac:dyDescent="0.35">
      <c r="A28" s="7" t="s">
        <v>27</v>
      </c>
      <c r="B28" s="7" t="s">
        <v>28</v>
      </c>
      <c r="C28" s="7" t="s">
        <v>42</v>
      </c>
      <c r="D28" s="7" t="s">
        <v>56</v>
      </c>
      <c r="E28" s="7" t="s">
        <v>74</v>
      </c>
      <c r="F28" s="7" t="s">
        <v>75</v>
      </c>
      <c r="G28" s="7">
        <v>2017</v>
      </c>
      <c r="H28" s="7" t="str">
        <f>CONCATENATE("14270283824")</f>
        <v>14270283824</v>
      </c>
      <c r="I28" s="7" t="s">
        <v>30</v>
      </c>
      <c r="J28" s="7" t="s">
        <v>31</v>
      </c>
      <c r="K28" s="7" t="str">
        <f>CONCATENATE("")</f>
        <v/>
      </c>
      <c r="L28" s="7" t="str">
        <f>CONCATENATE("4 4.4 4c")</f>
        <v>4 4.4 4c</v>
      </c>
      <c r="M28" s="7" t="str">
        <f>CONCATENATE("FBBDVD50E12F570G")</f>
        <v>FBBDVD50E12F570G</v>
      </c>
      <c r="N28" s="7" t="s">
        <v>84</v>
      </c>
      <c r="O28" s="7" t="s">
        <v>77</v>
      </c>
      <c r="P28" s="8">
        <v>44504</v>
      </c>
      <c r="Q28" s="7" t="s">
        <v>32</v>
      </c>
      <c r="R28" s="7" t="s">
        <v>33</v>
      </c>
      <c r="S28" s="7" t="s">
        <v>34</v>
      </c>
      <c r="T28" s="7"/>
      <c r="U28" s="7" t="s">
        <v>35</v>
      </c>
      <c r="V28" s="9">
        <v>2106.9299999999998</v>
      </c>
      <c r="W28" s="7">
        <v>908.51</v>
      </c>
      <c r="X28" s="7">
        <v>838.98</v>
      </c>
      <c r="Y28" s="7">
        <v>0</v>
      </c>
      <c r="Z28" s="7">
        <v>359.44</v>
      </c>
    </row>
    <row r="29" spans="1:26" x14ac:dyDescent="0.35">
      <c r="A29" s="7" t="s">
        <v>27</v>
      </c>
      <c r="B29" s="7" t="s">
        <v>28</v>
      </c>
      <c r="C29" s="7" t="s">
        <v>42</v>
      </c>
      <c r="D29" s="7" t="s">
        <v>42</v>
      </c>
      <c r="E29" s="7" t="s">
        <v>29</v>
      </c>
      <c r="F29" s="7" t="s">
        <v>29</v>
      </c>
      <c r="G29" s="7">
        <v>2017</v>
      </c>
      <c r="H29" s="7" t="str">
        <f>CONCATENATE("14270300925")</f>
        <v>14270300925</v>
      </c>
      <c r="I29" s="7" t="s">
        <v>30</v>
      </c>
      <c r="J29" s="7" t="s">
        <v>31</v>
      </c>
      <c r="K29" s="7" t="str">
        <f>CONCATENATE("")</f>
        <v/>
      </c>
      <c r="L29" s="7" t="str">
        <f>CONCATENATE("19 19.2 6b")</f>
        <v>19 19.2 6b</v>
      </c>
      <c r="M29" s="7" t="str">
        <f>CONCATENATE("00339900425")</f>
        <v>00339900425</v>
      </c>
      <c r="N29" s="7" t="s">
        <v>85</v>
      </c>
      <c r="O29" s="7" t="s">
        <v>86</v>
      </c>
      <c r="P29" s="8">
        <v>44504</v>
      </c>
      <c r="Q29" s="7" t="s">
        <v>32</v>
      </c>
      <c r="R29" s="7" t="s">
        <v>46</v>
      </c>
      <c r="S29" s="7" t="s">
        <v>34</v>
      </c>
      <c r="T29" s="7"/>
      <c r="U29" s="7" t="s">
        <v>35</v>
      </c>
      <c r="V29" s="9">
        <v>72197.05</v>
      </c>
      <c r="W29" s="9">
        <v>31131.37</v>
      </c>
      <c r="X29" s="9">
        <v>28748.87</v>
      </c>
      <c r="Y29" s="7">
        <v>0</v>
      </c>
      <c r="Z29" s="9">
        <v>12316.81</v>
      </c>
    </row>
    <row r="30" spans="1:26" x14ac:dyDescent="0.35">
      <c r="A30" s="7" t="s">
        <v>27</v>
      </c>
      <c r="B30" s="7" t="s">
        <v>28</v>
      </c>
      <c r="C30" s="7" t="s">
        <v>42</v>
      </c>
      <c r="D30" s="7" t="s">
        <v>43</v>
      </c>
      <c r="E30" s="7" t="s">
        <v>29</v>
      </c>
      <c r="F30" s="7" t="s">
        <v>29</v>
      </c>
      <c r="G30" s="7">
        <v>2017</v>
      </c>
      <c r="H30" s="7" t="str">
        <f>CONCATENATE("14270304935")</f>
        <v>14270304935</v>
      </c>
      <c r="I30" s="7" t="s">
        <v>30</v>
      </c>
      <c r="J30" s="7" t="s">
        <v>31</v>
      </c>
      <c r="K30" s="7" t="str">
        <f>CONCATENATE("")</f>
        <v/>
      </c>
      <c r="L30" s="7" t="str">
        <f>CONCATENATE("4 4.1 2a")</f>
        <v>4 4.1 2a</v>
      </c>
      <c r="M30" s="7" t="str">
        <f>CONCATENATE("NGLGNN90P20B474S")</f>
        <v>NGLGNN90P20B474S</v>
      </c>
      <c r="N30" s="7" t="s">
        <v>64</v>
      </c>
      <c r="O30" s="7" t="s">
        <v>87</v>
      </c>
      <c r="P30" s="8">
        <v>44509</v>
      </c>
      <c r="Q30" s="7" t="s">
        <v>32</v>
      </c>
      <c r="R30" s="7" t="s">
        <v>33</v>
      </c>
      <c r="S30" s="7" t="s">
        <v>34</v>
      </c>
      <c r="T30" s="7"/>
      <c r="U30" s="7" t="s">
        <v>35</v>
      </c>
      <c r="V30" s="9">
        <v>35914.07</v>
      </c>
      <c r="W30" s="9">
        <v>15486.15</v>
      </c>
      <c r="X30" s="9">
        <v>14300.98</v>
      </c>
      <c r="Y30" s="7">
        <v>0</v>
      </c>
      <c r="Z30" s="9">
        <v>6126.94</v>
      </c>
    </row>
    <row r="31" spans="1:26" x14ac:dyDescent="0.35">
      <c r="A31" s="7" t="s">
        <v>27</v>
      </c>
      <c r="B31" s="7" t="s">
        <v>48</v>
      </c>
      <c r="C31" s="7" t="s">
        <v>42</v>
      </c>
      <c r="D31" s="7" t="s">
        <v>52</v>
      </c>
      <c r="E31" s="7" t="s">
        <v>40</v>
      </c>
      <c r="F31" s="7" t="s">
        <v>88</v>
      </c>
      <c r="G31" s="7">
        <v>2018</v>
      </c>
      <c r="H31" s="7" t="str">
        <f>CONCATENATE("84211639681")</f>
        <v>84211639681</v>
      </c>
      <c r="I31" s="7" t="s">
        <v>30</v>
      </c>
      <c r="J31" s="7" t="s">
        <v>31</v>
      </c>
      <c r="K31" s="7" t="str">
        <f>CONCATENATE("")</f>
        <v/>
      </c>
      <c r="L31" s="7" t="str">
        <f>CONCATENATE("13 13.1 4a")</f>
        <v>13 13.1 4a</v>
      </c>
      <c r="M31" s="7" t="str">
        <f>CONCATENATE("RMTLND42A27D749O")</f>
        <v>RMTLND42A27D749O</v>
      </c>
      <c r="N31" s="7" t="s">
        <v>89</v>
      </c>
      <c r="O31" s="7" t="s">
        <v>90</v>
      </c>
      <c r="P31" s="8">
        <v>44504</v>
      </c>
      <c r="Q31" s="7" t="s">
        <v>32</v>
      </c>
      <c r="R31" s="7" t="s">
        <v>33</v>
      </c>
      <c r="S31" s="7" t="s">
        <v>34</v>
      </c>
      <c r="T31" s="7"/>
      <c r="U31" s="7" t="s">
        <v>35</v>
      </c>
      <c r="V31" s="9">
        <v>8454.67</v>
      </c>
      <c r="W31" s="9">
        <v>3645.65</v>
      </c>
      <c r="X31" s="9">
        <v>3366.65</v>
      </c>
      <c r="Y31" s="7">
        <v>0</v>
      </c>
      <c r="Z31" s="9">
        <v>1442.37</v>
      </c>
    </row>
    <row r="32" spans="1:26" ht="17.5" x14ac:dyDescent="0.35">
      <c r="A32" s="7" t="s">
        <v>27</v>
      </c>
      <c r="B32" s="7" t="s">
        <v>28</v>
      </c>
      <c r="C32" s="7" t="s">
        <v>42</v>
      </c>
      <c r="D32" s="7" t="s">
        <v>56</v>
      </c>
      <c r="E32" s="7" t="s">
        <v>36</v>
      </c>
      <c r="F32" s="7" t="s">
        <v>91</v>
      </c>
      <c r="G32" s="7">
        <v>2017</v>
      </c>
      <c r="H32" s="7" t="str">
        <f>CONCATENATE("14270301634")</f>
        <v>14270301634</v>
      </c>
      <c r="I32" s="7" t="s">
        <v>30</v>
      </c>
      <c r="J32" s="7" t="s">
        <v>31</v>
      </c>
      <c r="K32" s="7" t="str">
        <f>CONCATENATE("")</f>
        <v/>
      </c>
      <c r="L32" s="7" t="str">
        <f>CONCATENATE("4 4.1 2a")</f>
        <v>4 4.1 2a</v>
      </c>
      <c r="M32" s="7" t="str">
        <f>CONCATENATE("DNGGDU80S04H769D")</f>
        <v>DNGGDU80S04H769D</v>
      </c>
      <c r="N32" s="7" t="s">
        <v>92</v>
      </c>
      <c r="O32" s="7" t="s">
        <v>93</v>
      </c>
      <c r="P32" s="8">
        <v>44509</v>
      </c>
      <c r="Q32" s="7" t="s">
        <v>32</v>
      </c>
      <c r="R32" s="7" t="s">
        <v>33</v>
      </c>
      <c r="S32" s="7" t="s">
        <v>34</v>
      </c>
      <c r="T32" s="7"/>
      <c r="U32" s="7" t="s">
        <v>35</v>
      </c>
      <c r="V32" s="9">
        <v>14940</v>
      </c>
      <c r="W32" s="9">
        <v>6442.13</v>
      </c>
      <c r="X32" s="9">
        <v>5949.11</v>
      </c>
      <c r="Y32" s="7">
        <v>0</v>
      </c>
      <c r="Z32" s="9">
        <v>2548.7600000000002</v>
      </c>
    </row>
    <row r="33" spans="1:26" x14ac:dyDescent="0.35">
      <c r="A33" s="7" t="s">
        <v>27</v>
      </c>
      <c r="B33" s="7" t="s">
        <v>28</v>
      </c>
      <c r="C33" s="7" t="s">
        <v>42</v>
      </c>
      <c r="D33" s="7" t="s">
        <v>56</v>
      </c>
      <c r="E33" s="7" t="s">
        <v>74</v>
      </c>
      <c r="F33" s="7" t="s">
        <v>75</v>
      </c>
      <c r="G33" s="7">
        <v>2017</v>
      </c>
      <c r="H33" s="7" t="str">
        <f>CONCATENATE("14270301618")</f>
        <v>14270301618</v>
      </c>
      <c r="I33" s="7" t="s">
        <v>30</v>
      </c>
      <c r="J33" s="7" t="s">
        <v>31</v>
      </c>
      <c r="K33" s="7" t="str">
        <f>CONCATENATE("")</f>
        <v/>
      </c>
      <c r="L33" s="7" t="str">
        <f>CONCATENATE("4 4.1 2a")</f>
        <v>4 4.1 2a</v>
      </c>
      <c r="M33" s="7" t="str">
        <f>CONCATENATE("MSSNDR70P14C935Y")</f>
        <v>MSSNDR70P14C935Y</v>
      </c>
      <c r="N33" s="7" t="s">
        <v>94</v>
      </c>
      <c r="O33" s="7" t="s">
        <v>93</v>
      </c>
      <c r="P33" s="8">
        <v>44509</v>
      </c>
      <c r="Q33" s="7" t="s">
        <v>32</v>
      </c>
      <c r="R33" s="7" t="s">
        <v>33</v>
      </c>
      <c r="S33" s="7" t="s">
        <v>34</v>
      </c>
      <c r="T33" s="7"/>
      <c r="U33" s="7" t="s">
        <v>35</v>
      </c>
      <c r="V33" s="9">
        <v>51369.279999999999</v>
      </c>
      <c r="W33" s="9">
        <v>22150.43</v>
      </c>
      <c r="X33" s="9">
        <v>20455.25</v>
      </c>
      <c r="Y33" s="7">
        <v>0</v>
      </c>
      <c r="Z33" s="9">
        <v>8763.6</v>
      </c>
    </row>
    <row r="34" spans="1:26" x14ac:dyDescent="0.35">
      <c r="A34" s="7" t="s">
        <v>27</v>
      </c>
      <c r="B34" s="7" t="s">
        <v>28</v>
      </c>
      <c r="C34" s="7" t="s">
        <v>42</v>
      </c>
      <c r="D34" s="7" t="s">
        <v>56</v>
      </c>
      <c r="E34" s="7" t="s">
        <v>40</v>
      </c>
      <c r="F34" s="7" t="s">
        <v>95</v>
      </c>
      <c r="G34" s="7">
        <v>2017</v>
      </c>
      <c r="H34" s="7" t="str">
        <f>CONCATENATE("14270304901")</f>
        <v>14270304901</v>
      </c>
      <c r="I34" s="7" t="s">
        <v>30</v>
      </c>
      <c r="J34" s="7" t="s">
        <v>31</v>
      </c>
      <c r="K34" s="7" t="str">
        <f>CONCATENATE("")</f>
        <v/>
      </c>
      <c r="L34" s="7" t="str">
        <f>CONCATENATE("4 4.1 2a")</f>
        <v>4 4.1 2a</v>
      </c>
      <c r="M34" s="7" t="str">
        <f>CONCATENATE("VTTNRC69H19F415B")</f>
        <v>VTTNRC69H19F415B</v>
      </c>
      <c r="N34" s="7" t="s">
        <v>96</v>
      </c>
      <c r="O34" s="7" t="s">
        <v>93</v>
      </c>
      <c r="P34" s="8">
        <v>44509</v>
      </c>
      <c r="Q34" s="7" t="s">
        <v>32</v>
      </c>
      <c r="R34" s="7" t="s">
        <v>33</v>
      </c>
      <c r="S34" s="7" t="s">
        <v>34</v>
      </c>
      <c r="T34" s="7"/>
      <c r="U34" s="7" t="s">
        <v>35</v>
      </c>
      <c r="V34" s="9">
        <v>45050.2</v>
      </c>
      <c r="W34" s="9">
        <v>19425.650000000001</v>
      </c>
      <c r="X34" s="9">
        <v>17938.990000000002</v>
      </c>
      <c r="Y34" s="7">
        <v>0</v>
      </c>
      <c r="Z34" s="9">
        <v>7685.56</v>
      </c>
    </row>
    <row r="35" spans="1:26" x14ac:dyDescent="0.35">
      <c r="A35" s="7" t="s">
        <v>27</v>
      </c>
      <c r="B35" s="7" t="s">
        <v>28</v>
      </c>
      <c r="C35" s="7" t="s">
        <v>42</v>
      </c>
      <c r="D35" s="7" t="s">
        <v>56</v>
      </c>
      <c r="E35" s="7" t="s">
        <v>36</v>
      </c>
      <c r="F35" s="7" t="s">
        <v>91</v>
      </c>
      <c r="G35" s="7">
        <v>2017</v>
      </c>
      <c r="H35" s="7" t="str">
        <f>CONCATENATE("14270301600")</f>
        <v>14270301600</v>
      </c>
      <c r="I35" s="7" t="s">
        <v>30</v>
      </c>
      <c r="J35" s="7" t="s">
        <v>31</v>
      </c>
      <c r="K35" s="7" t="str">
        <f>CONCATENATE("")</f>
        <v/>
      </c>
      <c r="L35" s="7" t="str">
        <f>CONCATENATE("4 4.1 2a")</f>
        <v>4 4.1 2a</v>
      </c>
      <c r="M35" s="7" t="str">
        <f>CONCATENATE("VSPGNE89C55H769H")</f>
        <v>VSPGNE89C55H769H</v>
      </c>
      <c r="N35" s="7" t="s">
        <v>97</v>
      </c>
      <c r="O35" s="7" t="s">
        <v>93</v>
      </c>
      <c r="P35" s="8">
        <v>44509</v>
      </c>
      <c r="Q35" s="7" t="s">
        <v>32</v>
      </c>
      <c r="R35" s="7" t="s">
        <v>33</v>
      </c>
      <c r="S35" s="7" t="s">
        <v>34</v>
      </c>
      <c r="T35" s="7"/>
      <c r="U35" s="7" t="s">
        <v>35</v>
      </c>
      <c r="V35" s="9">
        <v>12135.28</v>
      </c>
      <c r="W35" s="9">
        <v>5232.7299999999996</v>
      </c>
      <c r="X35" s="9">
        <v>4832.2700000000004</v>
      </c>
      <c r="Y35" s="7">
        <v>0</v>
      </c>
      <c r="Z35" s="9">
        <v>2070.2800000000002</v>
      </c>
    </row>
    <row r="36" spans="1:26" ht="17.5" x14ac:dyDescent="0.35">
      <c r="A36" s="7" t="s">
        <v>27</v>
      </c>
      <c r="B36" s="7" t="s">
        <v>28</v>
      </c>
      <c r="C36" s="7" t="s">
        <v>42</v>
      </c>
      <c r="D36" s="7" t="s">
        <v>56</v>
      </c>
      <c r="E36" s="7" t="s">
        <v>36</v>
      </c>
      <c r="F36" s="7" t="s">
        <v>91</v>
      </c>
      <c r="G36" s="7">
        <v>2017</v>
      </c>
      <c r="H36" s="7" t="str">
        <f>CONCATENATE("14270301626")</f>
        <v>14270301626</v>
      </c>
      <c r="I36" s="7" t="s">
        <v>30</v>
      </c>
      <c r="J36" s="7" t="s">
        <v>31</v>
      </c>
      <c r="K36" s="7" t="str">
        <f>CONCATENATE("")</f>
        <v/>
      </c>
      <c r="L36" s="7" t="str">
        <f>CONCATENATE("4 4.1 2a")</f>
        <v>4 4.1 2a</v>
      </c>
      <c r="M36" s="7" t="str">
        <f>CONCATENATE("DMTNDR82M16A462P")</f>
        <v>DMTNDR82M16A462P</v>
      </c>
      <c r="N36" s="7" t="s">
        <v>98</v>
      </c>
      <c r="O36" s="7" t="s">
        <v>93</v>
      </c>
      <c r="P36" s="8">
        <v>44509</v>
      </c>
      <c r="Q36" s="7" t="s">
        <v>32</v>
      </c>
      <c r="R36" s="7" t="s">
        <v>33</v>
      </c>
      <c r="S36" s="7" t="s">
        <v>34</v>
      </c>
      <c r="T36" s="7"/>
      <c r="U36" s="7" t="s">
        <v>35</v>
      </c>
      <c r="V36" s="9">
        <v>109475.25</v>
      </c>
      <c r="W36" s="9">
        <v>47205.73</v>
      </c>
      <c r="X36" s="9">
        <v>43593.04</v>
      </c>
      <c r="Y36" s="7">
        <v>0</v>
      </c>
      <c r="Z36" s="9">
        <v>18676.48</v>
      </c>
    </row>
    <row r="37" spans="1:26" x14ac:dyDescent="0.35">
      <c r="A37" s="7" t="s">
        <v>27</v>
      </c>
      <c r="B37" s="7" t="s">
        <v>28</v>
      </c>
      <c r="C37" s="7" t="s">
        <v>42</v>
      </c>
      <c r="D37" s="7" t="s">
        <v>56</v>
      </c>
      <c r="E37" s="7" t="s">
        <v>36</v>
      </c>
      <c r="F37" s="7" t="s">
        <v>91</v>
      </c>
      <c r="G37" s="7">
        <v>2017</v>
      </c>
      <c r="H37" s="7" t="str">
        <f>CONCATENATE("14270304919")</f>
        <v>14270304919</v>
      </c>
      <c r="I37" s="7" t="s">
        <v>30</v>
      </c>
      <c r="J37" s="7" t="s">
        <v>31</v>
      </c>
      <c r="K37" s="7" t="str">
        <f>CONCATENATE("")</f>
        <v/>
      </c>
      <c r="L37" s="7" t="str">
        <f>CONCATENATE("4 4.1 2a")</f>
        <v>4 4.1 2a</v>
      </c>
      <c r="M37" s="7" t="str">
        <f>CONCATENATE("01507720447")</f>
        <v>01507720447</v>
      </c>
      <c r="N37" s="7" t="s">
        <v>99</v>
      </c>
      <c r="O37" s="7" t="s">
        <v>93</v>
      </c>
      <c r="P37" s="8">
        <v>44509</v>
      </c>
      <c r="Q37" s="7" t="s">
        <v>32</v>
      </c>
      <c r="R37" s="7" t="s">
        <v>33</v>
      </c>
      <c r="S37" s="7" t="s">
        <v>34</v>
      </c>
      <c r="T37" s="7"/>
      <c r="U37" s="7" t="s">
        <v>35</v>
      </c>
      <c r="V37" s="9">
        <v>30747.5</v>
      </c>
      <c r="W37" s="9">
        <v>13258.32</v>
      </c>
      <c r="X37" s="9">
        <v>12243.65</v>
      </c>
      <c r="Y37" s="7">
        <v>0</v>
      </c>
      <c r="Z37" s="9">
        <v>5245.53</v>
      </c>
    </row>
    <row r="38" spans="1:26" x14ac:dyDescent="0.35">
      <c r="A38" s="7" t="s">
        <v>27</v>
      </c>
      <c r="B38" s="7" t="s">
        <v>28</v>
      </c>
      <c r="C38" s="7" t="s">
        <v>42</v>
      </c>
      <c r="D38" s="7" t="s">
        <v>43</v>
      </c>
      <c r="E38" s="7" t="s">
        <v>29</v>
      </c>
      <c r="F38" s="7" t="s">
        <v>29</v>
      </c>
      <c r="G38" s="7">
        <v>2017</v>
      </c>
      <c r="H38" s="7" t="str">
        <f>CONCATENATE("14270303010")</f>
        <v>14270303010</v>
      </c>
      <c r="I38" s="7" t="s">
        <v>30</v>
      </c>
      <c r="J38" s="7" t="s">
        <v>31</v>
      </c>
      <c r="K38" s="7" t="str">
        <f>CONCATENATE("")</f>
        <v/>
      </c>
      <c r="L38" s="7" t="str">
        <f>CONCATENATE("4 4.1 2a")</f>
        <v>4 4.1 2a</v>
      </c>
      <c r="M38" s="7" t="str">
        <f>CONCATENATE("RZOLRD83H02E783Q")</f>
        <v>RZOLRD83H02E783Q</v>
      </c>
      <c r="N38" s="7" t="s">
        <v>100</v>
      </c>
      <c r="O38" s="7" t="s">
        <v>101</v>
      </c>
      <c r="P38" s="8">
        <v>44509</v>
      </c>
      <c r="Q38" s="7" t="s">
        <v>32</v>
      </c>
      <c r="R38" s="7" t="s">
        <v>37</v>
      </c>
      <c r="S38" s="7" t="s">
        <v>34</v>
      </c>
      <c r="T38" s="7"/>
      <c r="U38" s="7" t="s">
        <v>35</v>
      </c>
      <c r="V38" s="9">
        <v>38250</v>
      </c>
      <c r="W38" s="9">
        <v>16493.400000000001</v>
      </c>
      <c r="X38" s="9">
        <v>15231.15</v>
      </c>
      <c r="Y38" s="7">
        <v>0</v>
      </c>
      <c r="Z38" s="9">
        <v>6525.45</v>
      </c>
    </row>
    <row r="39" spans="1:26" x14ac:dyDescent="0.35">
      <c r="A39" s="7" t="s">
        <v>27</v>
      </c>
      <c r="B39" s="7" t="s">
        <v>28</v>
      </c>
      <c r="C39" s="7" t="s">
        <v>42</v>
      </c>
      <c r="D39" s="7" t="s">
        <v>42</v>
      </c>
      <c r="E39" s="7" t="s">
        <v>29</v>
      </c>
      <c r="F39" s="7" t="s">
        <v>29</v>
      </c>
      <c r="G39" s="7">
        <v>2017</v>
      </c>
      <c r="H39" s="7" t="str">
        <f>CONCATENATE("14270294532")</f>
        <v>14270294532</v>
      </c>
      <c r="I39" s="7" t="s">
        <v>30</v>
      </c>
      <c r="J39" s="7" t="s">
        <v>31</v>
      </c>
      <c r="K39" s="7" t="str">
        <f>CONCATENATE("")</f>
        <v/>
      </c>
      <c r="L39" s="7" t="str">
        <f>CONCATENATE("19 19.2 6b")</f>
        <v>19 19.2 6b</v>
      </c>
      <c r="M39" s="7" t="str">
        <f>CONCATENATE("00169080439")</f>
        <v>00169080439</v>
      </c>
      <c r="N39" s="7" t="s">
        <v>44</v>
      </c>
      <c r="O39" s="7" t="s">
        <v>102</v>
      </c>
      <c r="P39" s="8">
        <v>44504</v>
      </c>
      <c r="Q39" s="7" t="s">
        <v>32</v>
      </c>
      <c r="R39" s="7" t="s">
        <v>46</v>
      </c>
      <c r="S39" s="7" t="s">
        <v>34</v>
      </c>
      <c r="T39" s="7"/>
      <c r="U39" s="7" t="s">
        <v>35</v>
      </c>
      <c r="V39" s="9">
        <v>68594.720000000001</v>
      </c>
      <c r="W39" s="9">
        <v>29578.04</v>
      </c>
      <c r="X39" s="9">
        <v>27314.42</v>
      </c>
      <c r="Y39" s="7">
        <v>0</v>
      </c>
      <c r="Z39" s="9">
        <v>11702.26</v>
      </c>
    </row>
    <row r="40" spans="1:26" x14ac:dyDescent="0.35">
      <c r="A40" s="7" t="s">
        <v>27</v>
      </c>
      <c r="B40" s="7" t="s">
        <v>28</v>
      </c>
      <c r="C40" s="7" t="s">
        <v>42</v>
      </c>
      <c r="D40" s="7" t="s">
        <v>42</v>
      </c>
      <c r="E40" s="7" t="s">
        <v>29</v>
      </c>
      <c r="F40" s="7" t="s">
        <v>29</v>
      </c>
      <c r="G40" s="7">
        <v>2017</v>
      </c>
      <c r="H40" s="7" t="str">
        <f>CONCATENATE("14270294524")</f>
        <v>14270294524</v>
      </c>
      <c r="I40" s="7" t="s">
        <v>30</v>
      </c>
      <c r="J40" s="7" t="s">
        <v>31</v>
      </c>
      <c r="K40" s="7" t="str">
        <f>CONCATENATE("")</f>
        <v/>
      </c>
      <c r="L40" s="7" t="str">
        <f>CONCATENATE("19 19.2 6b")</f>
        <v>19 19.2 6b</v>
      </c>
      <c r="M40" s="7" t="str">
        <f>CONCATENATE("PPTMLS99E42A252Z")</f>
        <v>PPTMLS99E42A252Z</v>
      </c>
      <c r="N40" s="7" t="s">
        <v>103</v>
      </c>
      <c r="O40" s="7" t="s">
        <v>104</v>
      </c>
      <c r="P40" s="8">
        <v>44504</v>
      </c>
      <c r="Q40" s="7" t="s">
        <v>32</v>
      </c>
      <c r="R40" s="7" t="s">
        <v>37</v>
      </c>
      <c r="S40" s="7" t="s">
        <v>34</v>
      </c>
      <c r="T40" s="7"/>
      <c r="U40" s="7" t="s">
        <v>35</v>
      </c>
      <c r="V40" s="9">
        <v>20000</v>
      </c>
      <c r="W40" s="9">
        <v>8624</v>
      </c>
      <c r="X40" s="9">
        <v>7964</v>
      </c>
      <c r="Y40" s="7">
        <v>0</v>
      </c>
      <c r="Z40" s="9">
        <v>3412</v>
      </c>
    </row>
    <row r="41" spans="1:26" x14ac:dyDescent="0.35">
      <c r="A41" s="7" t="s">
        <v>27</v>
      </c>
      <c r="B41" s="7" t="s">
        <v>48</v>
      </c>
      <c r="C41" s="7" t="s">
        <v>42</v>
      </c>
      <c r="D41" s="7" t="s">
        <v>52</v>
      </c>
      <c r="E41" s="7" t="s">
        <v>38</v>
      </c>
      <c r="F41" s="7" t="s">
        <v>105</v>
      </c>
      <c r="G41" s="7">
        <v>2018</v>
      </c>
      <c r="H41" s="7" t="str">
        <f>CONCATENATE("84210779785")</f>
        <v>84210779785</v>
      </c>
      <c r="I41" s="7" t="s">
        <v>39</v>
      </c>
      <c r="J41" s="7" t="s">
        <v>31</v>
      </c>
      <c r="K41" s="7" t="str">
        <f>CONCATENATE("")</f>
        <v/>
      </c>
      <c r="L41" s="7" t="str">
        <f>CONCATENATE("13 13.1 4a")</f>
        <v>13 13.1 4a</v>
      </c>
      <c r="M41" s="7" t="str">
        <f>CONCATENATE("SNTMRN62B62D749P")</f>
        <v>SNTMRN62B62D749P</v>
      </c>
      <c r="N41" s="7" t="s">
        <v>106</v>
      </c>
      <c r="O41" s="7" t="s">
        <v>90</v>
      </c>
      <c r="P41" s="8">
        <v>44504</v>
      </c>
      <c r="Q41" s="7" t="s">
        <v>32</v>
      </c>
      <c r="R41" s="7" t="s">
        <v>33</v>
      </c>
      <c r="S41" s="7" t="s">
        <v>34</v>
      </c>
      <c r="T41" s="7"/>
      <c r="U41" s="7" t="s">
        <v>35</v>
      </c>
      <c r="V41" s="7">
        <v>378.88</v>
      </c>
      <c r="W41" s="7">
        <v>163.37</v>
      </c>
      <c r="X41" s="7">
        <v>150.87</v>
      </c>
      <c r="Y41" s="7">
        <v>0</v>
      </c>
      <c r="Z41" s="7">
        <v>64.64</v>
      </c>
    </row>
  </sheetData>
  <mergeCells count="2">
    <mergeCell ref="A1:Y1"/>
    <mergeCell ref="A2:Y2"/>
  </mergeCells>
  <pageMargins left="0.75" right="0.75" top="1" bottom="1" header="0.5" footer="0.5"/>
  <pageSetup paperSize="9" orientation="portrait" horizontalDpi="300" verticalDpi="0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19018</vt:lpwstr>
  </property>
  <property fmtid="{D5CDD505-2E9C-101B-9397-08002B2CF9AE}" pid="4" name="OptimizationTime">
    <vt:lpwstr>20211115_1550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2021-11-15T14:21:59Z</dcterms:created>
  <dcterms:modified xsi:type="dcterms:W3CDTF">2021-11-15T14:22:41Z</dcterms:modified>
</cp:coreProperties>
</file>