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7/"/>
    </mc:Choice>
  </mc:AlternateContent>
  <xr:revisionPtr revIDLastSave="0" documentId="8_{685A9DF0-0E95-41FF-9A5A-CE05FB74909A}" xr6:coauthVersionLast="45" xr6:coauthVersionMax="45" xr10:uidLastSave="{00000000-0000-0000-0000-000000000000}"/>
  <bookViews>
    <workbookView xWindow="-110" yWindow="-110" windowWidth="19420" windowHeight="10420" xr2:uid="{8FFEF9DD-036E-40BA-A298-E11659E1CD6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6" i="1" l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<sst xmlns="http://schemas.openxmlformats.org/spreadsheetml/2006/main" count="1189" uniqueCount="194">
  <si>
    <t>Dettaglio Domande Pagabili Decreto 487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</si>
  <si>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</si>
  <si>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</si>
  <si>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</si>
  <si>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</si>
  <si>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</si>
  <si>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</si>
  <si>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</si>
  <si>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</si>
  <si>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</si>
  <si>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</si>
  <si>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</si>
  <si>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</si>
  <si>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</si>
  <si>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</si>
  <si>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</si>
  <si>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</si>
  <si>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</si>
  <si>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</si>
  <si>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</si>
  <si>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</si>
  <si>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</si>
  <si>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</si>
  <si>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</si>
  <si>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</si>
  <si>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</si>
  <si>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</si>
  <si>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</si>
  <si>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</si>
  <si>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</si>
  <si>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</si>
  <si>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</si>
  <si>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</si>
  <si>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</t>
  </si>
  <si>
    <t>Co-Finanziato</t>
  </si>
  <si>
    <t>Ordinario</t>
  </si>
  <si>
    <t>Saldo</t>
  </si>
  <si>
    <t>CAA UNICAA srl</t>
  </si>
  <si>
    <t>SI</t>
  </si>
  <si>
    <t>CAA Confagricoltura srl</t>
  </si>
  <si>
    <t>CAA Coldiretti srl</t>
  </si>
  <si>
    <t>CAA CIA srl</t>
  </si>
  <si>
    <t>Anticipo</t>
  </si>
  <si>
    <t>CAA-CAF AGRI S.R.L.</t>
  </si>
  <si>
    <t>CAA Liberi Professionisti srl</t>
  </si>
  <si>
    <t>Misure a Superficie</t>
  </si>
  <si>
    <t>Trascinamenti</t>
  </si>
  <si>
    <t>CAA LiberiAgricoltori srl già CAA AGCI srl</t>
  </si>
  <si>
    <t>CAA C.A.N.A.P.A. srl</t>
  </si>
  <si>
    <t>MARCHE</t>
  </si>
  <si>
    <t>SERV. DEC. AGRICOLTURA E ALIMENTAZIONE - ANCONA</t>
  </si>
  <si>
    <t>CAA Coldiretti - ANCONA - 005</t>
  </si>
  <si>
    <t>OTTAVIANI MIRCO</t>
  </si>
  <si>
    <t>AGEA.ASR.2020.1862395</t>
  </si>
  <si>
    <t>SERV. DEC. AGRICOLTURA E ALIM. -ASCOLI PICENO</t>
  </si>
  <si>
    <t>VIRGILI GABRIELE</t>
  </si>
  <si>
    <t>AGEA.ASR.2016.0322901</t>
  </si>
  <si>
    <t>SERV. DEC. AGRICOLTURA E ALIMENTAZIONE - PESARO</t>
  </si>
  <si>
    <t>CAA CIA - PESARO E URBINO - 007</t>
  </si>
  <si>
    <t>PROCACCINI ALFONSO</t>
  </si>
  <si>
    <t>AGEA.ASR.2021.1065074</t>
  </si>
  <si>
    <t>CAA LiberiAgricoltori - PESARO E URBINO - 002</t>
  </si>
  <si>
    <t>AMBROSIO ARCANGELO</t>
  </si>
  <si>
    <t>AGEA.ASR.2021.1098572</t>
  </si>
  <si>
    <t>SERV. DEC. AGRICOLTURA E ALIM. - MACERATA</t>
  </si>
  <si>
    <t>CAA Coldiretti - MACERATA - 007</t>
  </si>
  <si>
    <t>CARDUCCI GIUSEPPE</t>
  </si>
  <si>
    <t>CAA Coldiretti - PESARO E URBINO - 004</t>
  </si>
  <si>
    <t>CECCHINI VERONICA</t>
  </si>
  <si>
    <t>CAA Coldiretti - MACERATA - 017</t>
  </si>
  <si>
    <t>SOCIETA' AGRICOLA CASA GRIMALDI S.S.</t>
  </si>
  <si>
    <t>BEBI EMILIO</t>
  </si>
  <si>
    <t>CAA CIA - ANCONA - 002</t>
  </si>
  <si>
    <t>SOCIETA' AGRICOLA ALBAMOCCO S.S. DI RUSSOTTO FILIPPO E MATILDE</t>
  </si>
  <si>
    <t>AGEA.ASR.2021.1105668</t>
  </si>
  <si>
    <t>AGEA.ASR.2021.1105671</t>
  </si>
  <si>
    <t>FATTORIE MARCHIGIANE CONSORZIO COOPERATIVO - SOCIETA' AGRICOLA</t>
  </si>
  <si>
    <t>AGEA.ASR.2021.1098591</t>
  </si>
  <si>
    <t>CONSORZIO AGRARIO ADRIATICO SOCIETA' COOPERATIVA</t>
  </si>
  <si>
    <t>AGEA.ASR.2021.1067212</t>
  </si>
  <si>
    <t>CAU MARCELLO</t>
  </si>
  <si>
    <t>AGEA.ASR.2021.1065077</t>
  </si>
  <si>
    <t>CAA CIA - PESARO E URBINO - 002</t>
  </si>
  <si>
    <t>SPECCHIA MARIA GABRIELLA</t>
  </si>
  <si>
    <t>CAA LiberiAgricoltori - MACERATA - 004</t>
  </si>
  <si>
    <t>RINOZZI CLAUDIO</t>
  </si>
  <si>
    <t>CAA Confagricoltura - PESARO E URBINO - 001</t>
  </si>
  <si>
    <t>ADVERSI ELISABETTA</t>
  </si>
  <si>
    <t>CAA UNICAA - ANCONA - 003</t>
  </si>
  <si>
    <t>TENAGLIA MAURA</t>
  </si>
  <si>
    <t>CAA LiberiAgricoltori - MACERATA - 002</t>
  </si>
  <si>
    <t>COMUNANZA AGRARIA DI POGGIO LAVERINO</t>
  </si>
  <si>
    <t>AGEA.ASR.2021.1056258</t>
  </si>
  <si>
    <t>CAA Coldiretti - PESARO E URBINO - 010</t>
  </si>
  <si>
    <t>SILVESTRINI ISABELLA</t>
  </si>
  <si>
    <t>CAA UNICAA - ASCOLI PICENO - 004</t>
  </si>
  <si>
    <t>KRANENDONK JOHANNA THERESIA MARIA</t>
  </si>
  <si>
    <t>DE ANGELIS DOMENICO</t>
  </si>
  <si>
    <t>CAA CIA - PESARO E URBINO - 005</t>
  </si>
  <si>
    <t>GUATIERI CHRISTIAN</t>
  </si>
  <si>
    <t>CAA LiberiAgricoltori - RIMINI - 001</t>
  </si>
  <si>
    <t>BROCCOLI ADRIANO</t>
  </si>
  <si>
    <t>SALVATORI MANFREDO</t>
  </si>
  <si>
    <t>SOCIETA' AGRICOLA - ALESSANDRI ANGELO E GIUSEPPE SOC. SEMPLICE</t>
  </si>
  <si>
    <t>CAA LiberiAgricoltori - MACERATA - 001</t>
  </si>
  <si>
    <t>SOCIETA' AGRICOLA COSIMI S. S.</t>
  </si>
  <si>
    <t>CAA Coldiretti - PESARO E URBINO - 013</t>
  </si>
  <si>
    <t>MONTEBELLO COOPERATIVA AGROBIOLOGICA</t>
  </si>
  <si>
    <t>CAA Coldiretti - MACERATA - 018</t>
  </si>
  <si>
    <t>SOCIETA' AGRICOLA TAMANTI RENZO E C. S.S.</t>
  </si>
  <si>
    <t>CAA Coldiretti - FERMO - 001</t>
  </si>
  <si>
    <t>GEMINIANI MARINO</t>
  </si>
  <si>
    <t>CONFCOOPERATIVE MARCHE</t>
  </si>
  <si>
    <t>AGEA.ASR.2021.1099618</t>
  </si>
  <si>
    <t>SERAFINI FABIO</t>
  </si>
  <si>
    <t>AGEA.ASR.2021.0999556</t>
  </si>
  <si>
    <t>CAA Coldiretti - ANCONA - 001</t>
  </si>
  <si>
    <t>GARDONI MARIA LETIZIA</t>
  </si>
  <si>
    <t>AGEA.ASR.2021.1059760</t>
  </si>
  <si>
    <t>COMUNE DI PETRIANO</t>
  </si>
  <si>
    <t>AGEA.ASR.2021.1088802</t>
  </si>
  <si>
    <t>COMUNE DI TAVOLETO</t>
  </si>
  <si>
    <t>AGEA.ASR.2021.1103201</t>
  </si>
  <si>
    <t>CINGOLANI GIOVANNI</t>
  </si>
  <si>
    <t>AGEA.ASR.2021.1091387</t>
  </si>
  <si>
    <t>SOCIETA' AGRICOLA CAMPORESI S.S.</t>
  </si>
  <si>
    <t>SOCIETA' AGRICOLA FAMIGLIA TOMASSETTI</t>
  </si>
  <si>
    <t>CAA Confagricoltura - MACERATA - 001</t>
  </si>
  <si>
    <t>SOCIETA' AGRICOLA IL MULINO DI PONTANI GIULIA E C. S.S.</t>
  </si>
  <si>
    <t>TROIANI MARIO</t>
  </si>
  <si>
    <t>CAA Coldiretti - ANCONA - 003</t>
  </si>
  <si>
    <t>SOCIETA' AGRICOLA MOSCI PAOLO-ROBERTO-LORENZO SOCIETA' SEMPLICE</t>
  </si>
  <si>
    <t>CAA Coldiretti - CREMONA - 004</t>
  </si>
  <si>
    <t>SOCIETA' AGRICOLA BIOLOGICA DEL PARCO SRL</t>
  </si>
  <si>
    <t>AGEA.ASR.2021.1104408</t>
  </si>
  <si>
    <t>CAA Liberi Prof.- PESARO E URBINO - 001</t>
  </si>
  <si>
    <t>PETTINARI ANNA MARIA</t>
  </si>
  <si>
    <t>RIVELLI MARIO</t>
  </si>
  <si>
    <t>CAA Coldiretti - ANCONA - 002</t>
  </si>
  <si>
    <t>RAGGI AROLDO</t>
  </si>
  <si>
    <t>BONIFAZI ROBERTO</t>
  </si>
  <si>
    <t>CAA Coldiretti - RIMINI - 002</t>
  </si>
  <si>
    <t>AGRICOLA GIARDINO DI GALANTI LORIANA &amp; C. SAS</t>
  </si>
  <si>
    <t>AGEA.ASR.2021.1103122</t>
  </si>
  <si>
    <t>CECCUCCI MARIA-GRAZIA</t>
  </si>
  <si>
    <t>CAA CIA - ANCONA - 005</t>
  </si>
  <si>
    <t>PETROLATI ANGELO</t>
  </si>
  <si>
    <t>CAA CAF AGRI - MACERATA - 224</t>
  </si>
  <si>
    <t>RICCIONI FRANCESCO</t>
  </si>
  <si>
    <t>AGEA.ASR.2021.1089378</t>
  </si>
  <si>
    <t>SEBASTIANI JOHNNY</t>
  </si>
  <si>
    <t>CAA Coldiretti - PESARO E URBINO - 006</t>
  </si>
  <si>
    <t>ROSATELLI NICOLA</t>
  </si>
  <si>
    <t>CAA Coldiretti - MACERATA - 010</t>
  </si>
  <si>
    <t>PICCHIO GENNY</t>
  </si>
  <si>
    <t>CAA Coldiretti - PESARO E URBINO - 001</t>
  </si>
  <si>
    <t>CATANI SONIA</t>
  </si>
  <si>
    <t>SOCIETA' AGRICOLA GRANDONI MAURIZIO E C. S.S.</t>
  </si>
  <si>
    <t>CAA Confagricoltura - ANCONA - 001</t>
  </si>
  <si>
    <t>GABRIELLI LORENZO</t>
  </si>
  <si>
    <t>UNIVERSITA' DELLE XII FAMIGLIE ORIGINARIE DI CHIASERNA</t>
  </si>
  <si>
    <t>AZIENDA AGRICOLA MONTANARA - SAS DI PICCIAFUOCO CINZIA &amp; C</t>
  </si>
  <si>
    <t>AZIENDA SPECIALE CONSORZIALE DEL CATRIA</t>
  </si>
  <si>
    <t>CAA Confagricoltura - FORLI' - CESENA - 001</t>
  </si>
  <si>
    <t>MARCHIONNI LORIS</t>
  </si>
  <si>
    <t>CAA C.A.N.A.P.A. - MACERATA - 001</t>
  </si>
  <si>
    <t>CRONOS SOCIETA' COOPERATIVA AGRICOLA ONLUS A RL</t>
  </si>
  <si>
    <t>LOCCI ARTEMIO</t>
  </si>
  <si>
    <t>SABBATINI ROSSETTI LUCA</t>
  </si>
  <si>
    <t>CAA LiberiAgricoltori - MACERATA - 003</t>
  </si>
  <si>
    <t>PALAZZETTI GIANFRANCO</t>
  </si>
  <si>
    <t>AGRICOLA F.LLI CASAVECCHIA S.S.DI CASAVECCHIA GABRIELE</t>
  </si>
  <si>
    <t>RICCI DAVID</t>
  </si>
  <si>
    <t>COMUNANZA AGRARIA DEGLI UOMINI ORIGINARI DI SERRA SANT'ABBONDIO</t>
  </si>
  <si>
    <t>MARCHETTI MICHELE</t>
  </si>
  <si>
    <t>AGEA.ASR.2021.1065070</t>
  </si>
  <si>
    <t>GOBBI FEDERICA</t>
  </si>
  <si>
    <t>AGEA.ASR.2021.1092084</t>
  </si>
  <si>
    <t>FELICI PIETRO</t>
  </si>
  <si>
    <t>AGEA.ASR.2021.1098584</t>
  </si>
  <si>
    <t>SOCIETA' AGRICOLA FLORE PAOLO &amp; C. S.S.</t>
  </si>
  <si>
    <t>AGEA.ASR.2021.1088220</t>
  </si>
  <si>
    <t>FICCADENTI FRANCESCO</t>
  </si>
  <si>
    <t>AGEA.ASR.2021.1092113</t>
  </si>
  <si>
    <t>SOC.AGR.TERRA DI MONDO SRL</t>
  </si>
  <si>
    <t>CAA Copagri srl</t>
  </si>
  <si>
    <t>CAA Copagri - MACERATA - 501</t>
  </si>
  <si>
    <t>SEVERINI LINA</t>
  </si>
  <si>
    <t>AGEA.ASR.2021.0946635</t>
  </si>
  <si>
    <t>DONATI GIANCARLO</t>
  </si>
  <si>
    <t>AGEA.ASR.2021.0946636</t>
  </si>
  <si>
    <t>CAA CIA - ASCOLI PICENO - 002</t>
  </si>
  <si>
    <t>REMIA GIACOMO</t>
  </si>
  <si>
    <t>AGEA.ASR.2021.1044429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</si>
</sst>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24F2-8166-4677-94FC-66F2749D57AF}">
  <dimension ref="A1:Z86"/>
  <sheetViews>
    <sheetView showGridLines="0" tabSelected="1" workbookViewId="0">
      <selection activeCell="F92" sqref="F9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17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49</v>
      </c>
      <c r="D4" s="7" t="s">
        <v>50</v>
      </c>
      <c r="E4" s="7" t="s">
        <v>40</v>
      </c>
      <c r="F4" s="7" t="s">
        <v>51</v>
      </c>
      <c r="G4" s="7">
        <v>2017</v>
      </c>
      <c r="H4" s="7" t="str">
        <f>_xlfn.CONCAT("84270138385")</f>
        <v>84270138385</v>
      </c>
      <c r="I4" s="7" t="s">
        <v>30</v>
      </c>
      <c r="J4" s="7" t="s">
        <v>31</v>
      </c>
      <c r="K4" s="7" t="str">
        <f>_xlfn.CONCAT("")</f>
        <v/>
      </c>
      <c r="L4" s="7" t="str">
        <f>_xlfn.CONCAT("3 3.1 3a")</f>
        <v>3 3.1 3a</v>
      </c>
      <c r="M4" s="7" t="str">
        <f>_xlfn.CONCAT("TTVMRC84S07D451E")</f>
        <v>TTVMRC84S07D451E</v>
      </c>
      <c r="N4" s="7" t="s">
        <v>52</v>
      </c>
      <c r="O4" s="7" t="s">
        <v>53</v>
      </c>
      <c r="P4" s="8">
        <v>44187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1267.9100000000001</v>
      </c>
      <c r="W4" s="7">
        <v>546.72</v>
      </c>
      <c r="X4" s="7">
        <v>504.88</v>
      </c>
      <c r="Y4" s="7">
        <v>0</v>
      </c>
      <c r="Z4" s="7">
        <v>216.31</v>
      </c>
    </row>
    <row r="5" spans="1:26" x14ac:dyDescent="0.35">
      <c r="A5" s="7" t="s">
        <v>27</v>
      </c>
      <c r="B5" s="7" t="s">
        <v>28</v>
      </c>
      <c r="C5" s="7" t="s">
        <v>49</v>
      </c>
      <c r="D5" s="7" t="s">
        <v>54</v>
      </c>
      <c r="E5" s="7" t="s">
        <v>29</v>
      </c>
      <c r="F5" s="7" t="s">
        <v>29</v>
      </c>
      <c r="G5" s="7">
        <v>2008</v>
      </c>
      <c r="H5" s="7" t="str">
        <f>_xlfn.CONCAT("84758362093")</f>
        <v>84758362093</v>
      </c>
      <c r="I5" s="7" t="s">
        <v>30</v>
      </c>
      <c r="J5" s="7" t="s">
        <v>46</v>
      </c>
      <c r="K5" s="7" t="str">
        <f>_xlfn.CONCAT("132")</f>
        <v>132</v>
      </c>
      <c r="L5" s="7" t="str">
        <f>_xlfn.CONCAT("3 3.1 3a")</f>
        <v>3 3.1 3a</v>
      </c>
      <c r="M5" s="7" t="str">
        <f>_xlfn.CONCAT("VRGGRL54T06B727U")</f>
        <v>VRGGRL54T06B727U</v>
      </c>
      <c r="N5" s="7" t="s">
        <v>55</v>
      </c>
      <c r="O5" s="7" t="s">
        <v>56</v>
      </c>
      <c r="P5" s="8">
        <v>42541</v>
      </c>
      <c r="Q5" s="7" t="s">
        <v>32</v>
      </c>
      <c r="R5" s="7" t="s">
        <v>36</v>
      </c>
      <c r="S5" s="7" t="s">
        <v>34</v>
      </c>
      <c r="T5" s="7"/>
      <c r="U5" s="7" t="s">
        <v>35</v>
      </c>
      <c r="V5" s="7">
        <v>169.86</v>
      </c>
      <c r="W5" s="7">
        <v>73.239999999999995</v>
      </c>
      <c r="X5" s="7">
        <v>67.64</v>
      </c>
      <c r="Y5" s="7">
        <v>0</v>
      </c>
      <c r="Z5" s="7">
        <v>28.98</v>
      </c>
    </row>
    <row r="6" spans="1:26" x14ac:dyDescent="0.35">
      <c r="A6" s="7" t="s">
        <v>27</v>
      </c>
      <c r="B6" s="7" t="s">
        <v>45</v>
      </c>
      <c r="C6" s="7" t="s">
        <v>49</v>
      </c>
      <c r="D6" s="7" t="s">
        <v>57</v>
      </c>
      <c r="E6" s="7" t="s">
        <v>41</v>
      </c>
      <c r="F6" s="7" t="s">
        <v>58</v>
      </c>
      <c r="G6" s="7">
        <v>2020</v>
      </c>
      <c r="H6" s="7" t="str">
        <f>_xlfn.CONCAT("04241062308")</f>
        <v>04241062308</v>
      </c>
      <c r="I6" s="7" t="s">
        <v>30</v>
      </c>
      <c r="J6" s="7" t="s">
        <v>31</v>
      </c>
      <c r="K6" s="7" t="str">
        <f>_xlfn.CONCAT("")</f>
        <v/>
      </c>
      <c r="L6" s="7" t="str">
        <f>_xlfn.CONCAT("10 10.1 4a")</f>
        <v>10 10.1 4a</v>
      </c>
      <c r="M6" s="7" t="str">
        <f>_xlfn.CONCAT("PRCLNS83L06A783R")</f>
        <v>PRCLNS83L06A783R</v>
      </c>
      <c r="N6" s="7" t="s">
        <v>59</v>
      </c>
      <c r="O6" s="7" t="s">
        <v>60</v>
      </c>
      <c r="P6" s="8">
        <v>44470</v>
      </c>
      <c r="Q6" s="7" t="s">
        <v>32</v>
      </c>
      <c r="R6" s="7" t="s">
        <v>36</v>
      </c>
      <c r="S6" s="7" t="s">
        <v>34</v>
      </c>
      <c r="T6" s="7"/>
      <c r="U6" s="7" t="s">
        <v>35</v>
      </c>
      <c r="V6" s="9">
        <v>7361.36</v>
      </c>
      <c r="W6" s="9">
        <v>3174.22</v>
      </c>
      <c r="X6" s="9">
        <v>2931.29</v>
      </c>
      <c r="Y6" s="7">
        <v>0</v>
      </c>
      <c r="Z6" s="9">
        <v>1255.8499999999999</v>
      </c>
    </row>
    <row r="7" spans="1:26" x14ac:dyDescent="0.35">
      <c r="A7" s="7" t="s">
        <v>27</v>
      </c>
      <c r="B7" s="7" t="s">
        <v>28</v>
      </c>
      <c r="C7" s="7" t="s">
        <v>49</v>
      </c>
      <c r="D7" s="7" t="s">
        <v>57</v>
      </c>
      <c r="E7" s="7" t="s">
        <v>47</v>
      </c>
      <c r="F7" s="7" t="s">
        <v>61</v>
      </c>
      <c r="G7" s="7">
        <v>2017</v>
      </c>
      <c r="H7" s="7" t="str">
        <f>_xlfn.CONCAT("14270104541")</f>
        <v>14270104541</v>
      </c>
      <c r="I7" s="7" t="s">
        <v>30</v>
      </c>
      <c r="J7" s="7" t="s">
        <v>31</v>
      </c>
      <c r="K7" s="7" t="str">
        <f>_xlfn.CONCAT("")</f>
        <v/>
      </c>
      <c r="L7" s="7" t="str">
        <f>_xlfn.CONCAT("21 21.1 2a")</f>
        <v>21 21.1 2a</v>
      </c>
      <c r="M7" s="7" t="str">
        <f>_xlfn.CONCAT("MBRRNG69A28F839I")</f>
        <v>MBRRNG69A28F839I</v>
      </c>
      <c r="N7" s="7" t="s">
        <v>62</v>
      </c>
      <c r="O7" s="7" t="s">
        <v>63</v>
      </c>
      <c r="P7" s="8">
        <v>44470</v>
      </c>
      <c r="Q7" s="7" t="s">
        <v>32</v>
      </c>
      <c r="R7" s="7" t="s">
        <v>36</v>
      </c>
      <c r="S7" s="7" t="s">
        <v>34</v>
      </c>
      <c r="T7" s="7"/>
      <c r="U7" s="7" t="s">
        <v>35</v>
      </c>
      <c r="V7" s="9">
        <v>1260</v>
      </c>
      <c r="W7" s="7">
        <v>543.30999999999995</v>
      </c>
      <c r="X7" s="7">
        <v>501.73</v>
      </c>
      <c r="Y7" s="7">
        <v>0</v>
      </c>
      <c r="Z7" s="7">
        <v>214.96</v>
      </c>
    </row>
    <row r="8" spans="1:26" x14ac:dyDescent="0.35">
      <c r="A8" s="7" t="s">
        <v>27</v>
      </c>
      <c r="B8" s="7" t="s">
        <v>28</v>
      </c>
      <c r="C8" s="7" t="s">
        <v>49</v>
      </c>
      <c r="D8" s="7" t="s">
        <v>64</v>
      </c>
      <c r="E8" s="7" t="s">
        <v>40</v>
      </c>
      <c r="F8" s="7" t="s">
        <v>65</v>
      </c>
      <c r="G8" s="7">
        <v>2017</v>
      </c>
      <c r="H8" s="7" t="str">
        <f>_xlfn.CONCAT("14270138606")</f>
        <v>14270138606</v>
      </c>
      <c r="I8" s="7" t="s">
        <v>30</v>
      </c>
      <c r="J8" s="7" t="s">
        <v>31</v>
      </c>
      <c r="K8" s="7" t="str">
        <f>_xlfn.CONCAT("")</f>
        <v/>
      </c>
      <c r="L8" s="7" t="str">
        <f>_xlfn.CONCAT("21 21.1 2a")</f>
        <v>21 21.1 2a</v>
      </c>
      <c r="M8" s="7" t="str">
        <f>_xlfn.CONCAT("CRDGPP65P09A252I")</f>
        <v>CRDGPP65P09A252I</v>
      </c>
      <c r="N8" s="7" t="s">
        <v>66</v>
      </c>
      <c r="O8" s="7" t="s">
        <v>63</v>
      </c>
      <c r="P8" s="8">
        <v>44470</v>
      </c>
      <c r="Q8" s="7" t="s">
        <v>32</v>
      </c>
      <c r="R8" s="7" t="s">
        <v>36</v>
      </c>
      <c r="S8" s="7" t="s">
        <v>34</v>
      </c>
      <c r="T8" s="7"/>
      <c r="U8" s="7" t="s">
        <v>35</v>
      </c>
      <c r="V8" s="9">
        <v>3846.37</v>
      </c>
      <c r="W8" s="9">
        <v>1658.55</v>
      </c>
      <c r="X8" s="9">
        <v>1531.62</v>
      </c>
      <c r="Y8" s="7">
        <v>0</v>
      </c>
      <c r="Z8" s="7">
        <v>656.2</v>
      </c>
    </row>
    <row r="9" spans="1:26" x14ac:dyDescent="0.35">
      <c r="A9" s="7" t="s">
        <v>27</v>
      </c>
      <c r="B9" s="7" t="s">
        <v>28</v>
      </c>
      <c r="C9" s="7" t="s">
        <v>49</v>
      </c>
      <c r="D9" s="7" t="s">
        <v>57</v>
      </c>
      <c r="E9" s="7" t="s">
        <v>40</v>
      </c>
      <c r="F9" s="7" t="s">
        <v>67</v>
      </c>
      <c r="G9" s="7">
        <v>2017</v>
      </c>
      <c r="H9" s="7" t="str">
        <f>_xlfn.CONCAT("14270120968")</f>
        <v>14270120968</v>
      </c>
      <c r="I9" s="7" t="s">
        <v>30</v>
      </c>
      <c r="J9" s="7" t="s">
        <v>31</v>
      </c>
      <c r="K9" s="7" t="str">
        <f>_xlfn.CONCAT("")</f>
        <v/>
      </c>
      <c r="L9" s="7" t="str">
        <f>_xlfn.CONCAT("21 21.1 2a")</f>
        <v>21 21.1 2a</v>
      </c>
      <c r="M9" s="7" t="str">
        <f>_xlfn.CONCAT("CCCVNC66M63I287P")</f>
        <v>CCCVNC66M63I287P</v>
      </c>
      <c r="N9" s="7" t="s">
        <v>68</v>
      </c>
      <c r="O9" s="7" t="s">
        <v>63</v>
      </c>
      <c r="P9" s="8">
        <v>44470</v>
      </c>
      <c r="Q9" s="7" t="s">
        <v>32</v>
      </c>
      <c r="R9" s="7" t="s">
        <v>36</v>
      </c>
      <c r="S9" s="7" t="s">
        <v>34</v>
      </c>
      <c r="T9" s="7"/>
      <c r="U9" s="7" t="s">
        <v>35</v>
      </c>
      <c r="V9" s="9">
        <v>1575</v>
      </c>
      <c r="W9" s="7">
        <v>679.14</v>
      </c>
      <c r="X9" s="7">
        <v>627.16999999999996</v>
      </c>
      <c r="Y9" s="7">
        <v>0</v>
      </c>
      <c r="Z9" s="7">
        <v>268.69</v>
      </c>
    </row>
    <row r="10" spans="1:26" x14ac:dyDescent="0.35">
      <c r="A10" s="7" t="s">
        <v>27</v>
      </c>
      <c r="B10" s="7" t="s">
        <v>28</v>
      </c>
      <c r="C10" s="7" t="s">
        <v>49</v>
      </c>
      <c r="D10" s="7" t="s">
        <v>64</v>
      </c>
      <c r="E10" s="7" t="s">
        <v>40</v>
      </c>
      <c r="F10" s="7" t="s">
        <v>69</v>
      </c>
      <c r="G10" s="7">
        <v>2017</v>
      </c>
      <c r="H10" s="7" t="str">
        <f>_xlfn.CONCAT("14270159107")</f>
        <v>14270159107</v>
      </c>
      <c r="I10" s="7" t="s">
        <v>38</v>
      </c>
      <c r="J10" s="7" t="s">
        <v>31</v>
      </c>
      <c r="K10" s="7" t="str">
        <f>_xlfn.CONCAT("")</f>
        <v/>
      </c>
      <c r="L10" s="7" t="str">
        <f>_xlfn.CONCAT("21 21.1 2a")</f>
        <v>21 21.1 2a</v>
      </c>
      <c r="M10" s="7" t="str">
        <f>_xlfn.CONCAT("01741530438")</f>
        <v>01741530438</v>
      </c>
      <c r="N10" s="7" t="s">
        <v>70</v>
      </c>
      <c r="O10" s="7" t="s">
        <v>63</v>
      </c>
      <c r="P10" s="8">
        <v>44470</v>
      </c>
      <c r="Q10" s="7" t="s">
        <v>32</v>
      </c>
      <c r="R10" s="7" t="s">
        <v>36</v>
      </c>
      <c r="S10" s="7" t="s">
        <v>34</v>
      </c>
      <c r="T10" s="7"/>
      <c r="U10" s="7" t="s">
        <v>35</v>
      </c>
      <c r="V10" s="9">
        <v>7000</v>
      </c>
      <c r="W10" s="9">
        <v>3018.4</v>
      </c>
      <c r="X10" s="9">
        <v>2787.4</v>
      </c>
      <c r="Y10" s="7">
        <v>0</v>
      </c>
      <c r="Z10" s="9">
        <v>1194.2</v>
      </c>
    </row>
    <row r="11" spans="1:26" x14ac:dyDescent="0.35">
      <c r="A11" s="7" t="s">
        <v>27</v>
      </c>
      <c r="B11" s="7" t="s">
        <v>28</v>
      </c>
      <c r="C11" s="7" t="s">
        <v>49</v>
      </c>
      <c r="D11" s="7" t="s">
        <v>57</v>
      </c>
      <c r="E11" s="7" t="s">
        <v>40</v>
      </c>
      <c r="F11" s="7" t="s">
        <v>67</v>
      </c>
      <c r="G11" s="7">
        <v>2017</v>
      </c>
      <c r="H11" s="7" t="str">
        <f>_xlfn.CONCAT("14270120752")</f>
        <v>14270120752</v>
      </c>
      <c r="I11" s="7" t="s">
        <v>30</v>
      </c>
      <c r="J11" s="7" t="s">
        <v>31</v>
      </c>
      <c r="K11" s="7" t="str">
        <f>_xlfn.CONCAT("")</f>
        <v/>
      </c>
      <c r="L11" s="7" t="str">
        <f>_xlfn.CONCAT("21 21.1 2a")</f>
        <v>21 21.1 2a</v>
      </c>
      <c r="M11" s="7" t="str">
        <f>_xlfn.CONCAT("BBEMLE64R22B816W")</f>
        <v>BBEMLE64R22B816W</v>
      </c>
      <c r="N11" s="7" t="s">
        <v>71</v>
      </c>
      <c r="O11" s="7" t="s">
        <v>63</v>
      </c>
      <c r="P11" s="8">
        <v>44470</v>
      </c>
      <c r="Q11" s="7" t="s">
        <v>32</v>
      </c>
      <c r="R11" s="7" t="s">
        <v>36</v>
      </c>
      <c r="S11" s="7" t="s">
        <v>34</v>
      </c>
      <c r="T11" s="7"/>
      <c r="U11" s="7" t="s">
        <v>35</v>
      </c>
      <c r="V11" s="9">
        <v>2520</v>
      </c>
      <c r="W11" s="9">
        <v>1086.6199999999999</v>
      </c>
      <c r="X11" s="9">
        <v>1003.46</v>
      </c>
      <c r="Y11" s="7">
        <v>0</v>
      </c>
      <c r="Z11" s="7">
        <v>429.92</v>
      </c>
    </row>
    <row r="12" spans="1:26" x14ac:dyDescent="0.35">
      <c r="A12" s="7" t="s">
        <v>27</v>
      </c>
      <c r="B12" s="7" t="s">
        <v>28</v>
      </c>
      <c r="C12" s="7" t="s">
        <v>49</v>
      </c>
      <c r="D12" s="7" t="s">
        <v>50</v>
      </c>
      <c r="E12" s="7" t="s">
        <v>41</v>
      </c>
      <c r="F12" s="7" t="s">
        <v>72</v>
      </c>
      <c r="G12" s="7">
        <v>2017</v>
      </c>
      <c r="H12" s="7" t="str">
        <f>_xlfn.CONCAT("14270265912")</f>
        <v>14270265912</v>
      </c>
      <c r="I12" s="7" t="s">
        <v>30</v>
      </c>
      <c r="J12" s="7" t="s">
        <v>31</v>
      </c>
      <c r="K12" s="7" t="str">
        <f>_xlfn.CONCAT("")</f>
        <v/>
      </c>
      <c r="L12" s="7" t="str">
        <f>_xlfn.CONCAT("6 6.1 2b")</f>
        <v>6 6.1 2b</v>
      </c>
      <c r="M12" s="7" t="str">
        <f>_xlfn.CONCAT("02731470429")</f>
        <v>02731470429</v>
      </c>
      <c r="N12" s="7" t="s">
        <v>73</v>
      </c>
      <c r="O12" s="7" t="s">
        <v>74</v>
      </c>
      <c r="P12" s="8">
        <v>44474</v>
      </c>
      <c r="Q12" s="7" t="s">
        <v>32</v>
      </c>
      <c r="R12" s="7" t="s">
        <v>36</v>
      </c>
      <c r="S12" s="7" t="s">
        <v>34</v>
      </c>
      <c r="T12" s="7"/>
      <c r="U12" s="7" t="s">
        <v>35</v>
      </c>
      <c r="V12" s="9">
        <v>10500</v>
      </c>
      <c r="W12" s="9">
        <v>4527.6000000000004</v>
      </c>
      <c r="X12" s="9">
        <v>4181.1000000000004</v>
      </c>
      <c r="Y12" s="7">
        <v>0</v>
      </c>
      <c r="Z12" s="9">
        <v>1791.3</v>
      </c>
    </row>
    <row r="13" spans="1:26" x14ac:dyDescent="0.35">
      <c r="A13" s="7" t="s">
        <v>27</v>
      </c>
      <c r="B13" s="7" t="s">
        <v>28</v>
      </c>
      <c r="C13" s="7" t="s">
        <v>49</v>
      </c>
      <c r="D13" s="7" t="s">
        <v>50</v>
      </c>
      <c r="E13" s="7" t="s">
        <v>41</v>
      </c>
      <c r="F13" s="7" t="s">
        <v>72</v>
      </c>
      <c r="G13" s="7">
        <v>2017</v>
      </c>
      <c r="H13" s="7" t="str">
        <f>_xlfn.CONCAT("14270265904")</f>
        <v>14270265904</v>
      </c>
      <c r="I13" s="7" t="s">
        <v>30</v>
      </c>
      <c r="J13" s="7" t="s">
        <v>31</v>
      </c>
      <c r="K13" s="7" t="str">
        <f>_xlfn.CONCAT("")</f>
        <v/>
      </c>
      <c r="L13" s="7" t="str">
        <f>_xlfn.CONCAT("4 4.1 2a")</f>
        <v>4 4.1 2a</v>
      </c>
      <c r="M13" s="7" t="str">
        <f>_xlfn.CONCAT("02731470429")</f>
        <v>02731470429</v>
      </c>
      <c r="N13" s="7" t="s">
        <v>73</v>
      </c>
      <c r="O13" s="7" t="s">
        <v>75</v>
      </c>
      <c r="P13" s="8">
        <v>44474</v>
      </c>
      <c r="Q13" s="7" t="s">
        <v>32</v>
      </c>
      <c r="R13" s="7" t="s">
        <v>36</v>
      </c>
      <c r="S13" s="7" t="s">
        <v>34</v>
      </c>
      <c r="T13" s="7"/>
      <c r="U13" s="7" t="s">
        <v>35</v>
      </c>
      <c r="V13" s="9">
        <v>41443.25</v>
      </c>
      <c r="W13" s="9">
        <v>17870.330000000002</v>
      </c>
      <c r="X13" s="9">
        <v>16502.7</v>
      </c>
      <c r="Y13" s="7">
        <v>0</v>
      </c>
      <c r="Z13" s="9">
        <v>7070.22</v>
      </c>
    </row>
    <row r="14" spans="1:26" ht="17.5" x14ac:dyDescent="0.35">
      <c r="A14" s="7" t="s">
        <v>27</v>
      </c>
      <c r="B14" s="7" t="s">
        <v>28</v>
      </c>
      <c r="C14" s="7" t="s">
        <v>49</v>
      </c>
      <c r="D14" s="7" t="s">
        <v>54</v>
      </c>
      <c r="E14" s="7" t="s">
        <v>29</v>
      </c>
      <c r="F14" s="7" t="s">
        <v>29</v>
      </c>
      <c r="G14" s="7">
        <v>2017</v>
      </c>
      <c r="H14" s="7" t="str">
        <f>_xlfn.CONCAT("04270233804")</f>
        <v>04270233804</v>
      </c>
      <c r="I14" s="7" t="s">
        <v>38</v>
      </c>
      <c r="J14" s="7" t="s">
        <v>31</v>
      </c>
      <c r="K14" s="7" t="str">
        <f>_xlfn.CONCAT("")</f>
        <v/>
      </c>
      <c r="L14" s="7" t="str">
        <f>_xlfn.CONCAT("4 4.2 3a")</f>
        <v>4 4.2 3a</v>
      </c>
      <c r="M14" s="7" t="str">
        <f>_xlfn.CONCAT("00433920410")</f>
        <v>00433920410</v>
      </c>
      <c r="N14" s="7" t="s">
        <v>76</v>
      </c>
      <c r="O14" s="7" t="s">
        <v>77</v>
      </c>
      <c r="P14" s="8">
        <v>44470</v>
      </c>
      <c r="Q14" s="7" t="s">
        <v>32</v>
      </c>
      <c r="R14" s="7" t="s">
        <v>36</v>
      </c>
      <c r="S14" s="7" t="s">
        <v>34</v>
      </c>
      <c r="T14" s="7"/>
      <c r="U14" s="7" t="s">
        <v>35</v>
      </c>
      <c r="V14" s="9">
        <v>859367.6</v>
      </c>
      <c r="W14" s="9">
        <v>370559.31</v>
      </c>
      <c r="X14" s="9">
        <v>342200.18</v>
      </c>
      <c r="Y14" s="7">
        <v>0</v>
      </c>
      <c r="Z14" s="9">
        <v>146608.10999999999</v>
      </c>
    </row>
    <row r="15" spans="1:26" x14ac:dyDescent="0.35">
      <c r="A15" s="7" t="s">
        <v>27</v>
      </c>
      <c r="B15" s="7" t="s">
        <v>28</v>
      </c>
      <c r="C15" s="7" t="s">
        <v>49</v>
      </c>
      <c r="D15" s="7" t="s">
        <v>57</v>
      </c>
      <c r="E15" s="7" t="s">
        <v>29</v>
      </c>
      <c r="F15" s="7" t="s">
        <v>29</v>
      </c>
      <c r="G15" s="7">
        <v>2017</v>
      </c>
      <c r="H15" s="7" t="str">
        <f>_xlfn.CONCAT("04270233028")</f>
        <v>04270233028</v>
      </c>
      <c r="I15" s="7" t="s">
        <v>30</v>
      </c>
      <c r="J15" s="7" t="s">
        <v>31</v>
      </c>
      <c r="K15" s="7" t="str">
        <f>_xlfn.CONCAT("")</f>
        <v/>
      </c>
      <c r="L15" s="7" t="str">
        <f>_xlfn.CONCAT("16 16.1 2a")</f>
        <v>16 16.1 2a</v>
      </c>
      <c r="M15" s="7" t="str">
        <f>_xlfn.CONCAT("00142480409")</f>
        <v>00142480409</v>
      </c>
      <c r="N15" s="7" t="s">
        <v>78</v>
      </c>
      <c r="O15" s="7" t="s">
        <v>79</v>
      </c>
      <c r="P15" s="8">
        <v>44474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152570.1</v>
      </c>
      <c r="W15" s="9">
        <v>65788.23</v>
      </c>
      <c r="X15" s="9">
        <v>60753.41</v>
      </c>
      <c r="Y15" s="7">
        <v>0</v>
      </c>
      <c r="Z15" s="9">
        <v>26028.46</v>
      </c>
    </row>
    <row r="16" spans="1:26" x14ac:dyDescent="0.35">
      <c r="A16" s="7" t="s">
        <v>27</v>
      </c>
      <c r="B16" s="7" t="s">
        <v>45</v>
      </c>
      <c r="C16" s="7" t="s">
        <v>49</v>
      </c>
      <c r="D16" s="7" t="s">
        <v>57</v>
      </c>
      <c r="E16" s="7" t="s">
        <v>40</v>
      </c>
      <c r="F16" s="7" t="s">
        <v>67</v>
      </c>
      <c r="G16" s="7">
        <v>2018</v>
      </c>
      <c r="H16" s="7" t="str">
        <f>_xlfn.CONCAT("84241213754")</f>
        <v>84241213754</v>
      </c>
      <c r="I16" s="7" t="s">
        <v>30</v>
      </c>
      <c r="J16" s="7" t="s">
        <v>31</v>
      </c>
      <c r="K16" s="7" t="str">
        <f>_xlfn.CONCAT("")</f>
        <v/>
      </c>
      <c r="L16" s="7" t="str">
        <f>_xlfn.CONCAT("11 11.2 4b")</f>
        <v>11 11.2 4b</v>
      </c>
      <c r="M16" s="7" t="str">
        <f>_xlfn.CONCAT("CAUMCL57S04I749K")</f>
        <v>CAUMCL57S04I749K</v>
      </c>
      <c r="N16" s="7" t="s">
        <v>80</v>
      </c>
      <c r="O16" s="7" t="s">
        <v>81</v>
      </c>
      <c r="P16" s="8">
        <v>44470</v>
      </c>
      <c r="Q16" s="7" t="s">
        <v>32</v>
      </c>
      <c r="R16" s="7" t="s">
        <v>36</v>
      </c>
      <c r="S16" s="7" t="s">
        <v>34</v>
      </c>
      <c r="T16" s="7"/>
      <c r="U16" s="7" t="s">
        <v>35</v>
      </c>
      <c r="V16" s="9">
        <v>8616.35</v>
      </c>
      <c r="W16" s="9">
        <v>3715.37</v>
      </c>
      <c r="X16" s="9">
        <v>3431.03</v>
      </c>
      <c r="Y16" s="7">
        <v>0</v>
      </c>
      <c r="Z16" s="9">
        <v>1469.95</v>
      </c>
    </row>
    <row r="17" spans="1:26" x14ac:dyDescent="0.35">
      <c r="A17" s="7" t="s">
        <v>27</v>
      </c>
      <c r="B17" s="7" t="s">
        <v>45</v>
      </c>
      <c r="C17" s="7" t="s">
        <v>49</v>
      </c>
      <c r="D17" s="7" t="s">
        <v>57</v>
      </c>
      <c r="E17" s="7" t="s">
        <v>41</v>
      </c>
      <c r="F17" s="7" t="s">
        <v>82</v>
      </c>
      <c r="G17" s="7">
        <v>2018</v>
      </c>
      <c r="H17" s="7" t="str">
        <f>_xlfn.CONCAT("84240540421")</f>
        <v>84240540421</v>
      </c>
      <c r="I17" s="7" t="s">
        <v>30</v>
      </c>
      <c r="J17" s="7" t="s">
        <v>31</v>
      </c>
      <c r="K17" s="7" t="str">
        <f>_xlfn.CONCAT("")</f>
        <v/>
      </c>
      <c r="L17" s="7" t="str">
        <f>_xlfn.CONCAT("11 11.2 4b")</f>
        <v>11 11.2 4b</v>
      </c>
      <c r="M17" s="7" t="str">
        <f>_xlfn.CONCAT("SPCMGB49T48F109L")</f>
        <v>SPCMGB49T48F109L</v>
      </c>
      <c r="N17" s="7" t="s">
        <v>83</v>
      </c>
      <c r="O17" s="7" t="s">
        <v>81</v>
      </c>
      <c r="P17" s="8">
        <v>44470</v>
      </c>
      <c r="Q17" s="7" t="s">
        <v>32</v>
      </c>
      <c r="R17" s="7" t="s">
        <v>36</v>
      </c>
      <c r="S17" s="7" t="s">
        <v>34</v>
      </c>
      <c r="T17" s="7"/>
      <c r="U17" s="7" t="s">
        <v>35</v>
      </c>
      <c r="V17" s="7">
        <v>69.78</v>
      </c>
      <c r="W17" s="7">
        <v>30.09</v>
      </c>
      <c r="X17" s="7">
        <v>27.79</v>
      </c>
      <c r="Y17" s="7">
        <v>0</v>
      </c>
      <c r="Z17" s="7">
        <v>11.9</v>
      </c>
    </row>
    <row r="18" spans="1:26" x14ac:dyDescent="0.35">
      <c r="A18" s="7" t="s">
        <v>27</v>
      </c>
      <c r="B18" s="7" t="s">
        <v>45</v>
      </c>
      <c r="C18" s="7" t="s">
        <v>49</v>
      </c>
      <c r="D18" s="7" t="s">
        <v>64</v>
      </c>
      <c r="E18" s="7" t="s">
        <v>47</v>
      </c>
      <c r="F18" s="7" t="s">
        <v>84</v>
      </c>
      <c r="G18" s="7">
        <v>2020</v>
      </c>
      <c r="H18" s="7" t="str">
        <f>_xlfn.CONCAT("04241021593")</f>
        <v>04241021593</v>
      </c>
      <c r="I18" s="7" t="s">
        <v>30</v>
      </c>
      <c r="J18" s="7" t="s">
        <v>31</v>
      </c>
      <c r="K18" s="7" t="str">
        <f>_xlfn.CONCAT("")</f>
        <v/>
      </c>
      <c r="L18" s="7" t="str">
        <f>_xlfn.CONCAT("11 11.2 4b")</f>
        <v>11 11.2 4b</v>
      </c>
      <c r="M18" s="7" t="str">
        <f>_xlfn.CONCAT("RNZCLD64B10B474W")</f>
        <v>RNZCLD64B10B474W</v>
      </c>
      <c r="N18" s="7" t="s">
        <v>85</v>
      </c>
      <c r="O18" s="7" t="s">
        <v>81</v>
      </c>
      <c r="P18" s="8">
        <v>44470</v>
      </c>
      <c r="Q18" s="7" t="s">
        <v>32</v>
      </c>
      <c r="R18" s="7" t="s">
        <v>36</v>
      </c>
      <c r="S18" s="7" t="s">
        <v>34</v>
      </c>
      <c r="T18" s="7"/>
      <c r="U18" s="7" t="s">
        <v>35</v>
      </c>
      <c r="V18" s="9">
        <v>2775.22</v>
      </c>
      <c r="W18" s="9">
        <v>1196.67</v>
      </c>
      <c r="X18" s="9">
        <v>1105.0899999999999</v>
      </c>
      <c r="Y18" s="7">
        <v>0</v>
      </c>
      <c r="Z18" s="7">
        <v>473.46</v>
      </c>
    </row>
    <row r="19" spans="1:26" x14ac:dyDescent="0.35">
      <c r="A19" s="7" t="s">
        <v>27</v>
      </c>
      <c r="B19" s="7" t="s">
        <v>45</v>
      </c>
      <c r="C19" s="7" t="s">
        <v>49</v>
      </c>
      <c r="D19" s="7" t="s">
        <v>57</v>
      </c>
      <c r="E19" s="7" t="s">
        <v>39</v>
      </c>
      <c r="F19" s="7" t="s">
        <v>86</v>
      </c>
      <c r="G19" s="7">
        <v>2020</v>
      </c>
      <c r="H19" s="7" t="str">
        <f>_xlfn.CONCAT("04241043126")</f>
        <v>04241043126</v>
      </c>
      <c r="I19" s="7" t="s">
        <v>30</v>
      </c>
      <c r="J19" s="7" t="s">
        <v>31</v>
      </c>
      <c r="K19" s="7" t="str">
        <f>_xlfn.CONCAT("")</f>
        <v/>
      </c>
      <c r="L19" s="7" t="str">
        <f>_xlfn.CONCAT("11 11.1 4b")</f>
        <v>11 11.1 4b</v>
      </c>
      <c r="M19" s="7" t="str">
        <f>_xlfn.CONCAT("DVRLBT64R52G479Q")</f>
        <v>DVRLBT64R52G479Q</v>
      </c>
      <c r="N19" s="7" t="s">
        <v>87</v>
      </c>
      <c r="O19" s="7" t="s">
        <v>81</v>
      </c>
      <c r="P19" s="8">
        <v>44470</v>
      </c>
      <c r="Q19" s="7" t="s">
        <v>32</v>
      </c>
      <c r="R19" s="7" t="s">
        <v>36</v>
      </c>
      <c r="S19" s="7" t="s">
        <v>34</v>
      </c>
      <c r="T19" s="7"/>
      <c r="U19" s="7" t="s">
        <v>35</v>
      </c>
      <c r="V19" s="7">
        <v>525.29999999999995</v>
      </c>
      <c r="W19" s="7">
        <v>226.51</v>
      </c>
      <c r="X19" s="7">
        <v>209.17</v>
      </c>
      <c r="Y19" s="7">
        <v>0</v>
      </c>
      <c r="Z19" s="7">
        <v>89.62</v>
      </c>
    </row>
    <row r="20" spans="1:26" x14ac:dyDescent="0.35">
      <c r="A20" s="7" t="s">
        <v>27</v>
      </c>
      <c r="B20" s="7" t="s">
        <v>45</v>
      </c>
      <c r="C20" s="7" t="s">
        <v>49</v>
      </c>
      <c r="D20" s="7" t="s">
        <v>57</v>
      </c>
      <c r="E20" s="7" t="s">
        <v>37</v>
      </c>
      <c r="F20" s="7" t="s">
        <v>88</v>
      </c>
      <c r="G20" s="7">
        <v>2020</v>
      </c>
      <c r="H20" s="7" t="str">
        <f>_xlfn.CONCAT("04241092990")</f>
        <v>04241092990</v>
      </c>
      <c r="I20" s="7" t="s">
        <v>30</v>
      </c>
      <c r="J20" s="7" t="s">
        <v>31</v>
      </c>
      <c r="K20" s="7" t="str">
        <f>_xlfn.CONCAT("")</f>
        <v/>
      </c>
      <c r="L20" s="7" t="str">
        <f>_xlfn.CONCAT("11 11.2 4b")</f>
        <v>11 11.2 4b</v>
      </c>
      <c r="M20" s="7" t="str">
        <f>_xlfn.CONCAT("TNGMRA53S69H958N")</f>
        <v>TNGMRA53S69H958N</v>
      </c>
      <c r="N20" s="7" t="s">
        <v>89</v>
      </c>
      <c r="O20" s="7" t="s">
        <v>81</v>
      </c>
      <c r="P20" s="8">
        <v>44470</v>
      </c>
      <c r="Q20" s="7" t="s">
        <v>32</v>
      </c>
      <c r="R20" s="7" t="s">
        <v>36</v>
      </c>
      <c r="S20" s="7" t="s">
        <v>34</v>
      </c>
      <c r="T20" s="7"/>
      <c r="U20" s="7" t="s">
        <v>35</v>
      </c>
      <c r="V20" s="9">
        <v>3902.24</v>
      </c>
      <c r="W20" s="9">
        <v>1682.65</v>
      </c>
      <c r="X20" s="9">
        <v>1553.87</v>
      </c>
      <c r="Y20" s="7">
        <v>0</v>
      </c>
      <c r="Z20" s="7">
        <v>665.72</v>
      </c>
    </row>
    <row r="21" spans="1:26" x14ac:dyDescent="0.35">
      <c r="A21" s="7" t="s">
        <v>27</v>
      </c>
      <c r="B21" s="7" t="s">
        <v>28</v>
      </c>
      <c r="C21" s="7" t="s">
        <v>49</v>
      </c>
      <c r="D21" s="7" t="s">
        <v>64</v>
      </c>
      <c r="E21" s="7" t="s">
        <v>47</v>
      </c>
      <c r="F21" s="7" t="s">
        <v>90</v>
      </c>
      <c r="G21" s="7">
        <v>2017</v>
      </c>
      <c r="H21" s="7" t="str">
        <f>_xlfn.CONCAT("04270233549")</f>
        <v>04270233549</v>
      </c>
      <c r="I21" s="7" t="s">
        <v>30</v>
      </c>
      <c r="J21" s="7" t="s">
        <v>31</v>
      </c>
      <c r="K21" s="7" t="str">
        <f>_xlfn.CONCAT("")</f>
        <v/>
      </c>
      <c r="L21" s="7" t="str">
        <f>_xlfn.CONCAT("16 16.8 5e")</f>
        <v>16 16.8 5e</v>
      </c>
      <c r="M21" s="7" t="str">
        <f>_xlfn.CONCAT("81001770437")</f>
        <v>81001770437</v>
      </c>
      <c r="N21" s="7" t="s">
        <v>91</v>
      </c>
      <c r="O21" s="7" t="s">
        <v>92</v>
      </c>
      <c r="P21" s="8">
        <v>44449</v>
      </c>
      <c r="Q21" s="7" t="s">
        <v>32</v>
      </c>
      <c r="R21" s="7" t="s">
        <v>36</v>
      </c>
      <c r="S21" s="7" t="s">
        <v>34</v>
      </c>
      <c r="T21" s="7"/>
      <c r="U21" s="7" t="s">
        <v>35</v>
      </c>
      <c r="V21" s="9">
        <v>24963.58</v>
      </c>
      <c r="W21" s="9">
        <v>10764.3</v>
      </c>
      <c r="X21" s="9">
        <v>9940.5</v>
      </c>
      <c r="Y21" s="7">
        <v>0</v>
      </c>
      <c r="Z21" s="9">
        <v>4258.78</v>
      </c>
    </row>
    <row r="22" spans="1:26" x14ac:dyDescent="0.35">
      <c r="A22" s="7" t="s">
        <v>27</v>
      </c>
      <c r="B22" s="7" t="s">
        <v>45</v>
      </c>
      <c r="C22" s="7" t="s">
        <v>49</v>
      </c>
      <c r="D22" s="7" t="s">
        <v>57</v>
      </c>
      <c r="E22" s="7" t="s">
        <v>40</v>
      </c>
      <c r="F22" s="7" t="s">
        <v>93</v>
      </c>
      <c r="G22" s="7">
        <v>2018</v>
      </c>
      <c r="H22" s="7" t="str">
        <f>_xlfn.CONCAT("84241681216")</f>
        <v>84241681216</v>
      </c>
      <c r="I22" s="7" t="s">
        <v>30</v>
      </c>
      <c r="J22" s="7" t="s">
        <v>31</v>
      </c>
      <c r="K22" s="7" t="str">
        <f>_xlfn.CONCAT("")</f>
        <v/>
      </c>
      <c r="L22" s="7" t="str">
        <f>_xlfn.CONCAT("11 11.2 4b")</f>
        <v>11 11.2 4b</v>
      </c>
      <c r="M22" s="7" t="str">
        <f>_xlfn.CONCAT("SLVSLL71H56D488E")</f>
        <v>SLVSLL71H56D488E</v>
      </c>
      <c r="N22" s="7" t="s">
        <v>94</v>
      </c>
      <c r="O22" s="7" t="s">
        <v>81</v>
      </c>
      <c r="P22" s="8">
        <v>44470</v>
      </c>
      <c r="Q22" s="7" t="s">
        <v>32</v>
      </c>
      <c r="R22" s="7" t="s">
        <v>36</v>
      </c>
      <c r="S22" s="7" t="s">
        <v>34</v>
      </c>
      <c r="T22" s="7"/>
      <c r="U22" s="7" t="s">
        <v>35</v>
      </c>
      <c r="V22" s="9">
        <v>2698.19</v>
      </c>
      <c r="W22" s="9">
        <v>1163.46</v>
      </c>
      <c r="X22" s="9">
        <v>1074.42</v>
      </c>
      <c r="Y22" s="7">
        <v>0</v>
      </c>
      <c r="Z22" s="7">
        <v>460.31</v>
      </c>
    </row>
    <row r="23" spans="1:26" x14ac:dyDescent="0.35">
      <c r="A23" s="7" t="s">
        <v>27</v>
      </c>
      <c r="B23" s="7" t="s">
        <v>45</v>
      </c>
      <c r="C23" s="7" t="s">
        <v>49</v>
      </c>
      <c r="D23" s="7" t="s">
        <v>54</v>
      </c>
      <c r="E23" s="7" t="s">
        <v>37</v>
      </c>
      <c r="F23" s="7" t="s">
        <v>95</v>
      </c>
      <c r="G23" s="7">
        <v>2017</v>
      </c>
      <c r="H23" s="7" t="str">
        <f>_xlfn.CONCAT("74240917497")</f>
        <v>74240917497</v>
      </c>
      <c r="I23" s="7" t="s">
        <v>30</v>
      </c>
      <c r="J23" s="7" t="s">
        <v>31</v>
      </c>
      <c r="K23" s="7" t="str">
        <f>_xlfn.CONCAT("")</f>
        <v/>
      </c>
      <c r="L23" s="7" t="str">
        <f>_xlfn.CONCAT("11 11.2 4b")</f>
        <v>11 11.2 4b</v>
      </c>
      <c r="M23" s="7" t="str">
        <f>_xlfn.CONCAT("KRNJNN73H60Z126L")</f>
        <v>KRNJNN73H60Z126L</v>
      </c>
      <c r="N23" s="7" t="s">
        <v>96</v>
      </c>
      <c r="O23" s="7" t="s">
        <v>81</v>
      </c>
      <c r="P23" s="8">
        <v>44470</v>
      </c>
      <c r="Q23" s="7" t="s">
        <v>32</v>
      </c>
      <c r="R23" s="7" t="s">
        <v>36</v>
      </c>
      <c r="S23" s="7" t="s">
        <v>34</v>
      </c>
      <c r="T23" s="7"/>
      <c r="U23" s="7" t="s">
        <v>35</v>
      </c>
      <c r="V23" s="9">
        <v>1415.9</v>
      </c>
      <c r="W23" s="7">
        <v>610.54</v>
      </c>
      <c r="X23" s="7">
        <v>563.80999999999995</v>
      </c>
      <c r="Y23" s="7">
        <v>0</v>
      </c>
      <c r="Z23" s="7">
        <v>241.55</v>
      </c>
    </row>
    <row r="24" spans="1:26" x14ac:dyDescent="0.35">
      <c r="A24" s="7" t="s">
        <v>27</v>
      </c>
      <c r="B24" s="7" t="s">
        <v>45</v>
      </c>
      <c r="C24" s="7" t="s">
        <v>49</v>
      </c>
      <c r="D24" s="7" t="s">
        <v>57</v>
      </c>
      <c r="E24" s="7" t="s">
        <v>40</v>
      </c>
      <c r="F24" s="7" t="s">
        <v>67</v>
      </c>
      <c r="G24" s="7">
        <v>2020</v>
      </c>
      <c r="H24" s="7" t="str">
        <f>_xlfn.CONCAT("04240034431")</f>
        <v>04240034431</v>
      </c>
      <c r="I24" s="7" t="s">
        <v>30</v>
      </c>
      <c r="J24" s="7" t="s">
        <v>31</v>
      </c>
      <c r="K24" s="7" t="str">
        <f>_xlfn.CONCAT("")</f>
        <v/>
      </c>
      <c r="L24" s="7" t="str">
        <f>_xlfn.CONCAT("11 11.2 4b")</f>
        <v>11 11.2 4b</v>
      </c>
      <c r="M24" s="7" t="str">
        <f>_xlfn.CONCAT("DNGDNC73L22E785D")</f>
        <v>DNGDNC73L22E785D</v>
      </c>
      <c r="N24" s="7" t="s">
        <v>97</v>
      </c>
      <c r="O24" s="7" t="s">
        <v>81</v>
      </c>
      <c r="P24" s="8">
        <v>44470</v>
      </c>
      <c r="Q24" s="7" t="s">
        <v>32</v>
      </c>
      <c r="R24" s="7" t="s">
        <v>36</v>
      </c>
      <c r="S24" s="7" t="s">
        <v>34</v>
      </c>
      <c r="T24" s="7"/>
      <c r="U24" s="7" t="s">
        <v>35</v>
      </c>
      <c r="V24" s="9">
        <v>2337.88</v>
      </c>
      <c r="W24" s="9">
        <v>1008.09</v>
      </c>
      <c r="X24" s="7">
        <v>930.94</v>
      </c>
      <c r="Y24" s="7">
        <v>0</v>
      </c>
      <c r="Z24" s="7">
        <v>398.85</v>
      </c>
    </row>
    <row r="25" spans="1:26" x14ac:dyDescent="0.35">
      <c r="A25" s="7" t="s">
        <v>27</v>
      </c>
      <c r="B25" s="7" t="s">
        <v>45</v>
      </c>
      <c r="C25" s="7" t="s">
        <v>49</v>
      </c>
      <c r="D25" s="7" t="s">
        <v>57</v>
      </c>
      <c r="E25" s="7" t="s">
        <v>41</v>
      </c>
      <c r="F25" s="7" t="s">
        <v>98</v>
      </c>
      <c r="G25" s="7">
        <v>2020</v>
      </c>
      <c r="H25" s="7" t="str">
        <f>_xlfn.CONCAT("04240792152")</f>
        <v>04240792152</v>
      </c>
      <c r="I25" s="7" t="s">
        <v>30</v>
      </c>
      <c r="J25" s="7" t="s">
        <v>31</v>
      </c>
      <c r="K25" s="7" t="str">
        <f>_xlfn.CONCAT("")</f>
        <v/>
      </c>
      <c r="L25" s="7" t="str">
        <f>_xlfn.CONCAT("11 11.2 4b")</f>
        <v>11 11.2 4b</v>
      </c>
      <c r="M25" s="7" t="str">
        <f>_xlfn.CONCAT("GTRCRS78A24D786U")</f>
        <v>GTRCRS78A24D786U</v>
      </c>
      <c r="N25" s="7" t="s">
        <v>99</v>
      </c>
      <c r="O25" s="7" t="s">
        <v>81</v>
      </c>
      <c r="P25" s="8">
        <v>44470</v>
      </c>
      <c r="Q25" s="7" t="s">
        <v>32</v>
      </c>
      <c r="R25" s="7" t="s">
        <v>36</v>
      </c>
      <c r="S25" s="7" t="s">
        <v>34</v>
      </c>
      <c r="T25" s="7"/>
      <c r="U25" s="7" t="s">
        <v>35</v>
      </c>
      <c r="V25" s="7">
        <v>278.2</v>
      </c>
      <c r="W25" s="7">
        <v>119.96</v>
      </c>
      <c r="X25" s="7">
        <v>110.78</v>
      </c>
      <c r="Y25" s="7">
        <v>0</v>
      </c>
      <c r="Z25" s="7">
        <v>47.46</v>
      </c>
    </row>
    <row r="26" spans="1:26" x14ac:dyDescent="0.35">
      <c r="A26" s="7" t="s">
        <v>27</v>
      </c>
      <c r="B26" s="7" t="s">
        <v>45</v>
      </c>
      <c r="C26" s="7" t="s">
        <v>49</v>
      </c>
      <c r="D26" s="7" t="s">
        <v>57</v>
      </c>
      <c r="E26" s="7" t="s">
        <v>41</v>
      </c>
      <c r="F26" s="7" t="s">
        <v>98</v>
      </c>
      <c r="G26" s="7">
        <v>2020</v>
      </c>
      <c r="H26" s="7" t="str">
        <f>_xlfn.CONCAT("04240891665")</f>
        <v>04240891665</v>
      </c>
      <c r="I26" s="7" t="s">
        <v>30</v>
      </c>
      <c r="J26" s="7" t="s">
        <v>31</v>
      </c>
      <c r="K26" s="7" t="str">
        <f>_xlfn.CONCAT("")</f>
        <v/>
      </c>
      <c r="L26" s="7" t="str">
        <f>_xlfn.CONCAT("11 11.2 4b")</f>
        <v>11 11.2 4b</v>
      </c>
      <c r="M26" s="7" t="str">
        <f>_xlfn.CONCAT("GTRCRS78A24D786U")</f>
        <v>GTRCRS78A24D786U</v>
      </c>
      <c r="N26" s="7" t="s">
        <v>99</v>
      </c>
      <c r="O26" s="7" t="s">
        <v>81</v>
      </c>
      <c r="P26" s="8">
        <v>44470</v>
      </c>
      <c r="Q26" s="7" t="s">
        <v>32</v>
      </c>
      <c r="R26" s="7" t="s">
        <v>36</v>
      </c>
      <c r="S26" s="7" t="s">
        <v>34</v>
      </c>
      <c r="T26" s="7"/>
      <c r="U26" s="7" t="s">
        <v>35</v>
      </c>
      <c r="V26" s="7">
        <v>498.66</v>
      </c>
      <c r="W26" s="7">
        <v>215.02</v>
      </c>
      <c r="X26" s="7">
        <v>198.57</v>
      </c>
      <c r="Y26" s="7">
        <v>0</v>
      </c>
      <c r="Z26" s="7">
        <v>85.07</v>
      </c>
    </row>
    <row r="27" spans="1:26" x14ac:dyDescent="0.35">
      <c r="A27" s="7" t="s">
        <v>27</v>
      </c>
      <c r="B27" s="7" t="s">
        <v>45</v>
      </c>
      <c r="C27" s="7" t="s">
        <v>49</v>
      </c>
      <c r="D27" s="7" t="s">
        <v>57</v>
      </c>
      <c r="E27" s="7" t="s">
        <v>47</v>
      </c>
      <c r="F27" s="7" t="s">
        <v>100</v>
      </c>
      <c r="G27" s="7">
        <v>2020</v>
      </c>
      <c r="H27" s="7" t="str">
        <f>_xlfn.CONCAT("04241581950")</f>
        <v>04241581950</v>
      </c>
      <c r="I27" s="7" t="s">
        <v>30</v>
      </c>
      <c r="J27" s="7" t="s">
        <v>31</v>
      </c>
      <c r="K27" s="7" t="str">
        <f>_xlfn.CONCAT("")</f>
        <v/>
      </c>
      <c r="L27" s="7" t="str">
        <f>_xlfn.CONCAT("11 11.2 4b")</f>
        <v>11 11.2 4b</v>
      </c>
      <c r="M27" s="7" t="str">
        <f>_xlfn.CONCAT("BRCDRN50P12H949R")</f>
        <v>BRCDRN50P12H949R</v>
      </c>
      <c r="N27" s="7" t="s">
        <v>101</v>
      </c>
      <c r="O27" s="7" t="s">
        <v>81</v>
      </c>
      <c r="P27" s="8">
        <v>44470</v>
      </c>
      <c r="Q27" s="7" t="s">
        <v>32</v>
      </c>
      <c r="R27" s="7" t="s">
        <v>36</v>
      </c>
      <c r="S27" s="7" t="s">
        <v>34</v>
      </c>
      <c r="T27" s="7"/>
      <c r="U27" s="7" t="s">
        <v>35</v>
      </c>
      <c r="V27" s="9">
        <v>3243.01</v>
      </c>
      <c r="W27" s="9">
        <v>1398.39</v>
      </c>
      <c r="X27" s="9">
        <v>1291.3699999999999</v>
      </c>
      <c r="Y27" s="7">
        <v>0</v>
      </c>
      <c r="Z27" s="7">
        <v>553.25</v>
      </c>
    </row>
    <row r="28" spans="1:26" x14ac:dyDescent="0.35">
      <c r="A28" s="7" t="s">
        <v>27</v>
      </c>
      <c r="B28" s="7" t="s">
        <v>45</v>
      </c>
      <c r="C28" s="7" t="s">
        <v>49</v>
      </c>
      <c r="D28" s="7" t="s">
        <v>64</v>
      </c>
      <c r="E28" s="7" t="s">
        <v>40</v>
      </c>
      <c r="F28" s="7" t="s">
        <v>69</v>
      </c>
      <c r="G28" s="7">
        <v>2020</v>
      </c>
      <c r="H28" s="7" t="str">
        <f>_xlfn.CONCAT("04240251035")</f>
        <v>04240251035</v>
      </c>
      <c r="I28" s="7" t="s">
        <v>30</v>
      </c>
      <c r="J28" s="7" t="s">
        <v>31</v>
      </c>
      <c r="K28" s="7" t="str">
        <f>_xlfn.CONCAT("")</f>
        <v/>
      </c>
      <c r="L28" s="7" t="str">
        <f>_xlfn.CONCAT("11 11.2 4b")</f>
        <v>11 11.2 4b</v>
      </c>
      <c r="M28" s="7" t="str">
        <f>_xlfn.CONCAT("SLVMFR63D08G690U")</f>
        <v>SLVMFR63D08G690U</v>
      </c>
      <c r="N28" s="7" t="s">
        <v>102</v>
      </c>
      <c r="O28" s="7" t="s">
        <v>81</v>
      </c>
      <c r="P28" s="8">
        <v>44470</v>
      </c>
      <c r="Q28" s="7" t="s">
        <v>32</v>
      </c>
      <c r="R28" s="7" t="s">
        <v>36</v>
      </c>
      <c r="S28" s="7" t="s">
        <v>34</v>
      </c>
      <c r="T28" s="7"/>
      <c r="U28" s="7" t="s">
        <v>35</v>
      </c>
      <c r="V28" s="7">
        <v>375.23</v>
      </c>
      <c r="W28" s="7">
        <v>161.80000000000001</v>
      </c>
      <c r="X28" s="7">
        <v>149.41999999999999</v>
      </c>
      <c r="Y28" s="7">
        <v>0</v>
      </c>
      <c r="Z28" s="7">
        <v>64.010000000000005</v>
      </c>
    </row>
    <row r="29" spans="1:26" x14ac:dyDescent="0.35">
      <c r="A29" s="7" t="s">
        <v>27</v>
      </c>
      <c r="B29" s="7" t="s">
        <v>45</v>
      </c>
      <c r="C29" s="7" t="s">
        <v>49</v>
      </c>
      <c r="D29" s="7" t="s">
        <v>64</v>
      </c>
      <c r="E29" s="7" t="s">
        <v>40</v>
      </c>
      <c r="F29" s="7" t="s">
        <v>69</v>
      </c>
      <c r="G29" s="7">
        <v>2020</v>
      </c>
      <c r="H29" s="7" t="str">
        <f>_xlfn.CONCAT("04240249799")</f>
        <v>04240249799</v>
      </c>
      <c r="I29" s="7" t="s">
        <v>30</v>
      </c>
      <c r="J29" s="7" t="s">
        <v>31</v>
      </c>
      <c r="K29" s="7" t="str">
        <f>_xlfn.CONCAT("")</f>
        <v/>
      </c>
      <c r="L29" s="7" t="str">
        <f>_xlfn.CONCAT("11 11.1 4b")</f>
        <v>11 11.1 4b</v>
      </c>
      <c r="M29" s="7" t="str">
        <f>_xlfn.CONCAT("01046830434")</f>
        <v>01046830434</v>
      </c>
      <c r="N29" s="7" t="s">
        <v>103</v>
      </c>
      <c r="O29" s="7" t="s">
        <v>81</v>
      </c>
      <c r="P29" s="8">
        <v>44470</v>
      </c>
      <c r="Q29" s="7" t="s">
        <v>32</v>
      </c>
      <c r="R29" s="7" t="s">
        <v>36</v>
      </c>
      <c r="S29" s="7" t="s">
        <v>34</v>
      </c>
      <c r="T29" s="7"/>
      <c r="U29" s="7" t="s">
        <v>35</v>
      </c>
      <c r="V29" s="9">
        <v>16060.58</v>
      </c>
      <c r="W29" s="9">
        <v>6925.32</v>
      </c>
      <c r="X29" s="9">
        <v>6395.32</v>
      </c>
      <c r="Y29" s="7">
        <v>0</v>
      </c>
      <c r="Z29" s="9">
        <v>2739.94</v>
      </c>
    </row>
    <row r="30" spans="1:26" x14ac:dyDescent="0.35">
      <c r="A30" s="7" t="s">
        <v>27</v>
      </c>
      <c r="B30" s="7" t="s">
        <v>45</v>
      </c>
      <c r="C30" s="7" t="s">
        <v>49</v>
      </c>
      <c r="D30" s="7" t="s">
        <v>64</v>
      </c>
      <c r="E30" s="7" t="s">
        <v>47</v>
      </c>
      <c r="F30" s="7" t="s">
        <v>104</v>
      </c>
      <c r="G30" s="7">
        <v>2020</v>
      </c>
      <c r="H30" s="7" t="str">
        <f>_xlfn.CONCAT("04240629347")</f>
        <v>04240629347</v>
      </c>
      <c r="I30" s="7" t="s">
        <v>30</v>
      </c>
      <c r="J30" s="7" t="s">
        <v>31</v>
      </c>
      <c r="K30" s="7" t="str">
        <f>_xlfn.CONCAT("")</f>
        <v/>
      </c>
      <c r="L30" s="7" t="str">
        <f>_xlfn.CONCAT("11 11.1 4b")</f>
        <v>11 11.1 4b</v>
      </c>
      <c r="M30" s="7" t="str">
        <f>_xlfn.CONCAT("01976250439")</f>
        <v>01976250439</v>
      </c>
      <c r="N30" s="7" t="s">
        <v>105</v>
      </c>
      <c r="O30" s="7" t="s">
        <v>81</v>
      </c>
      <c r="P30" s="8">
        <v>44470</v>
      </c>
      <c r="Q30" s="7" t="s">
        <v>32</v>
      </c>
      <c r="R30" s="7" t="s">
        <v>36</v>
      </c>
      <c r="S30" s="7" t="s">
        <v>34</v>
      </c>
      <c r="T30" s="7"/>
      <c r="U30" s="7" t="s">
        <v>35</v>
      </c>
      <c r="V30" s="9">
        <v>27026.38</v>
      </c>
      <c r="W30" s="9">
        <v>11653.78</v>
      </c>
      <c r="X30" s="9">
        <v>10761.9</v>
      </c>
      <c r="Y30" s="7">
        <v>0</v>
      </c>
      <c r="Z30" s="9">
        <v>4610.7</v>
      </c>
    </row>
    <row r="31" spans="1:26" x14ac:dyDescent="0.35">
      <c r="A31" s="7" t="s">
        <v>27</v>
      </c>
      <c r="B31" s="7" t="s">
        <v>45</v>
      </c>
      <c r="C31" s="7" t="s">
        <v>49</v>
      </c>
      <c r="D31" s="7" t="s">
        <v>57</v>
      </c>
      <c r="E31" s="7" t="s">
        <v>40</v>
      </c>
      <c r="F31" s="7" t="s">
        <v>106</v>
      </c>
      <c r="G31" s="7">
        <v>2020</v>
      </c>
      <c r="H31" s="7" t="str">
        <f>_xlfn.CONCAT("04240772212")</f>
        <v>04240772212</v>
      </c>
      <c r="I31" s="7" t="s">
        <v>30</v>
      </c>
      <c r="J31" s="7" t="s">
        <v>31</v>
      </c>
      <c r="K31" s="7" t="str">
        <f>_xlfn.CONCAT("")</f>
        <v/>
      </c>
      <c r="L31" s="7" t="str">
        <f>_xlfn.CONCAT("11 11.2 4b")</f>
        <v>11 11.2 4b</v>
      </c>
      <c r="M31" s="7" t="str">
        <f>_xlfn.CONCAT("02334930415")</f>
        <v>02334930415</v>
      </c>
      <c r="N31" s="7" t="s">
        <v>107</v>
      </c>
      <c r="O31" s="7" t="s">
        <v>81</v>
      </c>
      <c r="P31" s="8">
        <v>44470</v>
      </c>
      <c r="Q31" s="7" t="s">
        <v>32</v>
      </c>
      <c r="R31" s="7" t="s">
        <v>36</v>
      </c>
      <c r="S31" s="7" t="s">
        <v>34</v>
      </c>
      <c r="T31" s="7"/>
      <c r="U31" s="7" t="s">
        <v>35</v>
      </c>
      <c r="V31" s="9">
        <v>1635.81</v>
      </c>
      <c r="W31" s="7">
        <v>705.36</v>
      </c>
      <c r="X31" s="7">
        <v>651.38</v>
      </c>
      <c r="Y31" s="7">
        <v>0</v>
      </c>
      <c r="Z31" s="7">
        <v>279.07</v>
      </c>
    </row>
    <row r="32" spans="1:26" x14ac:dyDescent="0.35">
      <c r="A32" s="7" t="s">
        <v>27</v>
      </c>
      <c r="B32" s="7" t="s">
        <v>45</v>
      </c>
      <c r="C32" s="7" t="s">
        <v>49</v>
      </c>
      <c r="D32" s="7" t="s">
        <v>54</v>
      </c>
      <c r="E32" s="7" t="s">
        <v>40</v>
      </c>
      <c r="F32" s="7" t="s">
        <v>108</v>
      </c>
      <c r="G32" s="7">
        <v>2018</v>
      </c>
      <c r="H32" s="7" t="str">
        <f>_xlfn.CONCAT("84241065832")</f>
        <v>84241065832</v>
      </c>
      <c r="I32" s="7" t="s">
        <v>30</v>
      </c>
      <c r="J32" s="7" t="s">
        <v>31</v>
      </c>
      <c r="K32" s="7" t="str">
        <f>_xlfn.CONCAT("")</f>
        <v/>
      </c>
      <c r="L32" s="7" t="str">
        <f>_xlfn.CONCAT("11 11.2 4b")</f>
        <v>11 11.2 4b</v>
      </c>
      <c r="M32" s="7" t="str">
        <f>_xlfn.CONCAT("02299030441")</f>
        <v>02299030441</v>
      </c>
      <c r="N32" s="7" t="s">
        <v>109</v>
      </c>
      <c r="O32" s="7" t="s">
        <v>81</v>
      </c>
      <c r="P32" s="8">
        <v>44470</v>
      </c>
      <c r="Q32" s="7" t="s">
        <v>32</v>
      </c>
      <c r="R32" s="7" t="s">
        <v>36</v>
      </c>
      <c r="S32" s="7" t="s">
        <v>34</v>
      </c>
      <c r="T32" s="7"/>
      <c r="U32" s="7" t="s">
        <v>35</v>
      </c>
      <c r="V32" s="9">
        <v>1423.61</v>
      </c>
      <c r="W32" s="7">
        <v>613.86</v>
      </c>
      <c r="X32" s="7">
        <v>566.88</v>
      </c>
      <c r="Y32" s="7">
        <v>0</v>
      </c>
      <c r="Z32" s="7">
        <v>242.87</v>
      </c>
    </row>
    <row r="33" spans="1:26" x14ac:dyDescent="0.35">
      <c r="A33" s="7" t="s">
        <v>27</v>
      </c>
      <c r="B33" s="7" t="s">
        <v>45</v>
      </c>
      <c r="C33" s="7" t="s">
        <v>49</v>
      </c>
      <c r="D33" s="7" t="s">
        <v>54</v>
      </c>
      <c r="E33" s="7" t="s">
        <v>40</v>
      </c>
      <c r="F33" s="7" t="s">
        <v>108</v>
      </c>
      <c r="G33" s="7">
        <v>2020</v>
      </c>
      <c r="H33" s="7" t="str">
        <f>_xlfn.CONCAT("04241162736")</f>
        <v>04241162736</v>
      </c>
      <c r="I33" s="7" t="s">
        <v>30</v>
      </c>
      <c r="J33" s="7" t="s">
        <v>31</v>
      </c>
      <c r="K33" s="7" t="str">
        <f>_xlfn.CONCAT("")</f>
        <v/>
      </c>
      <c r="L33" s="7" t="str">
        <f>_xlfn.CONCAT("11 11.2 4b")</f>
        <v>11 11.2 4b</v>
      </c>
      <c r="M33" s="7" t="str">
        <f>_xlfn.CONCAT("02299030441")</f>
        <v>02299030441</v>
      </c>
      <c r="N33" s="7" t="s">
        <v>109</v>
      </c>
      <c r="O33" s="7" t="s">
        <v>81</v>
      </c>
      <c r="P33" s="8">
        <v>44470</v>
      </c>
      <c r="Q33" s="7" t="s">
        <v>32</v>
      </c>
      <c r="R33" s="7" t="s">
        <v>36</v>
      </c>
      <c r="S33" s="7" t="s">
        <v>34</v>
      </c>
      <c r="T33" s="7"/>
      <c r="U33" s="7" t="s">
        <v>35</v>
      </c>
      <c r="V33" s="7">
        <v>931.99</v>
      </c>
      <c r="W33" s="7">
        <v>401.87</v>
      </c>
      <c r="X33" s="7">
        <v>371.12</v>
      </c>
      <c r="Y33" s="7">
        <v>0</v>
      </c>
      <c r="Z33" s="7">
        <v>159</v>
      </c>
    </row>
    <row r="34" spans="1:26" x14ac:dyDescent="0.35">
      <c r="A34" s="7" t="s">
        <v>27</v>
      </c>
      <c r="B34" s="7" t="s">
        <v>45</v>
      </c>
      <c r="C34" s="7" t="s">
        <v>49</v>
      </c>
      <c r="D34" s="7" t="s">
        <v>54</v>
      </c>
      <c r="E34" s="7" t="s">
        <v>40</v>
      </c>
      <c r="F34" s="7" t="s">
        <v>110</v>
      </c>
      <c r="G34" s="7">
        <v>2020</v>
      </c>
      <c r="H34" s="7" t="str">
        <f>_xlfn.CONCAT("04240932964")</f>
        <v>04240932964</v>
      </c>
      <c r="I34" s="7" t="s">
        <v>30</v>
      </c>
      <c r="J34" s="7" t="s">
        <v>31</v>
      </c>
      <c r="K34" s="7" t="str">
        <f>_xlfn.CONCAT("")</f>
        <v/>
      </c>
      <c r="L34" s="7" t="str">
        <f>_xlfn.CONCAT("11 11.2 4b")</f>
        <v>11 11.2 4b</v>
      </c>
      <c r="M34" s="7" t="str">
        <f>_xlfn.CONCAT("GMNMRN73E12H769K")</f>
        <v>GMNMRN73E12H769K</v>
      </c>
      <c r="N34" s="7" t="s">
        <v>111</v>
      </c>
      <c r="O34" s="7" t="s">
        <v>81</v>
      </c>
      <c r="P34" s="8">
        <v>44470</v>
      </c>
      <c r="Q34" s="7" t="s">
        <v>32</v>
      </c>
      <c r="R34" s="7" t="s">
        <v>36</v>
      </c>
      <c r="S34" s="7" t="s">
        <v>34</v>
      </c>
      <c r="T34" s="7"/>
      <c r="U34" s="7" t="s">
        <v>35</v>
      </c>
      <c r="V34" s="9">
        <v>4821.1000000000004</v>
      </c>
      <c r="W34" s="9">
        <v>2078.86</v>
      </c>
      <c r="X34" s="9">
        <v>1919.76</v>
      </c>
      <c r="Y34" s="7">
        <v>0</v>
      </c>
      <c r="Z34" s="7">
        <v>822.48</v>
      </c>
    </row>
    <row r="35" spans="1:26" x14ac:dyDescent="0.35">
      <c r="A35" s="7" t="s">
        <v>27</v>
      </c>
      <c r="B35" s="7" t="s">
        <v>45</v>
      </c>
      <c r="C35" s="7" t="s">
        <v>49</v>
      </c>
      <c r="D35" s="7" t="s">
        <v>54</v>
      </c>
      <c r="E35" s="7" t="s">
        <v>40</v>
      </c>
      <c r="F35" s="7" t="s">
        <v>110</v>
      </c>
      <c r="G35" s="7">
        <v>2020</v>
      </c>
      <c r="H35" s="7" t="str">
        <f>_xlfn.CONCAT("04240932790")</f>
        <v>04240932790</v>
      </c>
      <c r="I35" s="7" t="s">
        <v>30</v>
      </c>
      <c r="J35" s="7" t="s">
        <v>31</v>
      </c>
      <c r="K35" s="7" t="str">
        <f>_xlfn.CONCAT("")</f>
        <v/>
      </c>
      <c r="L35" s="7" t="str">
        <f>_xlfn.CONCAT("11 11.2 4b")</f>
        <v>11 11.2 4b</v>
      </c>
      <c r="M35" s="7" t="str">
        <f>_xlfn.CONCAT("GMNMRN73E12H769K")</f>
        <v>GMNMRN73E12H769K</v>
      </c>
      <c r="N35" s="7" t="s">
        <v>111</v>
      </c>
      <c r="O35" s="7" t="s">
        <v>81</v>
      </c>
      <c r="P35" s="8">
        <v>44470</v>
      </c>
      <c r="Q35" s="7" t="s">
        <v>32</v>
      </c>
      <c r="R35" s="7" t="s">
        <v>36</v>
      </c>
      <c r="S35" s="7" t="s">
        <v>34</v>
      </c>
      <c r="T35" s="7"/>
      <c r="U35" s="7" t="s">
        <v>35</v>
      </c>
      <c r="V35" s="9">
        <v>2067.46</v>
      </c>
      <c r="W35" s="7">
        <v>891.49</v>
      </c>
      <c r="X35" s="7">
        <v>823.26</v>
      </c>
      <c r="Y35" s="7">
        <v>0</v>
      </c>
      <c r="Z35" s="7">
        <v>352.71</v>
      </c>
    </row>
    <row r="36" spans="1:26" x14ac:dyDescent="0.35">
      <c r="A36" s="7" t="s">
        <v>27</v>
      </c>
      <c r="B36" s="7" t="s">
        <v>28</v>
      </c>
      <c r="C36" s="7" t="s">
        <v>49</v>
      </c>
      <c r="D36" s="7" t="s">
        <v>50</v>
      </c>
      <c r="E36" s="7" t="s">
        <v>29</v>
      </c>
      <c r="F36" s="7" t="s">
        <v>29</v>
      </c>
      <c r="G36" s="7">
        <v>2017</v>
      </c>
      <c r="H36" s="7" t="str">
        <f>_xlfn.CONCAT("14270260335")</f>
        <v>14270260335</v>
      </c>
      <c r="I36" s="7" t="s">
        <v>30</v>
      </c>
      <c r="J36" s="7" t="s">
        <v>31</v>
      </c>
      <c r="K36" s="7" t="str">
        <f>_xlfn.CONCAT("")</f>
        <v/>
      </c>
      <c r="L36" s="7" t="str">
        <f>_xlfn.CONCAT("1 1.2 2a")</f>
        <v>1 1.2 2a</v>
      </c>
      <c r="M36" s="7" t="str">
        <f>_xlfn.CONCAT("80001990425")</f>
        <v>80001990425</v>
      </c>
      <c r="N36" s="7" t="s">
        <v>112</v>
      </c>
      <c r="O36" s="7" t="s">
        <v>113</v>
      </c>
      <c r="P36" s="8">
        <v>44473</v>
      </c>
      <c r="Q36" s="7" t="s">
        <v>32</v>
      </c>
      <c r="R36" s="7" t="s">
        <v>36</v>
      </c>
      <c r="S36" s="7" t="s">
        <v>34</v>
      </c>
      <c r="T36" s="7"/>
      <c r="U36" s="7" t="s">
        <v>35</v>
      </c>
      <c r="V36" s="9">
        <v>19037.439999999999</v>
      </c>
      <c r="W36" s="9">
        <v>8208.94</v>
      </c>
      <c r="X36" s="9">
        <v>7580.71</v>
      </c>
      <c r="Y36" s="7">
        <v>0</v>
      </c>
      <c r="Z36" s="9">
        <v>3247.79</v>
      </c>
    </row>
    <row r="37" spans="1:26" x14ac:dyDescent="0.35">
      <c r="A37" s="7" t="s">
        <v>27</v>
      </c>
      <c r="B37" s="7" t="s">
        <v>28</v>
      </c>
      <c r="C37" s="7" t="s">
        <v>49</v>
      </c>
      <c r="D37" s="7" t="s">
        <v>57</v>
      </c>
      <c r="E37" s="7" t="s">
        <v>41</v>
      </c>
      <c r="F37" s="7" t="s">
        <v>82</v>
      </c>
      <c r="G37" s="7">
        <v>2017</v>
      </c>
      <c r="H37" s="7" t="str">
        <f>_xlfn.CONCAT("14270223762")</f>
        <v>14270223762</v>
      </c>
      <c r="I37" s="7" t="s">
        <v>30</v>
      </c>
      <c r="J37" s="7" t="s">
        <v>31</v>
      </c>
      <c r="K37" s="7" t="str">
        <f>_xlfn.CONCAT("")</f>
        <v/>
      </c>
      <c r="L37" s="7" t="str">
        <f>_xlfn.CONCAT("8 8.1 5e")</f>
        <v>8 8.1 5e</v>
      </c>
      <c r="M37" s="7" t="str">
        <f>_xlfn.CONCAT("SRFFBA78A30D488M")</f>
        <v>SRFFBA78A30D488M</v>
      </c>
      <c r="N37" s="7" t="s">
        <v>114</v>
      </c>
      <c r="O37" s="7" t="s">
        <v>115</v>
      </c>
      <c r="P37" s="8">
        <v>44438</v>
      </c>
      <c r="Q37" s="7" t="s">
        <v>32</v>
      </c>
      <c r="R37" s="7" t="s">
        <v>42</v>
      </c>
      <c r="S37" s="7" t="s">
        <v>34</v>
      </c>
      <c r="T37" s="7"/>
      <c r="U37" s="7" t="s">
        <v>35</v>
      </c>
      <c r="V37" s="9">
        <v>45000</v>
      </c>
      <c r="W37" s="9">
        <v>19404</v>
      </c>
      <c r="X37" s="9">
        <v>17919</v>
      </c>
      <c r="Y37" s="7">
        <v>0</v>
      </c>
      <c r="Z37" s="9">
        <v>7677</v>
      </c>
    </row>
    <row r="38" spans="1:26" x14ac:dyDescent="0.35">
      <c r="A38" s="7" t="s">
        <v>27</v>
      </c>
      <c r="B38" s="7" t="s">
        <v>28</v>
      </c>
      <c r="C38" s="7" t="s">
        <v>49</v>
      </c>
      <c r="D38" s="7" t="s">
        <v>50</v>
      </c>
      <c r="E38" s="7" t="s">
        <v>40</v>
      </c>
      <c r="F38" s="7" t="s">
        <v>116</v>
      </c>
      <c r="G38" s="7">
        <v>2017</v>
      </c>
      <c r="H38" s="7" t="str">
        <f>_xlfn.CONCAT("14270241640")</f>
        <v>14270241640</v>
      </c>
      <c r="I38" s="7" t="s">
        <v>30</v>
      </c>
      <c r="J38" s="7" t="s">
        <v>31</v>
      </c>
      <c r="K38" s="7" t="str">
        <f>_xlfn.CONCAT("")</f>
        <v/>
      </c>
      <c r="L38" s="7" t="str">
        <f>_xlfn.CONCAT("4 4.1 2a")</f>
        <v>4 4.1 2a</v>
      </c>
      <c r="M38" s="7" t="str">
        <f>_xlfn.CONCAT("GRDMLT88S50A271B")</f>
        <v>GRDMLT88S50A271B</v>
      </c>
      <c r="N38" s="7" t="s">
        <v>117</v>
      </c>
      <c r="O38" s="7" t="s">
        <v>118</v>
      </c>
      <c r="P38" s="8">
        <v>44455</v>
      </c>
      <c r="Q38" s="7" t="s">
        <v>32</v>
      </c>
      <c r="R38" s="7" t="s">
        <v>36</v>
      </c>
      <c r="S38" s="7" t="s">
        <v>34</v>
      </c>
      <c r="T38" s="7"/>
      <c r="U38" s="7" t="s">
        <v>35</v>
      </c>
      <c r="V38" s="9">
        <v>24402.74</v>
      </c>
      <c r="W38" s="9">
        <v>10522.46</v>
      </c>
      <c r="X38" s="9">
        <v>9717.17</v>
      </c>
      <c r="Y38" s="7">
        <v>0</v>
      </c>
      <c r="Z38" s="9">
        <v>4163.1099999999997</v>
      </c>
    </row>
    <row r="39" spans="1:26" x14ac:dyDescent="0.35">
      <c r="A39" s="7" t="s">
        <v>27</v>
      </c>
      <c r="B39" s="7" t="s">
        <v>28</v>
      </c>
      <c r="C39" s="7" t="s">
        <v>49</v>
      </c>
      <c r="D39" s="7" t="s">
        <v>49</v>
      </c>
      <c r="E39" s="7" t="s">
        <v>29</v>
      </c>
      <c r="F39" s="7" t="s">
        <v>29</v>
      </c>
      <c r="G39" s="7">
        <v>2017</v>
      </c>
      <c r="H39" s="7" t="str">
        <f>_xlfn.CONCAT("14270247621")</f>
        <v>14270247621</v>
      </c>
      <c r="I39" s="7" t="s">
        <v>30</v>
      </c>
      <c r="J39" s="7" t="s">
        <v>31</v>
      </c>
      <c r="K39" s="7" t="str">
        <f>_xlfn.CONCAT("")</f>
        <v/>
      </c>
      <c r="L39" s="7" t="str">
        <f>_xlfn.CONCAT("19 19.2 6b")</f>
        <v>19 19.2 6b</v>
      </c>
      <c r="M39" s="7" t="str">
        <f>_xlfn.CONCAT("00360540413")</f>
        <v>00360540413</v>
      </c>
      <c r="N39" s="7" t="s">
        <v>119</v>
      </c>
      <c r="O39" s="7" t="s">
        <v>120</v>
      </c>
      <c r="P39" s="8">
        <v>44470</v>
      </c>
      <c r="Q39" s="7" t="s">
        <v>32</v>
      </c>
      <c r="R39" s="7" t="s">
        <v>42</v>
      </c>
      <c r="S39" s="7" t="s">
        <v>34</v>
      </c>
      <c r="T39" s="7"/>
      <c r="U39" s="7" t="s">
        <v>35</v>
      </c>
      <c r="V39" s="9">
        <v>20000</v>
      </c>
      <c r="W39" s="9">
        <v>8624</v>
      </c>
      <c r="X39" s="9">
        <v>7964</v>
      </c>
      <c r="Y39" s="7">
        <v>0</v>
      </c>
      <c r="Z39" s="9">
        <v>3412</v>
      </c>
    </row>
    <row r="40" spans="1:26" x14ac:dyDescent="0.35">
      <c r="A40" s="7" t="s">
        <v>27</v>
      </c>
      <c r="B40" s="7" t="s">
        <v>28</v>
      </c>
      <c r="C40" s="7" t="s">
        <v>49</v>
      </c>
      <c r="D40" s="7" t="s">
        <v>49</v>
      </c>
      <c r="E40" s="7" t="s">
        <v>29</v>
      </c>
      <c r="F40" s="7" t="s">
        <v>29</v>
      </c>
      <c r="G40" s="7">
        <v>2017</v>
      </c>
      <c r="H40" s="7" t="str">
        <f>_xlfn.CONCAT("14270247613")</f>
        <v>14270247613</v>
      </c>
      <c r="I40" s="7" t="s">
        <v>30</v>
      </c>
      <c r="J40" s="7" t="s">
        <v>31</v>
      </c>
      <c r="K40" s="7" t="str">
        <f>_xlfn.CONCAT("")</f>
        <v/>
      </c>
      <c r="L40" s="7" t="str">
        <f>_xlfn.CONCAT("19 19.2 6b")</f>
        <v>19 19.2 6b</v>
      </c>
      <c r="M40" s="7" t="str">
        <f>_xlfn.CONCAT("00352410419")</f>
        <v>00352410419</v>
      </c>
      <c r="N40" s="7" t="s">
        <v>121</v>
      </c>
      <c r="O40" s="7" t="s">
        <v>120</v>
      </c>
      <c r="P40" s="8">
        <v>44470</v>
      </c>
      <c r="Q40" s="7" t="s">
        <v>32</v>
      </c>
      <c r="R40" s="7" t="s">
        <v>42</v>
      </c>
      <c r="S40" s="7" t="s">
        <v>34</v>
      </c>
      <c r="T40" s="7"/>
      <c r="U40" s="7" t="s">
        <v>35</v>
      </c>
      <c r="V40" s="9">
        <v>9388</v>
      </c>
      <c r="W40" s="9">
        <v>4048.11</v>
      </c>
      <c r="X40" s="9">
        <v>3738.3</v>
      </c>
      <c r="Y40" s="7">
        <v>0</v>
      </c>
      <c r="Z40" s="9">
        <v>1601.59</v>
      </c>
    </row>
    <row r="41" spans="1:26" x14ac:dyDescent="0.35">
      <c r="A41" s="7" t="s">
        <v>27</v>
      </c>
      <c r="B41" s="7" t="s">
        <v>45</v>
      </c>
      <c r="C41" s="7" t="s">
        <v>49</v>
      </c>
      <c r="D41" s="7" t="s">
        <v>64</v>
      </c>
      <c r="E41" s="7" t="s">
        <v>47</v>
      </c>
      <c r="F41" s="7" t="s">
        <v>104</v>
      </c>
      <c r="G41" s="7">
        <v>2020</v>
      </c>
      <c r="H41" s="7" t="str">
        <f>_xlfn.CONCAT("04240952533")</f>
        <v>04240952533</v>
      </c>
      <c r="I41" s="7" t="s">
        <v>30</v>
      </c>
      <c r="J41" s="7" t="s">
        <v>31</v>
      </c>
      <c r="K41" s="7" t="str">
        <f>_xlfn.CONCAT("")</f>
        <v/>
      </c>
      <c r="L41" s="7" t="str">
        <f>_xlfn.CONCAT("10 10.1 4a")</f>
        <v>10 10.1 4a</v>
      </c>
      <c r="M41" s="7" t="str">
        <f>_xlfn.CONCAT("01976250439")</f>
        <v>01976250439</v>
      </c>
      <c r="N41" s="7" t="s">
        <v>105</v>
      </c>
      <c r="O41" s="7" t="s">
        <v>122</v>
      </c>
      <c r="P41" s="8">
        <v>44474</v>
      </c>
      <c r="Q41" s="7" t="s">
        <v>32</v>
      </c>
      <c r="R41" s="7" t="s">
        <v>36</v>
      </c>
      <c r="S41" s="7" t="s">
        <v>34</v>
      </c>
      <c r="T41" s="7"/>
      <c r="U41" s="7" t="s">
        <v>35</v>
      </c>
      <c r="V41" s="9">
        <v>15238.57</v>
      </c>
      <c r="W41" s="9">
        <v>6570.87</v>
      </c>
      <c r="X41" s="9">
        <v>6068</v>
      </c>
      <c r="Y41" s="7">
        <v>0</v>
      </c>
      <c r="Z41" s="9">
        <v>2599.6999999999998</v>
      </c>
    </row>
    <row r="42" spans="1:26" x14ac:dyDescent="0.35">
      <c r="A42" s="7" t="s">
        <v>27</v>
      </c>
      <c r="B42" s="7" t="s">
        <v>28</v>
      </c>
      <c r="C42" s="7" t="s">
        <v>49</v>
      </c>
      <c r="D42" s="7" t="s">
        <v>57</v>
      </c>
      <c r="E42" s="7" t="s">
        <v>40</v>
      </c>
      <c r="F42" s="7" t="s">
        <v>106</v>
      </c>
      <c r="G42" s="7">
        <v>2017</v>
      </c>
      <c r="H42" s="7" t="str">
        <f>_xlfn.CONCAT("14270257208")</f>
        <v>14270257208</v>
      </c>
      <c r="I42" s="7" t="s">
        <v>30</v>
      </c>
      <c r="J42" s="7" t="s">
        <v>31</v>
      </c>
      <c r="K42" s="7" t="str">
        <f>_xlfn.CONCAT("")</f>
        <v/>
      </c>
      <c r="L42" s="7" t="str">
        <f>_xlfn.CONCAT("4 4.1 2a")</f>
        <v>4 4.1 2a</v>
      </c>
      <c r="M42" s="7" t="str">
        <f>_xlfn.CONCAT("CNGGNN89D22I608A")</f>
        <v>CNGGNN89D22I608A</v>
      </c>
      <c r="N42" s="7" t="s">
        <v>123</v>
      </c>
      <c r="O42" s="7" t="s">
        <v>124</v>
      </c>
      <c r="P42" s="8">
        <v>44470</v>
      </c>
      <c r="Q42" s="7" t="s">
        <v>32</v>
      </c>
      <c r="R42" s="7" t="s">
        <v>36</v>
      </c>
      <c r="S42" s="7" t="s">
        <v>34</v>
      </c>
      <c r="T42" s="7"/>
      <c r="U42" s="7" t="s">
        <v>35</v>
      </c>
      <c r="V42" s="9">
        <v>58510.87</v>
      </c>
      <c r="W42" s="9">
        <v>25229.89</v>
      </c>
      <c r="X42" s="9">
        <v>23299.03</v>
      </c>
      <c r="Y42" s="7">
        <v>0</v>
      </c>
      <c r="Z42" s="9">
        <v>9981.9500000000007</v>
      </c>
    </row>
    <row r="43" spans="1:26" x14ac:dyDescent="0.35">
      <c r="A43" s="7" t="s">
        <v>27</v>
      </c>
      <c r="B43" s="7" t="s">
        <v>28</v>
      </c>
      <c r="C43" s="7" t="s">
        <v>49</v>
      </c>
      <c r="D43" s="7" t="s">
        <v>57</v>
      </c>
      <c r="E43" s="7" t="s">
        <v>29</v>
      </c>
      <c r="F43" s="7" t="s">
        <v>29</v>
      </c>
      <c r="G43" s="7">
        <v>2017</v>
      </c>
      <c r="H43" s="7" t="str">
        <f>_xlfn.CONCAT("14270257190")</f>
        <v>14270257190</v>
      </c>
      <c r="I43" s="7" t="s">
        <v>30</v>
      </c>
      <c r="J43" s="7" t="s">
        <v>31</v>
      </c>
      <c r="K43" s="7" t="str">
        <f>_xlfn.CONCAT("")</f>
        <v/>
      </c>
      <c r="L43" s="7" t="str">
        <f>_xlfn.CONCAT("4 4.1 2a")</f>
        <v>4 4.1 2a</v>
      </c>
      <c r="M43" s="7" t="str">
        <f>_xlfn.CONCAT("02598840417")</f>
        <v>02598840417</v>
      </c>
      <c r="N43" s="7" t="s">
        <v>125</v>
      </c>
      <c r="O43" s="7" t="s">
        <v>124</v>
      </c>
      <c r="P43" s="8">
        <v>44470</v>
      </c>
      <c r="Q43" s="7" t="s">
        <v>32</v>
      </c>
      <c r="R43" s="7" t="s">
        <v>36</v>
      </c>
      <c r="S43" s="7" t="s">
        <v>34</v>
      </c>
      <c r="T43" s="7"/>
      <c r="U43" s="7" t="s">
        <v>35</v>
      </c>
      <c r="V43" s="9">
        <v>101451.44</v>
      </c>
      <c r="W43" s="9">
        <v>43745.86</v>
      </c>
      <c r="X43" s="9">
        <v>40397.96</v>
      </c>
      <c r="Y43" s="7">
        <v>0</v>
      </c>
      <c r="Z43" s="9">
        <v>17307.62</v>
      </c>
    </row>
    <row r="44" spans="1:26" x14ac:dyDescent="0.35">
      <c r="A44" s="7" t="s">
        <v>27</v>
      </c>
      <c r="B44" s="7" t="s">
        <v>45</v>
      </c>
      <c r="C44" s="7" t="s">
        <v>49</v>
      </c>
      <c r="D44" s="7" t="s">
        <v>54</v>
      </c>
      <c r="E44" s="7" t="s">
        <v>40</v>
      </c>
      <c r="F44" s="7" t="s">
        <v>110</v>
      </c>
      <c r="G44" s="7">
        <v>2020</v>
      </c>
      <c r="H44" s="7" t="str">
        <f>_xlfn.CONCAT("04240758955")</f>
        <v>04240758955</v>
      </c>
      <c r="I44" s="7" t="s">
        <v>30</v>
      </c>
      <c r="J44" s="7" t="s">
        <v>31</v>
      </c>
      <c r="K44" s="7" t="str">
        <f>_xlfn.CONCAT("")</f>
        <v/>
      </c>
      <c r="L44" s="7" t="str">
        <f>_xlfn.CONCAT("10 10.1 4b")</f>
        <v>10 10.1 4b</v>
      </c>
      <c r="M44" s="7" t="str">
        <f>_xlfn.CONCAT("02403610443")</f>
        <v>02403610443</v>
      </c>
      <c r="N44" s="7" t="s">
        <v>126</v>
      </c>
      <c r="O44" s="7" t="s">
        <v>122</v>
      </c>
      <c r="P44" s="8">
        <v>44474</v>
      </c>
      <c r="Q44" s="7" t="s">
        <v>32</v>
      </c>
      <c r="R44" s="7" t="s">
        <v>36</v>
      </c>
      <c r="S44" s="7" t="s">
        <v>34</v>
      </c>
      <c r="T44" s="7"/>
      <c r="U44" s="7" t="s">
        <v>35</v>
      </c>
      <c r="V44" s="7">
        <v>662.8</v>
      </c>
      <c r="W44" s="7">
        <v>285.8</v>
      </c>
      <c r="X44" s="7">
        <v>263.93</v>
      </c>
      <c r="Y44" s="7">
        <v>0</v>
      </c>
      <c r="Z44" s="7">
        <v>113.07</v>
      </c>
    </row>
    <row r="45" spans="1:26" x14ac:dyDescent="0.35">
      <c r="A45" s="7" t="s">
        <v>27</v>
      </c>
      <c r="B45" s="7" t="s">
        <v>45</v>
      </c>
      <c r="C45" s="7" t="s">
        <v>49</v>
      </c>
      <c r="D45" s="7" t="s">
        <v>64</v>
      </c>
      <c r="E45" s="7" t="s">
        <v>39</v>
      </c>
      <c r="F45" s="7" t="s">
        <v>127</v>
      </c>
      <c r="G45" s="7">
        <v>2020</v>
      </c>
      <c r="H45" s="7" t="str">
        <f>_xlfn.CONCAT("04240875502")</f>
        <v>04240875502</v>
      </c>
      <c r="I45" s="7" t="s">
        <v>30</v>
      </c>
      <c r="J45" s="7" t="s">
        <v>31</v>
      </c>
      <c r="K45" s="7" t="str">
        <f>_xlfn.CONCAT("")</f>
        <v/>
      </c>
      <c r="L45" s="7" t="str">
        <f>_xlfn.CONCAT("10 10.1 4a")</f>
        <v>10 10.1 4a</v>
      </c>
      <c r="M45" s="7" t="str">
        <f>_xlfn.CONCAT("01975760438")</f>
        <v>01975760438</v>
      </c>
      <c r="N45" s="7" t="s">
        <v>128</v>
      </c>
      <c r="O45" s="7" t="s">
        <v>122</v>
      </c>
      <c r="P45" s="8">
        <v>44474</v>
      </c>
      <c r="Q45" s="7" t="s">
        <v>32</v>
      </c>
      <c r="R45" s="7" t="s">
        <v>36</v>
      </c>
      <c r="S45" s="7" t="s">
        <v>34</v>
      </c>
      <c r="T45" s="7"/>
      <c r="U45" s="7" t="s">
        <v>35</v>
      </c>
      <c r="V45" s="9">
        <v>9359.1200000000008</v>
      </c>
      <c r="W45" s="9">
        <v>4035.65</v>
      </c>
      <c r="X45" s="9">
        <v>3726.8</v>
      </c>
      <c r="Y45" s="7">
        <v>0</v>
      </c>
      <c r="Z45" s="9">
        <v>1596.67</v>
      </c>
    </row>
    <row r="46" spans="1:26" x14ac:dyDescent="0.35">
      <c r="A46" s="7" t="s">
        <v>27</v>
      </c>
      <c r="B46" s="7" t="s">
        <v>45</v>
      </c>
      <c r="C46" s="7" t="s">
        <v>49</v>
      </c>
      <c r="D46" s="7" t="s">
        <v>64</v>
      </c>
      <c r="E46" s="7" t="s">
        <v>47</v>
      </c>
      <c r="F46" s="7" t="s">
        <v>104</v>
      </c>
      <c r="G46" s="7">
        <v>2020</v>
      </c>
      <c r="H46" s="7" t="str">
        <f>_xlfn.CONCAT("04240826042")</f>
        <v>04240826042</v>
      </c>
      <c r="I46" s="7" t="s">
        <v>30</v>
      </c>
      <c r="J46" s="7" t="s">
        <v>31</v>
      </c>
      <c r="K46" s="7" t="str">
        <f>_xlfn.CONCAT("")</f>
        <v/>
      </c>
      <c r="L46" s="7" t="str">
        <f>_xlfn.CONCAT("10 10.1 4a")</f>
        <v>10 10.1 4a</v>
      </c>
      <c r="M46" s="7" t="str">
        <f>_xlfn.CONCAT("TRNMRA91D04B474F")</f>
        <v>TRNMRA91D04B474F</v>
      </c>
      <c r="N46" s="7" t="s">
        <v>129</v>
      </c>
      <c r="O46" s="7" t="s">
        <v>122</v>
      </c>
      <c r="P46" s="8">
        <v>44474</v>
      </c>
      <c r="Q46" s="7" t="s">
        <v>32</v>
      </c>
      <c r="R46" s="7" t="s">
        <v>36</v>
      </c>
      <c r="S46" s="7" t="s">
        <v>34</v>
      </c>
      <c r="T46" s="7"/>
      <c r="U46" s="7" t="s">
        <v>35</v>
      </c>
      <c r="V46" s="9">
        <v>20531.86</v>
      </c>
      <c r="W46" s="9">
        <v>8853.34</v>
      </c>
      <c r="X46" s="9">
        <v>8175.79</v>
      </c>
      <c r="Y46" s="7">
        <v>0</v>
      </c>
      <c r="Z46" s="9">
        <v>3502.73</v>
      </c>
    </row>
    <row r="47" spans="1:26" ht="17.5" x14ac:dyDescent="0.35">
      <c r="A47" s="7" t="s">
        <v>27</v>
      </c>
      <c r="B47" s="7" t="s">
        <v>45</v>
      </c>
      <c r="C47" s="7" t="s">
        <v>49</v>
      </c>
      <c r="D47" s="7" t="s">
        <v>50</v>
      </c>
      <c r="E47" s="7" t="s">
        <v>40</v>
      </c>
      <c r="F47" s="7" t="s">
        <v>130</v>
      </c>
      <c r="G47" s="7">
        <v>2018</v>
      </c>
      <c r="H47" s="7" t="str">
        <f>_xlfn.CONCAT("84241350051")</f>
        <v>84241350051</v>
      </c>
      <c r="I47" s="7" t="s">
        <v>30</v>
      </c>
      <c r="J47" s="7" t="s">
        <v>31</v>
      </c>
      <c r="K47" s="7" t="str">
        <f>_xlfn.CONCAT("")</f>
        <v/>
      </c>
      <c r="L47" s="7" t="str">
        <f>_xlfn.CONCAT("10 10.1 4a")</f>
        <v>10 10.1 4a</v>
      </c>
      <c r="M47" s="7" t="str">
        <f>_xlfn.CONCAT("01474980420")</f>
        <v>01474980420</v>
      </c>
      <c r="N47" s="7" t="s">
        <v>131</v>
      </c>
      <c r="O47" s="7" t="s">
        <v>122</v>
      </c>
      <c r="P47" s="8">
        <v>44474</v>
      </c>
      <c r="Q47" s="7" t="s">
        <v>32</v>
      </c>
      <c r="R47" s="7" t="s">
        <v>36</v>
      </c>
      <c r="S47" s="7" t="s">
        <v>34</v>
      </c>
      <c r="T47" s="7"/>
      <c r="U47" s="7" t="s">
        <v>35</v>
      </c>
      <c r="V47" s="9">
        <v>1198.08</v>
      </c>
      <c r="W47" s="7">
        <v>516.61</v>
      </c>
      <c r="X47" s="7">
        <v>477.08</v>
      </c>
      <c r="Y47" s="7">
        <v>0</v>
      </c>
      <c r="Z47" s="7">
        <v>204.39</v>
      </c>
    </row>
    <row r="48" spans="1:26" x14ac:dyDescent="0.35">
      <c r="A48" s="7" t="s">
        <v>27</v>
      </c>
      <c r="B48" s="7" t="s">
        <v>45</v>
      </c>
      <c r="C48" s="7" t="s">
        <v>49</v>
      </c>
      <c r="D48" s="7" t="s">
        <v>50</v>
      </c>
      <c r="E48" s="7" t="s">
        <v>40</v>
      </c>
      <c r="F48" s="7" t="s">
        <v>132</v>
      </c>
      <c r="G48" s="7">
        <v>2020</v>
      </c>
      <c r="H48" s="7" t="str">
        <f>_xlfn.CONCAT("04241582156")</f>
        <v>04241582156</v>
      </c>
      <c r="I48" s="7" t="s">
        <v>30</v>
      </c>
      <c r="J48" s="7" t="s">
        <v>31</v>
      </c>
      <c r="K48" s="7" t="str">
        <f>_xlfn.CONCAT("")</f>
        <v/>
      </c>
      <c r="L48" s="7" t="str">
        <f>_xlfn.CONCAT("11 11.2 4b")</f>
        <v>11 11.2 4b</v>
      </c>
      <c r="M48" s="7" t="str">
        <f>_xlfn.CONCAT("03707030965")</f>
        <v>03707030965</v>
      </c>
      <c r="N48" s="7" t="s">
        <v>133</v>
      </c>
      <c r="O48" s="7" t="s">
        <v>134</v>
      </c>
      <c r="P48" s="8">
        <v>44474</v>
      </c>
      <c r="Q48" s="7" t="s">
        <v>32</v>
      </c>
      <c r="R48" s="7" t="s">
        <v>36</v>
      </c>
      <c r="S48" s="7" t="s">
        <v>34</v>
      </c>
      <c r="T48" s="7"/>
      <c r="U48" s="7" t="s">
        <v>35</v>
      </c>
      <c r="V48" s="9">
        <v>10968.8</v>
      </c>
      <c r="W48" s="9">
        <v>4729.75</v>
      </c>
      <c r="X48" s="9">
        <v>4367.78</v>
      </c>
      <c r="Y48" s="7">
        <v>0</v>
      </c>
      <c r="Z48" s="9">
        <v>1871.27</v>
      </c>
    </row>
    <row r="49" spans="1:26" x14ac:dyDescent="0.35">
      <c r="A49" s="7" t="s">
        <v>27</v>
      </c>
      <c r="B49" s="7" t="s">
        <v>45</v>
      </c>
      <c r="C49" s="7" t="s">
        <v>49</v>
      </c>
      <c r="D49" s="7" t="s">
        <v>64</v>
      </c>
      <c r="E49" s="7" t="s">
        <v>44</v>
      </c>
      <c r="F49" s="7" t="s">
        <v>135</v>
      </c>
      <c r="G49" s="7">
        <v>2020</v>
      </c>
      <c r="H49" s="7" t="str">
        <f>_xlfn.CONCAT("04240765125")</f>
        <v>04240765125</v>
      </c>
      <c r="I49" s="7" t="s">
        <v>30</v>
      </c>
      <c r="J49" s="7" t="s">
        <v>31</v>
      </c>
      <c r="K49" s="7" t="str">
        <f>_xlfn.CONCAT("")</f>
        <v/>
      </c>
      <c r="L49" s="7" t="str">
        <f>_xlfn.CONCAT("11 11.2 4b")</f>
        <v>11 11.2 4b</v>
      </c>
      <c r="M49" s="7" t="str">
        <f>_xlfn.CONCAT("PTTNMR65R60C704R")</f>
        <v>PTTNMR65R60C704R</v>
      </c>
      <c r="N49" s="7" t="s">
        <v>136</v>
      </c>
      <c r="O49" s="7" t="s">
        <v>134</v>
      </c>
      <c r="P49" s="8">
        <v>44474</v>
      </c>
      <c r="Q49" s="7" t="s">
        <v>32</v>
      </c>
      <c r="R49" s="7" t="s">
        <v>36</v>
      </c>
      <c r="S49" s="7" t="s">
        <v>34</v>
      </c>
      <c r="T49" s="7"/>
      <c r="U49" s="7" t="s">
        <v>35</v>
      </c>
      <c r="V49" s="7">
        <v>378.78</v>
      </c>
      <c r="W49" s="7">
        <v>163.33000000000001</v>
      </c>
      <c r="X49" s="7">
        <v>150.83000000000001</v>
      </c>
      <c r="Y49" s="7">
        <v>0</v>
      </c>
      <c r="Z49" s="7">
        <v>64.62</v>
      </c>
    </row>
    <row r="50" spans="1:26" x14ac:dyDescent="0.35">
      <c r="A50" s="7" t="s">
        <v>27</v>
      </c>
      <c r="B50" s="7" t="s">
        <v>45</v>
      </c>
      <c r="C50" s="7" t="s">
        <v>49</v>
      </c>
      <c r="D50" s="7" t="s">
        <v>64</v>
      </c>
      <c r="E50" s="7" t="s">
        <v>40</v>
      </c>
      <c r="F50" s="7" t="s">
        <v>69</v>
      </c>
      <c r="G50" s="7">
        <v>2018</v>
      </c>
      <c r="H50" s="7" t="str">
        <f>_xlfn.CONCAT("84240360820")</f>
        <v>84240360820</v>
      </c>
      <c r="I50" s="7" t="s">
        <v>30</v>
      </c>
      <c r="J50" s="7" t="s">
        <v>31</v>
      </c>
      <c r="K50" s="7" t="str">
        <f>_xlfn.CONCAT("")</f>
        <v/>
      </c>
      <c r="L50" s="7" t="str">
        <f>_xlfn.CONCAT("11 11.2 4b")</f>
        <v>11 11.2 4b</v>
      </c>
      <c r="M50" s="7" t="str">
        <f>_xlfn.CONCAT("RVLMRA43B04H501Q")</f>
        <v>RVLMRA43B04H501Q</v>
      </c>
      <c r="N50" s="7" t="s">
        <v>137</v>
      </c>
      <c r="O50" s="7" t="s">
        <v>134</v>
      </c>
      <c r="P50" s="8">
        <v>44474</v>
      </c>
      <c r="Q50" s="7" t="s">
        <v>32</v>
      </c>
      <c r="R50" s="7" t="s">
        <v>36</v>
      </c>
      <c r="S50" s="7" t="s">
        <v>34</v>
      </c>
      <c r="T50" s="7"/>
      <c r="U50" s="7" t="s">
        <v>35</v>
      </c>
      <c r="V50" s="7">
        <v>136.08000000000001</v>
      </c>
      <c r="W50" s="7">
        <v>58.68</v>
      </c>
      <c r="X50" s="7">
        <v>54.19</v>
      </c>
      <c r="Y50" s="7">
        <v>0</v>
      </c>
      <c r="Z50" s="7">
        <v>23.21</v>
      </c>
    </row>
    <row r="51" spans="1:26" x14ac:dyDescent="0.35">
      <c r="A51" s="7" t="s">
        <v>27</v>
      </c>
      <c r="B51" s="7" t="s">
        <v>45</v>
      </c>
      <c r="C51" s="7" t="s">
        <v>49</v>
      </c>
      <c r="D51" s="7" t="s">
        <v>50</v>
      </c>
      <c r="E51" s="7" t="s">
        <v>40</v>
      </c>
      <c r="F51" s="7" t="s">
        <v>138</v>
      </c>
      <c r="G51" s="7">
        <v>2020</v>
      </c>
      <c r="H51" s="7" t="str">
        <f>_xlfn.CONCAT("04240042038")</f>
        <v>04240042038</v>
      </c>
      <c r="I51" s="7" t="s">
        <v>30</v>
      </c>
      <c r="J51" s="7" t="s">
        <v>31</v>
      </c>
      <c r="K51" s="7" t="str">
        <f>_xlfn.CONCAT("")</f>
        <v/>
      </c>
      <c r="L51" s="7" t="str">
        <f>_xlfn.CONCAT("11 11.2 4b")</f>
        <v>11 11.2 4b</v>
      </c>
      <c r="M51" s="7" t="str">
        <f>_xlfn.CONCAT("RGGRLD45M02D451D")</f>
        <v>RGGRLD45M02D451D</v>
      </c>
      <c r="N51" s="7" t="s">
        <v>139</v>
      </c>
      <c r="O51" s="7" t="s">
        <v>134</v>
      </c>
      <c r="P51" s="8">
        <v>44474</v>
      </c>
      <c r="Q51" s="7" t="s">
        <v>32</v>
      </c>
      <c r="R51" s="7" t="s">
        <v>36</v>
      </c>
      <c r="S51" s="7" t="s">
        <v>34</v>
      </c>
      <c r="T51" s="7"/>
      <c r="U51" s="7" t="s">
        <v>35</v>
      </c>
      <c r="V51" s="9">
        <v>2338.2399999999998</v>
      </c>
      <c r="W51" s="9">
        <v>1008.25</v>
      </c>
      <c r="X51" s="7">
        <v>931.09</v>
      </c>
      <c r="Y51" s="7">
        <v>0</v>
      </c>
      <c r="Z51" s="7">
        <v>398.9</v>
      </c>
    </row>
    <row r="52" spans="1:26" x14ac:dyDescent="0.35">
      <c r="A52" s="7" t="s">
        <v>27</v>
      </c>
      <c r="B52" s="7" t="s">
        <v>45</v>
      </c>
      <c r="C52" s="7" t="s">
        <v>49</v>
      </c>
      <c r="D52" s="7" t="s">
        <v>57</v>
      </c>
      <c r="E52" s="7" t="s">
        <v>41</v>
      </c>
      <c r="F52" s="7" t="s">
        <v>98</v>
      </c>
      <c r="G52" s="7">
        <v>2018</v>
      </c>
      <c r="H52" s="7" t="str">
        <f>_xlfn.CONCAT("84240320188")</f>
        <v>84240320188</v>
      </c>
      <c r="I52" s="7" t="s">
        <v>38</v>
      </c>
      <c r="J52" s="7" t="s">
        <v>31</v>
      </c>
      <c r="K52" s="7" t="str">
        <f>_xlfn.CONCAT("")</f>
        <v/>
      </c>
      <c r="L52" s="7" t="str">
        <f>_xlfn.CONCAT("11 11.2 4b")</f>
        <v>11 11.2 4b</v>
      </c>
      <c r="M52" s="7" t="str">
        <f>_xlfn.CONCAT("BNFRRT62M22D791L")</f>
        <v>BNFRRT62M22D791L</v>
      </c>
      <c r="N52" s="7" t="s">
        <v>140</v>
      </c>
      <c r="O52" s="7" t="s">
        <v>134</v>
      </c>
      <c r="P52" s="8">
        <v>44474</v>
      </c>
      <c r="Q52" s="7" t="s">
        <v>32</v>
      </c>
      <c r="R52" s="7" t="s">
        <v>36</v>
      </c>
      <c r="S52" s="7" t="s">
        <v>34</v>
      </c>
      <c r="T52" s="7"/>
      <c r="U52" s="7" t="s">
        <v>35</v>
      </c>
      <c r="V52" s="9">
        <v>2071.31</v>
      </c>
      <c r="W52" s="7">
        <v>893.15</v>
      </c>
      <c r="X52" s="7">
        <v>824.8</v>
      </c>
      <c r="Y52" s="7">
        <v>0</v>
      </c>
      <c r="Z52" s="7">
        <v>353.36</v>
      </c>
    </row>
    <row r="53" spans="1:26" x14ac:dyDescent="0.35">
      <c r="A53" s="7" t="s">
        <v>27</v>
      </c>
      <c r="B53" s="7" t="s">
        <v>45</v>
      </c>
      <c r="C53" s="7" t="s">
        <v>49</v>
      </c>
      <c r="D53" s="7" t="s">
        <v>57</v>
      </c>
      <c r="E53" s="7" t="s">
        <v>40</v>
      </c>
      <c r="F53" s="7" t="s">
        <v>141</v>
      </c>
      <c r="G53" s="7">
        <v>2020</v>
      </c>
      <c r="H53" s="7" t="str">
        <f>_xlfn.CONCAT("04211278538")</f>
        <v>04211278538</v>
      </c>
      <c r="I53" s="7" t="s">
        <v>30</v>
      </c>
      <c r="J53" s="7" t="s">
        <v>31</v>
      </c>
      <c r="K53" s="7" t="str">
        <f>_xlfn.CONCAT("")</f>
        <v/>
      </c>
      <c r="L53" s="7" t="str">
        <f>_xlfn.CONCAT("13 13.1 4a")</f>
        <v>13 13.1 4a</v>
      </c>
      <c r="M53" s="7" t="str">
        <f>_xlfn.CONCAT("01742200403")</f>
        <v>01742200403</v>
      </c>
      <c r="N53" s="7" t="s">
        <v>142</v>
      </c>
      <c r="O53" s="7" t="s">
        <v>143</v>
      </c>
      <c r="P53" s="8">
        <v>44474</v>
      </c>
      <c r="Q53" s="7" t="s">
        <v>32</v>
      </c>
      <c r="R53" s="7" t="s">
        <v>36</v>
      </c>
      <c r="S53" s="7" t="s">
        <v>34</v>
      </c>
      <c r="T53" s="7"/>
      <c r="U53" s="7" t="s">
        <v>35</v>
      </c>
      <c r="V53" s="9">
        <v>9000</v>
      </c>
      <c r="W53" s="9">
        <v>3880.8</v>
      </c>
      <c r="X53" s="9">
        <v>3583.8</v>
      </c>
      <c r="Y53" s="7">
        <v>0</v>
      </c>
      <c r="Z53" s="9">
        <v>1535.4</v>
      </c>
    </row>
    <row r="54" spans="1:26" x14ac:dyDescent="0.35">
      <c r="A54" s="7" t="s">
        <v>27</v>
      </c>
      <c r="B54" s="7" t="s">
        <v>45</v>
      </c>
      <c r="C54" s="7" t="s">
        <v>49</v>
      </c>
      <c r="D54" s="7" t="s">
        <v>50</v>
      </c>
      <c r="E54" s="7" t="s">
        <v>40</v>
      </c>
      <c r="F54" s="7" t="s">
        <v>51</v>
      </c>
      <c r="G54" s="7">
        <v>2020</v>
      </c>
      <c r="H54" s="7" t="str">
        <f>_xlfn.CONCAT("04210334811")</f>
        <v>04210334811</v>
      </c>
      <c r="I54" s="7" t="s">
        <v>30</v>
      </c>
      <c r="J54" s="7" t="s">
        <v>31</v>
      </c>
      <c r="K54" s="7" t="str">
        <f>_xlfn.CONCAT("")</f>
        <v/>
      </c>
      <c r="L54" s="7" t="str">
        <f>_xlfn.CONCAT("13 13.1 4a")</f>
        <v>13 13.1 4a</v>
      </c>
      <c r="M54" s="7" t="str">
        <f>_xlfn.CONCAT("CCCMGR61A62A366I")</f>
        <v>CCCMGR61A62A366I</v>
      </c>
      <c r="N54" s="7" t="s">
        <v>144</v>
      </c>
      <c r="O54" s="7" t="s">
        <v>143</v>
      </c>
      <c r="P54" s="8">
        <v>44474</v>
      </c>
      <c r="Q54" s="7" t="s">
        <v>32</v>
      </c>
      <c r="R54" s="7" t="s">
        <v>36</v>
      </c>
      <c r="S54" s="7" t="s">
        <v>34</v>
      </c>
      <c r="T54" s="7"/>
      <c r="U54" s="7" t="s">
        <v>35</v>
      </c>
      <c r="V54" s="9">
        <v>1904.56</v>
      </c>
      <c r="W54" s="7">
        <v>821.25</v>
      </c>
      <c r="X54" s="7">
        <v>758.4</v>
      </c>
      <c r="Y54" s="7">
        <v>0</v>
      </c>
      <c r="Z54" s="7">
        <v>324.91000000000003</v>
      </c>
    </row>
    <row r="55" spans="1:26" x14ac:dyDescent="0.35">
      <c r="A55" s="7" t="s">
        <v>27</v>
      </c>
      <c r="B55" s="7" t="s">
        <v>45</v>
      </c>
      <c r="C55" s="7" t="s">
        <v>49</v>
      </c>
      <c r="D55" s="7" t="s">
        <v>50</v>
      </c>
      <c r="E55" s="7" t="s">
        <v>41</v>
      </c>
      <c r="F55" s="7" t="s">
        <v>145</v>
      </c>
      <c r="G55" s="7">
        <v>2020</v>
      </c>
      <c r="H55" s="7" t="str">
        <f>_xlfn.CONCAT("04210607265")</f>
        <v>04210607265</v>
      </c>
      <c r="I55" s="7" t="s">
        <v>30</v>
      </c>
      <c r="J55" s="7" t="s">
        <v>31</v>
      </c>
      <c r="K55" s="7" t="str">
        <f>_xlfn.CONCAT("")</f>
        <v/>
      </c>
      <c r="L55" s="7" t="str">
        <f>_xlfn.CONCAT("13 13.1 4a")</f>
        <v>13 13.1 4a</v>
      </c>
      <c r="M55" s="7" t="str">
        <f>_xlfn.CONCAT("PTRNGL63E14A366E")</f>
        <v>PTRNGL63E14A366E</v>
      </c>
      <c r="N55" s="7" t="s">
        <v>146</v>
      </c>
      <c r="O55" s="7" t="s">
        <v>143</v>
      </c>
      <c r="P55" s="8">
        <v>44474</v>
      </c>
      <c r="Q55" s="7" t="s">
        <v>32</v>
      </c>
      <c r="R55" s="7" t="s">
        <v>36</v>
      </c>
      <c r="S55" s="7" t="s">
        <v>34</v>
      </c>
      <c r="T55" s="7"/>
      <c r="U55" s="7" t="s">
        <v>35</v>
      </c>
      <c r="V55" s="9">
        <v>1376.62</v>
      </c>
      <c r="W55" s="7">
        <v>593.6</v>
      </c>
      <c r="X55" s="7">
        <v>548.16999999999996</v>
      </c>
      <c r="Y55" s="7">
        <v>0</v>
      </c>
      <c r="Z55" s="7">
        <v>234.85</v>
      </c>
    </row>
    <row r="56" spans="1:26" x14ac:dyDescent="0.35">
      <c r="A56" s="7" t="s">
        <v>27</v>
      </c>
      <c r="B56" s="7" t="s">
        <v>45</v>
      </c>
      <c r="C56" s="7" t="s">
        <v>49</v>
      </c>
      <c r="D56" s="7" t="s">
        <v>50</v>
      </c>
      <c r="E56" s="7" t="s">
        <v>40</v>
      </c>
      <c r="F56" s="7" t="s">
        <v>138</v>
      </c>
      <c r="G56" s="7">
        <v>2020</v>
      </c>
      <c r="H56" s="7" t="str">
        <f>_xlfn.CONCAT("04210065563")</f>
        <v>04210065563</v>
      </c>
      <c r="I56" s="7" t="s">
        <v>30</v>
      </c>
      <c r="J56" s="7" t="s">
        <v>31</v>
      </c>
      <c r="K56" s="7" t="str">
        <f>_xlfn.CONCAT("")</f>
        <v/>
      </c>
      <c r="L56" s="7" t="str">
        <f>_xlfn.CONCAT("13 13.1 4a")</f>
        <v>13 13.1 4a</v>
      </c>
      <c r="M56" s="7" t="str">
        <f>_xlfn.CONCAT("RGGRLD45M02D451D")</f>
        <v>RGGRLD45M02D451D</v>
      </c>
      <c r="N56" s="7" t="s">
        <v>139</v>
      </c>
      <c r="O56" s="7" t="s">
        <v>143</v>
      </c>
      <c r="P56" s="8">
        <v>44474</v>
      </c>
      <c r="Q56" s="7" t="s">
        <v>32</v>
      </c>
      <c r="R56" s="7" t="s">
        <v>36</v>
      </c>
      <c r="S56" s="7" t="s">
        <v>34</v>
      </c>
      <c r="T56" s="7"/>
      <c r="U56" s="7" t="s">
        <v>35</v>
      </c>
      <c r="V56" s="9">
        <v>6917.04</v>
      </c>
      <c r="W56" s="9">
        <v>2982.63</v>
      </c>
      <c r="X56" s="9">
        <v>2754.37</v>
      </c>
      <c r="Y56" s="7">
        <v>0</v>
      </c>
      <c r="Z56" s="9">
        <v>1180.04</v>
      </c>
    </row>
    <row r="57" spans="1:26" x14ac:dyDescent="0.35">
      <c r="A57" s="7" t="s">
        <v>27</v>
      </c>
      <c r="B57" s="7" t="s">
        <v>45</v>
      </c>
      <c r="C57" s="7" t="s">
        <v>49</v>
      </c>
      <c r="D57" s="7" t="s">
        <v>64</v>
      </c>
      <c r="E57" s="7" t="s">
        <v>43</v>
      </c>
      <c r="F57" s="7" t="s">
        <v>147</v>
      </c>
      <c r="G57" s="7">
        <v>2017</v>
      </c>
      <c r="H57" s="7" t="str">
        <f>_xlfn.CONCAT("74210252354")</f>
        <v>74210252354</v>
      </c>
      <c r="I57" s="7" t="s">
        <v>30</v>
      </c>
      <c r="J57" s="7" t="s">
        <v>31</v>
      </c>
      <c r="K57" s="7" t="str">
        <f>_xlfn.CONCAT("")</f>
        <v/>
      </c>
      <c r="L57" s="7" t="str">
        <f>_xlfn.CONCAT("13 13.1 4a")</f>
        <v>13 13.1 4a</v>
      </c>
      <c r="M57" s="7" t="str">
        <f>_xlfn.CONCAT("RCCFNC30E06C267Z")</f>
        <v>RCCFNC30E06C267Z</v>
      </c>
      <c r="N57" s="7" t="s">
        <v>148</v>
      </c>
      <c r="O57" s="7" t="s">
        <v>143</v>
      </c>
      <c r="P57" s="8">
        <v>44474</v>
      </c>
      <c r="Q57" s="7" t="s">
        <v>32</v>
      </c>
      <c r="R57" s="7" t="s">
        <v>36</v>
      </c>
      <c r="S57" s="7" t="s">
        <v>34</v>
      </c>
      <c r="T57" s="7"/>
      <c r="U57" s="7" t="s">
        <v>35</v>
      </c>
      <c r="V57" s="7">
        <v>444.38</v>
      </c>
      <c r="W57" s="7">
        <v>191.62</v>
      </c>
      <c r="X57" s="7">
        <v>176.95</v>
      </c>
      <c r="Y57" s="7">
        <v>0</v>
      </c>
      <c r="Z57" s="7">
        <v>75.81</v>
      </c>
    </row>
    <row r="58" spans="1:26" x14ac:dyDescent="0.35">
      <c r="A58" s="7" t="s">
        <v>27</v>
      </c>
      <c r="B58" s="7" t="s">
        <v>28</v>
      </c>
      <c r="C58" s="7" t="s">
        <v>49</v>
      </c>
      <c r="D58" s="7" t="s">
        <v>57</v>
      </c>
      <c r="E58" s="7" t="s">
        <v>40</v>
      </c>
      <c r="F58" s="7" t="s">
        <v>106</v>
      </c>
      <c r="G58" s="7">
        <v>2017</v>
      </c>
      <c r="H58" s="7" t="str">
        <f>_xlfn.CONCAT("14270257174")</f>
        <v>14270257174</v>
      </c>
      <c r="I58" s="7" t="s">
        <v>30</v>
      </c>
      <c r="J58" s="7" t="s">
        <v>31</v>
      </c>
      <c r="K58" s="7" t="str">
        <f>_xlfn.CONCAT("")</f>
        <v/>
      </c>
      <c r="L58" s="7" t="str">
        <f>_xlfn.CONCAT("6 6.1 2b")</f>
        <v>6 6.1 2b</v>
      </c>
      <c r="M58" s="7" t="str">
        <f>_xlfn.CONCAT("CNGGNN89D22I608A")</f>
        <v>CNGGNN89D22I608A</v>
      </c>
      <c r="N58" s="7" t="s">
        <v>123</v>
      </c>
      <c r="O58" s="7" t="s">
        <v>149</v>
      </c>
      <c r="P58" s="8">
        <v>44470</v>
      </c>
      <c r="Q58" s="7" t="s">
        <v>32</v>
      </c>
      <c r="R58" s="7" t="s">
        <v>36</v>
      </c>
      <c r="S58" s="7" t="s">
        <v>34</v>
      </c>
      <c r="T58" s="7"/>
      <c r="U58" s="7" t="s">
        <v>35</v>
      </c>
      <c r="V58" s="9">
        <v>15000</v>
      </c>
      <c r="W58" s="9">
        <v>6468</v>
      </c>
      <c r="X58" s="9">
        <v>5973</v>
      </c>
      <c r="Y58" s="7">
        <v>0</v>
      </c>
      <c r="Z58" s="9">
        <v>2559</v>
      </c>
    </row>
    <row r="59" spans="1:26" x14ac:dyDescent="0.35">
      <c r="A59" s="7" t="s">
        <v>27</v>
      </c>
      <c r="B59" s="7" t="s">
        <v>28</v>
      </c>
      <c r="C59" s="7" t="s">
        <v>49</v>
      </c>
      <c r="D59" s="7" t="s">
        <v>57</v>
      </c>
      <c r="E59" s="7" t="s">
        <v>29</v>
      </c>
      <c r="F59" s="7" t="s">
        <v>29</v>
      </c>
      <c r="G59" s="7">
        <v>2017</v>
      </c>
      <c r="H59" s="7" t="str">
        <f>_xlfn.CONCAT("14270257182")</f>
        <v>14270257182</v>
      </c>
      <c r="I59" s="7" t="s">
        <v>30</v>
      </c>
      <c r="J59" s="7" t="s">
        <v>31</v>
      </c>
      <c r="K59" s="7" t="str">
        <f>_xlfn.CONCAT("")</f>
        <v/>
      </c>
      <c r="L59" s="7" t="str">
        <f>_xlfn.CONCAT("6 6.1 2b")</f>
        <v>6 6.1 2b</v>
      </c>
      <c r="M59" s="7" t="str">
        <f>_xlfn.CONCAT("02598840417")</f>
        <v>02598840417</v>
      </c>
      <c r="N59" s="7" t="s">
        <v>125</v>
      </c>
      <c r="O59" s="7" t="s">
        <v>149</v>
      </c>
      <c r="P59" s="8">
        <v>44470</v>
      </c>
      <c r="Q59" s="7" t="s">
        <v>32</v>
      </c>
      <c r="R59" s="7" t="s">
        <v>36</v>
      </c>
      <c r="S59" s="7" t="s">
        <v>34</v>
      </c>
      <c r="T59" s="7"/>
      <c r="U59" s="7" t="s">
        <v>35</v>
      </c>
      <c r="V59" s="9">
        <v>15000</v>
      </c>
      <c r="W59" s="9">
        <v>6468</v>
      </c>
      <c r="X59" s="9">
        <v>5973</v>
      </c>
      <c r="Y59" s="7">
        <v>0</v>
      </c>
      <c r="Z59" s="9">
        <v>2559</v>
      </c>
    </row>
    <row r="60" spans="1:26" x14ac:dyDescent="0.35">
      <c r="A60" s="7" t="s">
        <v>27</v>
      </c>
      <c r="B60" s="7" t="s">
        <v>45</v>
      </c>
      <c r="C60" s="7" t="s">
        <v>49</v>
      </c>
      <c r="D60" s="7" t="s">
        <v>64</v>
      </c>
      <c r="E60" s="7" t="s">
        <v>40</v>
      </c>
      <c r="F60" s="7" t="s">
        <v>108</v>
      </c>
      <c r="G60" s="7">
        <v>2020</v>
      </c>
      <c r="H60" s="7" t="str">
        <f>_xlfn.CONCAT("04240921967")</f>
        <v>04240921967</v>
      </c>
      <c r="I60" s="7" t="s">
        <v>30</v>
      </c>
      <c r="J60" s="7" t="s">
        <v>31</v>
      </c>
      <c r="K60" s="7" t="str">
        <f>_xlfn.CONCAT("")</f>
        <v/>
      </c>
      <c r="L60" s="7" t="str">
        <f>_xlfn.CONCAT("11 11.2 4b")</f>
        <v>11 11.2 4b</v>
      </c>
      <c r="M60" s="7" t="str">
        <f>_xlfn.CONCAT("SBSJNN77S06E783Y")</f>
        <v>SBSJNN77S06E783Y</v>
      </c>
      <c r="N60" s="7" t="s">
        <v>150</v>
      </c>
      <c r="O60" s="7" t="s">
        <v>134</v>
      </c>
      <c r="P60" s="8">
        <v>44474</v>
      </c>
      <c r="Q60" s="7" t="s">
        <v>32</v>
      </c>
      <c r="R60" s="7" t="s">
        <v>36</v>
      </c>
      <c r="S60" s="7" t="s">
        <v>34</v>
      </c>
      <c r="T60" s="7"/>
      <c r="U60" s="7" t="s">
        <v>35</v>
      </c>
      <c r="V60" s="7">
        <v>142.47999999999999</v>
      </c>
      <c r="W60" s="7">
        <v>61.44</v>
      </c>
      <c r="X60" s="7">
        <v>56.74</v>
      </c>
      <c r="Y60" s="7">
        <v>0</v>
      </c>
      <c r="Z60" s="7">
        <v>24.3</v>
      </c>
    </row>
    <row r="61" spans="1:26" x14ac:dyDescent="0.35">
      <c r="A61" s="7" t="s">
        <v>27</v>
      </c>
      <c r="B61" s="7" t="s">
        <v>45</v>
      </c>
      <c r="C61" s="7" t="s">
        <v>49</v>
      </c>
      <c r="D61" s="7" t="s">
        <v>57</v>
      </c>
      <c r="E61" s="7" t="s">
        <v>40</v>
      </c>
      <c r="F61" s="7" t="s">
        <v>151</v>
      </c>
      <c r="G61" s="7">
        <v>2020</v>
      </c>
      <c r="H61" s="7" t="str">
        <f>_xlfn.CONCAT("04240980492")</f>
        <v>04240980492</v>
      </c>
      <c r="I61" s="7" t="s">
        <v>30</v>
      </c>
      <c r="J61" s="7" t="s">
        <v>31</v>
      </c>
      <c r="K61" s="7" t="str">
        <f>_xlfn.CONCAT("")</f>
        <v/>
      </c>
      <c r="L61" s="7" t="str">
        <f>_xlfn.CONCAT("11 11.2 4b")</f>
        <v>11 11.2 4b</v>
      </c>
      <c r="M61" s="7" t="str">
        <f>_xlfn.CONCAT("RSTNCL86R13D488T")</f>
        <v>RSTNCL86R13D488T</v>
      </c>
      <c r="N61" s="7" t="s">
        <v>152</v>
      </c>
      <c r="O61" s="7" t="s">
        <v>134</v>
      </c>
      <c r="P61" s="8">
        <v>44474</v>
      </c>
      <c r="Q61" s="7" t="s">
        <v>32</v>
      </c>
      <c r="R61" s="7" t="s">
        <v>36</v>
      </c>
      <c r="S61" s="7" t="s">
        <v>34</v>
      </c>
      <c r="T61" s="7"/>
      <c r="U61" s="7" t="s">
        <v>35</v>
      </c>
      <c r="V61" s="9">
        <v>2162.65</v>
      </c>
      <c r="W61" s="7">
        <v>932.53</v>
      </c>
      <c r="X61" s="7">
        <v>861.17</v>
      </c>
      <c r="Y61" s="7">
        <v>0</v>
      </c>
      <c r="Z61" s="7">
        <v>368.95</v>
      </c>
    </row>
    <row r="62" spans="1:26" x14ac:dyDescent="0.35">
      <c r="A62" s="7" t="s">
        <v>27</v>
      </c>
      <c r="B62" s="7" t="s">
        <v>45</v>
      </c>
      <c r="C62" s="7" t="s">
        <v>49</v>
      </c>
      <c r="D62" s="7" t="s">
        <v>64</v>
      </c>
      <c r="E62" s="7" t="s">
        <v>40</v>
      </c>
      <c r="F62" s="7" t="s">
        <v>153</v>
      </c>
      <c r="G62" s="7">
        <v>2020</v>
      </c>
      <c r="H62" s="7" t="str">
        <f>_xlfn.CONCAT("04240015141")</f>
        <v>04240015141</v>
      </c>
      <c r="I62" s="7" t="s">
        <v>30</v>
      </c>
      <c r="J62" s="7" t="s">
        <v>31</v>
      </c>
      <c r="K62" s="7" t="str">
        <f>_xlfn.CONCAT("")</f>
        <v/>
      </c>
      <c r="L62" s="7" t="str">
        <f>_xlfn.CONCAT("11 11.1 4b")</f>
        <v>11 11.1 4b</v>
      </c>
      <c r="M62" s="7" t="str">
        <f>_xlfn.CONCAT("PCCGNY80T70L366K")</f>
        <v>PCCGNY80T70L366K</v>
      </c>
      <c r="N62" s="7" t="s">
        <v>154</v>
      </c>
      <c r="O62" s="7" t="s">
        <v>134</v>
      </c>
      <c r="P62" s="8">
        <v>44474</v>
      </c>
      <c r="Q62" s="7" t="s">
        <v>32</v>
      </c>
      <c r="R62" s="7" t="s">
        <v>36</v>
      </c>
      <c r="S62" s="7" t="s">
        <v>34</v>
      </c>
      <c r="T62" s="7"/>
      <c r="U62" s="7" t="s">
        <v>35</v>
      </c>
      <c r="V62" s="7">
        <v>539.28</v>
      </c>
      <c r="W62" s="7">
        <v>232.54</v>
      </c>
      <c r="X62" s="7">
        <v>214.74</v>
      </c>
      <c r="Y62" s="7">
        <v>0</v>
      </c>
      <c r="Z62" s="7">
        <v>92</v>
      </c>
    </row>
    <row r="63" spans="1:26" x14ac:dyDescent="0.35">
      <c r="A63" s="7" t="s">
        <v>27</v>
      </c>
      <c r="B63" s="7" t="s">
        <v>45</v>
      </c>
      <c r="C63" s="7" t="s">
        <v>49</v>
      </c>
      <c r="D63" s="7" t="s">
        <v>57</v>
      </c>
      <c r="E63" s="7" t="s">
        <v>40</v>
      </c>
      <c r="F63" s="7" t="s">
        <v>155</v>
      </c>
      <c r="G63" s="7">
        <v>2018</v>
      </c>
      <c r="H63" s="7" t="str">
        <f>_xlfn.CONCAT("84240497630")</f>
        <v>84240497630</v>
      </c>
      <c r="I63" s="7" t="s">
        <v>30</v>
      </c>
      <c r="J63" s="7" t="s">
        <v>31</v>
      </c>
      <c r="K63" s="7" t="str">
        <f>_xlfn.CONCAT("")</f>
        <v/>
      </c>
      <c r="L63" s="7" t="str">
        <f>_xlfn.CONCAT("11 11.2 4b")</f>
        <v>11 11.2 4b</v>
      </c>
      <c r="M63" s="7" t="str">
        <f>_xlfn.CONCAT("CTNSNO63R48G479G")</f>
        <v>CTNSNO63R48G479G</v>
      </c>
      <c r="N63" s="7" t="s">
        <v>156</v>
      </c>
      <c r="O63" s="7" t="s">
        <v>134</v>
      </c>
      <c r="P63" s="8">
        <v>44474</v>
      </c>
      <c r="Q63" s="7" t="s">
        <v>32</v>
      </c>
      <c r="R63" s="7" t="s">
        <v>36</v>
      </c>
      <c r="S63" s="7" t="s">
        <v>34</v>
      </c>
      <c r="T63" s="7"/>
      <c r="U63" s="7" t="s">
        <v>35</v>
      </c>
      <c r="V63" s="7">
        <v>265.8</v>
      </c>
      <c r="W63" s="7">
        <v>114.61</v>
      </c>
      <c r="X63" s="7">
        <v>105.84</v>
      </c>
      <c r="Y63" s="7">
        <v>0</v>
      </c>
      <c r="Z63" s="7">
        <v>45.35</v>
      </c>
    </row>
    <row r="64" spans="1:26" x14ac:dyDescent="0.35">
      <c r="A64" s="7" t="s">
        <v>27</v>
      </c>
      <c r="B64" s="7" t="s">
        <v>45</v>
      </c>
      <c r="C64" s="7" t="s">
        <v>49</v>
      </c>
      <c r="D64" s="7" t="s">
        <v>64</v>
      </c>
      <c r="E64" s="7" t="s">
        <v>40</v>
      </c>
      <c r="F64" s="7" t="s">
        <v>69</v>
      </c>
      <c r="G64" s="7">
        <v>2017</v>
      </c>
      <c r="H64" s="7" t="str">
        <f>_xlfn.CONCAT("74240474093")</f>
        <v>74240474093</v>
      </c>
      <c r="I64" s="7" t="s">
        <v>30</v>
      </c>
      <c r="J64" s="7" t="s">
        <v>31</v>
      </c>
      <c r="K64" s="7" t="str">
        <f>_xlfn.CONCAT("")</f>
        <v/>
      </c>
      <c r="L64" s="7" t="str">
        <f>_xlfn.CONCAT("11 11.2 4b")</f>
        <v>11 11.2 4b</v>
      </c>
      <c r="M64" s="7" t="str">
        <f>_xlfn.CONCAT("01945810438")</f>
        <v>01945810438</v>
      </c>
      <c r="N64" s="7" t="s">
        <v>157</v>
      </c>
      <c r="O64" s="7" t="s">
        <v>134</v>
      </c>
      <c r="P64" s="8">
        <v>44474</v>
      </c>
      <c r="Q64" s="7" t="s">
        <v>32</v>
      </c>
      <c r="R64" s="7" t="s">
        <v>36</v>
      </c>
      <c r="S64" s="7" t="s">
        <v>34</v>
      </c>
      <c r="T64" s="7"/>
      <c r="U64" s="7" t="s">
        <v>35</v>
      </c>
      <c r="V64" s="7">
        <v>506.38</v>
      </c>
      <c r="W64" s="7">
        <v>218.35</v>
      </c>
      <c r="X64" s="7">
        <v>201.64</v>
      </c>
      <c r="Y64" s="7">
        <v>0</v>
      </c>
      <c r="Z64" s="7">
        <v>86.39</v>
      </c>
    </row>
    <row r="65" spans="1:26" x14ac:dyDescent="0.35">
      <c r="A65" s="7" t="s">
        <v>27</v>
      </c>
      <c r="B65" s="7" t="s">
        <v>45</v>
      </c>
      <c r="C65" s="7" t="s">
        <v>49</v>
      </c>
      <c r="D65" s="7" t="s">
        <v>50</v>
      </c>
      <c r="E65" s="7" t="s">
        <v>39</v>
      </c>
      <c r="F65" s="7" t="s">
        <v>158</v>
      </c>
      <c r="G65" s="7">
        <v>2020</v>
      </c>
      <c r="H65" s="7" t="str">
        <f>_xlfn.CONCAT("04240893315")</f>
        <v>04240893315</v>
      </c>
      <c r="I65" s="7" t="s">
        <v>38</v>
      </c>
      <c r="J65" s="7" t="s">
        <v>31</v>
      </c>
      <c r="K65" s="7" t="str">
        <f>_xlfn.CONCAT("")</f>
        <v/>
      </c>
      <c r="L65" s="7" t="str">
        <f>_xlfn.CONCAT("11 11.1 4b")</f>
        <v>11 11.1 4b</v>
      </c>
      <c r="M65" s="7" t="str">
        <f>_xlfn.CONCAT("GBRLNZ93C07D451N")</f>
        <v>GBRLNZ93C07D451N</v>
      </c>
      <c r="N65" s="7" t="s">
        <v>159</v>
      </c>
      <c r="O65" s="7" t="s">
        <v>134</v>
      </c>
      <c r="P65" s="8">
        <v>44474</v>
      </c>
      <c r="Q65" s="7" t="s">
        <v>32</v>
      </c>
      <c r="R65" s="7" t="s">
        <v>36</v>
      </c>
      <c r="S65" s="7" t="s">
        <v>34</v>
      </c>
      <c r="T65" s="7"/>
      <c r="U65" s="7" t="s">
        <v>35</v>
      </c>
      <c r="V65" s="7">
        <v>692.29</v>
      </c>
      <c r="W65" s="7">
        <v>298.52</v>
      </c>
      <c r="X65" s="7">
        <v>275.67</v>
      </c>
      <c r="Y65" s="7">
        <v>0</v>
      </c>
      <c r="Z65" s="7">
        <v>118.1</v>
      </c>
    </row>
    <row r="66" spans="1:26" x14ac:dyDescent="0.35">
      <c r="A66" s="7" t="s">
        <v>27</v>
      </c>
      <c r="B66" s="7" t="s">
        <v>45</v>
      </c>
      <c r="C66" s="7" t="s">
        <v>49</v>
      </c>
      <c r="D66" s="7" t="s">
        <v>57</v>
      </c>
      <c r="E66" s="7" t="s">
        <v>41</v>
      </c>
      <c r="F66" s="7" t="s">
        <v>58</v>
      </c>
      <c r="G66" s="7">
        <v>2020</v>
      </c>
      <c r="H66" s="7" t="str">
        <f>_xlfn.CONCAT("04210479723")</f>
        <v>04210479723</v>
      </c>
      <c r="I66" s="7" t="s">
        <v>30</v>
      </c>
      <c r="J66" s="7" t="s">
        <v>31</v>
      </c>
      <c r="K66" s="7" t="str">
        <f>_xlfn.CONCAT("")</f>
        <v/>
      </c>
      <c r="L66" s="7" t="str">
        <f>_xlfn.CONCAT("13 13.1 4a")</f>
        <v>13 13.1 4a</v>
      </c>
      <c r="M66" s="7" t="str">
        <f>_xlfn.CONCAT("82004090419")</f>
        <v>82004090419</v>
      </c>
      <c r="N66" s="7" t="s">
        <v>160</v>
      </c>
      <c r="O66" s="7" t="s">
        <v>143</v>
      </c>
      <c r="P66" s="8">
        <v>44474</v>
      </c>
      <c r="Q66" s="7" t="s">
        <v>32</v>
      </c>
      <c r="R66" s="7" t="s">
        <v>36</v>
      </c>
      <c r="S66" s="7" t="s">
        <v>34</v>
      </c>
      <c r="T66" s="7"/>
      <c r="U66" s="7" t="s">
        <v>35</v>
      </c>
      <c r="V66" s="9">
        <v>9000</v>
      </c>
      <c r="W66" s="9">
        <v>3880.8</v>
      </c>
      <c r="X66" s="9">
        <v>3583.8</v>
      </c>
      <c r="Y66" s="7">
        <v>0</v>
      </c>
      <c r="Z66" s="9">
        <v>1535.4</v>
      </c>
    </row>
    <row r="67" spans="1:26" x14ac:dyDescent="0.35">
      <c r="A67" s="7" t="s">
        <v>27</v>
      </c>
      <c r="B67" s="7" t="s">
        <v>45</v>
      </c>
      <c r="C67" s="7" t="s">
        <v>49</v>
      </c>
      <c r="D67" s="7" t="s">
        <v>57</v>
      </c>
      <c r="E67" s="7" t="s">
        <v>39</v>
      </c>
      <c r="F67" s="7" t="s">
        <v>86</v>
      </c>
      <c r="G67" s="7">
        <v>2018</v>
      </c>
      <c r="H67" s="7" t="str">
        <f>_xlfn.CONCAT("84210963561")</f>
        <v>84210963561</v>
      </c>
      <c r="I67" s="7" t="s">
        <v>30</v>
      </c>
      <c r="J67" s="7" t="s">
        <v>31</v>
      </c>
      <c r="K67" s="7" t="str">
        <f>_xlfn.CONCAT("")</f>
        <v/>
      </c>
      <c r="L67" s="7" t="str">
        <f>_xlfn.CONCAT("13 13.1 4a")</f>
        <v>13 13.1 4a</v>
      </c>
      <c r="M67" s="7" t="str">
        <f>_xlfn.CONCAT("00935330415")</f>
        <v>00935330415</v>
      </c>
      <c r="N67" s="7" t="s">
        <v>161</v>
      </c>
      <c r="O67" s="7" t="s">
        <v>143</v>
      </c>
      <c r="P67" s="8">
        <v>44474</v>
      </c>
      <c r="Q67" s="7" t="s">
        <v>32</v>
      </c>
      <c r="R67" s="7" t="s">
        <v>36</v>
      </c>
      <c r="S67" s="7" t="s">
        <v>34</v>
      </c>
      <c r="T67" s="7"/>
      <c r="U67" s="7" t="s">
        <v>35</v>
      </c>
      <c r="V67" s="7">
        <v>511.24</v>
      </c>
      <c r="W67" s="7">
        <v>220.45</v>
      </c>
      <c r="X67" s="7">
        <v>203.58</v>
      </c>
      <c r="Y67" s="7">
        <v>0</v>
      </c>
      <c r="Z67" s="7">
        <v>87.21</v>
      </c>
    </row>
    <row r="68" spans="1:26" x14ac:dyDescent="0.35">
      <c r="A68" s="7" t="s">
        <v>27</v>
      </c>
      <c r="B68" s="7" t="s">
        <v>45</v>
      </c>
      <c r="C68" s="7" t="s">
        <v>49</v>
      </c>
      <c r="D68" s="7" t="s">
        <v>57</v>
      </c>
      <c r="E68" s="7" t="s">
        <v>41</v>
      </c>
      <c r="F68" s="7" t="s">
        <v>58</v>
      </c>
      <c r="G68" s="7">
        <v>2020</v>
      </c>
      <c r="H68" s="7" t="str">
        <f>_xlfn.CONCAT("04210979557")</f>
        <v>04210979557</v>
      </c>
      <c r="I68" s="7" t="s">
        <v>30</v>
      </c>
      <c r="J68" s="7" t="s">
        <v>31</v>
      </c>
      <c r="K68" s="7" t="str">
        <f>_xlfn.CONCAT("")</f>
        <v/>
      </c>
      <c r="L68" s="7" t="str">
        <f>_xlfn.CONCAT("13 13.1 4a")</f>
        <v>13 13.1 4a</v>
      </c>
      <c r="M68" s="7" t="str">
        <f>_xlfn.CONCAT("00170370415")</f>
        <v>00170370415</v>
      </c>
      <c r="N68" s="7" t="s">
        <v>162</v>
      </c>
      <c r="O68" s="7" t="s">
        <v>143</v>
      </c>
      <c r="P68" s="8">
        <v>44474</v>
      </c>
      <c r="Q68" s="7" t="s">
        <v>32</v>
      </c>
      <c r="R68" s="7" t="s">
        <v>36</v>
      </c>
      <c r="S68" s="7" t="s">
        <v>34</v>
      </c>
      <c r="T68" s="7"/>
      <c r="U68" s="7" t="s">
        <v>35</v>
      </c>
      <c r="V68" s="9">
        <v>7933.04</v>
      </c>
      <c r="W68" s="9">
        <v>3420.73</v>
      </c>
      <c r="X68" s="9">
        <v>3158.94</v>
      </c>
      <c r="Y68" s="7">
        <v>0</v>
      </c>
      <c r="Z68" s="9">
        <v>1353.37</v>
      </c>
    </row>
    <row r="69" spans="1:26" x14ac:dyDescent="0.35">
      <c r="A69" s="7" t="s">
        <v>27</v>
      </c>
      <c r="B69" s="7" t="s">
        <v>45</v>
      </c>
      <c r="C69" s="7" t="s">
        <v>49</v>
      </c>
      <c r="D69" s="7" t="s">
        <v>57</v>
      </c>
      <c r="E69" s="7" t="s">
        <v>39</v>
      </c>
      <c r="F69" s="7" t="s">
        <v>163</v>
      </c>
      <c r="G69" s="7">
        <v>2020</v>
      </c>
      <c r="H69" s="7" t="str">
        <f>_xlfn.CONCAT("04211278702")</f>
        <v>04211278702</v>
      </c>
      <c r="I69" s="7" t="s">
        <v>30</v>
      </c>
      <c r="J69" s="7" t="s">
        <v>31</v>
      </c>
      <c r="K69" s="7" t="str">
        <f>_xlfn.CONCAT("")</f>
        <v/>
      </c>
      <c r="L69" s="7" t="str">
        <f>_xlfn.CONCAT("13 13.1 4a")</f>
        <v>13 13.1 4a</v>
      </c>
      <c r="M69" s="7" t="str">
        <f>_xlfn.CONCAT("MRCLRS68M08I459Y")</f>
        <v>MRCLRS68M08I459Y</v>
      </c>
      <c r="N69" s="7" t="s">
        <v>164</v>
      </c>
      <c r="O69" s="7" t="s">
        <v>143</v>
      </c>
      <c r="P69" s="8">
        <v>44474</v>
      </c>
      <c r="Q69" s="7" t="s">
        <v>32</v>
      </c>
      <c r="R69" s="7" t="s">
        <v>36</v>
      </c>
      <c r="S69" s="7" t="s">
        <v>34</v>
      </c>
      <c r="T69" s="7"/>
      <c r="U69" s="7" t="s">
        <v>35</v>
      </c>
      <c r="V69" s="9">
        <v>6100.83</v>
      </c>
      <c r="W69" s="9">
        <v>2630.68</v>
      </c>
      <c r="X69" s="9">
        <v>2429.35</v>
      </c>
      <c r="Y69" s="7">
        <v>0</v>
      </c>
      <c r="Z69" s="9">
        <v>1040.8</v>
      </c>
    </row>
    <row r="70" spans="1:26" x14ac:dyDescent="0.35">
      <c r="A70" s="7" t="s">
        <v>27</v>
      </c>
      <c r="B70" s="7" t="s">
        <v>45</v>
      </c>
      <c r="C70" s="7" t="s">
        <v>49</v>
      </c>
      <c r="D70" s="7" t="s">
        <v>50</v>
      </c>
      <c r="E70" s="7" t="s">
        <v>48</v>
      </c>
      <c r="F70" s="7" t="s">
        <v>165</v>
      </c>
      <c r="G70" s="7">
        <v>2020</v>
      </c>
      <c r="H70" s="7" t="str">
        <f>_xlfn.CONCAT("04241140542")</f>
        <v>04241140542</v>
      </c>
      <c r="I70" s="7" t="s">
        <v>30</v>
      </c>
      <c r="J70" s="7" t="s">
        <v>31</v>
      </c>
      <c r="K70" s="7" t="str">
        <f>_xlfn.CONCAT("")</f>
        <v/>
      </c>
      <c r="L70" s="7" t="str">
        <f>_xlfn.CONCAT("11 11.2 4b")</f>
        <v>11 11.2 4b</v>
      </c>
      <c r="M70" s="7" t="str">
        <f>_xlfn.CONCAT("02846110423")</f>
        <v>02846110423</v>
      </c>
      <c r="N70" s="7" t="s">
        <v>166</v>
      </c>
      <c r="O70" s="7" t="s">
        <v>134</v>
      </c>
      <c r="P70" s="8">
        <v>44474</v>
      </c>
      <c r="Q70" s="7" t="s">
        <v>32</v>
      </c>
      <c r="R70" s="7" t="s">
        <v>36</v>
      </c>
      <c r="S70" s="7" t="s">
        <v>34</v>
      </c>
      <c r="T70" s="7"/>
      <c r="U70" s="7" t="s">
        <v>35</v>
      </c>
      <c r="V70" s="9">
        <v>8738.6200000000008</v>
      </c>
      <c r="W70" s="9">
        <v>3768.09</v>
      </c>
      <c r="X70" s="9">
        <v>3479.72</v>
      </c>
      <c r="Y70" s="7">
        <v>0</v>
      </c>
      <c r="Z70" s="9">
        <v>1490.81</v>
      </c>
    </row>
    <row r="71" spans="1:26" x14ac:dyDescent="0.35">
      <c r="A71" s="7" t="s">
        <v>27</v>
      </c>
      <c r="B71" s="7" t="s">
        <v>45</v>
      </c>
      <c r="C71" s="7" t="s">
        <v>49</v>
      </c>
      <c r="D71" s="7" t="s">
        <v>50</v>
      </c>
      <c r="E71" s="7" t="s">
        <v>40</v>
      </c>
      <c r="F71" s="7" t="s">
        <v>138</v>
      </c>
      <c r="G71" s="7">
        <v>2020</v>
      </c>
      <c r="H71" s="7" t="str">
        <f>_xlfn.CONCAT("04240821662")</f>
        <v>04240821662</v>
      </c>
      <c r="I71" s="7" t="s">
        <v>38</v>
      </c>
      <c r="J71" s="7" t="s">
        <v>31</v>
      </c>
      <c r="K71" s="7" t="str">
        <f>_xlfn.CONCAT("")</f>
        <v/>
      </c>
      <c r="L71" s="7" t="str">
        <f>_xlfn.CONCAT("11 11.2 4b")</f>
        <v>11 11.2 4b</v>
      </c>
      <c r="M71" s="7" t="str">
        <f>_xlfn.CONCAT("LCCRTM46T20D965Z")</f>
        <v>LCCRTM46T20D965Z</v>
      </c>
      <c r="N71" s="7" t="s">
        <v>167</v>
      </c>
      <c r="O71" s="7" t="s">
        <v>134</v>
      </c>
      <c r="P71" s="8">
        <v>44474</v>
      </c>
      <c r="Q71" s="7" t="s">
        <v>32</v>
      </c>
      <c r="R71" s="7" t="s">
        <v>36</v>
      </c>
      <c r="S71" s="7" t="s">
        <v>34</v>
      </c>
      <c r="T71" s="7"/>
      <c r="U71" s="7" t="s">
        <v>35</v>
      </c>
      <c r="V71" s="7">
        <v>886.29</v>
      </c>
      <c r="W71" s="7">
        <v>382.17</v>
      </c>
      <c r="X71" s="7">
        <v>352.92</v>
      </c>
      <c r="Y71" s="7">
        <v>0</v>
      </c>
      <c r="Z71" s="7">
        <v>151.19999999999999</v>
      </c>
    </row>
    <row r="72" spans="1:26" x14ac:dyDescent="0.35">
      <c r="A72" s="7" t="s">
        <v>27</v>
      </c>
      <c r="B72" s="7" t="s">
        <v>45</v>
      </c>
      <c r="C72" s="7" t="s">
        <v>49</v>
      </c>
      <c r="D72" s="7" t="s">
        <v>50</v>
      </c>
      <c r="E72" s="7" t="s">
        <v>40</v>
      </c>
      <c r="F72" s="7" t="s">
        <v>130</v>
      </c>
      <c r="G72" s="7">
        <v>2018</v>
      </c>
      <c r="H72" s="7" t="str">
        <f>_xlfn.CONCAT("84241074594")</f>
        <v>84241074594</v>
      </c>
      <c r="I72" s="7" t="s">
        <v>30</v>
      </c>
      <c r="J72" s="7" t="s">
        <v>31</v>
      </c>
      <c r="K72" s="7" t="str">
        <f>_xlfn.CONCAT("")</f>
        <v/>
      </c>
      <c r="L72" s="7" t="str">
        <f>_xlfn.CONCAT("11 11.2 4b")</f>
        <v>11 11.2 4b</v>
      </c>
      <c r="M72" s="7" t="str">
        <f>_xlfn.CONCAT("SBBLCU79L21E388P")</f>
        <v>SBBLCU79L21E388P</v>
      </c>
      <c r="N72" s="7" t="s">
        <v>168</v>
      </c>
      <c r="O72" s="7" t="s">
        <v>134</v>
      </c>
      <c r="P72" s="8">
        <v>44474</v>
      </c>
      <c r="Q72" s="7" t="s">
        <v>32</v>
      </c>
      <c r="R72" s="7" t="s">
        <v>36</v>
      </c>
      <c r="S72" s="7" t="s">
        <v>34</v>
      </c>
      <c r="T72" s="7"/>
      <c r="U72" s="7" t="s">
        <v>35</v>
      </c>
      <c r="V72" s="9">
        <v>1252.5899999999999</v>
      </c>
      <c r="W72" s="7">
        <v>540.12</v>
      </c>
      <c r="X72" s="7">
        <v>498.78</v>
      </c>
      <c r="Y72" s="7">
        <v>0</v>
      </c>
      <c r="Z72" s="7">
        <v>213.69</v>
      </c>
    </row>
    <row r="73" spans="1:26" x14ac:dyDescent="0.35">
      <c r="A73" s="7" t="s">
        <v>27</v>
      </c>
      <c r="B73" s="7" t="s">
        <v>45</v>
      </c>
      <c r="C73" s="7" t="s">
        <v>49</v>
      </c>
      <c r="D73" s="7" t="s">
        <v>64</v>
      </c>
      <c r="E73" s="7" t="s">
        <v>47</v>
      </c>
      <c r="F73" s="7" t="s">
        <v>169</v>
      </c>
      <c r="G73" s="7">
        <v>2020</v>
      </c>
      <c r="H73" s="7" t="str">
        <f>_xlfn.CONCAT("04240640187")</f>
        <v>04240640187</v>
      </c>
      <c r="I73" s="7" t="s">
        <v>30</v>
      </c>
      <c r="J73" s="7" t="s">
        <v>31</v>
      </c>
      <c r="K73" s="7" t="str">
        <f>_xlfn.CONCAT("")</f>
        <v/>
      </c>
      <c r="L73" s="7" t="str">
        <f>_xlfn.CONCAT("11 11.2 4b")</f>
        <v>11 11.2 4b</v>
      </c>
      <c r="M73" s="7" t="str">
        <f>_xlfn.CONCAT("PLZGFR31P01I653P")</f>
        <v>PLZGFR31P01I653P</v>
      </c>
      <c r="N73" s="7" t="s">
        <v>170</v>
      </c>
      <c r="O73" s="7" t="s">
        <v>134</v>
      </c>
      <c r="P73" s="8">
        <v>44474</v>
      </c>
      <c r="Q73" s="7" t="s">
        <v>32</v>
      </c>
      <c r="R73" s="7" t="s">
        <v>36</v>
      </c>
      <c r="S73" s="7" t="s">
        <v>34</v>
      </c>
      <c r="T73" s="7"/>
      <c r="U73" s="7" t="s">
        <v>35</v>
      </c>
      <c r="V73" s="9">
        <v>18973.86</v>
      </c>
      <c r="W73" s="9">
        <v>8181.53</v>
      </c>
      <c r="X73" s="9">
        <v>7555.39</v>
      </c>
      <c r="Y73" s="7">
        <v>0</v>
      </c>
      <c r="Z73" s="9">
        <v>3236.94</v>
      </c>
    </row>
    <row r="74" spans="1:26" x14ac:dyDescent="0.35">
      <c r="A74" s="7" t="s">
        <v>27</v>
      </c>
      <c r="B74" s="7" t="s">
        <v>45</v>
      </c>
      <c r="C74" s="7" t="s">
        <v>49</v>
      </c>
      <c r="D74" s="7" t="s">
        <v>50</v>
      </c>
      <c r="E74" s="7" t="s">
        <v>40</v>
      </c>
      <c r="F74" s="7" t="s">
        <v>130</v>
      </c>
      <c r="G74" s="7">
        <v>2020</v>
      </c>
      <c r="H74" s="7" t="str">
        <f>_xlfn.CONCAT("04241317561")</f>
        <v>04241317561</v>
      </c>
      <c r="I74" s="7" t="s">
        <v>30</v>
      </c>
      <c r="J74" s="7" t="s">
        <v>31</v>
      </c>
      <c r="K74" s="7" t="str">
        <f>_xlfn.CONCAT("")</f>
        <v/>
      </c>
      <c r="L74" s="7" t="str">
        <f>_xlfn.CONCAT("11 11.2 4b")</f>
        <v>11 11.2 4b</v>
      </c>
      <c r="M74" s="7" t="str">
        <f>_xlfn.CONCAT("SBBLCU79L21E388P")</f>
        <v>SBBLCU79L21E388P</v>
      </c>
      <c r="N74" s="7" t="s">
        <v>168</v>
      </c>
      <c r="O74" s="7" t="s">
        <v>134</v>
      </c>
      <c r="P74" s="8">
        <v>44474</v>
      </c>
      <c r="Q74" s="7" t="s">
        <v>32</v>
      </c>
      <c r="R74" s="7" t="s">
        <v>36</v>
      </c>
      <c r="S74" s="7" t="s">
        <v>34</v>
      </c>
      <c r="T74" s="7"/>
      <c r="U74" s="7" t="s">
        <v>35</v>
      </c>
      <c r="V74" s="9">
        <v>1188.0899999999999</v>
      </c>
      <c r="W74" s="7">
        <v>512.29999999999995</v>
      </c>
      <c r="X74" s="7">
        <v>473.1</v>
      </c>
      <c r="Y74" s="7">
        <v>0</v>
      </c>
      <c r="Z74" s="7">
        <v>202.69</v>
      </c>
    </row>
    <row r="75" spans="1:26" x14ac:dyDescent="0.35">
      <c r="A75" s="7" t="s">
        <v>27</v>
      </c>
      <c r="B75" s="7" t="s">
        <v>45</v>
      </c>
      <c r="C75" s="7" t="s">
        <v>49</v>
      </c>
      <c r="D75" s="7" t="s">
        <v>57</v>
      </c>
      <c r="E75" s="7" t="s">
        <v>40</v>
      </c>
      <c r="F75" s="7" t="s">
        <v>151</v>
      </c>
      <c r="G75" s="7">
        <v>2017</v>
      </c>
      <c r="H75" s="7" t="str">
        <f>_xlfn.CONCAT("74211616813")</f>
        <v>74211616813</v>
      </c>
      <c r="I75" s="7" t="s">
        <v>30</v>
      </c>
      <c r="J75" s="7" t="s">
        <v>31</v>
      </c>
      <c r="K75" s="7" t="str">
        <f>_xlfn.CONCAT("")</f>
        <v/>
      </c>
      <c r="L75" s="7" t="str">
        <f>_xlfn.CONCAT("13 13.1 4a")</f>
        <v>13 13.1 4a</v>
      </c>
      <c r="M75" s="7" t="str">
        <f>_xlfn.CONCAT("02468540410")</f>
        <v>02468540410</v>
      </c>
      <c r="N75" s="7" t="s">
        <v>171</v>
      </c>
      <c r="O75" s="7" t="s">
        <v>143</v>
      </c>
      <c r="P75" s="8">
        <v>44474</v>
      </c>
      <c r="Q75" s="7" t="s">
        <v>32</v>
      </c>
      <c r="R75" s="7" t="s">
        <v>36</v>
      </c>
      <c r="S75" s="7" t="s">
        <v>34</v>
      </c>
      <c r="T75" s="7"/>
      <c r="U75" s="7" t="s">
        <v>35</v>
      </c>
      <c r="V75" s="9">
        <v>5400</v>
      </c>
      <c r="W75" s="9">
        <v>2328.48</v>
      </c>
      <c r="X75" s="9">
        <v>2150.2800000000002</v>
      </c>
      <c r="Y75" s="7">
        <v>0</v>
      </c>
      <c r="Z75" s="7">
        <v>921.24</v>
      </c>
    </row>
    <row r="76" spans="1:26" x14ac:dyDescent="0.35">
      <c r="A76" s="7" t="s">
        <v>27</v>
      </c>
      <c r="B76" s="7" t="s">
        <v>45</v>
      </c>
      <c r="C76" s="7" t="s">
        <v>49</v>
      </c>
      <c r="D76" s="7" t="s">
        <v>64</v>
      </c>
      <c r="E76" s="7" t="s">
        <v>40</v>
      </c>
      <c r="F76" s="7" t="s">
        <v>69</v>
      </c>
      <c r="G76" s="7">
        <v>2020</v>
      </c>
      <c r="H76" s="7" t="str">
        <f>_xlfn.CONCAT("04210342178")</f>
        <v>04210342178</v>
      </c>
      <c r="I76" s="7" t="s">
        <v>30</v>
      </c>
      <c r="J76" s="7" t="s">
        <v>31</v>
      </c>
      <c r="K76" s="7" t="str">
        <f>_xlfn.CONCAT("")</f>
        <v/>
      </c>
      <c r="L76" s="7" t="str">
        <f>_xlfn.CONCAT("13 13.1 4a")</f>
        <v>13 13.1 4a</v>
      </c>
      <c r="M76" s="7" t="str">
        <f>_xlfn.CONCAT("RCCDVD60M25D564G")</f>
        <v>RCCDVD60M25D564G</v>
      </c>
      <c r="N76" s="7" t="s">
        <v>172</v>
      </c>
      <c r="O76" s="7" t="s">
        <v>143</v>
      </c>
      <c r="P76" s="8">
        <v>44474</v>
      </c>
      <c r="Q76" s="7" t="s">
        <v>32</v>
      </c>
      <c r="R76" s="7" t="s">
        <v>36</v>
      </c>
      <c r="S76" s="7" t="s">
        <v>34</v>
      </c>
      <c r="T76" s="7"/>
      <c r="U76" s="7" t="s">
        <v>35</v>
      </c>
      <c r="V76" s="9">
        <v>1491.34</v>
      </c>
      <c r="W76" s="7">
        <v>643.07000000000005</v>
      </c>
      <c r="X76" s="7">
        <v>593.85</v>
      </c>
      <c r="Y76" s="7">
        <v>0</v>
      </c>
      <c r="Z76" s="7">
        <v>254.42</v>
      </c>
    </row>
    <row r="77" spans="1:26" ht="17.5" x14ac:dyDescent="0.35">
      <c r="A77" s="7" t="s">
        <v>27</v>
      </c>
      <c r="B77" s="7" t="s">
        <v>45</v>
      </c>
      <c r="C77" s="7" t="s">
        <v>49</v>
      </c>
      <c r="D77" s="7" t="s">
        <v>57</v>
      </c>
      <c r="E77" s="7" t="s">
        <v>41</v>
      </c>
      <c r="F77" s="7" t="s">
        <v>58</v>
      </c>
      <c r="G77" s="7">
        <v>2020</v>
      </c>
      <c r="H77" s="7" t="str">
        <f>_xlfn.CONCAT("04210479202")</f>
        <v>04210479202</v>
      </c>
      <c r="I77" s="7" t="s">
        <v>30</v>
      </c>
      <c r="J77" s="7" t="s">
        <v>31</v>
      </c>
      <c r="K77" s="7" t="str">
        <f>_xlfn.CONCAT("")</f>
        <v/>
      </c>
      <c r="L77" s="7" t="str">
        <f>_xlfn.CONCAT("13 13.1 4a")</f>
        <v>13 13.1 4a</v>
      </c>
      <c r="M77" s="7" t="str">
        <f>_xlfn.CONCAT("00328980412")</f>
        <v>00328980412</v>
      </c>
      <c r="N77" s="7" t="s">
        <v>173</v>
      </c>
      <c r="O77" s="7" t="s">
        <v>143</v>
      </c>
      <c r="P77" s="8">
        <v>44474</v>
      </c>
      <c r="Q77" s="7" t="s">
        <v>32</v>
      </c>
      <c r="R77" s="7" t="s">
        <v>36</v>
      </c>
      <c r="S77" s="7" t="s">
        <v>34</v>
      </c>
      <c r="T77" s="7"/>
      <c r="U77" s="7" t="s">
        <v>35</v>
      </c>
      <c r="V77" s="9">
        <v>9000</v>
      </c>
      <c r="W77" s="9">
        <v>3880.8</v>
      </c>
      <c r="X77" s="9">
        <v>3583.8</v>
      </c>
      <c r="Y77" s="7">
        <v>0</v>
      </c>
      <c r="Z77" s="9">
        <v>1535.4</v>
      </c>
    </row>
    <row r="78" spans="1:26" x14ac:dyDescent="0.35">
      <c r="A78" s="7" t="s">
        <v>27</v>
      </c>
      <c r="B78" s="7" t="s">
        <v>45</v>
      </c>
      <c r="C78" s="7" t="s">
        <v>49</v>
      </c>
      <c r="D78" s="7" t="s">
        <v>57</v>
      </c>
      <c r="E78" s="7" t="s">
        <v>47</v>
      </c>
      <c r="F78" s="7" t="s">
        <v>61</v>
      </c>
      <c r="G78" s="7">
        <v>2020</v>
      </c>
      <c r="H78" s="7" t="str">
        <f>_xlfn.CONCAT("04240081481")</f>
        <v>04240081481</v>
      </c>
      <c r="I78" s="7" t="s">
        <v>30</v>
      </c>
      <c r="J78" s="7" t="s">
        <v>31</v>
      </c>
      <c r="K78" s="7" t="str">
        <f>_xlfn.CONCAT("")</f>
        <v/>
      </c>
      <c r="L78" s="7" t="str">
        <f>_xlfn.CONCAT("10 10.1 4a")</f>
        <v>10 10.1 4a</v>
      </c>
      <c r="M78" s="7" t="str">
        <f>_xlfn.CONCAT("MRCMHL71L12G479V")</f>
        <v>MRCMHL71L12G479V</v>
      </c>
      <c r="N78" s="7" t="s">
        <v>174</v>
      </c>
      <c r="O78" s="7" t="s">
        <v>175</v>
      </c>
      <c r="P78" s="8">
        <v>44470</v>
      </c>
      <c r="Q78" s="7" t="s">
        <v>32</v>
      </c>
      <c r="R78" s="7" t="s">
        <v>36</v>
      </c>
      <c r="S78" s="7" t="s">
        <v>34</v>
      </c>
      <c r="T78" s="7"/>
      <c r="U78" s="7" t="s">
        <v>35</v>
      </c>
      <c r="V78" s="7">
        <v>734.52</v>
      </c>
      <c r="W78" s="7">
        <v>316.73</v>
      </c>
      <c r="X78" s="7">
        <v>292.49</v>
      </c>
      <c r="Y78" s="7">
        <v>0</v>
      </c>
      <c r="Z78" s="7">
        <v>125.3</v>
      </c>
    </row>
    <row r="79" spans="1:26" x14ac:dyDescent="0.35">
      <c r="A79" s="7" t="s">
        <v>27</v>
      </c>
      <c r="B79" s="7" t="s">
        <v>28</v>
      </c>
      <c r="C79" s="7" t="s">
        <v>49</v>
      </c>
      <c r="D79" s="7" t="s">
        <v>49</v>
      </c>
      <c r="E79" s="7" t="s">
        <v>29</v>
      </c>
      <c r="F79" s="7" t="s">
        <v>29</v>
      </c>
      <c r="G79" s="7">
        <v>2017</v>
      </c>
      <c r="H79" s="7" t="str">
        <f>_xlfn.CONCAT("14270261945")</f>
        <v>14270261945</v>
      </c>
      <c r="I79" s="7" t="s">
        <v>30</v>
      </c>
      <c r="J79" s="7" t="s">
        <v>31</v>
      </c>
      <c r="K79" s="7" t="str">
        <f>_xlfn.CONCAT("")</f>
        <v/>
      </c>
      <c r="L79" s="7" t="str">
        <f>_xlfn.CONCAT("19 19.2 6b")</f>
        <v>19 19.2 6b</v>
      </c>
      <c r="M79" s="7" t="str">
        <f>_xlfn.CONCAT("GBBFRC98C69H769N")</f>
        <v>GBBFRC98C69H769N</v>
      </c>
      <c r="N79" s="7" t="s">
        <v>176</v>
      </c>
      <c r="O79" s="7" t="s">
        <v>177</v>
      </c>
      <c r="P79" s="8">
        <v>44470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17000</v>
      </c>
      <c r="W79" s="9">
        <v>7330.4</v>
      </c>
      <c r="X79" s="9">
        <v>6769.4</v>
      </c>
      <c r="Y79" s="7">
        <v>0</v>
      </c>
      <c r="Z79" s="9">
        <v>2900.2</v>
      </c>
    </row>
    <row r="80" spans="1:26" x14ac:dyDescent="0.35">
      <c r="A80" s="7" t="s">
        <v>27</v>
      </c>
      <c r="B80" s="7" t="s">
        <v>28</v>
      </c>
      <c r="C80" s="7" t="s">
        <v>49</v>
      </c>
      <c r="D80" s="7" t="s">
        <v>57</v>
      </c>
      <c r="E80" s="7" t="s">
        <v>29</v>
      </c>
      <c r="F80" s="7" t="s">
        <v>29</v>
      </c>
      <c r="G80" s="7">
        <v>2017</v>
      </c>
      <c r="H80" s="7" t="str">
        <f>_xlfn.CONCAT("14270178545")</f>
        <v>14270178545</v>
      </c>
      <c r="I80" s="7" t="s">
        <v>30</v>
      </c>
      <c r="J80" s="7" t="s">
        <v>31</v>
      </c>
      <c r="K80" s="7" t="str">
        <f>_xlfn.CONCAT("")</f>
        <v/>
      </c>
      <c r="L80" s="7" t="str">
        <f>_xlfn.CONCAT("4 4.1 2a")</f>
        <v>4 4.1 2a</v>
      </c>
      <c r="M80" s="7" t="str">
        <f>_xlfn.CONCAT("FLCPTR50D03F478M")</f>
        <v>FLCPTR50D03F478M</v>
      </c>
      <c r="N80" s="7" t="s">
        <v>178</v>
      </c>
      <c r="O80" s="7" t="s">
        <v>179</v>
      </c>
      <c r="P80" s="8">
        <v>44470</v>
      </c>
      <c r="Q80" s="7" t="s">
        <v>32</v>
      </c>
      <c r="R80" s="7" t="s">
        <v>36</v>
      </c>
      <c r="S80" s="7" t="s">
        <v>34</v>
      </c>
      <c r="T80" s="7"/>
      <c r="U80" s="7" t="s">
        <v>35</v>
      </c>
      <c r="V80" s="9">
        <v>11232.58</v>
      </c>
      <c r="W80" s="9">
        <v>4843.49</v>
      </c>
      <c r="X80" s="9">
        <v>4472.8100000000004</v>
      </c>
      <c r="Y80" s="7">
        <v>0</v>
      </c>
      <c r="Z80" s="9">
        <v>1916.28</v>
      </c>
    </row>
    <row r="81" spans="1:26" x14ac:dyDescent="0.35">
      <c r="A81" s="7" t="s">
        <v>27</v>
      </c>
      <c r="B81" s="7" t="s">
        <v>28</v>
      </c>
      <c r="C81" s="7" t="s">
        <v>49</v>
      </c>
      <c r="D81" s="7" t="s">
        <v>57</v>
      </c>
      <c r="E81" s="7" t="s">
        <v>47</v>
      </c>
      <c r="F81" s="7" t="s">
        <v>90</v>
      </c>
      <c r="G81" s="7">
        <v>2017</v>
      </c>
      <c r="H81" s="7" t="str">
        <f>_xlfn.CONCAT("14270257158")</f>
        <v>14270257158</v>
      </c>
      <c r="I81" s="7" t="s">
        <v>30</v>
      </c>
      <c r="J81" s="7" t="s">
        <v>31</v>
      </c>
      <c r="K81" s="7" t="str">
        <f>_xlfn.CONCAT("")</f>
        <v/>
      </c>
      <c r="L81" s="7" t="str">
        <f>_xlfn.CONCAT("4 4.1 2a")</f>
        <v>4 4.1 2a</v>
      </c>
      <c r="M81" s="7" t="str">
        <f>_xlfn.CONCAT("01189290438")</f>
        <v>01189290438</v>
      </c>
      <c r="N81" s="7" t="s">
        <v>180</v>
      </c>
      <c r="O81" s="7" t="s">
        <v>181</v>
      </c>
      <c r="P81" s="8">
        <v>44470</v>
      </c>
      <c r="Q81" s="7" t="s">
        <v>32</v>
      </c>
      <c r="R81" s="7" t="s">
        <v>42</v>
      </c>
      <c r="S81" s="7" t="s">
        <v>34</v>
      </c>
      <c r="T81" s="7"/>
      <c r="U81" s="7" t="s">
        <v>35</v>
      </c>
      <c r="V81" s="9">
        <v>149000</v>
      </c>
      <c r="W81" s="9">
        <v>64248.800000000003</v>
      </c>
      <c r="X81" s="9">
        <v>59331.8</v>
      </c>
      <c r="Y81" s="7">
        <v>0</v>
      </c>
      <c r="Z81" s="9">
        <v>25419.4</v>
      </c>
    </row>
    <row r="82" spans="1:26" x14ac:dyDescent="0.35">
      <c r="A82" s="7" t="s">
        <v>27</v>
      </c>
      <c r="B82" s="7" t="s">
        <v>28</v>
      </c>
      <c r="C82" s="7" t="s">
        <v>49</v>
      </c>
      <c r="D82" s="7" t="s">
        <v>54</v>
      </c>
      <c r="E82" s="7" t="s">
        <v>29</v>
      </c>
      <c r="F82" s="7" t="s">
        <v>29</v>
      </c>
      <c r="G82" s="7">
        <v>2017</v>
      </c>
      <c r="H82" s="7" t="str">
        <f>_xlfn.CONCAT("14270261895")</f>
        <v>14270261895</v>
      </c>
      <c r="I82" s="7" t="s">
        <v>30</v>
      </c>
      <c r="J82" s="7" t="s">
        <v>31</v>
      </c>
      <c r="K82" s="7" t="str">
        <f>_xlfn.CONCAT("")</f>
        <v/>
      </c>
      <c r="L82" s="7" t="str">
        <f>_xlfn.CONCAT("4 4.1 2a")</f>
        <v>4 4.1 2a</v>
      </c>
      <c r="M82" s="7" t="str">
        <f>_xlfn.CONCAT("FCCFNC47B18D691G")</f>
        <v>FCCFNC47B18D691G</v>
      </c>
      <c r="N82" s="7" t="s">
        <v>182</v>
      </c>
      <c r="O82" s="7" t="s">
        <v>183</v>
      </c>
      <c r="P82" s="8">
        <v>44470</v>
      </c>
      <c r="Q82" s="7" t="s">
        <v>32</v>
      </c>
      <c r="R82" s="7" t="s">
        <v>36</v>
      </c>
      <c r="S82" s="7" t="s">
        <v>34</v>
      </c>
      <c r="T82" s="7"/>
      <c r="U82" s="7" t="s">
        <v>35</v>
      </c>
      <c r="V82" s="9">
        <v>43224.61</v>
      </c>
      <c r="W82" s="9">
        <v>18638.45</v>
      </c>
      <c r="X82" s="9">
        <v>17212.04</v>
      </c>
      <c r="Y82" s="7">
        <v>0</v>
      </c>
      <c r="Z82" s="9">
        <v>7374.12</v>
      </c>
    </row>
    <row r="83" spans="1:26" x14ac:dyDescent="0.35">
      <c r="A83" s="7" t="s">
        <v>27</v>
      </c>
      <c r="B83" s="7" t="s">
        <v>28</v>
      </c>
      <c r="C83" s="7" t="s">
        <v>49</v>
      </c>
      <c r="D83" s="7" t="s">
        <v>64</v>
      </c>
      <c r="E83" s="7" t="s">
        <v>37</v>
      </c>
      <c r="F83" s="7" t="s">
        <v>95</v>
      </c>
      <c r="G83" s="7">
        <v>2017</v>
      </c>
      <c r="H83" s="7" t="str">
        <f>_xlfn.CONCAT("14270261887")</f>
        <v>14270261887</v>
      </c>
      <c r="I83" s="7" t="s">
        <v>30</v>
      </c>
      <c r="J83" s="7" t="s">
        <v>31</v>
      </c>
      <c r="K83" s="7" t="str">
        <f>_xlfn.CONCAT("")</f>
        <v/>
      </c>
      <c r="L83" s="7" t="str">
        <f>_xlfn.CONCAT("4 4.1 2a")</f>
        <v>4 4.1 2a</v>
      </c>
      <c r="M83" s="7" t="str">
        <f>_xlfn.CONCAT("01588910438")</f>
        <v>01588910438</v>
      </c>
      <c r="N83" s="7" t="s">
        <v>184</v>
      </c>
      <c r="O83" s="7" t="s">
        <v>183</v>
      </c>
      <c r="P83" s="8">
        <v>44470</v>
      </c>
      <c r="Q83" s="7" t="s">
        <v>32</v>
      </c>
      <c r="R83" s="7" t="s">
        <v>36</v>
      </c>
      <c r="S83" s="7" t="s">
        <v>34</v>
      </c>
      <c r="T83" s="7"/>
      <c r="U83" s="7" t="s">
        <v>35</v>
      </c>
      <c r="V83" s="9">
        <v>27904.73</v>
      </c>
      <c r="W83" s="9">
        <v>12032.52</v>
      </c>
      <c r="X83" s="9">
        <v>11111.66</v>
      </c>
      <c r="Y83" s="7">
        <v>0</v>
      </c>
      <c r="Z83" s="9">
        <v>4760.55</v>
      </c>
    </row>
    <row r="84" spans="1:26" x14ac:dyDescent="0.35">
      <c r="A84" s="7" t="s">
        <v>27</v>
      </c>
      <c r="B84" s="7" t="s">
        <v>28</v>
      </c>
      <c r="C84" s="7" t="s">
        <v>49</v>
      </c>
      <c r="D84" s="7" t="s">
        <v>64</v>
      </c>
      <c r="E84" s="7" t="s">
        <v>185</v>
      </c>
      <c r="F84" s="7" t="s">
        <v>186</v>
      </c>
      <c r="G84" s="7">
        <v>2017</v>
      </c>
      <c r="H84" s="7" t="str">
        <f>_xlfn.CONCAT("14270178909")</f>
        <v>14270178909</v>
      </c>
      <c r="I84" s="7" t="s">
        <v>30</v>
      </c>
      <c r="J84" s="7" t="s">
        <v>31</v>
      </c>
      <c r="K84" s="7" t="str">
        <f>_xlfn.CONCAT("")</f>
        <v/>
      </c>
      <c r="L84" s="7" t="str">
        <f>_xlfn.CONCAT("21 21.1 2a")</f>
        <v>21 21.1 2a</v>
      </c>
      <c r="M84" s="7" t="str">
        <f>_xlfn.CONCAT("SVRLNI48M59F552N")</f>
        <v>SVRLNI48M59F552N</v>
      </c>
      <c r="N84" s="7" t="s">
        <v>187</v>
      </c>
      <c r="O84" s="7" t="s">
        <v>188</v>
      </c>
      <c r="P84" s="8">
        <v>44396</v>
      </c>
      <c r="Q84" s="7" t="s">
        <v>32</v>
      </c>
      <c r="R84" s="7" t="s">
        <v>36</v>
      </c>
      <c r="S84" s="7" t="s">
        <v>34</v>
      </c>
      <c r="T84" s="7"/>
      <c r="U84" s="7" t="s">
        <v>35</v>
      </c>
      <c r="V84" s="9">
        <v>7000</v>
      </c>
      <c r="W84" s="9">
        <v>3018.4</v>
      </c>
      <c r="X84" s="9">
        <v>2787.4</v>
      </c>
      <c r="Y84" s="7">
        <v>0</v>
      </c>
      <c r="Z84" s="9">
        <v>1194.2</v>
      </c>
    </row>
    <row r="85" spans="1:26" x14ac:dyDescent="0.35">
      <c r="A85" s="7" t="s">
        <v>27</v>
      </c>
      <c r="B85" s="7" t="s">
        <v>28</v>
      </c>
      <c r="C85" s="7" t="s">
        <v>49</v>
      </c>
      <c r="D85" s="7" t="s">
        <v>57</v>
      </c>
      <c r="E85" s="7" t="s">
        <v>29</v>
      </c>
      <c r="F85" s="7" t="s">
        <v>29</v>
      </c>
      <c r="G85" s="7">
        <v>2017</v>
      </c>
      <c r="H85" s="7" t="str">
        <f>_xlfn.CONCAT("14270188437")</f>
        <v>14270188437</v>
      </c>
      <c r="I85" s="7" t="s">
        <v>30</v>
      </c>
      <c r="J85" s="7" t="s">
        <v>31</v>
      </c>
      <c r="K85" s="7" t="str">
        <f>_xlfn.CONCAT("")</f>
        <v/>
      </c>
      <c r="L85" s="7" t="str">
        <f>_xlfn.CONCAT("21 21.1 2a")</f>
        <v>21 21.1 2a</v>
      </c>
      <c r="M85" s="7" t="str">
        <f>_xlfn.CONCAT("DNTGCR33S05A944B")</f>
        <v>DNTGCR33S05A944B</v>
      </c>
      <c r="N85" s="7" t="s">
        <v>189</v>
      </c>
      <c r="O85" s="7" t="s">
        <v>190</v>
      </c>
      <c r="P85" s="8">
        <v>44396</v>
      </c>
      <c r="Q85" s="7" t="s">
        <v>32</v>
      </c>
      <c r="R85" s="7" t="s">
        <v>36</v>
      </c>
      <c r="S85" s="7" t="s">
        <v>34</v>
      </c>
      <c r="T85" s="7"/>
      <c r="U85" s="7" t="s">
        <v>35</v>
      </c>
      <c r="V85" s="9">
        <v>7000</v>
      </c>
      <c r="W85" s="9">
        <v>3018.4</v>
      </c>
      <c r="X85" s="9">
        <v>2787.4</v>
      </c>
      <c r="Y85" s="7">
        <v>0</v>
      </c>
      <c r="Z85" s="9">
        <v>1194.2</v>
      </c>
    </row>
    <row r="86" spans="1:26" x14ac:dyDescent="0.35">
      <c r="A86" s="7" t="s">
        <v>27</v>
      </c>
      <c r="B86" s="7" t="s">
        <v>28</v>
      </c>
      <c r="C86" s="7" t="s">
        <v>49</v>
      </c>
      <c r="D86" s="7" t="s">
        <v>54</v>
      </c>
      <c r="E86" s="7" t="s">
        <v>41</v>
      </c>
      <c r="F86" s="7" t="s">
        <v>191</v>
      </c>
      <c r="G86" s="7">
        <v>2017</v>
      </c>
      <c r="H86" s="7" t="str">
        <f>_xlfn.CONCAT("14270212963")</f>
        <v>14270212963</v>
      </c>
      <c r="I86" s="7" t="s">
        <v>30</v>
      </c>
      <c r="J86" s="7" t="s">
        <v>31</v>
      </c>
      <c r="K86" s="7" t="str">
        <f>_xlfn.CONCAT("")</f>
        <v/>
      </c>
      <c r="L86" s="7" t="str">
        <f>_xlfn.CONCAT("21 21.1 2a")</f>
        <v>21 21.1 2a</v>
      </c>
      <c r="M86" s="7" t="str">
        <f>_xlfn.CONCAT("RMEGCM65M25F520W")</f>
        <v>RMEGCM65M25F520W</v>
      </c>
      <c r="N86" s="7" t="s">
        <v>192</v>
      </c>
      <c r="O86" s="7" t="s">
        <v>193</v>
      </c>
      <c r="P86" s="8">
        <v>44438</v>
      </c>
      <c r="Q86" s="7" t="s">
        <v>32</v>
      </c>
      <c r="R86" s="7" t="s">
        <v>36</v>
      </c>
      <c r="S86" s="7" t="s">
        <v>34</v>
      </c>
      <c r="T86" s="7"/>
      <c r="U86" s="7" t="s">
        <v>35</v>
      </c>
      <c r="V86" s="9">
        <v>3774.13</v>
      </c>
      <c r="W86" s="9">
        <v>1627.4</v>
      </c>
      <c r="X86" s="9">
        <v>1502.86</v>
      </c>
      <c r="Y86" s="7">
        <v>0</v>
      </c>
      <c r="Z86" s="7">
        <v>643.87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28228</vt:lpwstr>
  </property>
  <property fmtid="{D5CDD505-2E9C-101B-9397-08002B2CF9AE}" pid="4" name="OptimizationTime">
    <vt:lpwstr>20211013_1138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2021-10-12T10:52:32Z</dcterms:created>
  <dcterms:modified xsi:type="dcterms:W3CDTF">2021-10-12T10:53:22Z</dcterms:modified>
</cp:coreProperties>
</file>