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70/"/>
    </mc:Choice>
  </mc:AlternateContent>
  <xr:revisionPtr revIDLastSave="0" documentId="8_{C7E4FE04-D5E1-4A3D-8613-217E2EEF9032}" xr6:coauthVersionLast="45" xr6:coauthVersionMax="45" xr10:uidLastSave="{00000000-0000-0000-0000-000000000000}"/>
  <bookViews>
    <workbookView xWindow="-110" yWindow="-110" windowWidth="19420" windowHeight="10420" xr2:uid="{8F78AC50-2122-4D19-BB9E-961569D3E376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9" i="1" l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<sst xmlns="http://schemas.openxmlformats.org/spreadsheetml/2006/main" count="811" uniqueCount="138">
  <si>
    <t>Dettaglio Domande Pagabili Decreto 470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</si>
  <si>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</si>
  <si>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</si>
  <si>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</si>
  <si>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</si>
  <si>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</si>
  <si>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</si>
  <si>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</si>
  <si>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</si>
  <si>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</si>
  <si>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</si>
  <si>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</si>
  <si>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</si>
  <si>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</si>
  <si>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</si>
  <si>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</si>
  <si>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</si>
  <si>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</si>
  <si>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</si>
  <si>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</si>
  <si>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</si>
  <si>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</si>
  <si>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</si>
  <si>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</si>
  <si>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</si>
  <si>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</si>
  <si>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</si>
  <si>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</si>
  <si>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</si>
  <si>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</si>
  <si>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</si>
  <si>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</si>
  <si>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</si>
  <si>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Saldo</t>
  </si>
  <si>
    <t>Co-Finanziato</t>
  </si>
  <si>
    <t>Ordinario</t>
  </si>
  <si>
    <t>SAL</t>
  </si>
  <si>
    <t>Misure a Superficie</t>
  </si>
  <si>
    <t>CAA Coldiretti srl</t>
  </si>
  <si>
    <t>CAA CIA srl</t>
  </si>
  <si>
    <t>SI</t>
  </si>
  <si>
    <t>CAA-CAF AGRI S.R.L.</t>
  </si>
  <si>
    <t>CAA UNICAA srl</t>
  </si>
  <si>
    <t>CAA Liberi Professionisti srl</t>
  </si>
  <si>
    <t>MARCHE</t>
  </si>
  <si>
    <t>SERV. DEC. AGRICOLTURA E ALIMENTAZIONE - ANCONA</t>
  </si>
  <si>
    <t>CAA Coldiretti - ANCONA - 001</t>
  </si>
  <si>
    <t>BRUNELLO EMANUELA</t>
  </si>
  <si>
    <t>AGEA.ASR.2021.0551222</t>
  </si>
  <si>
    <t>SERV. DEC. AGRICOLTURA E ALIM. - MACERATA</t>
  </si>
  <si>
    <t>CAA Coldiretti - AREZZO - 008</t>
  </si>
  <si>
    <t>LA TORRE SOCIETA' AGRICOLA S.S.</t>
  </si>
  <si>
    <t>AGEA.ASR.2021.0227640</t>
  </si>
  <si>
    <t>CAA Copagri srl</t>
  </si>
  <si>
    <t>CAA Copagri - ANCONA - 502</t>
  </si>
  <si>
    <t>PIERSIGILLI SAURO</t>
  </si>
  <si>
    <t>AGEA.ASR.2021.0349480</t>
  </si>
  <si>
    <t>SERV. DEC. AGRICOLTURA E ALIMENTAZIONE - PESARO</t>
  </si>
  <si>
    <t>CAA Coldiretti - PESARO E URBINO - 001</t>
  </si>
  <si>
    <t>BELLI MARCO</t>
  </si>
  <si>
    <t>AGEA.ASR.2021.0916633</t>
  </si>
  <si>
    <t>CAA Coldiretti - MACERATA - 017</t>
  </si>
  <si>
    <t>BASILISSI MARIO</t>
  </si>
  <si>
    <t>CAA Coldiretti - PESARO E URBINO - 008</t>
  </si>
  <si>
    <t>CAROBINI SOCIETA' AGRICOLA S.S.</t>
  </si>
  <si>
    <t>BRACACCINI AURO</t>
  </si>
  <si>
    <t>ERCOLI CRISTIAN</t>
  </si>
  <si>
    <t>SERV. DEC. AGRICOLTURA E ALIM. -ASCOLI PICENO</t>
  </si>
  <si>
    <t>PAULICH CLAUDIO ADRIANO</t>
  </si>
  <si>
    <t>CAA UNICAA - ASCOLI PICENO - 004</t>
  </si>
  <si>
    <t>POLINI LUIGI</t>
  </si>
  <si>
    <t>SGARIGLIA NICOLETTA</t>
  </si>
  <si>
    <t>LA MARCA NELLE MARCHE SOCIETA' SEMPLICE AGRICOLA</t>
  </si>
  <si>
    <t>COLLINA GIUSEPPINA</t>
  </si>
  <si>
    <t>FALCIONI MAURIZIO</t>
  </si>
  <si>
    <t>MAZZONI STEFANO</t>
  </si>
  <si>
    <t>AGEA.ASR.2021.0930257</t>
  </si>
  <si>
    <t>COCCI BRUNO</t>
  </si>
  <si>
    <t>SOCIETA' AGRICOLA ANDREUCCIOLI S.S.</t>
  </si>
  <si>
    <t>CAA CIA - ANCONA - 006</t>
  </si>
  <si>
    <t>SOCIETA' AGRICOLA LA ZAPPA SUI PIEDI S.S.</t>
  </si>
  <si>
    <t>AGEA.ASR.2021.0929973</t>
  </si>
  <si>
    <t>CAA Coldiretti - ANCONA - 002</t>
  </si>
  <si>
    <t>MARIANI SANDRO</t>
  </si>
  <si>
    <t>CARNJ SOCIETA' COOPERATIVA AGRICOLA</t>
  </si>
  <si>
    <t>AGEA.ASR.2021.0916923</t>
  </si>
  <si>
    <t>PACCAPELO SOFIA</t>
  </si>
  <si>
    <t>SOC.AGR.FOR.DI GESTIONE DIE BENI AGRO SILVO PASTORALI MARCHE</t>
  </si>
  <si>
    <t>MAURIZI GIAMPIERO</t>
  </si>
  <si>
    <t>AGEA.ASR.2021.0922496</t>
  </si>
  <si>
    <t>LOSAVIO BENEDETTA</t>
  </si>
  <si>
    <t>AGEA.ASR.2021.0930346</t>
  </si>
  <si>
    <t>AGEA.ASR.2021.0914508</t>
  </si>
  <si>
    <t>FELICI PIETRO</t>
  </si>
  <si>
    <t>SOCIETA' AGRICOLA FRATELLI ROSSETTI SOCIETA' SEMPLICE</t>
  </si>
  <si>
    <t>AGEA.ASR.2021.0929968</t>
  </si>
  <si>
    <t>COOPERLAT SOCIETA' COOPERATIVA AGRICOLA</t>
  </si>
  <si>
    <t>AGEA.ASR.2021.0930387</t>
  </si>
  <si>
    <t>LOIOLI SPURI NISI RICCARDO</t>
  </si>
  <si>
    <t>AGEA.ASR.2021.0930356</t>
  </si>
  <si>
    <t>CAVEZZI DIANA</t>
  </si>
  <si>
    <t>AGEA.ASR.2021.0921827</t>
  </si>
  <si>
    <t>CAA CIA - PESARO E URBINO - 005</t>
  </si>
  <si>
    <t>SABATINI MARIA</t>
  </si>
  <si>
    <t>AGEA.ASR.2021.0916810</t>
  </si>
  <si>
    <t>AGEA.ASR.2021.0930317</t>
  </si>
  <si>
    <t>CAA CAF AGRI - ASCOLI PICENO - 222</t>
  </si>
  <si>
    <t>CORBELLI LUIGINO</t>
  </si>
  <si>
    <t>CONSORZIO FORESTALE MONTE NERONE</t>
  </si>
  <si>
    <t>AGEA.ASR.2021.0921940</t>
  </si>
  <si>
    <t>BILANZOLA MARIA</t>
  </si>
  <si>
    <t>CAA CIA - ASCOLI PICENO - 004</t>
  </si>
  <si>
    <t>BUSSOLA VANESSA</t>
  </si>
  <si>
    <t>CALDARI CHRISTIAN</t>
  </si>
  <si>
    <t>PETRITOLI ARNALDO</t>
  </si>
  <si>
    <t>SOCIETA' AGRICOLA COLLE CASINI CORTESI DI DIGNANI MATTEO &amp; C. S.S .</t>
  </si>
  <si>
    <t>SOCIETA' AGRICOLA RAUSEI DI RAUSEI LUIGI E C. SNC</t>
  </si>
  <si>
    <t>CAA Coldiretti - PESARO E URBINO - 007</t>
  </si>
  <si>
    <t>CROLLINI GINA</t>
  </si>
  <si>
    <t>CAA CIA - ASCOLI PICENO - 001</t>
  </si>
  <si>
    <t>MANZONI GIUSEPPE ELISEO</t>
  </si>
  <si>
    <t>TALEVI ROBERTO</t>
  </si>
  <si>
    <t>CAA CIA - ASCOLI PICENO - 002</t>
  </si>
  <si>
    <t>MARINANGELI MARIA TERESA</t>
  </si>
  <si>
    <t>MAUGHELLI BEATRICE</t>
  </si>
  <si>
    <t>SOC.AGR.S.TERRE DI SERRAPETRONA</t>
  </si>
  <si>
    <t>SOCIETA' AGRICOLA BIO-VITALY S.S.</t>
  </si>
  <si>
    <t>SOCIETA' AGRICOLA CONCA D'ORO EREDI CICCHI SERAFINO</t>
  </si>
  <si>
    <t>SOCIETA' AGRICOLA IL CAVALLINO SOCIETA' SEMPLICE AGROFORESTALE DI BATT</t>
  </si>
  <si>
    <t>CAA Coldiretti - ASCOLI PICENO - 040</t>
  </si>
  <si>
    <t>CENTANNI ELISA E DANIELA SOCIETA SEMPLICE AGRICOLA</t>
  </si>
  <si>
    <t>IEZZI GIOVANNI</t>
  </si>
  <si>
    <t>AGEA.ASR.2021.0871004</t>
  </si>
  <si>
    <t>CAA Liberi Prof.- PESARO E URBINO - 001</t>
  </si>
  <si>
    <t>PACI FLAVIO</t>
  </si>
  <si>
    <t>BAGALINI ROBERTO</t>
  </si>
  <si>
    <t>CRUGNALE ROBERTO</t>
  </si>
  <si>
    <t>CECCOLI CINZIA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</si>
</sst>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E912-F438-45E2-AFF5-7D6C6DC49C0F}">
  <dimension ref="A1:Z59"/>
  <sheetViews>
    <sheetView showGridLines="0" tabSelected="1" workbookViewId="0">
      <selection activeCell="G66" sqref="G66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1.269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1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44</v>
      </c>
      <c r="D4" s="7" t="s">
        <v>45</v>
      </c>
      <c r="E4" s="7" t="s">
        <v>38</v>
      </c>
      <c r="F4" s="7" t="s">
        <v>46</v>
      </c>
      <c r="G4" s="7">
        <v>2017</v>
      </c>
      <c r="H4" s="7" t="str">
        <f>CONCATENATE("14270117097")</f>
        <v>14270117097</v>
      </c>
      <c r="I4" s="7" t="s">
        <v>30</v>
      </c>
      <c r="J4" s="7" t="s">
        <v>31</v>
      </c>
      <c r="K4" s="7" t="str">
        <f>CONCATENATE("")</f>
        <v/>
      </c>
      <c r="L4" s="7" t="str">
        <f>CONCATENATE("21 21.1 2a")</f>
        <v>21 21.1 2a</v>
      </c>
      <c r="M4" s="7" t="str">
        <f>CONCATENATE("BRNMNL58E62F205O")</f>
        <v>BRNMNL58E62F205O</v>
      </c>
      <c r="N4" s="7" t="s">
        <v>47</v>
      </c>
      <c r="O4" s="7" t="s">
        <v>48</v>
      </c>
      <c r="P4" s="8">
        <v>44321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7000</v>
      </c>
      <c r="W4" s="9">
        <v>3018.4</v>
      </c>
      <c r="X4" s="9">
        <v>2787.4</v>
      </c>
      <c r="Y4" s="7">
        <v>0</v>
      </c>
      <c r="Z4" s="9">
        <v>1194.2</v>
      </c>
    </row>
    <row r="5" spans="1:26" x14ac:dyDescent="0.35">
      <c r="A5" s="7" t="s">
        <v>27</v>
      </c>
      <c r="B5" s="7" t="s">
        <v>37</v>
      </c>
      <c r="C5" s="7" t="s">
        <v>44</v>
      </c>
      <c r="D5" s="7" t="s">
        <v>49</v>
      </c>
      <c r="E5" s="7" t="s">
        <v>38</v>
      </c>
      <c r="F5" s="7" t="s">
        <v>50</v>
      </c>
      <c r="G5" s="7">
        <v>2020</v>
      </c>
      <c r="H5" s="7" t="str">
        <f>CONCATENATE("04210851517")</f>
        <v>04210851517</v>
      </c>
      <c r="I5" s="7" t="s">
        <v>30</v>
      </c>
      <c r="J5" s="7" t="s">
        <v>31</v>
      </c>
      <c r="K5" s="7" t="str">
        <f>CONCATENATE("")</f>
        <v/>
      </c>
      <c r="L5" s="7" t="str">
        <f>CONCATENATE("13 13.1 4a")</f>
        <v>13 13.1 4a</v>
      </c>
      <c r="M5" s="7" t="str">
        <f>CONCATENATE("02344250515")</f>
        <v>02344250515</v>
      </c>
      <c r="N5" s="7" t="s">
        <v>51</v>
      </c>
      <c r="O5" s="7" t="s">
        <v>52</v>
      </c>
      <c r="P5" s="8">
        <v>44252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4884.62</v>
      </c>
      <c r="W5" s="9">
        <v>2106.25</v>
      </c>
      <c r="X5" s="9">
        <v>1945.06</v>
      </c>
      <c r="Y5" s="7">
        <v>0</v>
      </c>
      <c r="Z5" s="7">
        <v>833.31</v>
      </c>
    </row>
    <row r="6" spans="1:26" x14ac:dyDescent="0.35">
      <c r="A6" s="7" t="s">
        <v>27</v>
      </c>
      <c r="B6" s="7" t="s">
        <v>28</v>
      </c>
      <c r="C6" s="7" t="s">
        <v>44</v>
      </c>
      <c r="D6" s="7" t="s">
        <v>45</v>
      </c>
      <c r="E6" s="7" t="s">
        <v>53</v>
      </c>
      <c r="F6" s="7" t="s">
        <v>54</v>
      </c>
      <c r="G6" s="7">
        <v>2017</v>
      </c>
      <c r="H6" s="7" t="str">
        <f>CONCATENATE("04270232293")</f>
        <v>04270232293</v>
      </c>
      <c r="I6" s="7" t="s">
        <v>30</v>
      </c>
      <c r="J6" s="7" t="s">
        <v>31</v>
      </c>
      <c r="K6" s="7" t="str">
        <f>CONCATENATE("")</f>
        <v/>
      </c>
      <c r="L6" s="7" t="str">
        <f>CONCATENATE("4 4.1 2a")</f>
        <v>4 4.1 2a</v>
      </c>
      <c r="M6" s="7" t="str">
        <f>CONCATENATE("PRSSRA78A13I653X")</f>
        <v>PRSSRA78A13I653X</v>
      </c>
      <c r="N6" s="7" t="s">
        <v>55</v>
      </c>
      <c r="O6" s="7" t="s">
        <v>56</v>
      </c>
      <c r="P6" s="8">
        <v>44278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11004</v>
      </c>
      <c r="W6" s="9">
        <v>4744.92</v>
      </c>
      <c r="X6" s="9">
        <v>4381.79</v>
      </c>
      <c r="Y6" s="7">
        <v>0</v>
      </c>
      <c r="Z6" s="9">
        <v>1877.29</v>
      </c>
    </row>
    <row r="7" spans="1:26" x14ac:dyDescent="0.35">
      <c r="A7" s="7" t="s">
        <v>27</v>
      </c>
      <c r="B7" s="7" t="s">
        <v>28</v>
      </c>
      <c r="C7" s="7" t="s">
        <v>44</v>
      </c>
      <c r="D7" s="7" t="s">
        <v>57</v>
      </c>
      <c r="E7" s="7" t="s">
        <v>38</v>
      </c>
      <c r="F7" s="7" t="s">
        <v>58</v>
      </c>
      <c r="G7" s="7">
        <v>2017</v>
      </c>
      <c r="H7" s="7" t="str">
        <f>CONCATENATE("14270173751")</f>
        <v>14270173751</v>
      </c>
      <c r="I7" s="7" t="s">
        <v>30</v>
      </c>
      <c r="J7" s="7" t="s">
        <v>31</v>
      </c>
      <c r="K7" s="7" t="str">
        <f>CONCATENATE("")</f>
        <v/>
      </c>
      <c r="L7" s="7" t="str">
        <f>CONCATENATE("4 4.1 2a")</f>
        <v>4 4.1 2a</v>
      </c>
      <c r="M7" s="7" t="str">
        <f>CONCATENATE("BLLMRC77M26B352K")</f>
        <v>BLLMRC77M26B352K</v>
      </c>
      <c r="N7" s="7" t="s">
        <v>59</v>
      </c>
      <c r="O7" s="7" t="s">
        <v>60</v>
      </c>
      <c r="P7" s="8">
        <v>44383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7200</v>
      </c>
      <c r="W7" s="9">
        <v>3104.64</v>
      </c>
      <c r="X7" s="9">
        <v>2867.04</v>
      </c>
      <c r="Y7" s="7">
        <v>0</v>
      </c>
      <c r="Z7" s="9">
        <v>1228.32</v>
      </c>
    </row>
    <row r="8" spans="1:26" x14ac:dyDescent="0.35">
      <c r="A8" s="7" t="s">
        <v>27</v>
      </c>
      <c r="B8" s="7" t="s">
        <v>28</v>
      </c>
      <c r="C8" s="7" t="s">
        <v>44</v>
      </c>
      <c r="D8" s="7" t="s">
        <v>49</v>
      </c>
      <c r="E8" s="7" t="s">
        <v>38</v>
      </c>
      <c r="F8" s="7" t="s">
        <v>61</v>
      </c>
      <c r="G8" s="7">
        <v>2017</v>
      </c>
      <c r="H8" s="7" t="str">
        <f>CONCATENATE("14270173926")</f>
        <v>14270173926</v>
      </c>
      <c r="I8" s="7" t="s">
        <v>30</v>
      </c>
      <c r="J8" s="7" t="s">
        <v>31</v>
      </c>
      <c r="K8" s="7" t="str">
        <f>CONCATENATE("")</f>
        <v/>
      </c>
      <c r="L8" s="7" t="str">
        <f>CONCATENATE("4 4.1 2a")</f>
        <v>4 4.1 2a</v>
      </c>
      <c r="M8" s="7" t="str">
        <f>CONCATENATE("BSLMRA61L17B474C")</f>
        <v>BSLMRA61L17B474C</v>
      </c>
      <c r="N8" s="7" t="s">
        <v>62</v>
      </c>
      <c r="O8" s="7" t="s">
        <v>60</v>
      </c>
      <c r="P8" s="8">
        <v>44383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370533.2</v>
      </c>
      <c r="W8" s="9">
        <v>159773.92000000001</v>
      </c>
      <c r="X8" s="9">
        <v>147546.32</v>
      </c>
      <c r="Y8" s="7">
        <v>0</v>
      </c>
      <c r="Z8" s="9">
        <v>63212.959999999999</v>
      </c>
    </row>
    <row r="9" spans="1:26" x14ac:dyDescent="0.35">
      <c r="A9" s="7" t="s">
        <v>27</v>
      </c>
      <c r="B9" s="7" t="s">
        <v>28</v>
      </c>
      <c r="C9" s="7" t="s">
        <v>44</v>
      </c>
      <c r="D9" s="7" t="s">
        <v>57</v>
      </c>
      <c r="E9" s="7" t="s">
        <v>38</v>
      </c>
      <c r="F9" s="7" t="s">
        <v>63</v>
      </c>
      <c r="G9" s="7">
        <v>2017</v>
      </c>
      <c r="H9" s="7" t="str">
        <f>CONCATENATE("14270179626")</f>
        <v>14270179626</v>
      </c>
      <c r="I9" s="7" t="s">
        <v>30</v>
      </c>
      <c r="J9" s="7" t="s">
        <v>31</v>
      </c>
      <c r="K9" s="7" t="str">
        <f>CONCATENATE("")</f>
        <v/>
      </c>
      <c r="L9" s="7" t="str">
        <f>CONCATENATE("4 4.1 2a")</f>
        <v>4 4.1 2a</v>
      </c>
      <c r="M9" s="7" t="str">
        <f>CONCATENATE("02611800414")</f>
        <v>02611800414</v>
      </c>
      <c r="N9" s="7" t="s">
        <v>64</v>
      </c>
      <c r="O9" s="7" t="s">
        <v>60</v>
      </c>
      <c r="P9" s="8">
        <v>44383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26184</v>
      </c>
      <c r="W9" s="9">
        <v>11290.54</v>
      </c>
      <c r="X9" s="9">
        <v>10426.469999999999</v>
      </c>
      <c r="Y9" s="7">
        <v>0</v>
      </c>
      <c r="Z9" s="9">
        <v>4466.99</v>
      </c>
    </row>
    <row r="10" spans="1:26" x14ac:dyDescent="0.35">
      <c r="A10" s="7" t="s">
        <v>27</v>
      </c>
      <c r="B10" s="7" t="s">
        <v>28</v>
      </c>
      <c r="C10" s="7" t="s">
        <v>44</v>
      </c>
      <c r="D10" s="7" t="s">
        <v>45</v>
      </c>
      <c r="E10" s="7" t="s">
        <v>29</v>
      </c>
      <c r="F10" s="7" t="s">
        <v>29</v>
      </c>
      <c r="G10" s="7">
        <v>2017</v>
      </c>
      <c r="H10" s="7" t="str">
        <f>CONCATENATE("14270176093")</f>
        <v>14270176093</v>
      </c>
      <c r="I10" s="7" t="s">
        <v>30</v>
      </c>
      <c r="J10" s="7" t="s">
        <v>31</v>
      </c>
      <c r="K10" s="7" t="str">
        <f>CONCATENATE("")</f>
        <v/>
      </c>
      <c r="L10" s="7" t="str">
        <f>CONCATENATE("4 4.1 2a")</f>
        <v>4 4.1 2a</v>
      </c>
      <c r="M10" s="7" t="str">
        <f>CONCATENATE("BRCRAU60R18D597P")</f>
        <v>BRCRAU60R18D597P</v>
      </c>
      <c r="N10" s="7" t="s">
        <v>65</v>
      </c>
      <c r="O10" s="7" t="s">
        <v>60</v>
      </c>
      <c r="P10" s="8">
        <v>44383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22500</v>
      </c>
      <c r="W10" s="9">
        <v>9702</v>
      </c>
      <c r="X10" s="9">
        <v>8959.5</v>
      </c>
      <c r="Y10" s="7">
        <v>0</v>
      </c>
      <c r="Z10" s="9">
        <v>3838.5</v>
      </c>
    </row>
    <row r="11" spans="1:26" x14ac:dyDescent="0.35">
      <c r="A11" s="7" t="s">
        <v>27</v>
      </c>
      <c r="B11" s="7" t="s">
        <v>28</v>
      </c>
      <c r="C11" s="7" t="s">
        <v>44</v>
      </c>
      <c r="D11" s="7" t="s">
        <v>49</v>
      </c>
      <c r="E11" s="7" t="s">
        <v>29</v>
      </c>
      <c r="F11" s="7" t="s">
        <v>29</v>
      </c>
      <c r="G11" s="7">
        <v>2017</v>
      </c>
      <c r="H11" s="7" t="str">
        <f>CONCATENATE("14270176119")</f>
        <v>14270176119</v>
      </c>
      <c r="I11" s="7" t="s">
        <v>30</v>
      </c>
      <c r="J11" s="7" t="s">
        <v>31</v>
      </c>
      <c r="K11" s="7" t="str">
        <f>CONCATENATE("")</f>
        <v/>
      </c>
      <c r="L11" s="7" t="str">
        <f>CONCATENATE("4 4.1 2a")</f>
        <v>4 4.1 2a</v>
      </c>
      <c r="M11" s="7" t="str">
        <f>CONCATENATE("RCLCST84L21E783I")</f>
        <v>RCLCST84L21E783I</v>
      </c>
      <c r="N11" s="7" t="s">
        <v>66</v>
      </c>
      <c r="O11" s="7" t="s">
        <v>60</v>
      </c>
      <c r="P11" s="8">
        <v>44383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8030.47</v>
      </c>
      <c r="W11" s="9">
        <v>3462.74</v>
      </c>
      <c r="X11" s="9">
        <v>3197.73</v>
      </c>
      <c r="Y11" s="7">
        <v>0</v>
      </c>
      <c r="Z11" s="9">
        <v>1370</v>
      </c>
    </row>
    <row r="12" spans="1:26" x14ac:dyDescent="0.35">
      <c r="A12" s="7" t="s">
        <v>27</v>
      </c>
      <c r="B12" s="7" t="s">
        <v>28</v>
      </c>
      <c r="C12" s="7" t="s">
        <v>44</v>
      </c>
      <c r="D12" s="7" t="s">
        <v>67</v>
      </c>
      <c r="E12" s="7" t="s">
        <v>29</v>
      </c>
      <c r="F12" s="7" t="s">
        <v>29</v>
      </c>
      <c r="G12" s="7">
        <v>2017</v>
      </c>
      <c r="H12" s="7" t="str">
        <f>CONCATENATE("14270173785")</f>
        <v>14270173785</v>
      </c>
      <c r="I12" s="7" t="s">
        <v>30</v>
      </c>
      <c r="J12" s="7" t="s">
        <v>31</v>
      </c>
      <c r="K12" s="7" t="str">
        <f>CONCATENATE("")</f>
        <v/>
      </c>
      <c r="L12" s="7" t="str">
        <f>CONCATENATE("4 4.1 2a")</f>
        <v>4 4.1 2a</v>
      </c>
      <c r="M12" s="7" t="str">
        <f>CONCATENATE("PLCCDD54C14L727G")</f>
        <v>PLCCDD54C14L727G</v>
      </c>
      <c r="N12" s="7" t="s">
        <v>68</v>
      </c>
      <c r="O12" s="7" t="s">
        <v>60</v>
      </c>
      <c r="P12" s="8">
        <v>44383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9328.68</v>
      </c>
      <c r="W12" s="9">
        <v>4022.53</v>
      </c>
      <c r="X12" s="9">
        <v>3714.68</v>
      </c>
      <c r="Y12" s="7">
        <v>0</v>
      </c>
      <c r="Z12" s="9">
        <v>1591.47</v>
      </c>
    </row>
    <row r="13" spans="1:26" x14ac:dyDescent="0.35">
      <c r="A13" s="7" t="s">
        <v>27</v>
      </c>
      <c r="B13" s="7" t="s">
        <v>28</v>
      </c>
      <c r="C13" s="7" t="s">
        <v>44</v>
      </c>
      <c r="D13" s="7" t="s">
        <v>67</v>
      </c>
      <c r="E13" s="7" t="s">
        <v>42</v>
      </c>
      <c r="F13" s="7" t="s">
        <v>69</v>
      </c>
      <c r="G13" s="7">
        <v>2017</v>
      </c>
      <c r="H13" s="7" t="str">
        <f>CONCATENATE("14270173934")</f>
        <v>14270173934</v>
      </c>
      <c r="I13" s="7" t="s">
        <v>30</v>
      </c>
      <c r="J13" s="7" t="s">
        <v>31</v>
      </c>
      <c r="K13" s="7" t="str">
        <f>CONCATENATE("")</f>
        <v/>
      </c>
      <c r="L13" s="7" t="str">
        <f>CONCATENATE("4 4.1 2a")</f>
        <v>4 4.1 2a</v>
      </c>
      <c r="M13" s="7" t="str">
        <f>CONCATENATE("PLNLGU53C23B727R")</f>
        <v>PLNLGU53C23B727R</v>
      </c>
      <c r="N13" s="7" t="s">
        <v>70</v>
      </c>
      <c r="O13" s="7" t="s">
        <v>60</v>
      </c>
      <c r="P13" s="8">
        <v>44383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19936.16</v>
      </c>
      <c r="W13" s="9">
        <v>8596.4699999999993</v>
      </c>
      <c r="X13" s="9">
        <v>7938.58</v>
      </c>
      <c r="Y13" s="7">
        <v>0</v>
      </c>
      <c r="Z13" s="9">
        <v>3401.11</v>
      </c>
    </row>
    <row r="14" spans="1:26" x14ac:dyDescent="0.35">
      <c r="A14" s="7" t="s">
        <v>27</v>
      </c>
      <c r="B14" s="7" t="s">
        <v>28</v>
      </c>
      <c r="C14" s="7" t="s">
        <v>44</v>
      </c>
      <c r="D14" s="7" t="s">
        <v>67</v>
      </c>
      <c r="E14" s="7" t="s">
        <v>29</v>
      </c>
      <c r="F14" s="7" t="s">
        <v>29</v>
      </c>
      <c r="G14" s="7">
        <v>2017</v>
      </c>
      <c r="H14" s="7" t="str">
        <f>CONCATENATE("14270173769")</f>
        <v>14270173769</v>
      </c>
      <c r="I14" s="7" t="s">
        <v>30</v>
      </c>
      <c r="J14" s="7" t="s">
        <v>31</v>
      </c>
      <c r="K14" s="7" t="str">
        <f>CONCATENATE("")</f>
        <v/>
      </c>
      <c r="L14" s="7" t="str">
        <f>CONCATENATE("4 4.1 2a")</f>
        <v>4 4.1 2a</v>
      </c>
      <c r="M14" s="7" t="str">
        <f>CONCATENATE("SGRNLT74C50H769P")</f>
        <v>SGRNLT74C50H769P</v>
      </c>
      <c r="N14" s="7" t="s">
        <v>71</v>
      </c>
      <c r="O14" s="7" t="s">
        <v>60</v>
      </c>
      <c r="P14" s="8">
        <v>44383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11665.62</v>
      </c>
      <c r="W14" s="9">
        <v>5030.22</v>
      </c>
      <c r="X14" s="9">
        <v>4645.25</v>
      </c>
      <c r="Y14" s="7">
        <v>0</v>
      </c>
      <c r="Z14" s="9">
        <v>1990.15</v>
      </c>
    </row>
    <row r="15" spans="1:26" x14ac:dyDescent="0.35">
      <c r="A15" s="7" t="s">
        <v>27</v>
      </c>
      <c r="B15" s="7" t="s">
        <v>28</v>
      </c>
      <c r="C15" s="7" t="s">
        <v>44</v>
      </c>
      <c r="D15" s="7" t="s">
        <v>67</v>
      </c>
      <c r="E15" s="7" t="s">
        <v>42</v>
      </c>
      <c r="F15" s="7" t="s">
        <v>69</v>
      </c>
      <c r="G15" s="7">
        <v>2017</v>
      </c>
      <c r="H15" s="7" t="str">
        <f>CONCATENATE("04270233507")</f>
        <v>04270233507</v>
      </c>
      <c r="I15" s="7" t="s">
        <v>30</v>
      </c>
      <c r="J15" s="7" t="s">
        <v>31</v>
      </c>
      <c r="K15" s="7" t="str">
        <f>CONCATENATE("")</f>
        <v/>
      </c>
      <c r="L15" s="7" t="str">
        <f>CONCATENATE("4 4.1 2a")</f>
        <v>4 4.1 2a</v>
      </c>
      <c r="M15" s="7" t="str">
        <f>CONCATENATE("04629080260")</f>
        <v>04629080260</v>
      </c>
      <c r="N15" s="7" t="s">
        <v>72</v>
      </c>
      <c r="O15" s="7" t="s">
        <v>60</v>
      </c>
      <c r="P15" s="8">
        <v>44383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80745.490000000005</v>
      </c>
      <c r="W15" s="9">
        <v>34817.46</v>
      </c>
      <c r="X15" s="9">
        <v>32152.85</v>
      </c>
      <c r="Y15" s="7">
        <v>0</v>
      </c>
      <c r="Z15" s="9">
        <v>13775.18</v>
      </c>
    </row>
    <row r="16" spans="1:26" x14ac:dyDescent="0.35">
      <c r="A16" s="7" t="s">
        <v>27</v>
      </c>
      <c r="B16" s="7" t="s">
        <v>28</v>
      </c>
      <c r="C16" s="7" t="s">
        <v>44</v>
      </c>
      <c r="D16" s="7" t="s">
        <v>67</v>
      </c>
      <c r="E16" s="7" t="s">
        <v>42</v>
      </c>
      <c r="F16" s="7" t="s">
        <v>69</v>
      </c>
      <c r="G16" s="7">
        <v>2017</v>
      </c>
      <c r="H16" s="7" t="str">
        <f>CONCATENATE("14270173736")</f>
        <v>14270173736</v>
      </c>
      <c r="I16" s="7" t="s">
        <v>30</v>
      </c>
      <c r="J16" s="7" t="s">
        <v>31</v>
      </c>
      <c r="K16" s="7" t="str">
        <f>CONCATENATE("")</f>
        <v/>
      </c>
      <c r="L16" s="7" t="str">
        <f>CONCATENATE("4 4.1 2a")</f>
        <v>4 4.1 2a</v>
      </c>
      <c r="M16" s="7" t="str">
        <f>CONCATENATE("CLLGPP45D56A462B")</f>
        <v>CLLGPP45D56A462B</v>
      </c>
      <c r="N16" s="7" t="s">
        <v>73</v>
      </c>
      <c r="O16" s="7" t="s">
        <v>60</v>
      </c>
      <c r="P16" s="8">
        <v>44383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177186.37</v>
      </c>
      <c r="W16" s="9">
        <v>76402.759999999995</v>
      </c>
      <c r="X16" s="9">
        <v>70555.61</v>
      </c>
      <c r="Y16" s="7">
        <v>0</v>
      </c>
      <c r="Z16" s="9">
        <v>30228</v>
      </c>
    </row>
    <row r="17" spans="1:26" x14ac:dyDescent="0.35">
      <c r="A17" s="7" t="s">
        <v>27</v>
      </c>
      <c r="B17" s="7" t="s">
        <v>28</v>
      </c>
      <c r="C17" s="7" t="s">
        <v>44</v>
      </c>
      <c r="D17" s="7" t="s">
        <v>67</v>
      </c>
      <c r="E17" s="7" t="s">
        <v>42</v>
      </c>
      <c r="F17" s="7" t="s">
        <v>69</v>
      </c>
      <c r="G17" s="7">
        <v>2017</v>
      </c>
      <c r="H17" s="7" t="str">
        <f>CONCATENATE("14270176101")</f>
        <v>14270176101</v>
      </c>
      <c r="I17" s="7" t="s">
        <v>30</v>
      </c>
      <c r="J17" s="7" t="s">
        <v>31</v>
      </c>
      <c r="K17" s="7" t="str">
        <f>CONCATENATE("")</f>
        <v/>
      </c>
      <c r="L17" s="7" t="str">
        <f>CONCATENATE("4 4.1 2a")</f>
        <v>4 4.1 2a</v>
      </c>
      <c r="M17" s="7" t="str">
        <f>CONCATENATE("FLCMRZ89C30H769G")</f>
        <v>FLCMRZ89C30H769G</v>
      </c>
      <c r="N17" s="7" t="s">
        <v>74</v>
      </c>
      <c r="O17" s="7" t="s">
        <v>60</v>
      </c>
      <c r="P17" s="8">
        <v>44383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9330.2999999999993</v>
      </c>
      <c r="W17" s="9">
        <v>4023.23</v>
      </c>
      <c r="X17" s="9">
        <v>3715.33</v>
      </c>
      <c r="Y17" s="7">
        <v>0</v>
      </c>
      <c r="Z17" s="9">
        <v>1591.74</v>
      </c>
    </row>
    <row r="18" spans="1:26" x14ac:dyDescent="0.35">
      <c r="A18" s="7" t="s">
        <v>27</v>
      </c>
      <c r="B18" s="7" t="s">
        <v>28</v>
      </c>
      <c r="C18" s="7" t="s">
        <v>44</v>
      </c>
      <c r="D18" s="7" t="s">
        <v>67</v>
      </c>
      <c r="E18" s="7" t="s">
        <v>42</v>
      </c>
      <c r="F18" s="7" t="s">
        <v>69</v>
      </c>
      <c r="G18" s="7">
        <v>2017</v>
      </c>
      <c r="H18" s="7" t="str">
        <f>CONCATENATE("14270188262")</f>
        <v>14270188262</v>
      </c>
      <c r="I18" s="7" t="s">
        <v>30</v>
      </c>
      <c r="J18" s="7" t="s">
        <v>31</v>
      </c>
      <c r="K18" s="7" t="str">
        <f>CONCATENATE("")</f>
        <v/>
      </c>
      <c r="L18" s="7" t="str">
        <f>CONCATENATE("6 6.1 2b")</f>
        <v>6 6.1 2b</v>
      </c>
      <c r="M18" s="7" t="str">
        <f>CONCATENATE("MZZSFN89D15H769C")</f>
        <v>MZZSFN89D15H769C</v>
      </c>
      <c r="N18" s="7" t="s">
        <v>75</v>
      </c>
      <c r="O18" s="7" t="s">
        <v>76</v>
      </c>
      <c r="P18" s="8">
        <v>44389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21000</v>
      </c>
      <c r="W18" s="9">
        <v>9055.2000000000007</v>
      </c>
      <c r="X18" s="9">
        <v>8362.2000000000007</v>
      </c>
      <c r="Y18" s="7">
        <v>0</v>
      </c>
      <c r="Z18" s="9">
        <v>3582.6</v>
      </c>
    </row>
    <row r="19" spans="1:26" x14ac:dyDescent="0.35">
      <c r="A19" s="7" t="s">
        <v>27</v>
      </c>
      <c r="B19" s="7" t="s">
        <v>28</v>
      </c>
      <c r="C19" s="7" t="s">
        <v>44</v>
      </c>
      <c r="D19" s="7" t="s">
        <v>67</v>
      </c>
      <c r="E19" s="7" t="s">
        <v>29</v>
      </c>
      <c r="F19" s="7" t="s">
        <v>29</v>
      </c>
      <c r="G19" s="7">
        <v>2017</v>
      </c>
      <c r="H19" s="7" t="str">
        <f>CONCATENATE("14270173777")</f>
        <v>14270173777</v>
      </c>
      <c r="I19" s="7" t="s">
        <v>30</v>
      </c>
      <c r="J19" s="7" t="s">
        <v>31</v>
      </c>
      <c r="K19" s="7" t="str">
        <f>CONCATENATE("")</f>
        <v/>
      </c>
      <c r="L19" s="7" t="str">
        <f>CONCATENATE("4 4.1 2a")</f>
        <v>4 4.1 2a</v>
      </c>
      <c r="M19" s="7" t="str">
        <f>CONCATENATE("CCCBRN48M13G005T")</f>
        <v>CCCBRN48M13G005T</v>
      </c>
      <c r="N19" s="7" t="s">
        <v>77</v>
      </c>
      <c r="O19" s="7" t="s">
        <v>60</v>
      </c>
      <c r="P19" s="8">
        <v>44383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8802.84</v>
      </c>
      <c r="W19" s="9">
        <v>3795.78</v>
      </c>
      <c r="X19" s="9">
        <v>3505.29</v>
      </c>
      <c r="Y19" s="7">
        <v>0</v>
      </c>
      <c r="Z19" s="9">
        <v>1501.77</v>
      </c>
    </row>
    <row r="20" spans="1:26" x14ac:dyDescent="0.35">
      <c r="A20" s="7" t="s">
        <v>27</v>
      </c>
      <c r="B20" s="7" t="s">
        <v>28</v>
      </c>
      <c r="C20" s="7" t="s">
        <v>44</v>
      </c>
      <c r="D20" s="7" t="s">
        <v>57</v>
      </c>
      <c r="E20" s="7" t="s">
        <v>29</v>
      </c>
      <c r="F20" s="7" t="s">
        <v>29</v>
      </c>
      <c r="G20" s="7">
        <v>2017</v>
      </c>
      <c r="H20" s="7" t="str">
        <f>CONCATENATE("14270173728")</f>
        <v>14270173728</v>
      </c>
      <c r="I20" s="7" t="s">
        <v>30</v>
      </c>
      <c r="J20" s="7" t="s">
        <v>31</v>
      </c>
      <c r="K20" s="7" t="str">
        <f>CONCATENATE("")</f>
        <v/>
      </c>
      <c r="L20" s="7" t="str">
        <f>CONCATENATE("4 4.1 2a")</f>
        <v>4 4.1 2a</v>
      </c>
      <c r="M20" s="7" t="str">
        <f>CONCATENATE("02607080419")</f>
        <v>02607080419</v>
      </c>
      <c r="N20" s="7" t="s">
        <v>78</v>
      </c>
      <c r="O20" s="7" t="s">
        <v>60</v>
      </c>
      <c r="P20" s="8">
        <v>44383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11487.43</v>
      </c>
      <c r="W20" s="9">
        <v>4953.38</v>
      </c>
      <c r="X20" s="9">
        <v>4574.29</v>
      </c>
      <c r="Y20" s="7">
        <v>0</v>
      </c>
      <c r="Z20" s="9">
        <v>1959.76</v>
      </c>
    </row>
    <row r="21" spans="1:26" x14ac:dyDescent="0.35">
      <c r="A21" s="7" t="s">
        <v>27</v>
      </c>
      <c r="B21" s="7" t="s">
        <v>28</v>
      </c>
      <c r="C21" s="7" t="s">
        <v>44</v>
      </c>
      <c r="D21" s="7" t="s">
        <v>45</v>
      </c>
      <c r="E21" s="7" t="s">
        <v>39</v>
      </c>
      <c r="F21" s="7" t="s">
        <v>79</v>
      </c>
      <c r="G21" s="7">
        <v>2017</v>
      </c>
      <c r="H21" s="7" t="str">
        <f>CONCATENATE("04270233606")</f>
        <v>04270233606</v>
      </c>
      <c r="I21" s="7" t="s">
        <v>30</v>
      </c>
      <c r="J21" s="7" t="s">
        <v>31</v>
      </c>
      <c r="K21" s="7" t="str">
        <f>CONCATENATE("")</f>
        <v/>
      </c>
      <c r="L21" s="7" t="str">
        <f>CONCATENATE("4 4.1 2a")</f>
        <v>4 4.1 2a</v>
      </c>
      <c r="M21" s="7" t="str">
        <f>CONCATENATE("02701950426")</f>
        <v>02701950426</v>
      </c>
      <c r="N21" s="7" t="s">
        <v>80</v>
      </c>
      <c r="O21" s="7" t="s">
        <v>81</v>
      </c>
      <c r="P21" s="8">
        <v>44389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50767.9</v>
      </c>
      <c r="W21" s="9">
        <v>21891.119999999999</v>
      </c>
      <c r="X21" s="9">
        <v>20215.78</v>
      </c>
      <c r="Y21" s="7">
        <v>0</v>
      </c>
      <c r="Z21" s="9">
        <v>8661</v>
      </c>
    </row>
    <row r="22" spans="1:26" x14ac:dyDescent="0.35">
      <c r="A22" s="7" t="s">
        <v>27</v>
      </c>
      <c r="B22" s="7" t="s">
        <v>28</v>
      </c>
      <c r="C22" s="7" t="s">
        <v>44</v>
      </c>
      <c r="D22" s="7" t="s">
        <v>45</v>
      </c>
      <c r="E22" s="7" t="s">
        <v>38</v>
      </c>
      <c r="F22" s="7" t="s">
        <v>82</v>
      </c>
      <c r="G22" s="7">
        <v>2017</v>
      </c>
      <c r="H22" s="7" t="str">
        <f>CONCATENATE("04270233598")</f>
        <v>04270233598</v>
      </c>
      <c r="I22" s="7" t="s">
        <v>30</v>
      </c>
      <c r="J22" s="7" t="s">
        <v>31</v>
      </c>
      <c r="K22" s="7" t="str">
        <f>CONCATENATE("")</f>
        <v/>
      </c>
      <c r="L22" s="7" t="str">
        <f>CONCATENATE("4 4.1 2a")</f>
        <v>4 4.1 2a</v>
      </c>
      <c r="M22" s="7" t="str">
        <f>CONCATENATE("MRNSDR74P29D451F")</f>
        <v>MRNSDR74P29D451F</v>
      </c>
      <c r="N22" s="7" t="s">
        <v>83</v>
      </c>
      <c r="O22" s="7" t="s">
        <v>81</v>
      </c>
      <c r="P22" s="8">
        <v>44389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35625.730000000003</v>
      </c>
      <c r="W22" s="9">
        <v>15361.81</v>
      </c>
      <c r="X22" s="9">
        <v>14186.17</v>
      </c>
      <c r="Y22" s="7">
        <v>0</v>
      </c>
      <c r="Z22" s="9">
        <v>6077.75</v>
      </c>
    </row>
    <row r="23" spans="1:26" x14ac:dyDescent="0.35">
      <c r="A23" s="7" t="s">
        <v>27</v>
      </c>
      <c r="B23" s="7" t="s">
        <v>28</v>
      </c>
      <c r="C23" s="7" t="s">
        <v>44</v>
      </c>
      <c r="D23" s="7" t="s">
        <v>49</v>
      </c>
      <c r="E23" s="7" t="s">
        <v>29</v>
      </c>
      <c r="F23" s="7" t="s">
        <v>29</v>
      </c>
      <c r="G23" s="7">
        <v>2017</v>
      </c>
      <c r="H23" s="7" t="str">
        <f>CONCATENATE("04270233564")</f>
        <v>04270233564</v>
      </c>
      <c r="I23" s="7" t="s">
        <v>30</v>
      </c>
      <c r="J23" s="7" t="s">
        <v>31</v>
      </c>
      <c r="K23" s="7" t="str">
        <f>CONCATENATE("")</f>
        <v/>
      </c>
      <c r="L23" s="7" t="str">
        <f>CONCATENATE("16 16.1 2a")</f>
        <v>16 16.1 2a</v>
      </c>
      <c r="M23" s="7" t="str">
        <f>CONCATENATE("00864100425")</f>
        <v>00864100425</v>
      </c>
      <c r="N23" s="7" t="s">
        <v>84</v>
      </c>
      <c r="O23" s="7" t="s">
        <v>85</v>
      </c>
      <c r="P23" s="8">
        <v>44383</v>
      </c>
      <c r="Q23" s="7" t="s">
        <v>32</v>
      </c>
      <c r="R23" s="7" t="s">
        <v>36</v>
      </c>
      <c r="S23" s="7" t="s">
        <v>34</v>
      </c>
      <c r="T23" s="7"/>
      <c r="U23" s="7" t="s">
        <v>35</v>
      </c>
      <c r="V23" s="9">
        <v>77668.289999999994</v>
      </c>
      <c r="W23" s="9">
        <v>33490.57</v>
      </c>
      <c r="X23" s="9">
        <v>30927.51</v>
      </c>
      <c r="Y23" s="7">
        <v>0</v>
      </c>
      <c r="Z23" s="9">
        <v>13250.21</v>
      </c>
    </row>
    <row r="24" spans="1:26" x14ac:dyDescent="0.35">
      <c r="A24" s="7" t="s">
        <v>27</v>
      </c>
      <c r="B24" s="7" t="s">
        <v>28</v>
      </c>
      <c r="C24" s="7" t="s">
        <v>44</v>
      </c>
      <c r="D24" s="7" t="s">
        <v>57</v>
      </c>
      <c r="E24" s="7" t="s">
        <v>29</v>
      </c>
      <c r="F24" s="7" t="s">
        <v>29</v>
      </c>
      <c r="G24" s="7">
        <v>2017</v>
      </c>
      <c r="H24" s="7" t="str">
        <f>CONCATENATE("04270233572")</f>
        <v>04270233572</v>
      </c>
      <c r="I24" s="7" t="s">
        <v>30</v>
      </c>
      <c r="J24" s="7" t="s">
        <v>31</v>
      </c>
      <c r="K24" s="7" t="str">
        <f>CONCATENATE("")</f>
        <v/>
      </c>
      <c r="L24" s="7" t="str">
        <f>CONCATENATE("16 16.1 2a")</f>
        <v>16 16.1 2a</v>
      </c>
      <c r="M24" s="7" t="str">
        <f>CONCATENATE("PCCSFO91A64C357U")</f>
        <v>PCCSFO91A64C357U</v>
      </c>
      <c r="N24" s="7" t="s">
        <v>86</v>
      </c>
      <c r="O24" s="7" t="s">
        <v>85</v>
      </c>
      <c r="P24" s="8">
        <v>44383</v>
      </c>
      <c r="Q24" s="7" t="s">
        <v>32</v>
      </c>
      <c r="R24" s="7" t="s">
        <v>36</v>
      </c>
      <c r="S24" s="7" t="s">
        <v>34</v>
      </c>
      <c r="T24" s="7"/>
      <c r="U24" s="7" t="s">
        <v>35</v>
      </c>
      <c r="V24" s="9">
        <v>65256.6</v>
      </c>
      <c r="W24" s="9">
        <v>28138.65</v>
      </c>
      <c r="X24" s="9">
        <v>25985.18</v>
      </c>
      <c r="Y24" s="7">
        <v>0</v>
      </c>
      <c r="Z24" s="9">
        <v>11132.77</v>
      </c>
    </row>
    <row r="25" spans="1:26" x14ac:dyDescent="0.35">
      <c r="A25" s="7" t="s">
        <v>27</v>
      </c>
      <c r="B25" s="7" t="s">
        <v>28</v>
      </c>
      <c r="C25" s="7" t="s">
        <v>44</v>
      </c>
      <c r="D25" s="7" t="s">
        <v>45</v>
      </c>
      <c r="E25" s="7" t="s">
        <v>39</v>
      </c>
      <c r="F25" s="7" t="s">
        <v>79</v>
      </c>
      <c r="G25" s="7">
        <v>2017</v>
      </c>
      <c r="H25" s="7" t="str">
        <f>CONCATENATE("04270233556")</f>
        <v>04270233556</v>
      </c>
      <c r="I25" s="7" t="s">
        <v>30</v>
      </c>
      <c r="J25" s="7" t="s">
        <v>31</v>
      </c>
      <c r="K25" s="7" t="str">
        <f>CONCATENATE("")</f>
        <v/>
      </c>
      <c r="L25" s="7" t="str">
        <f>CONCATENATE("16 16.1 2a")</f>
        <v>16 16.1 2a</v>
      </c>
      <c r="M25" s="7" t="str">
        <f>CONCATENATE("02419450420")</f>
        <v>02419450420</v>
      </c>
      <c r="N25" s="7" t="s">
        <v>87</v>
      </c>
      <c r="O25" s="7" t="s">
        <v>85</v>
      </c>
      <c r="P25" s="8">
        <v>44383</v>
      </c>
      <c r="Q25" s="7" t="s">
        <v>32</v>
      </c>
      <c r="R25" s="7" t="s">
        <v>36</v>
      </c>
      <c r="S25" s="7" t="s">
        <v>34</v>
      </c>
      <c r="T25" s="7"/>
      <c r="U25" s="7" t="s">
        <v>35</v>
      </c>
      <c r="V25" s="9">
        <v>98739.67</v>
      </c>
      <c r="W25" s="9">
        <v>42576.55</v>
      </c>
      <c r="X25" s="9">
        <v>39318.14</v>
      </c>
      <c r="Y25" s="7">
        <v>0</v>
      </c>
      <c r="Z25" s="9">
        <v>16844.98</v>
      </c>
    </row>
    <row r="26" spans="1:26" x14ac:dyDescent="0.35">
      <c r="A26" s="7" t="s">
        <v>27</v>
      </c>
      <c r="B26" s="7" t="s">
        <v>37</v>
      </c>
      <c r="C26" s="7" t="s">
        <v>44</v>
      </c>
      <c r="D26" s="7" t="s">
        <v>67</v>
      </c>
      <c r="E26" s="7" t="s">
        <v>29</v>
      </c>
      <c r="F26" s="7" t="s">
        <v>29</v>
      </c>
      <c r="G26" s="7">
        <v>2020</v>
      </c>
      <c r="H26" s="7" t="str">
        <f>CONCATENATE("04241167461")</f>
        <v>04241167461</v>
      </c>
      <c r="I26" s="7" t="s">
        <v>30</v>
      </c>
      <c r="J26" s="7" t="s">
        <v>31</v>
      </c>
      <c r="K26" s="7" t="str">
        <f>CONCATENATE("")</f>
        <v/>
      </c>
      <c r="L26" s="7" t="str">
        <f>CONCATENATE("11 11.1 4b")</f>
        <v>11 11.1 4b</v>
      </c>
      <c r="M26" s="7" t="str">
        <f>CONCATENATE("MRZGPR68L13I315S")</f>
        <v>MRZGPR68L13I315S</v>
      </c>
      <c r="N26" s="7" t="s">
        <v>88</v>
      </c>
      <c r="O26" s="7" t="s">
        <v>89</v>
      </c>
      <c r="P26" s="8">
        <v>44389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2476.12</v>
      </c>
      <c r="W26" s="9">
        <v>1067.7</v>
      </c>
      <c r="X26" s="7">
        <v>985.99</v>
      </c>
      <c r="Y26" s="7">
        <v>0</v>
      </c>
      <c r="Z26" s="7">
        <v>422.43</v>
      </c>
    </row>
    <row r="27" spans="1:26" x14ac:dyDescent="0.35">
      <c r="A27" s="7" t="s">
        <v>27</v>
      </c>
      <c r="B27" s="7" t="s">
        <v>28</v>
      </c>
      <c r="C27" s="7" t="s">
        <v>44</v>
      </c>
      <c r="D27" s="7" t="s">
        <v>49</v>
      </c>
      <c r="E27" s="7" t="s">
        <v>29</v>
      </c>
      <c r="F27" s="7" t="s">
        <v>29</v>
      </c>
      <c r="G27" s="7">
        <v>2017</v>
      </c>
      <c r="H27" s="7" t="str">
        <f>CONCATENATE("14270187942")</f>
        <v>14270187942</v>
      </c>
      <c r="I27" s="7" t="s">
        <v>30</v>
      </c>
      <c r="J27" s="7" t="s">
        <v>31</v>
      </c>
      <c r="K27" s="7" t="str">
        <f>CONCATENATE("")</f>
        <v/>
      </c>
      <c r="L27" s="7" t="str">
        <f>CONCATENATE("6 6.1 2b")</f>
        <v>6 6.1 2b</v>
      </c>
      <c r="M27" s="7" t="str">
        <f>CONCATENATE("LSVBDT93A60E783X")</f>
        <v>LSVBDT93A60E783X</v>
      </c>
      <c r="N27" s="7" t="s">
        <v>90</v>
      </c>
      <c r="O27" s="7" t="s">
        <v>91</v>
      </c>
      <c r="P27" s="8">
        <v>44389</v>
      </c>
      <c r="Q27" s="7" t="s">
        <v>32</v>
      </c>
      <c r="R27" s="7" t="s">
        <v>36</v>
      </c>
      <c r="S27" s="7" t="s">
        <v>34</v>
      </c>
      <c r="T27" s="7"/>
      <c r="U27" s="7" t="s">
        <v>35</v>
      </c>
      <c r="V27" s="9">
        <v>28000</v>
      </c>
      <c r="W27" s="9">
        <v>12073.6</v>
      </c>
      <c r="X27" s="9">
        <v>11149.6</v>
      </c>
      <c r="Y27" s="7">
        <v>0</v>
      </c>
      <c r="Z27" s="9">
        <v>4776.8</v>
      </c>
    </row>
    <row r="28" spans="1:26" x14ac:dyDescent="0.35">
      <c r="A28" s="7" t="s">
        <v>27</v>
      </c>
      <c r="B28" s="7" t="s">
        <v>28</v>
      </c>
      <c r="C28" s="7" t="s">
        <v>44</v>
      </c>
      <c r="D28" s="7" t="s">
        <v>49</v>
      </c>
      <c r="E28" s="7" t="s">
        <v>38</v>
      </c>
      <c r="F28" s="7" t="s">
        <v>61</v>
      </c>
      <c r="G28" s="7">
        <v>2017</v>
      </c>
      <c r="H28" s="7" t="str">
        <f>CONCATENATE("14270178537")</f>
        <v>14270178537</v>
      </c>
      <c r="I28" s="7" t="s">
        <v>30</v>
      </c>
      <c r="J28" s="7" t="s">
        <v>31</v>
      </c>
      <c r="K28" s="7" t="str">
        <f>CONCATENATE("")</f>
        <v/>
      </c>
      <c r="L28" s="7" t="str">
        <f>CONCATENATE("4 4.1 2a")</f>
        <v>4 4.1 2a</v>
      </c>
      <c r="M28" s="7" t="str">
        <f>CONCATENATE("BSLMRA61L17B474C")</f>
        <v>BSLMRA61L17B474C</v>
      </c>
      <c r="N28" s="7" t="s">
        <v>62</v>
      </c>
      <c r="O28" s="7" t="s">
        <v>92</v>
      </c>
      <c r="P28" s="8">
        <v>44383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14285.84</v>
      </c>
      <c r="W28" s="9">
        <v>6160.05</v>
      </c>
      <c r="X28" s="9">
        <v>5688.62</v>
      </c>
      <c r="Y28" s="7">
        <v>0</v>
      </c>
      <c r="Z28" s="9">
        <v>2437.17</v>
      </c>
    </row>
    <row r="29" spans="1:26" x14ac:dyDescent="0.35">
      <c r="A29" s="7" t="s">
        <v>27</v>
      </c>
      <c r="B29" s="7" t="s">
        <v>28</v>
      </c>
      <c r="C29" s="7" t="s">
        <v>44</v>
      </c>
      <c r="D29" s="7" t="s">
        <v>57</v>
      </c>
      <c r="E29" s="7" t="s">
        <v>29</v>
      </c>
      <c r="F29" s="7" t="s">
        <v>29</v>
      </c>
      <c r="G29" s="7">
        <v>2017</v>
      </c>
      <c r="H29" s="7" t="str">
        <f>CONCATENATE("14270178545")</f>
        <v>14270178545</v>
      </c>
      <c r="I29" s="7" t="s">
        <v>30</v>
      </c>
      <c r="J29" s="7" t="s">
        <v>31</v>
      </c>
      <c r="K29" s="7" t="str">
        <f>CONCATENATE("")</f>
        <v/>
      </c>
      <c r="L29" s="7" t="str">
        <f>CONCATENATE("4 4.1 2a")</f>
        <v>4 4.1 2a</v>
      </c>
      <c r="M29" s="7" t="str">
        <f>CONCATENATE("FLCPTR50D03F478M")</f>
        <v>FLCPTR50D03F478M</v>
      </c>
      <c r="N29" s="7" t="s">
        <v>93</v>
      </c>
      <c r="O29" s="7" t="s">
        <v>92</v>
      </c>
      <c r="P29" s="8">
        <v>44383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11232.58</v>
      </c>
      <c r="W29" s="9">
        <v>4843.49</v>
      </c>
      <c r="X29" s="9">
        <v>4472.8100000000004</v>
      </c>
      <c r="Y29" s="7">
        <v>0</v>
      </c>
      <c r="Z29" s="9">
        <v>1916.28</v>
      </c>
    </row>
    <row r="30" spans="1:26" x14ac:dyDescent="0.35">
      <c r="A30" s="7" t="s">
        <v>27</v>
      </c>
      <c r="B30" s="7" t="s">
        <v>28</v>
      </c>
      <c r="C30" s="7" t="s">
        <v>44</v>
      </c>
      <c r="D30" s="7" t="s">
        <v>57</v>
      </c>
      <c r="E30" s="7" t="s">
        <v>29</v>
      </c>
      <c r="F30" s="7" t="s">
        <v>29</v>
      </c>
      <c r="G30" s="7">
        <v>2017</v>
      </c>
      <c r="H30" s="7" t="str">
        <f>CONCATENATE("14270187850")</f>
        <v>14270187850</v>
      </c>
      <c r="I30" s="7" t="s">
        <v>30</v>
      </c>
      <c r="J30" s="7" t="s">
        <v>31</v>
      </c>
      <c r="K30" s="7" t="str">
        <f>CONCATENATE("")</f>
        <v/>
      </c>
      <c r="L30" s="7" t="str">
        <f>CONCATENATE("4 4.1 2a")</f>
        <v>4 4.1 2a</v>
      </c>
      <c r="M30" s="7" t="str">
        <f>CONCATENATE("01816630436")</f>
        <v>01816630436</v>
      </c>
      <c r="N30" s="7" t="s">
        <v>94</v>
      </c>
      <c r="O30" s="7" t="s">
        <v>95</v>
      </c>
      <c r="P30" s="8">
        <v>44389</v>
      </c>
      <c r="Q30" s="7" t="s">
        <v>32</v>
      </c>
      <c r="R30" s="7" t="s">
        <v>36</v>
      </c>
      <c r="S30" s="7" t="s">
        <v>34</v>
      </c>
      <c r="T30" s="7"/>
      <c r="U30" s="7" t="s">
        <v>35</v>
      </c>
      <c r="V30" s="9">
        <v>5383.62</v>
      </c>
      <c r="W30" s="9">
        <v>2321.42</v>
      </c>
      <c r="X30" s="9">
        <v>2143.7600000000002</v>
      </c>
      <c r="Y30" s="7">
        <v>0</v>
      </c>
      <c r="Z30" s="7">
        <v>918.44</v>
      </c>
    </row>
    <row r="31" spans="1:26" x14ac:dyDescent="0.35">
      <c r="A31" s="7" t="s">
        <v>27</v>
      </c>
      <c r="B31" s="7" t="s">
        <v>28</v>
      </c>
      <c r="C31" s="7" t="s">
        <v>44</v>
      </c>
      <c r="D31" s="7" t="s">
        <v>45</v>
      </c>
      <c r="E31" s="7" t="s">
        <v>29</v>
      </c>
      <c r="F31" s="7" t="s">
        <v>29</v>
      </c>
      <c r="G31" s="7">
        <v>2017</v>
      </c>
      <c r="H31" s="7" t="str">
        <f>CONCATENATE("04270233614")</f>
        <v>04270233614</v>
      </c>
      <c r="I31" s="7" t="s">
        <v>40</v>
      </c>
      <c r="J31" s="7" t="s">
        <v>31</v>
      </c>
      <c r="K31" s="7" t="str">
        <f>CONCATENATE("")</f>
        <v/>
      </c>
      <c r="L31" s="7" t="str">
        <f>CONCATENATE("3 3.2 3a")</f>
        <v>3 3.2 3a</v>
      </c>
      <c r="M31" s="7" t="str">
        <f>CONCATENATE("00807560420")</f>
        <v>00807560420</v>
      </c>
      <c r="N31" s="7" t="s">
        <v>96</v>
      </c>
      <c r="O31" s="7" t="s">
        <v>97</v>
      </c>
      <c r="P31" s="8">
        <v>44389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228689.84</v>
      </c>
      <c r="W31" s="9">
        <v>98611.06</v>
      </c>
      <c r="X31" s="9">
        <v>91064.29</v>
      </c>
      <c r="Y31" s="7">
        <v>0</v>
      </c>
      <c r="Z31" s="9">
        <v>39014.49</v>
      </c>
    </row>
    <row r="32" spans="1:26" x14ac:dyDescent="0.35">
      <c r="A32" s="7" t="s">
        <v>27</v>
      </c>
      <c r="B32" s="7" t="s">
        <v>28</v>
      </c>
      <c r="C32" s="7" t="s">
        <v>44</v>
      </c>
      <c r="D32" s="7" t="s">
        <v>45</v>
      </c>
      <c r="E32" s="7" t="s">
        <v>38</v>
      </c>
      <c r="F32" s="7" t="s">
        <v>82</v>
      </c>
      <c r="G32" s="7">
        <v>2017</v>
      </c>
      <c r="H32" s="7" t="str">
        <f>CONCATENATE("14270187959")</f>
        <v>14270187959</v>
      </c>
      <c r="I32" s="7" t="s">
        <v>30</v>
      </c>
      <c r="J32" s="7" t="s">
        <v>31</v>
      </c>
      <c r="K32" s="7" t="str">
        <f>CONCATENATE("")</f>
        <v/>
      </c>
      <c r="L32" s="7" t="str">
        <f>CONCATENATE("4 4.1 2a")</f>
        <v>4 4.1 2a</v>
      </c>
      <c r="M32" s="7" t="str">
        <f>CONCATENATE("LLSRCR89R03D451W")</f>
        <v>LLSRCR89R03D451W</v>
      </c>
      <c r="N32" s="7" t="s">
        <v>98</v>
      </c>
      <c r="O32" s="7" t="s">
        <v>99</v>
      </c>
      <c r="P32" s="8">
        <v>44389</v>
      </c>
      <c r="Q32" s="7" t="s">
        <v>32</v>
      </c>
      <c r="R32" s="7" t="s">
        <v>36</v>
      </c>
      <c r="S32" s="7" t="s">
        <v>34</v>
      </c>
      <c r="T32" s="7"/>
      <c r="U32" s="7" t="s">
        <v>35</v>
      </c>
      <c r="V32" s="9">
        <v>78984.17</v>
      </c>
      <c r="W32" s="9">
        <v>34057.97</v>
      </c>
      <c r="X32" s="9">
        <v>31451.5</v>
      </c>
      <c r="Y32" s="7">
        <v>0</v>
      </c>
      <c r="Z32" s="9">
        <v>13474.7</v>
      </c>
    </row>
    <row r="33" spans="1:26" x14ac:dyDescent="0.35">
      <c r="A33" s="7" t="s">
        <v>27</v>
      </c>
      <c r="B33" s="7" t="s">
        <v>28</v>
      </c>
      <c r="C33" s="7" t="s">
        <v>44</v>
      </c>
      <c r="D33" s="7" t="s">
        <v>67</v>
      </c>
      <c r="E33" s="7" t="s">
        <v>29</v>
      </c>
      <c r="F33" s="7" t="s">
        <v>29</v>
      </c>
      <c r="G33" s="7">
        <v>2017</v>
      </c>
      <c r="H33" s="7" t="str">
        <f>CONCATENATE("14270185342")</f>
        <v>14270185342</v>
      </c>
      <c r="I33" s="7" t="s">
        <v>30</v>
      </c>
      <c r="J33" s="7" t="s">
        <v>31</v>
      </c>
      <c r="K33" s="7" t="str">
        <f>CONCATENATE("")</f>
        <v/>
      </c>
      <c r="L33" s="7" t="str">
        <f>CONCATENATE("4 4.4 4c")</f>
        <v>4 4.4 4c</v>
      </c>
      <c r="M33" s="7" t="str">
        <f>CONCATENATE("CVZDNI74T65H769D")</f>
        <v>CVZDNI74T65H769D</v>
      </c>
      <c r="N33" s="7" t="s">
        <v>100</v>
      </c>
      <c r="O33" s="7" t="s">
        <v>101</v>
      </c>
      <c r="P33" s="8">
        <v>44383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3780</v>
      </c>
      <c r="W33" s="9">
        <v>1629.94</v>
      </c>
      <c r="X33" s="9">
        <v>1505.2</v>
      </c>
      <c r="Y33" s="7">
        <v>0</v>
      </c>
      <c r="Z33" s="7">
        <v>644.86</v>
      </c>
    </row>
    <row r="34" spans="1:26" x14ac:dyDescent="0.35">
      <c r="A34" s="7" t="s">
        <v>27</v>
      </c>
      <c r="B34" s="7" t="s">
        <v>28</v>
      </c>
      <c r="C34" s="7" t="s">
        <v>44</v>
      </c>
      <c r="D34" s="7" t="s">
        <v>57</v>
      </c>
      <c r="E34" s="7" t="s">
        <v>39</v>
      </c>
      <c r="F34" s="7" t="s">
        <v>102</v>
      </c>
      <c r="G34" s="7">
        <v>2017</v>
      </c>
      <c r="H34" s="7" t="str">
        <f>CONCATENATE("14270171565")</f>
        <v>14270171565</v>
      </c>
      <c r="I34" s="7" t="s">
        <v>30</v>
      </c>
      <c r="J34" s="7" t="s">
        <v>31</v>
      </c>
      <c r="K34" s="7" t="str">
        <f>CONCATENATE("")</f>
        <v/>
      </c>
      <c r="L34" s="7" t="str">
        <f>CONCATENATE("21 21.1 2a")</f>
        <v>21 21.1 2a</v>
      </c>
      <c r="M34" s="7" t="str">
        <f>CONCATENATE("SBTMRA54H41I344J")</f>
        <v>SBTMRA54H41I344J</v>
      </c>
      <c r="N34" s="7" t="s">
        <v>103</v>
      </c>
      <c r="O34" s="7" t="s">
        <v>104</v>
      </c>
      <c r="P34" s="8">
        <v>44383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7000</v>
      </c>
      <c r="W34" s="9">
        <v>3018.4</v>
      </c>
      <c r="X34" s="9">
        <v>2787.4</v>
      </c>
      <c r="Y34" s="7">
        <v>0</v>
      </c>
      <c r="Z34" s="9">
        <v>1194.2</v>
      </c>
    </row>
    <row r="35" spans="1:26" x14ac:dyDescent="0.35">
      <c r="A35" s="7" t="s">
        <v>27</v>
      </c>
      <c r="B35" s="7" t="s">
        <v>28</v>
      </c>
      <c r="C35" s="7" t="s">
        <v>44</v>
      </c>
      <c r="D35" s="7" t="s">
        <v>67</v>
      </c>
      <c r="E35" s="7" t="s">
        <v>42</v>
      </c>
      <c r="F35" s="7" t="s">
        <v>69</v>
      </c>
      <c r="G35" s="7">
        <v>2017</v>
      </c>
      <c r="H35" s="7" t="str">
        <f>CONCATENATE("14270188288")</f>
        <v>14270188288</v>
      </c>
      <c r="I35" s="7" t="s">
        <v>30</v>
      </c>
      <c r="J35" s="7" t="s">
        <v>31</v>
      </c>
      <c r="K35" s="7" t="str">
        <f>CONCATENATE("")</f>
        <v/>
      </c>
      <c r="L35" s="7" t="str">
        <f>CONCATENATE("4 4.1 2a")</f>
        <v>4 4.1 2a</v>
      </c>
      <c r="M35" s="7" t="str">
        <f>CONCATENATE("MZZSFN89D15H769C")</f>
        <v>MZZSFN89D15H769C</v>
      </c>
      <c r="N35" s="7" t="s">
        <v>75</v>
      </c>
      <c r="O35" s="7" t="s">
        <v>105</v>
      </c>
      <c r="P35" s="8">
        <v>44389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63570.31</v>
      </c>
      <c r="W35" s="9">
        <v>27411.52</v>
      </c>
      <c r="X35" s="9">
        <v>25313.7</v>
      </c>
      <c r="Y35" s="7">
        <v>0</v>
      </c>
      <c r="Z35" s="9">
        <v>10845.09</v>
      </c>
    </row>
    <row r="36" spans="1:26" x14ac:dyDescent="0.35">
      <c r="A36" s="7" t="s">
        <v>27</v>
      </c>
      <c r="B36" s="7" t="s">
        <v>28</v>
      </c>
      <c r="C36" s="7" t="s">
        <v>44</v>
      </c>
      <c r="D36" s="7" t="s">
        <v>67</v>
      </c>
      <c r="E36" s="7" t="s">
        <v>41</v>
      </c>
      <c r="F36" s="7" t="s">
        <v>106</v>
      </c>
      <c r="G36" s="7">
        <v>2017</v>
      </c>
      <c r="H36" s="7" t="str">
        <f>CONCATENATE("14270185359")</f>
        <v>14270185359</v>
      </c>
      <c r="I36" s="7" t="s">
        <v>30</v>
      </c>
      <c r="J36" s="7" t="s">
        <v>31</v>
      </c>
      <c r="K36" s="7" t="str">
        <f>CONCATENATE("")</f>
        <v/>
      </c>
      <c r="L36" s="7" t="str">
        <f>CONCATENATE("4 4.4 4c")</f>
        <v>4 4.4 4c</v>
      </c>
      <c r="M36" s="7" t="str">
        <f>CONCATENATE("CRBLGN60E22F570O")</f>
        <v>CRBLGN60E22F570O</v>
      </c>
      <c r="N36" s="7" t="s">
        <v>107</v>
      </c>
      <c r="O36" s="7" t="s">
        <v>101</v>
      </c>
      <c r="P36" s="8">
        <v>44383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7">
        <v>625.87</v>
      </c>
      <c r="W36" s="7">
        <v>269.88</v>
      </c>
      <c r="X36" s="7">
        <v>249.22</v>
      </c>
      <c r="Y36" s="7">
        <v>0</v>
      </c>
      <c r="Z36" s="7">
        <v>106.77</v>
      </c>
    </row>
    <row r="37" spans="1:26" x14ac:dyDescent="0.35">
      <c r="A37" s="7" t="s">
        <v>27</v>
      </c>
      <c r="B37" s="7" t="s">
        <v>28</v>
      </c>
      <c r="C37" s="7" t="s">
        <v>44</v>
      </c>
      <c r="D37" s="7" t="s">
        <v>57</v>
      </c>
      <c r="E37" s="7" t="s">
        <v>38</v>
      </c>
      <c r="F37" s="7" t="s">
        <v>58</v>
      </c>
      <c r="G37" s="7">
        <v>2017</v>
      </c>
      <c r="H37" s="7" t="str">
        <f>CONCATENATE("04270233580")</f>
        <v>04270233580</v>
      </c>
      <c r="I37" s="7" t="s">
        <v>30</v>
      </c>
      <c r="J37" s="7" t="s">
        <v>31</v>
      </c>
      <c r="K37" s="7" t="str">
        <f>CONCATENATE("")</f>
        <v/>
      </c>
      <c r="L37" s="7" t="str">
        <f>CONCATENATE("16 16.8 5e")</f>
        <v>16 16.8 5e</v>
      </c>
      <c r="M37" s="7" t="str">
        <f>CONCATENATE("02578880417")</f>
        <v>02578880417</v>
      </c>
      <c r="N37" s="7" t="s">
        <v>108</v>
      </c>
      <c r="O37" s="7" t="s">
        <v>109</v>
      </c>
      <c r="P37" s="8">
        <v>44383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91255.9</v>
      </c>
      <c r="W37" s="9">
        <v>39349.54</v>
      </c>
      <c r="X37" s="9">
        <v>36338.1</v>
      </c>
      <c r="Y37" s="7">
        <v>0</v>
      </c>
      <c r="Z37" s="9">
        <v>15568.26</v>
      </c>
    </row>
    <row r="38" spans="1:26" x14ac:dyDescent="0.35">
      <c r="A38" s="7" t="s">
        <v>27</v>
      </c>
      <c r="B38" s="7" t="s">
        <v>28</v>
      </c>
      <c r="C38" s="7" t="s">
        <v>44</v>
      </c>
      <c r="D38" s="7" t="s">
        <v>49</v>
      </c>
      <c r="E38" s="7" t="s">
        <v>29</v>
      </c>
      <c r="F38" s="7" t="s">
        <v>29</v>
      </c>
      <c r="G38" s="7">
        <v>2017</v>
      </c>
      <c r="H38" s="7" t="str">
        <f>CONCATENATE("14270171532")</f>
        <v>14270171532</v>
      </c>
      <c r="I38" s="7" t="s">
        <v>30</v>
      </c>
      <c r="J38" s="7" t="s">
        <v>31</v>
      </c>
      <c r="K38" s="7" t="str">
        <f>CONCATENATE("")</f>
        <v/>
      </c>
      <c r="L38" s="7" t="str">
        <f>CONCATENATE("21 21.1 2a")</f>
        <v>21 21.1 2a</v>
      </c>
      <c r="M38" s="7" t="str">
        <f>CONCATENATE("BLNMRA64C43H440D")</f>
        <v>BLNMRA64C43H440D</v>
      </c>
      <c r="N38" s="7" t="s">
        <v>110</v>
      </c>
      <c r="O38" s="7" t="s">
        <v>104</v>
      </c>
      <c r="P38" s="8">
        <v>44383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7000</v>
      </c>
      <c r="W38" s="9">
        <v>3018.4</v>
      </c>
      <c r="X38" s="9">
        <v>2787.4</v>
      </c>
      <c r="Y38" s="7">
        <v>0</v>
      </c>
      <c r="Z38" s="9">
        <v>1194.2</v>
      </c>
    </row>
    <row r="39" spans="1:26" x14ac:dyDescent="0.35">
      <c r="A39" s="7" t="s">
        <v>27</v>
      </c>
      <c r="B39" s="7" t="s">
        <v>28</v>
      </c>
      <c r="C39" s="7" t="s">
        <v>44</v>
      </c>
      <c r="D39" s="7" t="s">
        <v>67</v>
      </c>
      <c r="E39" s="7" t="s">
        <v>39</v>
      </c>
      <c r="F39" s="7" t="s">
        <v>111</v>
      </c>
      <c r="G39" s="7">
        <v>2017</v>
      </c>
      <c r="H39" s="7" t="str">
        <f>CONCATENATE("14270173678")</f>
        <v>14270173678</v>
      </c>
      <c r="I39" s="7" t="s">
        <v>40</v>
      </c>
      <c r="J39" s="7" t="s">
        <v>31</v>
      </c>
      <c r="K39" s="7" t="str">
        <f>CONCATENATE("")</f>
        <v/>
      </c>
      <c r="L39" s="7" t="str">
        <f>CONCATENATE("21 21.1 2a")</f>
        <v>21 21.1 2a</v>
      </c>
      <c r="M39" s="7" t="str">
        <f>CONCATENATE("BSSVSS69R55L781L")</f>
        <v>BSSVSS69R55L781L</v>
      </c>
      <c r="N39" s="7" t="s">
        <v>112</v>
      </c>
      <c r="O39" s="7" t="s">
        <v>104</v>
      </c>
      <c r="P39" s="8">
        <v>44383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7000</v>
      </c>
      <c r="W39" s="9">
        <v>3018.4</v>
      </c>
      <c r="X39" s="9">
        <v>2787.4</v>
      </c>
      <c r="Y39" s="7">
        <v>0</v>
      </c>
      <c r="Z39" s="9">
        <v>1194.2</v>
      </c>
    </row>
    <row r="40" spans="1:26" x14ac:dyDescent="0.35">
      <c r="A40" s="7" t="s">
        <v>27</v>
      </c>
      <c r="B40" s="7" t="s">
        <v>28</v>
      </c>
      <c r="C40" s="7" t="s">
        <v>44</v>
      </c>
      <c r="D40" s="7" t="s">
        <v>57</v>
      </c>
      <c r="E40" s="7" t="s">
        <v>29</v>
      </c>
      <c r="F40" s="7" t="s">
        <v>29</v>
      </c>
      <c r="G40" s="7">
        <v>2017</v>
      </c>
      <c r="H40" s="7" t="str">
        <f>CONCATENATE("14270171508")</f>
        <v>14270171508</v>
      </c>
      <c r="I40" s="7" t="s">
        <v>30</v>
      </c>
      <c r="J40" s="7" t="s">
        <v>31</v>
      </c>
      <c r="K40" s="7" t="str">
        <f>CONCATENATE("")</f>
        <v/>
      </c>
      <c r="L40" s="7" t="str">
        <f>CONCATENATE("21 21.1 2a")</f>
        <v>21 21.1 2a</v>
      </c>
      <c r="M40" s="7" t="str">
        <f>CONCATENATE("CLDCRS75H21G479F")</f>
        <v>CLDCRS75H21G479F</v>
      </c>
      <c r="N40" s="7" t="s">
        <v>113</v>
      </c>
      <c r="O40" s="7" t="s">
        <v>104</v>
      </c>
      <c r="P40" s="8">
        <v>44383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9">
        <v>7000</v>
      </c>
      <c r="W40" s="9">
        <v>3018.4</v>
      </c>
      <c r="X40" s="9">
        <v>2787.4</v>
      </c>
      <c r="Y40" s="7">
        <v>0</v>
      </c>
      <c r="Z40" s="9">
        <v>1194.2</v>
      </c>
    </row>
    <row r="41" spans="1:26" x14ac:dyDescent="0.35">
      <c r="A41" s="7" t="s">
        <v>27</v>
      </c>
      <c r="B41" s="7" t="s">
        <v>28</v>
      </c>
      <c r="C41" s="7" t="s">
        <v>44</v>
      </c>
      <c r="D41" s="7" t="s">
        <v>49</v>
      </c>
      <c r="E41" s="7" t="s">
        <v>29</v>
      </c>
      <c r="F41" s="7" t="s">
        <v>29</v>
      </c>
      <c r="G41" s="7">
        <v>2017</v>
      </c>
      <c r="H41" s="7" t="str">
        <f>CONCATENATE("14270171573")</f>
        <v>14270171573</v>
      </c>
      <c r="I41" s="7" t="s">
        <v>30</v>
      </c>
      <c r="J41" s="7" t="s">
        <v>31</v>
      </c>
      <c r="K41" s="7" t="str">
        <f>CONCATENATE("")</f>
        <v/>
      </c>
      <c r="L41" s="7" t="str">
        <f>CONCATENATE("21 21.1 2a")</f>
        <v>21 21.1 2a</v>
      </c>
      <c r="M41" s="7" t="str">
        <f>CONCATENATE("PTRRLD39T31G515Q")</f>
        <v>PTRRLD39T31G515Q</v>
      </c>
      <c r="N41" s="7" t="s">
        <v>114</v>
      </c>
      <c r="O41" s="7" t="s">
        <v>104</v>
      </c>
      <c r="P41" s="8">
        <v>44383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7000</v>
      </c>
      <c r="W41" s="9">
        <v>3018.4</v>
      </c>
      <c r="X41" s="9">
        <v>2787.4</v>
      </c>
      <c r="Y41" s="7">
        <v>0</v>
      </c>
      <c r="Z41" s="9">
        <v>1194.2</v>
      </c>
    </row>
    <row r="42" spans="1:26" ht="17.5" x14ac:dyDescent="0.35">
      <c r="A42" s="7" t="s">
        <v>27</v>
      </c>
      <c r="B42" s="7" t="s">
        <v>28</v>
      </c>
      <c r="C42" s="7" t="s">
        <v>44</v>
      </c>
      <c r="D42" s="7" t="s">
        <v>49</v>
      </c>
      <c r="E42" s="7" t="s">
        <v>29</v>
      </c>
      <c r="F42" s="7" t="s">
        <v>29</v>
      </c>
      <c r="G42" s="7">
        <v>2017</v>
      </c>
      <c r="H42" s="7" t="str">
        <f>CONCATENATE("14270171490")</f>
        <v>14270171490</v>
      </c>
      <c r="I42" s="7" t="s">
        <v>30</v>
      </c>
      <c r="J42" s="7" t="s">
        <v>31</v>
      </c>
      <c r="K42" s="7" t="str">
        <f>CONCATENATE("")</f>
        <v/>
      </c>
      <c r="L42" s="7" t="str">
        <f>CONCATENATE("21 21.1 2a")</f>
        <v>21 21.1 2a</v>
      </c>
      <c r="M42" s="7" t="str">
        <f>CONCATENATE("01709190431")</f>
        <v>01709190431</v>
      </c>
      <c r="N42" s="7" t="s">
        <v>115</v>
      </c>
      <c r="O42" s="7" t="s">
        <v>104</v>
      </c>
      <c r="P42" s="8">
        <v>44383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7000</v>
      </c>
      <c r="W42" s="9">
        <v>3018.4</v>
      </c>
      <c r="X42" s="9">
        <v>2787.4</v>
      </c>
      <c r="Y42" s="7">
        <v>0</v>
      </c>
      <c r="Z42" s="9">
        <v>1194.2</v>
      </c>
    </row>
    <row r="43" spans="1:26" x14ac:dyDescent="0.35">
      <c r="A43" s="7" t="s">
        <v>27</v>
      </c>
      <c r="B43" s="7" t="s">
        <v>28</v>
      </c>
      <c r="C43" s="7" t="s">
        <v>44</v>
      </c>
      <c r="D43" s="7" t="s">
        <v>67</v>
      </c>
      <c r="E43" s="7" t="s">
        <v>29</v>
      </c>
      <c r="F43" s="7" t="s">
        <v>29</v>
      </c>
      <c r="G43" s="7">
        <v>2017</v>
      </c>
      <c r="H43" s="7" t="str">
        <f>CONCATENATE("14270171458")</f>
        <v>14270171458</v>
      </c>
      <c r="I43" s="7" t="s">
        <v>30</v>
      </c>
      <c r="J43" s="7" t="s">
        <v>31</v>
      </c>
      <c r="K43" s="7" t="str">
        <f>CONCATENATE("")</f>
        <v/>
      </c>
      <c r="L43" s="7" t="str">
        <f>CONCATENATE("21 21.1 2a")</f>
        <v>21 21.1 2a</v>
      </c>
      <c r="M43" s="7" t="str">
        <f>CONCATENATE("02093460448")</f>
        <v>02093460448</v>
      </c>
      <c r="N43" s="7" t="s">
        <v>116</v>
      </c>
      <c r="O43" s="7" t="s">
        <v>104</v>
      </c>
      <c r="P43" s="8">
        <v>44383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3219.78</v>
      </c>
      <c r="W43" s="9">
        <v>1388.37</v>
      </c>
      <c r="X43" s="9">
        <v>1282.1199999999999</v>
      </c>
      <c r="Y43" s="7">
        <v>0</v>
      </c>
      <c r="Z43" s="7">
        <v>549.29</v>
      </c>
    </row>
    <row r="44" spans="1:26" x14ac:dyDescent="0.35">
      <c r="A44" s="7" t="s">
        <v>27</v>
      </c>
      <c r="B44" s="7" t="s">
        <v>28</v>
      </c>
      <c r="C44" s="7" t="s">
        <v>44</v>
      </c>
      <c r="D44" s="7" t="s">
        <v>57</v>
      </c>
      <c r="E44" s="7" t="s">
        <v>38</v>
      </c>
      <c r="F44" s="7" t="s">
        <v>117</v>
      </c>
      <c r="G44" s="7">
        <v>2017</v>
      </c>
      <c r="H44" s="7" t="str">
        <f>CONCATENATE("14270171581")</f>
        <v>14270171581</v>
      </c>
      <c r="I44" s="7" t="s">
        <v>40</v>
      </c>
      <c r="J44" s="7" t="s">
        <v>31</v>
      </c>
      <c r="K44" s="7" t="str">
        <f>CONCATENATE("")</f>
        <v/>
      </c>
      <c r="L44" s="7" t="str">
        <f>CONCATENATE("21 21.1 2a")</f>
        <v>21 21.1 2a</v>
      </c>
      <c r="M44" s="7" t="str">
        <f>CONCATENATE("CRLGNI54M48I285W")</f>
        <v>CRLGNI54M48I285W</v>
      </c>
      <c r="N44" s="7" t="s">
        <v>118</v>
      </c>
      <c r="O44" s="7" t="s">
        <v>104</v>
      </c>
      <c r="P44" s="8">
        <v>44383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5004.13</v>
      </c>
      <c r="W44" s="9">
        <v>2157.7800000000002</v>
      </c>
      <c r="X44" s="9">
        <v>1992.64</v>
      </c>
      <c r="Y44" s="7">
        <v>0</v>
      </c>
      <c r="Z44" s="7">
        <v>853.71</v>
      </c>
    </row>
    <row r="45" spans="1:26" x14ac:dyDescent="0.35">
      <c r="A45" s="7" t="s">
        <v>27</v>
      </c>
      <c r="B45" s="7" t="s">
        <v>28</v>
      </c>
      <c r="C45" s="7" t="s">
        <v>44</v>
      </c>
      <c r="D45" s="7" t="s">
        <v>67</v>
      </c>
      <c r="E45" s="7" t="s">
        <v>39</v>
      </c>
      <c r="F45" s="7" t="s">
        <v>119</v>
      </c>
      <c r="G45" s="7">
        <v>2017</v>
      </c>
      <c r="H45" s="7" t="str">
        <f>CONCATENATE("14270171425")</f>
        <v>14270171425</v>
      </c>
      <c r="I45" s="7" t="s">
        <v>30</v>
      </c>
      <c r="J45" s="7" t="s">
        <v>31</v>
      </c>
      <c r="K45" s="7" t="str">
        <f>CONCATENATE("")</f>
        <v/>
      </c>
      <c r="L45" s="7" t="str">
        <f>CONCATENATE("21 21.1 2a")</f>
        <v>21 21.1 2a</v>
      </c>
      <c r="M45" s="7" t="str">
        <f>CONCATENATE("MNZGPP53D29C255T")</f>
        <v>MNZGPP53D29C255T</v>
      </c>
      <c r="N45" s="7" t="s">
        <v>120</v>
      </c>
      <c r="O45" s="7" t="s">
        <v>104</v>
      </c>
      <c r="P45" s="8">
        <v>44383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1400.3</v>
      </c>
      <c r="W45" s="7">
        <v>603.80999999999995</v>
      </c>
      <c r="X45" s="7">
        <v>557.6</v>
      </c>
      <c r="Y45" s="7">
        <v>0</v>
      </c>
      <c r="Z45" s="7">
        <v>238.89</v>
      </c>
    </row>
    <row r="46" spans="1:26" x14ac:dyDescent="0.35">
      <c r="A46" s="7" t="s">
        <v>27</v>
      </c>
      <c r="B46" s="7" t="s">
        <v>28</v>
      </c>
      <c r="C46" s="7" t="s">
        <v>44</v>
      </c>
      <c r="D46" s="7" t="s">
        <v>57</v>
      </c>
      <c r="E46" s="7" t="s">
        <v>38</v>
      </c>
      <c r="F46" s="7" t="s">
        <v>117</v>
      </c>
      <c r="G46" s="7">
        <v>2017</v>
      </c>
      <c r="H46" s="7" t="str">
        <f>CONCATENATE("14270171482")</f>
        <v>14270171482</v>
      </c>
      <c r="I46" s="7" t="s">
        <v>30</v>
      </c>
      <c r="J46" s="7" t="s">
        <v>31</v>
      </c>
      <c r="K46" s="7" t="str">
        <f>CONCATENATE("")</f>
        <v/>
      </c>
      <c r="L46" s="7" t="str">
        <f>CONCATENATE("21 21.1 2a")</f>
        <v>21 21.1 2a</v>
      </c>
      <c r="M46" s="7" t="str">
        <f>CONCATENATE("TLVRRT54R04G479A")</f>
        <v>TLVRRT54R04G479A</v>
      </c>
      <c r="N46" s="7" t="s">
        <v>121</v>
      </c>
      <c r="O46" s="7" t="s">
        <v>104</v>
      </c>
      <c r="P46" s="8">
        <v>44383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7000</v>
      </c>
      <c r="W46" s="9">
        <v>3018.4</v>
      </c>
      <c r="X46" s="9">
        <v>2787.4</v>
      </c>
      <c r="Y46" s="7">
        <v>0</v>
      </c>
      <c r="Z46" s="9">
        <v>1194.2</v>
      </c>
    </row>
    <row r="47" spans="1:26" x14ac:dyDescent="0.35">
      <c r="A47" s="7" t="s">
        <v>27</v>
      </c>
      <c r="B47" s="7" t="s">
        <v>28</v>
      </c>
      <c r="C47" s="7" t="s">
        <v>44</v>
      </c>
      <c r="D47" s="7" t="s">
        <v>67</v>
      </c>
      <c r="E47" s="7" t="s">
        <v>39</v>
      </c>
      <c r="F47" s="7" t="s">
        <v>122</v>
      </c>
      <c r="G47" s="7">
        <v>2017</v>
      </c>
      <c r="H47" s="7" t="str">
        <f>CONCATENATE("14270171607")</f>
        <v>14270171607</v>
      </c>
      <c r="I47" s="7" t="s">
        <v>40</v>
      </c>
      <c r="J47" s="7" t="s">
        <v>31</v>
      </c>
      <c r="K47" s="7" t="str">
        <f>CONCATENATE("")</f>
        <v/>
      </c>
      <c r="L47" s="7" t="str">
        <f>CONCATENATE("21 21.1 2a")</f>
        <v>21 21.1 2a</v>
      </c>
      <c r="M47" s="7" t="str">
        <f>CONCATENATE("MRNMTR51D56F501B")</f>
        <v>MRNMTR51D56F501B</v>
      </c>
      <c r="N47" s="7" t="s">
        <v>123</v>
      </c>
      <c r="O47" s="7" t="s">
        <v>104</v>
      </c>
      <c r="P47" s="8">
        <v>44383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7000</v>
      </c>
      <c r="W47" s="9">
        <v>3018.4</v>
      </c>
      <c r="X47" s="9">
        <v>2787.4</v>
      </c>
      <c r="Y47" s="7">
        <v>0</v>
      </c>
      <c r="Z47" s="9">
        <v>1194.2</v>
      </c>
    </row>
    <row r="48" spans="1:26" x14ac:dyDescent="0.35">
      <c r="A48" s="7" t="s">
        <v>27</v>
      </c>
      <c r="B48" s="7" t="s">
        <v>28</v>
      </c>
      <c r="C48" s="7" t="s">
        <v>44</v>
      </c>
      <c r="D48" s="7" t="s">
        <v>57</v>
      </c>
      <c r="E48" s="7" t="s">
        <v>29</v>
      </c>
      <c r="F48" s="7" t="s">
        <v>29</v>
      </c>
      <c r="G48" s="7">
        <v>2017</v>
      </c>
      <c r="H48" s="7" t="str">
        <f>CONCATENATE("14270171441")</f>
        <v>14270171441</v>
      </c>
      <c r="I48" s="7" t="s">
        <v>30</v>
      </c>
      <c r="J48" s="7" t="s">
        <v>31</v>
      </c>
      <c r="K48" s="7" t="str">
        <f>CONCATENATE("")</f>
        <v/>
      </c>
      <c r="L48" s="7" t="str">
        <f>CONCATENATE("21 21.1 2a")</f>
        <v>21 21.1 2a</v>
      </c>
      <c r="M48" s="7" t="str">
        <f>CONCATENATE("MGHBRC43D67F347X")</f>
        <v>MGHBRC43D67F347X</v>
      </c>
      <c r="N48" s="7" t="s">
        <v>124</v>
      </c>
      <c r="O48" s="7" t="s">
        <v>104</v>
      </c>
      <c r="P48" s="8">
        <v>44383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7000</v>
      </c>
      <c r="W48" s="9">
        <v>3018.4</v>
      </c>
      <c r="X48" s="9">
        <v>2787.4</v>
      </c>
      <c r="Y48" s="7">
        <v>0</v>
      </c>
      <c r="Z48" s="9">
        <v>1194.2</v>
      </c>
    </row>
    <row r="49" spans="1:26" x14ac:dyDescent="0.35">
      <c r="A49" s="7" t="s">
        <v>27</v>
      </c>
      <c r="B49" s="7" t="s">
        <v>28</v>
      </c>
      <c r="C49" s="7" t="s">
        <v>44</v>
      </c>
      <c r="D49" s="7" t="s">
        <v>49</v>
      </c>
      <c r="E49" s="7" t="s">
        <v>29</v>
      </c>
      <c r="F49" s="7" t="s">
        <v>29</v>
      </c>
      <c r="G49" s="7">
        <v>2017</v>
      </c>
      <c r="H49" s="7" t="str">
        <f>CONCATENATE("14270171557")</f>
        <v>14270171557</v>
      </c>
      <c r="I49" s="7" t="s">
        <v>30</v>
      </c>
      <c r="J49" s="7" t="s">
        <v>31</v>
      </c>
      <c r="K49" s="7" t="str">
        <f>CONCATENATE("")</f>
        <v/>
      </c>
      <c r="L49" s="7" t="str">
        <f>CONCATENATE("21 21.1 2a")</f>
        <v>21 21.1 2a</v>
      </c>
      <c r="M49" s="7" t="str">
        <f>CONCATENATE("01918100437")</f>
        <v>01918100437</v>
      </c>
      <c r="N49" s="7" t="s">
        <v>125</v>
      </c>
      <c r="O49" s="7" t="s">
        <v>104</v>
      </c>
      <c r="P49" s="8">
        <v>44383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1335.58</v>
      </c>
      <c r="W49" s="7">
        <v>575.9</v>
      </c>
      <c r="X49" s="7">
        <v>531.83000000000004</v>
      </c>
      <c r="Y49" s="7">
        <v>0</v>
      </c>
      <c r="Z49" s="7">
        <v>227.85</v>
      </c>
    </row>
    <row r="50" spans="1:26" x14ac:dyDescent="0.35">
      <c r="A50" s="7" t="s">
        <v>27</v>
      </c>
      <c r="B50" s="7" t="s">
        <v>28</v>
      </c>
      <c r="C50" s="7" t="s">
        <v>44</v>
      </c>
      <c r="D50" s="7" t="s">
        <v>57</v>
      </c>
      <c r="E50" s="7" t="s">
        <v>29</v>
      </c>
      <c r="F50" s="7" t="s">
        <v>29</v>
      </c>
      <c r="G50" s="7">
        <v>2017</v>
      </c>
      <c r="H50" s="7" t="str">
        <f>CONCATENATE("14270171524")</f>
        <v>14270171524</v>
      </c>
      <c r="I50" s="7" t="s">
        <v>30</v>
      </c>
      <c r="J50" s="7" t="s">
        <v>31</v>
      </c>
      <c r="K50" s="7" t="str">
        <f>CONCATENATE("")</f>
        <v/>
      </c>
      <c r="L50" s="7" t="str">
        <f>CONCATENATE("21 21.1 2a")</f>
        <v>21 21.1 2a</v>
      </c>
      <c r="M50" s="7" t="str">
        <f>CONCATENATE("02623320419")</f>
        <v>02623320419</v>
      </c>
      <c r="N50" s="7" t="s">
        <v>126</v>
      </c>
      <c r="O50" s="7" t="s">
        <v>104</v>
      </c>
      <c r="P50" s="8">
        <v>44383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1000</v>
      </c>
      <c r="W50" s="7">
        <v>431.2</v>
      </c>
      <c r="X50" s="7">
        <v>398.2</v>
      </c>
      <c r="Y50" s="7">
        <v>0</v>
      </c>
      <c r="Z50" s="7">
        <v>170.6</v>
      </c>
    </row>
    <row r="51" spans="1:26" x14ac:dyDescent="0.35">
      <c r="A51" s="7" t="s">
        <v>27</v>
      </c>
      <c r="B51" s="7" t="s">
        <v>28</v>
      </c>
      <c r="C51" s="7" t="s">
        <v>44</v>
      </c>
      <c r="D51" s="7" t="s">
        <v>67</v>
      </c>
      <c r="E51" s="7" t="s">
        <v>39</v>
      </c>
      <c r="F51" s="7" t="s">
        <v>119</v>
      </c>
      <c r="G51" s="7">
        <v>2017</v>
      </c>
      <c r="H51" s="7" t="str">
        <f>CONCATENATE("14270171466")</f>
        <v>14270171466</v>
      </c>
      <c r="I51" s="7" t="s">
        <v>30</v>
      </c>
      <c r="J51" s="7" t="s">
        <v>31</v>
      </c>
      <c r="K51" s="7" t="str">
        <f>CONCATENATE("")</f>
        <v/>
      </c>
      <c r="L51" s="7" t="str">
        <f>CONCATENATE("21 21.1 2a")</f>
        <v>21 21.1 2a</v>
      </c>
      <c r="M51" s="7" t="str">
        <f>CONCATENATE("01687620441")</f>
        <v>01687620441</v>
      </c>
      <c r="N51" s="7" t="s">
        <v>127</v>
      </c>
      <c r="O51" s="7" t="s">
        <v>104</v>
      </c>
      <c r="P51" s="8">
        <v>44383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7000</v>
      </c>
      <c r="W51" s="9">
        <v>3018.4</v>
      </c>
      <c r="X51" s="9">
        <v>2787.4</v>
      </c>
      <c r="Y51" s="7">
        <v>0</v>
      </c>
      <c r="Z51" s="9">
        <v>1194.2</v>
      </c>
    </row>
    <row r="52" spans="1:26" ht="17.5" x14ac:dyDescent="0.35">
      <c r="A52" s="7" t="s">
        <v>27</v>
      </c>
      <c r="B52" s="7" t="s">
        <v>28</v>
      </c>
      <c r="C52" s="7" t="s">
        <v>44</v>
      </c>
      <c r="D52" s="7" t="s">
        <v>49</v>
      </c>
      <c r="E52" s="7" t="s">
        <v>29</v>
      </c>
      <c r="F52" s="7" t="s">
        <v>29</v>
      </c>
      <c r="G52" s="7">
        <v>2017</v>
      </c>
      <c r="H52" s="7" t="str">
        <f>CONCATENATE("14270171516")</f>
        <v>14270171516</v>
      </c>
      <c r="I52" s="7" t="s">
        <v>30</v>
      </c>
      <c r="J52" s="7" t="s">
        <v>31</v>
      </c>
      <c r="K52" s="7" t="str">
        <f>CONCATENATE("")</f>
        <v/>
      </c>
      <c r="L52" s="7" t="str">
        <f>CONCATENATE("21 21.1 2a")</f>
        <v>21 21.1 2a</v>
      </c>
      <c r="M52" s="7" t="str">
        <f>CONCATENATE("01500610439")</f>
        <v>01500610439</v>
      </c>
      <c r="N52" s="7" t="s">
        <v>128</v>
      </c>
      <c r="O52" s="7" t="s">
        <v>104</v>
      </c>
      <c r="P52" s="8">
        <v>44383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3695.87</v>
      </c>
      <c r="W52" s="9">
        <v>1593.66</v>
      </c>
      <c r="X52" s="9">
        <v>1471.7</v>
      </c>
      <c r="Y52" s="7">
        <v>0</v>
      </c>
      <c r="Z52" s="7">
        <v>630.51</v>
      </c>
    </row>
    <row r="53" spans="1:26" x14ac:dyDescent="0.35">
      <c r="A53" s="7" t="s">
        <v>27</v>
      </c>
      <c r="B53" s="7" t="s">
        <v>28</v>
      </c>
      <c r="C53" s="7" t="s">
        <v>44</v>
      </c>
      <c r="D53" s="7" t="s">
        <v>67</v>
      </c>
      <c r="E53" s="7" t="s">
        <v>38</v>
      </c>
      <c r="F53" s="7" t="s">
        <v>129</v>
      </c>
      <c r="G53" s="7">
        <v>2017</v>
      </c>
      <c r="H53" s="7" t="str">
        <f>CONCATENATE("14270171540")</f>
        <v>14270171540</v>
      </c>
      <c r="I53" s="7" t="s">
        <v>30</v>
      </c>
      <c r="J53" s="7" t="s">
        <v>31</v>
      </c>
      <c r="K53" s="7" t="str">
        <f>CONCATENATE("")</f>
        <v/>
      </c>
      <c r="L53" s="7" t="str">
        <f>CONCATENATE("21 21.1 2a")</f>
        <v>21 21.1 2a</v>
      </c>
      <c r="M53" s="7" t="str">
        <f>CONCATENATE("02273390449")</f>
        <v>02273390449</v>
      </c>
      <c r="N53" s="7" t="s">
        <v>130</v>
      </c>
      <c r="O53" s="7" t="s">
        <v>104</v>
      </c>
      <c r="P53" s="8">
        <v>44383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7000</v>
      </c>
      <c r="W53" s="9">
        <v>3018.4</v>
      </c>
      <c r="X53" s="9">
        <v>2787.4</v>
      </c>
      <c r="Y53" s="7">
        <v>0</v>
      </c>
      <c r="Z53" s="9">
        <v>1194.2</v>
      </c>
    </row>
    <row r="54" spans="1:26" x14ac:dyDescent="0.35">
      <c r="A54" s="7" t="s">
        <v>27</v>
      </c>
      <c r="B54" s="7" t="s">
        <v>37</v>
      </c>
      <c r="C54" s="7" t="s">
        <v>44</v>
      </c>
      <c r="D54" s="7" t="s">
        <v>67</v>
      </c>
      <c r="E54" s="7" t="s">
        <v>29</v>
      </c>
      <c r="F54" s="7" t="s">
        <v>29</v>
      </c>
      <c r="G54" s="7">
        <v>2020</v>
      </c>
      <c r="H54" s="7" t="str">
        <f>CONCATENATE("04241102856")</f>
        <v>04241102856</v>
      </c>
      <c r="I54" s="7" t="s">
        <v>30</v>
      </c>
      <c r="J54" s="7" t="s">
        <v>31</v>
      </c>
      <c r="K54" s="7" t="str">
        <f>CONCATENATE("")</f>
        <v/>
      </c>
      <c r="L54" s="7" t="str">
        <f>CONCATENATE("11 11.2 4b")</f>
        <v>11 11.2 4b</v>
      </c>
      <c r="M54" s="7" t="str">
        <f>CONCATENATE("ZZIGNN71S20I774Y")</f>
        <v>ZZIGNN71S20I774Y</v>
      </c>
      <c r="N54" s="7" t="s">
        <v>131</v>
      </c>
      <c r="O54" s="7" t="s">
        <v>132</v>
      </c>
      <c r="P54" s="8">
        <v>44375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4163.22</v>
      </c>
      <c r="W54" s="9">
        <v>1795.18</v>
      </c>
      <c r="X54" s="9">
        <v>1657.79</v>
      </c>
      <c r="Y54" s="7">
        <v>0</v>
      </c>
      <c r="Z54" s="7">
        <v>710.25</v>
      </c>
    </row>
    <row r="55" spans="1:26" x14ac:dyDescent="0.35">
      <c r="A55" s="7" t="s">
        <v>27</v>
      </c>
      <c r="B55" s="7" t="s">
        <v>28</v>
      </c>
      <c r="C55" s="7" t="s">
        <v>44</v>
      </c>
      <c r="D55" s="7" t="s">
        <v>57</v>
      </c>
      <c r="E55" s="7" t="s">
        <v>43</v>
      </c>
      <c r="F55" s="7" t="s">
        <v>133</v>
      </c>
      <c r="G55" s="7">
        <v>2017</v>
      </c>
      <c r="H55" s="7" t="str">
        <f>CONCATENATE("14270171599")</f>
        <v>14270171599</v>
      </c>
      <c r="I55" s="7" t="s">
        <v>30</v>
      </c>
      <c r="J55" s="7" t="s">
        <v>31</v>
      </c>
      <c r="K55" s="7" t="str">
        <f>CONCATENATE("")</f>
        <v/>
      </c>
      <c r="L55" s="7" t="str">
        <f>CONCATENATE("21 21.1 2a")</f>
        <v>21 21.1 2a</v>
      </c>
      <c r="M55" s="7" t="str">
        <f>CONCATENATE("PCAFLV74E25H294H")</f>
        <v>PCAFLV74E25H294H</v>
      </c>
      <c r="N55" s="7" t="s">
        <v>134</v>
      </c>
      <c r="O55" s="7" t="s">
        <v>104</v>
      </c>
      <c r="P55" s="8">
        <v>44383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7000</v>
      </c>
      <c r="W55" s="9">
        <v>3018.4</v>
      </c>
      <c r="X55" s="9">
        <v>2787.4</v>
      </c>
      <c r="Y55" s="7">
        <v>0</v>
      </c>
      <c r="Z55" s="9">
        <v>1194.2</v>
      </c>
    </row>
    <row r="56" spans="1:26" x14ac:dyDescent="0.35">
      <c r="A56" s="7" t="s">
        <v>27</v>
      </c>
      <c r="B56" s="7" t="s">
        <v>28</v>
      </c>
      <c r="C56" s="7" t="s">
        <v>44</v>
      </c>
      <c r="D56" s="7" t="s">
        <v>67</v>
      </c>
      <c r="E56" s="7" t="s">
        <v>29</v>
      </c>
      <c r="F56" s="7" t="s">
        <v>29</v>
      </c>
      <c r="G56" s="7">
        <v>2017</v>
      </c>
      <c r="H56" s="7" t="str">
        <f>CONCATENATE("14270171474")</f>
        <v>14270171474</v>
      </c>
      <c r="I56" s="7" t="s">
        <v>30</v>
      </c>
      <c r="J56" s="7" t="s">
        <v>31</v>
      </c>
      <c r="K56" s="7" t="str">
        <f>CONCATENATE("")</f>
        <v/>
      </c>
      <c r="L56" s="7" t="str">
        <f>CONCATENATE("21 21.1 2a")</f>
        <v>21 21.1 2a</v>
      </c>
      <c r="M56" s="7" t="str">
        <f>CONCATENATE("BGLRRT78M03I324A")</f>
        <v>BGLRRT78M03I324A</v>
      </c>
      <c r="N56" s="7" t="s">
        <v>135</v>
      </c>
      <c r="O56" s="7" t="s">
        <v>104</v>
      </c>
      <c r="P56" s="8">
        <v>44383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7000</v>
      </c>
      <c r="W56" s="9">
        <v>3018.4</v>
      </c>
      <c r="X56" s="9">
        <v>2787.4</v>
      </c>
      <c r="Y56" s="7">
        <v>0</v>
      </c>
      <c r="Z56" s="9">
        <v>1194.2</v>
      </c>
    </row>
    <row r="57" spans="1:26" x14ac:dyDescent="0.35">
      <c r="A57" s="7" t="s">
        <v>27</v>
      </c>
      <c r="B57" s="7" t="s">
        <v>28</v>
      </c>
      <c r="C57" s="7" t="s">
        <v>44</v>
      </c>
      <c r="D57" s="7" t="s">
        <v>57</v>
      </c>
      <c r="E57" s="7" t="s">
        <v>43</v>
      </c>
      <c r="F57" s="7" t="s">
        <v>133</v>
      </c>
      <c r="G57" s="7">
        <v>2017</v>
      </c>
      <c r="H57" s="7" t="str">
        <f>CONCATENATE("14270181283")</f>
        <v>14270181283</v>
      </c>
      <c r="I57" s="7" t="s">
        <v>30</v>
      </c>
      <c r="J57" s="7" t="s">
        <v>31</v>
      </c>
      <c r="K57" s="7" t="str">
        <f>CONCATENATE("")</f>
        <v/>
      </c>
      <c r="L57" s="7" t="str">
        <f>CONCATENATE("21 21.1 2a")</f>
        <v>21 21.1 2a</v>
      </c>
      <c r="M57" s="7" t="str">
        <f>CONCATENATE("CRGRRT64H22C357Z")</f>
        <v>CRGRRT64H22C357Z</v>
      </c>
      <c r="N57" s="7" t="s">
        <v>136</v>
      </c>
      <c r="O57" s="7" t="s">
        <v>104</v>
      </c>
      <c r="P57" s="8">
        <v>44383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7000</v>
      </c>
      <c r="W57" s="9">
        <v>3018.4</v>
      </c>
      <c r="X57" s="9">
        <v>2787.4</v>
      </c>
      <c r="Y57" s="7">
        <v>0</v>
      </c>
      <c r="Z57" s="9">
        <v>1194.2</v>
      </c>
    </row>
    <row r="58" spans="1:26" x14ac:dyDescent="0.35">
      <c r="A58" s="7" t="s">
        <v>27</v>
      </c>
      <c r="B58" s="7" t="s">
        <v>28</v>
      </c>
      <c r="C58" s="7" t="s">
        <v>44</v>
      </c>
      <c r="D58" s="7" t="s">
        <v>67</v>
      </c>
      <c r="E58" s="7" t="s">
        <v>38</v>
      </c>
      <c r="F58" s="7" t="s">
        <v>129</v>
      </c>
      <c r="G58" s="7">
        <v>2017</v>
      </c>
      <c r="H58" s="7" t="str">
        <f>CONCATENATE("14270171417")</f>
        <v>14270171417</v>
      </c>
      <c r="I58" s="7" t="s">
        <v>40</v>
      </c>
      <c r="J58" s="7" t="s">
        <v>31</v>
      </c>
      <c r="K58" s="7" t="str">
        <f>CONCATENATE("")</f>
        <v/>
      </c>
      <c r="L58" s="7" t="str">
        <f>CONCATENATE("21 21.1 2a")</f>
        <v>21 21.1 2a</v>
      </c>
      <c r="M58" s="7" t="str">
        <f>CONCATENATE("SGRNLT74C50H769P")</f>
        <v>SGRNLT74C50H769P</v>
      </c>
      <c r="N58" s="7" t="s">
        <v>71</v>
      </c>
      <c r="O58" s="7" t="s">
        <v>104</v>
      </c>
      <c r="P58" s="8">
        <v>44383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9">
        <v>7000</v>
      </c>
      <c r="W58" s="9">
        <v>3018.4</v>
      </c>
      <c r="X58" s="9">
        <v>2787.4</v>
      </c>
      <c r="Y58" s="7">
        <v>0</v>
      </c>
      <c r="Z58" s="9">
        <v>1194.2</v>
      </c>
    </row>
    <row r="59" spans="1:26" x14ac:dyDescent="0.35">
      <c r="A59" s="7" t="s">
        <v>27</v>
      </c>
      <c r="B59" s="7" t="s">
        <v>28</v>
      </c>
      <c r="C59" s="7" t="s">
        <v>44</v>
      </c>
      <c r="D59" s="7" t="s">
        <v>57</v>
      </c>
      <c r="E59" s="7" t="s">
        <v>43</v>
      </c>
      <c r="F59" s="7" t="s">
        <v>133</v>
      </c>
      <c r="G59" s="7">
        <v>2017</v>
      </c>
      <c r="H59" s="7" t="str">
        <f>CONCATENATE("14270171433")</f>
        <v>14270171433</v>
      </c>
      <c r="I59" s="7" t="s">
        <v>30</v>
      </c>
      <c r="J59" s="7" t="s">
        <v>31</v>
      </c>
      <c r="K59" s="7" t="str">
        <f>CONCATENATE("")</f>
        <v/>
      </c>
      <c r="L59" s="7" t="str">
        <f>CONCATENATE("21 21.1 2a")</f>
        <v>21 21.1 2a</v>
      </c>
      <c r="M59" s="7" t="str">
        <f>CONCATENATE("CCCCNZ73H53Z130H")</f>
        <v>CCCCNZ73H53Z130H</v>
      </c>
      <c r="N59" s="7" t="s">
        <v>137</v>
      </c>
      <c r="O59" s="7" t="s">
        <v>104</v>
      </c>
      <c r="P59" s="8">
        <v>44383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9">
        <v>7000</v>
      </c>
      <c r="W59" s="9">
        <v>3018.4</v>
      </c>
      <c r="X59" s="9">
        <v>2787.4</v>
      </c>
      <c r="Y59" s="7">
        <v>0</v>
      </c>
      <c r="Z59" s="9">
        <v>1194.2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97C00E-12F8-447B-A635-02B66290D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F484BF-57B1-47C3-8173-DBCCAAD5C1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9CC9B6-E285-4857-AFE2-5ACF36E50BC7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29006</vt:lpwstr>
  </property>
  <property fmtid="{D5CDD505-2E9C-101B-9397-08002B2CF9AE}" pid="4" name="OptimizationTime">
    <vt:lpwstr>20210720_1328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2021-07-19T16:51:11Z</dcterms:created>
  <dcterms:modified xsi:type="dcterms:W3CDTF">2021-07-19T16:52:00Z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