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43/"/>
    </mc:Choice>
  </mc:AlternateContent>
  <xr:revisionPtr revIDLastSave="0" documentId="8_{9D8DCF33-4764-4912-8DDF-B0CF53DE4093}" xr6:coauthVersionLast="45" xr6:coauthVersionMax="45" xr10:uidLastSave="{00000000-0000-0000-0000-000000000000}"/>
  <bookViews>
    <workbookView xWindow="-110" yWindow="-110" windowWidth="19420" windowHeight="10420" xr2:uid="{C8B7C8D7-9983-4E7D-953D-94A94BA250FC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9" i="1" l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<sst xmlns="http://schemas.openxmlformats.org/spreadsheetml/2006/main" count="3331" uniqueCount="340">
  <si>
    <t>Dettaglio Domande Pagabili Decreto 443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</si>
  <si>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</si>
  <si>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</si>
  <si>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</si>
  <si>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</si>
  <si>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</si>
  <si>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</si>
  <si>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</si>
  <si>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</si>
  <si>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</si>
  <si>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</si>
  <si>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</si>
  <si>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</si>
  <si>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</si>
  <si>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</si>
  <si>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</si>
  <si>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</si>
  <si>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</si>
  <si>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</si>
  <si>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</si>
  <si>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</si>
  <si>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</si>
  <si>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</si>
  <si>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</si>
  <si>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</si>
  <si>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</si>
  <si>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</si>
  <si>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</si>
  <si>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</si>
  <si>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CAA-CAF AGRI S.R.L.</t>
  </si>
  <si>
    <t>NO</t>
  </si>
  <si>
    <t>Nuova Programmazione</t>
  </si>
  <si>
    <t>In Liquidazione</t>
  </si>
  <si>
    <t>SAL</t>
  </si>
  <si>
    <t>Co-Finanziato</t>
  </si>
  <si>
    <t>Ordinario</t>
  </si>
  <si>
    <t>IN PROPRIO</t>
  </si>
  <si>
    <t>SI</t>
  </si>
  <si>
    <t>CAA Coldiretti srl</t>
  </si>
  <si>
    <t>Saldo</t>
  </si>
  <si>
    <t>CAA CIA srl</t>
  </si>
  <si>
    <t>Anticipo</t>
  </si>
  <si>
    <t>Misure a Superficie</t>
  </si>
  <si>
    <t>CAA Confagricoltura srl</t>
  </si>
  <si>
    <t>CAA UNSIC s.r.l.</t>
  </si>
  <si>
    <t>CAA degli Agricoltori Srl</t>
  </si>
  <si>
    <t>CAA LiberiAgricoltori srl già CAA AGCI srl</t>
  </si>
  <si>
    <t>CAA UNICAA srl</t>
  </si>
  <si>
    <t>MARCHE</t>
  </si>
  <si>
    <t>SERV. DEC. AGRICOLTURA E ALIMENTAZIONE - ANCONA</t>
  </si>
  <si>
    <t>CAA CIA - ANCONA - 006</t>
  </si>
  <si>
    <t>SOC.AGR.FOR.DI GESTIONE DIE BENI AGRO SILVO PASTORALI MARCHE</t>
  </si>
  <si>
    <t>AGEA.ASR.2021.0452824</t>
  </si>
  <si>
    <t>STALLA SAN FORTUNATO SOCIETA' COOPERATIVA AGRICOLA</t>
  </si>
  <si>
    <t>AGEA.ASR.2021.0446579</t>
  </si>
  <si>
    <t>SERV. DEC. AGRICOLTURA E ALIM. - MACERATA</t>
  </si>
  <si>
    <t>CAA Coldiretti - ANCONA - 006</t>
  </si>
  <si>
    <t>SOCIETA' AGRICOLA BISCI SOC. SEMPLICE</t>
  </si>
  <si>
    <t>AGEA.ASR.2021.0452168</t>
  </si>
  <si>
    <t>SOCIETA' AGRICOLA FABRIZI VENANZO FABRIZIO E LIBERTI ENZA S.S.</t>
  </si>
  <si>
    <t>SERV. DEC. AGRICOLTURA E ALIMENTAZIONE - PESARO</t>
  </si>
  <si>
    <t>SOCIETA' AGRICOLA L'ACERO CAMPESTRE SOCIETA' SEMPLICE</t>
  </si>
  <si>
    <t>AGEA.ASR.2021.0435127</t>
  </si>
  <si>
    <t>SERV. DEC. AGRICOLTURA E ALIM. -ASCOLI PICENO</t>
  </si>
  <si>
    <t>CAA Coldiretti - FERMO - 001</t>
  </si>
  <si>
    <t>DARABA MARIA CRISTINA</t>
  </si>
  <si>
    <t>COMUNE DI MOGLIANO</t>
  </si>
  <si>
    <t>AGEA.ASR.2021.0418200</t>
  </si>
  <si>
    <t>CARLINI GIUSEPPE</t>
  </si>
  <si>
    <t>AGEA.ASR.2021.0452934</t>
  </si>
  <si>
    <t>CAA CIA - PESARO E URBINO - 002</t>
  </si>
  <si>
    <t>LUPI LEO</t>
  </si>
  <si>
    <t>AGEA.ASR.2021.0417214</t>
  </si>
  <si>
    <t>IMPRESA VERDE MARCHE SRL</t>
  </si>
  <si>
    <t>AGEA.ASR.2021.0452925</t>
  </si>
  <si>
    <t>ANGELICI RENZO</t>
  </si>
  <si>
    <t>AGEA.ASR.2021.0437705</t>
  </si>
  <si>
    <t>BORIONI ORIANO E WALTER S.S. SOCIETA' AGRICOLA</t>
  </si>
  <si>
    <t>CAA UNICAA - ASCOLI PICENO - 004</t>
  </si>
  <si>
    <t>EREDI D'ANGELO BERNARDO DI D'ANGELO GUIDO &amp; C. SOCIETA' AGRICOLA SEMPL</t>
  </si>
  <si>
    <t>MARCONI PIETRO</t>
  </si>
  <si>
    <t>VALLORANI ROSA</t>
  </si>
  <si>
    <t>I QUATTRO SOCIETA' AGRICOLA SRL</t>
  </si>
  <si>
    <t>CAA Coldiretti - PESARO E URBINO - 001</t>
  </si>
  <si>
    <t>SOCIETA' SEMPLICE AZ. AGRICOLA MORELLOAUSTERA DI LUPATELLI IGOR E IVAN</t>
  </si>
  <si>
    <t>CAA CIA - PESARO E URBINO - 003</t>
  </si>
  <si>
    <t>BRANCHINI EZIO E ORAZIO S.S.</t>
  </si>
  <si>
    <t>AGEA.ASR.2021.0447197</t>
  </si>
  <si>
    <t>CAA Confagricoltura - PESARO E URBINO - 001</t>
  </si>
  <si>
    <t>G.A.I.A. GESTIONE ASSOCIATA IMPRESE AGRICOLE - SOC COOP</t>
  </si>
  <si>
    <t>CAA CIA - PESARO E URBINO - 007</t>
  </si>
  <si>
    <t>MANSANTA CLAUDIO</t>
  </si>
  <si>
    <t>BONIFAZI DONATO</t>
  </si>
  <si>
    <t>CAA CIA - PESARO E URBINO - 008</t>
  </si>
  <si>
    <t>CARLONI MICHELE</t>
  </si>
  <si>
    <t>F.LLI BIANCHI DI BIANCHI PAOLO E GIACOMO</t>
  </si>
  <si>
    <t>CAA LiberiAgricoltori - MACERATA - 005</t>
  </si>
  <si>
    <t>ANTONINI JACOPO</t>
  </si>
  <si>
    <t>CAA CIA - ANCONA - 005</t>
  </si>
  <si>
    <t>RINALDI GIUSEPPE</t>
  </si>
  <si>
    <t>MARIANI SILVANA</t>
  </si>
  <si>
    <t>ROSSI VITO</t>
  </si>
  <si>
    <t>CAA Coldiretti - ANCONA - 005</t>
  </si>
  <si>
    <t>TINI PATRIZIA</t>
  </si>
  <si>
    <t>CAA Coldiretti - ANCONA - 002</t>
  </si>
  <si>
    <t>LENCI ELIO</t>
  </si>
  <si>
    <t>CAA Coldiretti - ASCOLI PICENO - 010</t>
  </si>
  <si>
    <t>ANGELETTI PIETRO LORENZO</t>
  </si>
  <si>
    <t>ALBERTINI ANTONELLA</t>
  </si>
  <si>
    <t>MARTELLI ELDA</t>
  </si>
  <si>
    <t>MENCARELLI AMERICO</t>
  </si>
  <si>
    <t>CAA Coldiretti - MACERATA - 007</t>
  </si>
  <si>
    <t>SOCIETA' AGRICOLA CARDINALI S.S.</t>
  </si>
  <si>
    <t>CAA CIA - PESARO E URBINO - 005</t>
  </si>
  <si>
    <t>PATRIGNANI PATRIZIO</t>
  </si>
  <si>
    <t>PUGNALI LUIGINO</t>
  </si>
  <si>
    <t>CAA CAF AGRI - PESARO E URBINO - 221</t>
  </si>
  <si>
    <t>FINOCCHI FABRIZIO</t>
  </si>
  <si>
    <t>RUGGERI STEFANO</t>
  </si>
  <si>
    <t>CAA Coldiretti - PESARO E URBINO - 004</t>
  </si>
  <si>
    <t>GAMBERINI ANNASILVIA</t>
  </si>
  <si>
    <t>CAA CIA - ANCONA - 002</t>
  </si>
  <si>
    <t>MERLONI GIOVANNA</t>
  </si>
  <si>
    <t>BIGIARELLI STEFANIA</t>
  </si>
  <si>
    <t>BAROCCI CLARA</t>
  </si>
  <si>
    <t>SABBATINI MARIELLA</t>
  </si>
  <si>
    <t>CAA CAF AGRI - ANCONA - 225</t>
  </si>
  <si>
    <t>SASSAROLI MARIA ZENOBIA</t>
  </si>
  <si>
    <t>PERUZZINI DORIANO</t>
  </si>
  <si>
    <t>LIBERTI FRANCO</t>
  </si>
  <si>
    <t>CESANDRI GIANFRANCO</t>
  </si>
  <si>
    <t>DI PASQUA PINA</t>
  </si>
  <si>
    <t>RIGHI ANTONELLA</t>
  </si>
  <si>
    <t>TASSI UMBERTO</t>
  </si>
  <si>
    <t>BIANCHI LUCA</t>
  </si>
  <si>
    <t>DILETTI GIOVANNI</t>
  </si>
  <si>
    <t>CAA Degli Agricoltori - ANCONA - 103</t>
  </si>
  <si>
    <t>SERBASSI FRANCA</t>
  </si>
  <si>
    <t>CAA LiberiAgricoltori - PESARO E URBINO - 002</t>
  </si>
  <si>
    <t>GRUPPO AZIENDE BIOLOGICHE RIUNITE SOCIETA' AGRICOLA S.S.</t>
  </si>
  <si>
    <t>CAA CAF AGRI - ASCOLI PICENO - 222</t>
  </si>
  <si>
    <t>DE SANTIS ANGELO</t>
  </si>
  <si>
    <t>VITALI ANDREA</t>
  </si>
  <si>
    <t>CAA Coldiretti - MACERATA - 017</t>
  </si>
  <si>
    <t>SOCIETA' AGRICOLA VILLANOVA S.S.</t>
  </si>
  <si>
    <t>CAA LiberiAgricoltori - MACERATA - 001</t>
  </si>
  <si>
    <t>RINOZZI AURELIO</t>
  </si>
  <si>
    <t>CAA LiberiAgricoltori - MACERATA - 002</t>
  </si>
  <si>
    <t>CACCIAMANI TITO</t>
  </si>
  <si>
    <t>SOCIETA' AGRICOLA RIVELLI SOCIETA' SEMPLICE</t>
  </si>
  <si>
    <t>FATTORIA NONNO FELICE SOCIETA' SEMPLICE AGRICOLA</t>
  </si>
  <si>
    <t>CANNELLI GINO</t>
  </si>
  <si>
    <t>TABOCCHINI GILBERTO</t>
  </si>
  <si>
    <t>PERUZZINI MAURO</t>
  </si>
  <si>
    <t>ANGELI TERESA</t>
  </si>
  <si>
    <t>CERERE SOCIETA' CONSORTILE A R.L.</t>
  </si>
  <si>
    <t>CAA Coldiretti - PESARO E URBINO - 008</t>
  </si>
  <si>
    <t>CARLETTI LUIGI</t>
  </si>
  <si>
    <t>TARSI SERGIO</t>
  </si>
  <si>
    <t>CLEMENTI MARIA</t>
  </si>
  <si>
    <t>CICOLI ASSUNTA</t>
  </si>
  <si>
    <t>TOMASSELLI GIOVANNI</t>
  </si>
  <si>
    <t>PARADISI TERENZIO</t>
  </si>
  <si>
    <t>MEARELLI TORRIBIO</t>
  </si>
  <si>
    <t>SEBASTIANELLI GILBERTO</t>
  </si>
  <si>
    <t>CAA CAF AGRI - PESARO E URBINO - 222</t>
  </si>
  <si>
    <t>GABUCCI FULVIO</t>
  </si>
  <si>
    <t>GABRIELLI GIORGIO</t>
  </si>
  <si>
    <t>AMATUCCI RINO</t>
  </si>
  <si>
    <t>DEPAU LUIGI</t>
  </si>
  <si>
    <t>ROVELLI CLAUDIO</t>
  </si>
  <si>
    <t>CAA LiberiAgricoltori - PESARO E URBINO - 001</t>
  </si>
  <si>
    <t>SACCOMANDI MICHELE</t>
  </si>
  <si>
    <t>CAA Coldiretti - PESARO E URBINO - 013</t>
  </si>
  <si>
    <t>SUIGI DANIELE</t>
  </si>
  <si>
    <t>CAA UNSIC - ASCOLI PICENO - 001</t>
  </si>
  <si>
    <t>BONDINI FELICE</t>
  </si>
  <si>
    <t>CORRIERI PAOLO</t>
  </si>
  <si>
    <t>BRUNI ANDREA</t>
  </si>
  <si>
    <t>BARTOCCETTI FLAVIO</t>
  </si>
  <si>
    <t>TROBBIANI GIULIANO</t>
  </si>
  <si>
    <t>CAMILLINI MARIA</t>
  </si>
  <si>
    <t>FRABONI EMANUELA</t>
  </si>
  <si>
    <t>CECCARINI NAZZARENO</t>
  </si>
  <si>
    <t>PASSARI RITA</t>
  </si>
  <si>
    <t>SILVI ROSA</t>
  </si>
  <si>
    <t>FIUMI SERMATTEI FILIPPO</t>
  </si>
  <si>
    <t>EREDI DI PAOLONI CELESTE SOCIETA' AGRICOLA S.S.</t>
  </si>
  <si>
    <t>MANFREDI CLARISSA</t>
  </si>
  <si>
    <t>IL SALICE FIORITO DI PAOLA E FRANCESCO SOCIETA' AGRICOLA S. S.</t>
  </si>
  <si>
    <t>GIONNI LUCA</t>
  </si>
  <si>
    <t>SOCIETA' AGRICOLA AMICI LORENZO E FELICE S.S.</t>
  </si>
  <si>
    <t>SANTONI ENRICO</t>
  </si>
  <si>
    <t>SPADONI ANTONIO</t>
  </si>
  <si>
    <t>MANIERI ANGELO</t>
  </si>
  <si>
    <t>SANTONI RENATO</t>
  </si>
  <si>
    <t>RADICIONI GIULIO</t>
  </si>
  <si>
    <t>VITAIOLI LUCIO</t>
  </si>
  <si>
    <t>CAA LiberiAgricoltori - MACERATA - 003</t>
  </si>
  <si>
    <t>NATALIZI ROBERTO</t>
  </si>
  <si>
    <t>CAA Liberi Professionisti srl</t>
  </si>
  <si>
    <t>CAA Liberi Prof.- PESARO E URBINO - 001</t>
  </si>
  <si>
    <t>SANTINI MARIA GRAZIA</t>
  </si>
  <si>
    <t>STEFANELLI RENZO</t>
  </si>
  <si>
    <t>STOICA ELENA</t>
  </si>
  <si>
    <t>VESCOVI NICOLINA</t>
  </si>
  <si>
    <t>BAIONI SESTA</t>
  </si>
  <si>
    <t>AZIENDA AGRICOLA SABATINO S.N.C. DI PAOLETTI E VITALETTI &amp; C.</t>
  </si>
  <si>
    <t>CARZEDDA DIEGO</t>
  </si>
  <si>
    <t>LATINI ROBERTO</t>
  </si>
  <si>
    <t>MORI MASSIMO</t>
  </si>
  <si>
    <t>CARZEDDA GIAN MARIA</t>
  </si>
  <si>
    <t>ALBERTI MATTEO</t>
  </si>
  <si>
    <t>ROSSINI LORETTA</t>
  </si>
  <si>
    <t>MORETTI PIER PAOLO</t>
  </si>
  <si>
    <t>ROANI RUDELLO</t>
  </si>
  <si>
    <t>STEFANELLI SAURO</t>
  </si>
  <si>
    <t>CAA UNICAA - ANCONA - 003</t>
  </si>
  <si>
    <t>CICCOLINI GIOVANNI</t>
  </si>
  <si>
    <t>MATTEUCCI DEBORAH</t>
  </si>
  <si>
    <t>AGOSTINELLI ROBERTO</t>
  </si>
  <si>
    <t>CAA Coldiretti - PESARO E URBINO - 006</t>
  </si>
  <si>
    <t>DECORTES GIANFRANCO</t>
  </si>
  <si>
    <t>GOBBI GIOVANNI</t>
  </si>
  <si>
    <t>SPURIO ROSA</t>
  </si>
  <si>
    <t>LORENZOTTI SIMONE</t>
  </si>
  <si>
    <t>FERRANTI FABIO</t>
  </si>
  <si>
    <t>ARGALIA GIORGIO</t>
  </si>
  <si>
    <t>BERI MARISA</t>
  </si>
  <si>
    <t>ARTEGIANI SILVIA</t>
  </si>
  <si>
    <t>BARBAROSSA FABRIZIO</t>
  </si>
  <si>
    <t>CAMILLINI GAUDENZO</t>
  </si>
  <si>
    <t>BARTOLUCCI ALDINO</t>
  </si>
  <si>
    <t>SOCIETA'AGRICOLA GABRIELLI ANGELO E ROBERTO S.S.</t>
  </si>
  <si>
    <t>AMICI MARIA GIUSEPPINA</t>
  </si>
  <si>
    <t>CIUFOLI SERGIO</t>
  </si>
  <si>
    <t>MORGANTI STEFANO</t>
  </si>
  <si>
    <t>PIGOTTI EMO</t>
  </si>
  <si>
    <t>BANCI STEFANO</t>
  </si>
  <si>
    <t>GALDELLI FRANCESCO</t>
  </si>
  <si>
    <t>SOCIETA' AGRICOLA FONDI E LAMBERTUCCI S.S.</t>
  </si>
  <si>
    <t>BASILI PAOLO</t>
  </si>
  <si>
    <t>R.E.G. COOPERATIVA SOCIALE</t>
  </si>
  <si>
    <t>MICHELI ROBERTO</t>
  </si>
  <si>
    <t>BERARDI GIANCARLO</t>
  </si>
  <si>
    <t>DE ANGELIS GIGLIOLA</t>
  </si>
  <si>
    <t>BERTI GILBERTA</t>
  </si>
  <si>
    <t>AGOSTINELLI ANDREA</t>
  </si>
  <si>
    <t>MAZZOLANI ENRICO</t>
  </si>
  <si>
    <t>AZIENDA AGRICOLA SABBATINI E C. SOCIETA' AGRICOLA S.S.</t>
  </si>
  <si>
    <t>AZ.AGR.MANOCCHI MARCELLO E MARCO</t>
  </si>
  <si>
    <t>BICCHIARELLI GABRIELE</t>
  </si>
  <si>
    <t>MORELLI MASSIMO</t>
  </si>
  <si>
    <t>POCOGNOLI RENATO</t>
  </si>
  <si>
    <t>GUERRA GIUSEPPINA</t>
  </si>
  <si>
    <t>EREDI CONTIGIANI PIERDOMENICO DI CONTIGIANI MARCO, ELISA E PACIONI LIA</t>
  </si>
  <si>
    <t>SOCIETA'AGRICOLA LA MARCA DI SCAGNETTI FRANCESCO E C. SOC. SEMPLICE</t>
  </si>
  <si>
    <t>CAPPELLACCI FAUSTO</t>
  </si>
  <si>
    <t>CRISPICIANI SARA</t>
  </si>
  <si>
    <t>DI MULO ROBERTO FILIPPO</t>
  </si>
  <si>
    <t>MEZZOLANI CLAUDIO</t>
  </si>
  <si>
    <t>CENTONI IVO</t>
  </si>
  <si>
    <t>LORI SERGIO</t>
  </si>
  <si>
    <t>CAA Coldiretti - PESARO E URBINO - 010</t>
  </si>
  <si>
    <t>AZ. AGR. LUZI GIANNALBERTO - ALESSANDRO &amp; C. SOCIETA'AGRICOLA S.S.</t>
  </si>
  <si>
    <t>PICCARI MARCO</t>
  </si>
  <si>
    <t>PIERUCCI FRANCESCO</t>
  </si>
  <si>
    <t>BACIANI PIERPAOLA</t>
  </si>
  <si>
    <t>CICCOLINI GIANLUIGI</t>
  </si>
  <si>
    <t>PAGLIARI ADRIANO</t>
  </si>
  <si>
    <t>SOCIETA' SEMPLICE AGRICOLA DI SABATINI LILLIANA &amp; FIGLI</t>
  </si>
  <si>
    <t>CAA UNICAA - PESARO E URBINO - 003</t>
  </si>
  <si>
    <t>FIORELLI DIEGO</t>
  </si>
  <si>
    <t>MONTEBELLO SOCIETA' AGRICOLA SEMPLICE</t>
  </si>
  <si>
    <t>PIERETTI FAUSTO</t>
  </si>
  <si>
    <t>GHISELLI ELIO</t>
  </si>
  <si>
    <t>FILANTI DOMENICO</t>
  </si>
  <si>
    <t>ANDREANI SIMONA</t>
  </si>
  <si>
    <t>CAROBINI SOCIETA' AGRICOLA S.S.</t>
  </si>
  <si>
    <t>SPERANZINI GIAN-ANSELMO</t>
  </si>
  <si>
    <t>SOC.AGRICOLA VICHI PIETRO E DANIELE S.S.</t>
  </si>
  <si>
    <t>AMADORI ADOLFA</t>
  </si>
  <si>
    <t>BAIONCINI BARBARA</t>
  </si>
  <si>
    <t>SOCIETA' AGRICOLA PANICHI SOCIETA' SEMPLICE</t>
  </si>
  <si>
    <t>PARLANI PAOLO</t>
  </si>
  <si>
    <t>GIUSTI MASSIMO</t>
  </si>
  <si>
    <t>MAGI LUCA</t>
  </si>
  <si>
    <t>MOSCETTI NULLI EMILIANO</t>
  </si>
  <si>
    <t>AMORI AMELIO</t>
  </si>
  <si>
    <t>NUCCI TIZIANO</t>
  </si>
  <si>
    <t>ARTEGIANI FRANCO</t>
  </si>
  <si>
    <t>CAA CIA - ASCOLI PICENO - 005</t>
  </si>
  <si>
    <t>FRATELLI ABRAMI SOCIETA' SEMPLICE AGRICOLA</t>
  </si>
  <si>
    <t>FABRIZI FAUSTO</t>
  </si>
  <si>
    <t>NUCCI DELVINA</t>
  </si>
  <si>
    <t>ISIDORI ENZO</t>
  </si>
  <si>
    <t>GENTILOTTI GIUSEPPE</t>
  </si>
  <si>
    <t>IONI CLAUDIA</t>
  </si>
  <si>
    <t>GIULIANI ENRICO</t>
  </si>
  <si>
    <t>CASACCIA ALFIO</t>
  </si>
  <si>
    <t>CAA Coldiretti - PERUGIA - 008</t>
  </si>
  <si>
    <t>ARCANGELETTI ENRICO</t>
  </si>
  <si>
    <t>BRUNETTI JACOPO</t>
  </si>
  <si>
    <t>CORMIO LAURA</t>
  </si>
  <si>
    <t>AMATISTA LUIGI</t>
  </si>
  <si>
    <t>DOMINICI NAZZARENO</t>
  </si>
  <si>
    <t>SOCIETA' A RESPONSABILITA' LIMITATA TRAS.CA - TRASPORTI CALCESTRUZZO</t>
  </si>
  <si>
    <t>BUCARELLI BARBARA ADELIA MARINA</t>
  </si>
  <si>
    <t>CECCOLINI TERESA</t>
  </si>
  <si>
    <t>CINI ALFREDO</t>
  </si>
  <si>
    <t>TURCHI LOREDANA</t>
  </si>
  <si>
    <t>SOCIETA' COOPERATIVA AGRICOLA CASA AIALE A R.L.</t>
  </si>
  <si>
    <t>ROSSI GIOVANNI ALFREDO</t>
  </si>
  <si>
    <t>SACCHI ANDREA</t>
  </si>
  <si>
    <t>CHIAPPINI CARLOS PATRICIO</t>
  </si>
  <si>
    <t>SOCIETA' AGRICOLA AGRIENERGETICA S.R.L.</t>
  </si>
  <si>
    <t>CAA Coldiretti - PERUGIA - 001</t>
  </si>
  <si>
    <t>CENTRO UMBRO SVEZZAMENTO VITELLI S.S. AGRICOLA</t>
  </si>
  <si>
    <t>ROSINI ROBERTO</t>
  </si>
  <si>
    <t>SERO S.A.S. DI MARCHETTI ALESSANDRO E C. SOCIETA' AGRICOLA</t>
  </si>
  <si>
    <t>URBANI ROBERTO</t>
  </si>
  <si>
    <t>LAVANNA GILBERTO</t>
  </si>
  <si>
    <t>ARTEGIANI MARISA</t>
  </si>
  <si>
    <t>GENTILI ROMANO</t>
  </si>
  <si>
    <t>SEVERINI VIOLETTA</t>
  </si>
  <si>
    <t>FRATINI MIRCO</t>
  </si>
  <si>
    <t>EREDI PACIONI PIETRO E GRILLI GIOCONDA S.S. AGRICOLA</t>
  </si>
  <si>
    <t>SBARDELLATI LAMBERTO</t>
  </si>
  <si>
    <t>ASCANI MASSIMO</t>
  </si>
  <si>
    <t>AMANTINI LINO</t>
  </si>
  <si>
    <t>RICOTTINI GIAN CARLO</t>
  </si>
  <si>
    <t>CHERCHI PIERO FRANCO</t>
  </si>
  <si>
    <t>CAMBORATA MARTA</t>
  </si>
  <si>
    <t>URBINELLI MARIA LAURA</t>
  </si>
  <si>
    <t>SOCIETA' AGRICOLA INCANTO DI TISI CINZIA E C. S.S.</t>
  </si>
  <si>
    <t>SOCIETA' AGRICOLA LIBERTI GABRIELE &amp; C. S.S.</t>
  </si>
  <si>
    <t>ANGELINI ANDREA</t>
  </si>
  <si>
    <t>SOCIETA' AGRICOLA MAGGI GILBERTO, MASSIMO E STEFANO S.S.</t>
  </si>
  <si>
    <t>BLASI ORIANO</t>
  </si>
  <si>
    <t>FABIANI NAZZARENO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</si>
</sst>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9272-A19D-44E7-A6CE-3D2E0F7026C4}">
  <dimension ref="A1:Z239"/>
  <sheetViews>
    <sheetView showGridLines="0" tabSelected="1" workbookViewId="0">
      <selection activeCell="E243" sqref="E243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9.3632812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9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48</v>
      </c>
      <c r="D4" s="7" t="s">
        <v>49</v>
      </c>
      <c r="E4" s="7" t="s">
        <v>40</v>
      </c>
      <c r="F4" s="7" t="s">
        <v>50</v>
      </c>
      <c r="G4" s="7">
        <v>2017</v>
      </c>
      <c r="H4" s="7" t="str">
        <f>CONCATENATE("04270232822")</f>
        <v>04270232822</v>
      </c>
      <c r="I4" s="7" t="s">
        <v>37</v>
      </c>
      <c r="J4" s="7" t="s">
        <v>31</v>
      </c>
      <c r="K4" s="7" t="str">
        <f>CONCATENATE("")</f>
        <v/>
      </c>
      <c r="L4" s="7" t="str">
        <f>CONCATENATE("16 16.8 5e")</f>
        <v>16 16.8 5e</v>
      </c>
      <c r="M4" s="7" t="str">
        <f>CONCATENATE("02419450420")</f>
        <v>02419450420</v>
      </c>
      <c r="N4" s="7" t="s">
        <v>51</v>
      </c>
      <c r="O4" s="7" t="s">
        <v>52</v>
      </c>
      <c r="P4" s="8">
        <v>44299</v>
      </c>
      <c r="Q4" s="7" t="s">
        <v>32</v>
      </c>
      <c r="R4" s="7" t="s">
        <v>39</v>
      </c>
      <c r="S4" s="7" t="s">
        <v>34</v>
      </c>
      <c r="T4" s="7"/>
      <c r="U4" s="7" t="s">
        <v>35</v>
      </c>
      <c r="V4" s="9">
        <v>11176.53</v>
      </c>
      <c r="W4" s="9">
        <v>4819.32</v>
      </c>
      <c r="X4" s="9">
        <v>4450.49</v>
      </c>
      <c r="Y4" s="7">
        <v>0</v>
      </c>
      <c r="Z4" s="9">
        <v>1906.72</v>
      </c>
    </row>
    <row r="5" spans="1:26" x14ac:dyDescent="0.35">
      <c r="A5" s="7" t="s">
        <v>27</v>
      </c>
      <c r="B5" s="7" t="s">
        <v>28</v>
      </c>
      <c r="C5" s="7" t="s">
        <v>48</v>
      </c>
      <c r="D5" s="7" t="s">
        <v>49</v>
      </c>
      <c r="E5" s="7" t="s">
        <v>40</v>
      </c>
      <c r="F5" s="7" t="s">
        <v>50</v>
      </c>
      <c r="G5" s="7">
        <v>2017</v>
      </c>
      <c r="H5" s="7" t="str">
        <f>CONCATENATE("94270174769")</f>
        <v>94270174769</v>
      </c>
      <c r="I5" s="7" t="s">
        <v>30</v>
      </c>
      <c r="J5" s="7" t="s">
        <v>31</v>
      </c>
      <c r="K5" s="7" t="str">
        <f>CONCATENATE("")</f>
        <v/>
      </c>
      <c r="L5" s="7" t="str">
        <f>CONCATENATE("6 6.4 2a")</f>
        <v>6 6.4 2a</v>
      </c>
      <c r="M5" s="7" t="str">
        <f>CONCATENATE("82001730421")</f>
        <v>82001730421</v>
      </c>
      <c r="N5" s="7" t="s">
        <v>53</v>
      </c>
      <c r="O5" s="7" t="s">
        <v>54</v>
      </c>
      <c r="P5" s="8">
        <v>44299</v>
      </c>
      <c r="Q5" s="7" t="s">
        <v>32</v>
      </c>
      <c r="R5" s="7" t="s">
        <v>39</v>
      </c>
      <c r="S5" s="7" t="s">
        <v>34</v>
      </c>
      <c r="T5" s="7"/>
      <c r="U5" s="7" t="s">
        <v>35</v>
      </c>
      <c r="V5" s="9">
        <v>59061.71</v>
      </c>
      <c r="W5" s="9">
        <v>25467.41</v>
      </c>
      <c r="X5" s="9">
        <v>23518.37</v>
      </c>
      <c r="Y5" s="7">
        <v>0</v>
      </c>
      <c r="Z5" s="9">
        <v>10075.93</v>
      </c>
    </row>
    <row r="6" spans="1:26" x14ac:dyDescent="0.35">
      <c r="A6" s="7" t="s">
        <v>27</v>
      </c>
      <c r="B6" s="7" t="s">
        <v>28</v>
      </c>
      <c r="C6" s="7" t="s">
        <v>48</v>
      </c>
      <c r="D6" s="7" t="s">
        <v>55</v>
      </c>
      <c r="E6" s="7" t="s">
        <v>38</v>
      </c>
      <c r="F6" s="7" t="s">
        <v>56</v>
      </c>
      <c r="G6" s="7">
        <v>2017</v>
      </c>
      <c r="H6" s="7" t="str">
        <f>CONCATENATE("04270232897")</f>
        <v>04270232897</v>
      </c>
      <c r="I6" s="7" t="s">
        <v>37</v>
      </c>
      <c r="J6" s="7" t="s">
        <v>31</v>
      </c>
      <c r="K6" s="7" t="str">
        <f>CONCATENATE("")</f>
        <v/>
      </c>
      <c r="L6" s="7" t="str">
        <f>CONCATENATE("4 4.1 2a")</f>
        <v>4 4.1 2a</v>
      </c>
      <c r="M6" s="7" t="str">
        <f>CONCATENATE("01344860430")</f>
        <v>01344860430</v>
      </c>
      <c r="N6" s="7" t="s">
        <v>57</v>
      </c>
      <c r="O6" s="7" t="s">
        <v>58</v>
      </c>
      <c r="P6" s="8">
        <v>44299</v>
      </c>
      <c r="Q6" s="7" t="s">
        <v>32</v>
      </c>
      <c r="R6" s="7" t="s">
        <v>39</v>
      </c>
      <c r="S6" s="7" t="s">
        <v>34</v>
      </c>
      <c r="T6" s="7"/>
      <c r="U6" s="7" t="s">
        <v>35</v>
      </c>
      <c r="V6" s="9">
        <v>11100</v>
      </c>
      <c r="W6" s="9">
        <v>4786.32</v>
      </c>
      <c r="X6" s="9">
        <v>4420.0200000000004</v>
      </c>
      <c r="Y6" s="7">
        <v>0</v>
      </c>
      <c r="Z6" s="9">
        <v>1893.66</v>
      </c>
    </row>
    <row r="7" spans="1:26" x14ac:dyDescent="0.35">
      <c r="A7" s="7" t="s">
        <v>27</v>
      </c>
      <c r="B7" s="7" t="s">
        <v>28</v>
      </c>
      <c r="C7" s="7" t="s">
        <v>48</v>
      </c>
      <c r="D7" s="7" t="s">
        <v>55</v>
      </c>
      <c r="E7" s="7" t="s">
        <v>36</v>
      </c>
      <c r="F7" s="7" t="s">
        <v>36</v>
      </c>
      <c r="G7" s="7">
        <v>2017</v>
      </c>
      <c r="H7" s="7" t="str">
        <f>CONCATENATE("04270232905")</f>
        <v>04270232905</v>
      </c>
      <c r="I7" s="7" t="s">
        <v>30</v>
      </c>
      <c r="J7" s="7" t="s">
        <v>31</v>
      </c>
      <c r="K7" s="7" t="str">
        <f>CONCATENATE("")</f>
        <v/>
      </c>
      <c r="L7" s="7" t="str">
        <f>CONCATENATE("4 4.1 2a")</f>
        <v>4 4.1 2a</v>
      </c>
      <c r="M7" s="7" t="str">
        <f>CONCATENATE("01141480432")</f>
        <v>01141480432</v>
      </c>
      <c r="N7" s="7" t="s">
        <v>59</v>
      </c>
      <c r="O7" s="7" t="s">
        <v>58</v>
      </c>
      <c r="P7" s="8">
        <v>44299</v>
      </c>
      <c r="Q7" s="7" t="s">
        <v>32</v>
      </c>
      <c r="R7" s="7" t="s">
        <v>39</v>
      </c>
      <c r="S7" s="7" t="s">
        <v>34</v>
      </c>
      <c r="T7" s="7"/>
      <c r="U7" s="7" t="s">
        <v>35</v>
      </c>
      <c r="V7" s="9">
        <v>49835.839999999997</v>
      </c>
      <c r="W7" s="9">
        <v>21489.21</v>
      </c>
      <c r="X7" s="9">
        <v>19844.63</v>
      </c>
      <c r="Y7" s="7">
        <v>0</v>
      </c>
      <c r="Z7" s="9">
        <v>8502</v>
      </c>
    </row>
    <row r="8" spans="1:26" x14ac:dyDescent="0.35">
      <c r="A8" s="7" t="s">
        <v>27</v>
      </c>
      <c r="B8" s="7" t="s">
        <v>28</v>
      </c>
      <c r="C8" s="7" t="s">
        <v>48</v>
      </c>
      <c r="D8" s="7" t="s">
        <v>60</v>
      </c>
      <c r="E8" s="7" t="s">
        <v>36</v>
      </c>
      <c r="F8" s="7" t="s">
        <v>36</v>
      </c>
      <c r="G8" s="7">
        <v>2017</v>
      </c>
      <c r="H8" s="7" t="str">
        <f>CONCATENATE("14270101257")</f>
        <v>14270101257</v>
      </c>
      <c r="I8" s="7" t="s">
        <v>30</v>
      </c>
      <c r="J8" s="7" t="s">
        <v>31</v>
      </c>
      <c r="K8" s="7" t="str">
        <f>CONCATENATE("")</f>
        <v/>
      </c>
      <c r="L8" s="7" t="str">
        <f>CONCATENATE("6 6.1 2b")</f>
        <v>6 6.1 2b</v>
      </c>
      <c r="M8" s="7" t="str">
        <f>CONCATENATE("01988710438")</f>
        <v>01988710438</v>
      </c>
      <c r="N8" s="7" t="s">
        <v>61</v>
      </c>
      <c r="O8" s="7" t="s">
        <v>62</v>
      </c>
      <c r="P8" s="8">
        <v>44299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28000</v>
      </c>
      <c r="W8" s="9">
        <v>12073.6</v>
      </c>
      <c r="X8" s="9">
        <v>11149.6</v>
      </c>
      <c r="Y8" s="7">
        <v>0</v>
      </c>
      <c r="Z8" s="9">
        <v>4776.8</v>
      </c>
    </row>
    <row r="9" spans="1:26" x14ac:dyDescent="0.35">
      <c r="A9" s="7" t="s">
        <v>27</v>
      </c>
      <c r="B9" s="7" t="s">
        <v>28</v>
      </c>
      <c r="C9" s="7" t="s">
        <v>48</v>
      </c>
      <c r="D9" s="7" t="s">
        <v>63</v>
      </c>
      <c r="E9" s="7" t="s">
        <v>38</v>
      </c>
      <c r="F9" s="7" t="s">
        <v>64</v>
      </c>
      <c r="G9" s="7">
        <v>2017</v>
      </c>
      <c r="H9" s="7" t="str">
        <f>CONCATENATE("14270101240")</f>
        <v>14270101240</v>
      </c>
      <c r="I9" s="7" t="s">
        <v>30</v>
      </c>
      <c r="J9" s="7" t="s">
        <v>31</v>
      </c>
      <c r="K9" s="7" t="str">
        <f>CONCATENATE("")</f>
        <v/>
      </c>
      <c r="L9" s="7" t="str">
        <f>CONCATENATE("6 6.1 2b")</f>
        <v>6 6.1 2b</v>
      </c>
      <c r="M9" s="7" t="str">
        <f>CONCATENATE("DRBMCR81L71Z129H")</f>
        <v>DRBMCR81L71Z129H</v>
      </c>
      <c r="N9" s="7" t="s">
        <v>65</v>
      </c>
      <c r="O9" s="7" t="s">
        <v>62</v>
      </c>
      <c r="P9" s="8">
        <v>44299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42000</v>
      </c>
      <c r="W9" s="9">
        <v>18110.400000000001</v>
      </c>
      <c r="X9" s="9">
        <v>16724.400000000001</v>
      </c>
      <c r="Y9" s="7">
        <v>0</v>
      </c>
      <c r="Z9" s="9">
        <v>7165.2</v>
      </c>
    </row>
    <row r="10" spans="1:26" x14ac:dyDescent="0.35">
      <c r="A10" s="7" t="s">
        <v>27</v>
      </c>
      <c r="B10" s="7" t="s">
        <v>28</v>
      </c>
      <c r="C10" s="7" t="s">
        <v>48</v>
      </c>
      <c r="D10" s="7" t="s">
        <v>48</v>
      </c>
      <c r="E10" s="7" t="s">
        <v>36</v>
      </c>
      <c r="F10" s="7" t="s">
        <v>36</v>
      </c>
      <c r="G10" s="7">
        <v>2017</v>
      </c>
      <c r="H10" s="7" t="str">
        <f>CONCATENATE("04270232780")</f>
        <v>04270232780</v>
      </c>
      <c r="I10" s="7" t="s">
        <v>30</v>
      </c>
      <c r="J10" s="7" t="s">
        <v>31</v>
      </c>
      <c r="K10" s="7" t="str">
        <f>CONCATENATE("")</f>
        <v/>
      </c>
      <c r="L10" s="7" t="str">
        <f>CONCATENATE("19 19.2 6b")</f>
        <v>19 19.2 6b</v>
      </c>
      <c r="M10" s="7" t="str">
        <f>CONCATENATE("00244400438")</f>
        <v>00244400438</v>
      </c>
      <c r="N10" s="7" t="s">
        <v>66</v>
      </c>
      <c r="O10" s="7" t="s">
        <v>67</v>
      </c>
      <c r="P10" s="8">
        <v>44299</v>
      </c>
      <c r="Q10" s="7" t="s">
        <v>32</v>
      </c>
      <c r="R10" s="7" t="s">
        <v>41</v>
      </c>
      <c r="S10" s="7" t="s">
        <v>34</v>
      </c>
      <c r="T10" s="7"/>
      <c r="U10" s="7" t="s">
        <v>35</v>
      </c>
      <c r="V10" s="9">
        <v>50000</v>
      </c>
      <c r="W10" s="9">
        <v>21560</v>
      </c>
      <c r="X10" s="9">
        <v>19910</v>
      </c>
      <c r="Y10" s="7">
        <v>0</v>
      </c>
      <c r="Z10" s="9">
        <v>8530</v>
      </c>
    </row>
    <row r="11" spans="1:26" x14ac:dyDescent="0.35">
      <c r="A11" s="7" t="s">
        <v>27</v>
      </c>
      <c r="B11" s="7" t="s">
        <v>28</v>
      </c>
      <c r="C11" s="7" t="s">
        <v>48</v>
      </c>
      <c r="D11" s="7" t="s">
        <v>63</v>
      </c>
      <c r="E11" s="7" t="s">
        <v>38</v>
      </c>
      <c r="F11" s="7" t="s">
        <v>64</v>
      </c>
      <c r="G11" s="7">
        <v>2017</v>
      </c>
      <c r="H11" s="7" t="str">
        <f>CONCATENATE("04270214879")</f>
        <v>04270214879</v>
      </c>
      <c r="I11" s="7" t="s">
        <v>37</v>
      </c>
      <c r="J11" s="7" t="s">
        <v>31</v>
      </c>
      <c r="K11" s="7" t="str">
        <f>CONCATENATE("")</f>
        <v/>
      </c>
      <c r="L11" s="7" t="str">
        <f>CONCATENATE("4 4.1 2a")</f>
        <v>4 4.1 2a</v>
      </c>
      <c r="M11" s="7" t="str">
        <f>CONCATENATE("CRLGPP63S04H769K")</f>
        <v>CRLGPP63S04H769K</v>
      </c>
      <c r="N11" s="7" t="s">
        <v>68</v>
      </c>
      <c r="O11" s="7" t="s">
        <v>69</v>
      </c>
      <c r="P11" s="8">
        <v>44299</v>
      </c>
      <c r="Q11" s="7" t="s">
        <v>32</v>
      </c>
      <c r="R11" s="7" t="s">
        <v>39</v>
      </c>
      <c r="S11" s="7" t="s">
        <v>34</v>
      </c>
      <c r="T11" s="7"/>
      <c r="U11" s="7" t="s">
        <v>35</v>
      </c>
      <c r="V11" s="9">
        <v>15289.04</v>
      </c>
      <c r="W11" s="9">
        <v>6592.63</v>
      </c>
      <c r="X11" s="9">
        <v>6088.1</v>
      </c>
      <c r="Y11" s="7">
        <v>0</v>
      </c>
      <c r="Z11" s="9">
        <v>2608.31</v>
      </c>
    </row>
    <row r="12" spans="1:26" x14ac:dyDescent="0.35">
      <c r="A12" s="7" t="s">
        <v>27</v>
      </c>
      <c r="B12" s="7" t="s">
        <v>28</v>
      </c>
      <c r="C12" s="7" t="s">
        <v>48</v>
      </c>
      <c r="D12" s="7" t="s">
        <v>60</v>
      </c>
      <c r="E12" s="7" t="s">
        <v>40</v>
      </c>
      <c r="F12" s="7" t="s">
        <v>70</v>
      </c>
      <c r="G12" s="7">
        <v>2017</v>
      </c>
      <c r="H12" s="7" t="str">
        <f>CONCATENATE("04270232756")</f>
        <v>04270232756</v>
      </c>
      <c r="I12" s="7" t="s">
        <v>37</v>
      </c>
      <c r="J12" s="7" t="s">
        <v>31</v>
      </c>
      <c r="K12" s="7" t="str">
        <f>CONCATENATE("")</f>
        <v/>
      </c>
      <c r="L12" s="7" t="str">
        <f>CONCATENATE("8 8.1 5e")</f>
        <v>8 8.1 5e</v>
      </c>
      <c r="M12" s="7" t="str">
        <f>CONCATENATE("LPULEO56R23L500A")</f>
        <v>LPULEO56R23L500A</v>
      </c>
      <c r="N12" s="7" t="s">
        <v>71</v>
      </c>
      <c r="O12" s="7" t="s">
        <v>72</v>
      </c>
      <c r="P12" s="8">
        <v>44299</v>
      </c>
      <c r="Q12" s="7" t="s">
        <v>32</v>
      </c>
      <c r="R12" s="7" t="s">
        <v>39</v>
      </c>
      <c r="S12" s="7" t="s">
        <v>34</v>
      </c>
      <c r="T12" s="7"/>
      <c r="U12" s="7" t="s">
        <v>35</v>
      </c>
      <c r="V12" s="9">
        <v>13100.8</v>
      </c>
      <c r="W12" s="9">
        <v>5649.06</v>
      </c>
      <c r="X12" s="9">
        <v>5216.74</v>
      </c>
      <c r="Y12" s="7">
        <v>0</v>
      </c>
      <c r="Z12" s="9">
        <v>2235</v>
      </c>
    </row>
    <row r="13" spans="1:26" x14ac:dyDescent="0.35">
      <c r="A13" s="7" t="s">
        <v>27</v>
      </c>
      <c r="B13" s="7" t="s">
        <v>28</v>
      </c>
      <c r="C13" s="7" t="s">
        <v>48</v>
      </c>
      <c r="D13" s="7" t="s">
        <v>63</v>
      </c>
      <c r="E13" s="7" t="s">
        <v>36</v>
      </c>
      <c r="F13" s="7" t="s">
        <v>36</v>
      </c>
      <c r="G13" s="7">
        <v>2017</v>
      </c>
      <c r="H13" s="7" t="str">
        <f>CONCATENATE("04270222955")</f>
        <v>04270222955</v>
      </c>
      <c r="I13" s="7" t="s">
        <v>30</v>
      </c>
      <c r="J13" s="7" t="s">
        <v>31</v>
      </c>
      <c r="K13" s="7" t="str">
        <f>CONCATENATE("")</f>
        <v/>
      </c>
      <c r="L13" s="7" t="str">
        <f>CONCATENATE("1 1.1 2a")</f>
        <v>1 1.1 2a</v>
      </c>
      <c r="M13" s="7" t="str">
        <f>CONCATENATE("02051370423")</f>
        <v>02051370423</v>
      </c>
      <c r="N13" s="7" t="s">
        <v>73</v>
      </c>
      <c r="O13" s="7" t="s">
        <v>74</v>
      </c>
      <c r="P13" s="8">
        <v>44299</v>
      </c>
      <c r="Q13" s="7" t="s">
        <v>32</v>
      </c>
      <c r="R13" s="7" t="s">
        <v>39</v>
      </c>
      <c r="S13" s="7" t="s">
        <v>34</v>
      </c>
      <c r="T13" s="7"/>
      <c r="U13" s="7" t="s">
        <v>35</v>
      </c>
      <c r="V13" s="7">
        <v>704</v>
      </c>
      <c r="W13" s="7">
        <v>303.56</v>
      </c>
      <c r="X13" s="7">
        <v>280.33</v>
      </c>
      <c r="Y13" s="7">
        <v>0</v>
      </c>
      <c r="Z13" s="7">
        <v>120.11</v>
      </c>
    </row>
    <row r="14" spans="1:26" x14ac:dyDescent="0.35">
      <c r="A14" s="7" t="s">
        <v>27</v>
      </c>
      <c r="B14" s="7" t="s">
        <v>28</v>
      </c>
      <c r="C14" s="7" t="s">
        <v>48</v>
      </c>
      <c r="D14" s="7" t="s">
        <v>63</v>
      </c>
      <c r="E14" s="7" t="s">
        <v>36</v>
      </c>
      <c r="F14" s="7" t="s">
        <v>36</v>
      </c>
      <c r="G14" s="7">
        <v>2017</v>
      </c>
      <c r="H14" s="7" t="str">
        <f>CONCATENATE("14270093173")</f>
        <v>14270093173</v>
      </c>
      <c r="I14" s="7" t="s">
        <v>30</v>
      </c>
      <c r="J14" s="7" t="s">
        <v>31</v>
      </c>
      <c r="K14" s="7" t="str">
        <f>CONCATENATE("")</f>
        <v/>
      </c>
      <c r="L14" s="7" t="str">
        <f>CONCATENATE("4 4.1 2a")</f>
        <v>4 4.1 2a</v>
      </c>
      <c r="M14" s="7" t="str">
        <f>CONCATENATE("NGLRNZ68P26D096H")</f>
        <v>NGLRNZ68P26D096H</v>
      </c>
      <c r="N14" s="7" t="s">
        <v>75</v>
      </c>
      <c r="O14" s="7" t="s">
        <v>76</v>
      </c>
      <c r="P14" s="8">
        <v>44299</v>
      </c>
      <c r="Q14" s="7" t="s">
        <v>32</v>
      </c>
      <c r="R14" s="7" t="s">
        <v>39</v>
      </c>
      <c r="S14" s="7" t="s">
        <v>34</v>
      </c>
      <c r="T14" s="7"/>
      <c r="U14" s="7" t="s">
        <v>35</v>
      </c>
      <c r="V14" s="9">
        <v>10277.280000000001</v>
      </c>
      <c r="W14" s="9">
        <v>4431.5600000000004</v>
      </c>
      <c r="X14" s="9">
        <v>4092.41</v>
      </c>
      <c r="Y14" s="7">
        <v>0</v>
      </c>
      <c r="Z14" s="9">
        <v>1753.31</v>
      </c>
    </row>
    <row r="15" spans="1:26" x14ac:dyDescent="0.35">
      <c r="A15" s="7" t="s">
        <v>27</v>
      </c>
      <c r="B15" s="7" t="s">
        <v>28</v>
      </c>
      <c r="C15" s="7" t="s">
        <v>48</v>
      </c>
      <c r="D15" s="7" t="s">
        <v>49</v>
      </c>
      <c r="E15" s="7" t="s">
        <v>36</v>
      </c>
      <c r="F15" s="7" t="s">
        <v>36</v>
      </c>
      <c r="G15" s="7">
        <v>2017</v>
      </c>
      <c r="H15" s="7" t="str">
        <f>CONCATENATE("04270232848")</f>
        <v>04270232848</v>
      </c>
      <c r="I15" s="7" t="s">
        <v>30</v>
      </c>
      <c r="J15" s="7" t="s">
        <v>31</v>
      </c>
      <c r="K15" s="7" t="str">
        <f>CONCATENATE("")</f>
        <v/>
      </c>
      <c r="L15" s="7" t="str">
        <f>CONCATENATE("4 4.1 2a")</f>
        <v>4 4.1 2a</v>
      </c>
      <c r="M15" s="7" t="str">
        <f>CONCATENATE("00772280426")</f>
        <v>00772280426</v>
      </c>
      <c r="N15" s="7" t="s">
        <v>77</v>
      </c>
      <c r="O15" s="7" t="s">
        <v>76</v>
      </c>
      <c r="P15" s="8">
        <v>44299</v>
      </c>
      <c r="Q15" s="7" t="s">
        <v>32</v>
      </c>
      <c r="R15" s="7" t="s">
        <v>39</v>
      </c>
      <c r="S15" s="7" t="s">
        <v>34</v>
      </c>
      <c r="T15" s="7"/>
      <c r="U15" s="7" t="s">
        <v>35</v>
      </c>
      <c r="V15" s="9">
        <v>30605.62</v>
      </c>
      <c r="W15" s="9">
        <v>13197.14</v>
      </c>
      <c r="X15" s="9">
        <v>12187.16</v>
      </c>
      <c r="Y15" s="7">
        <v>0</v>
      </c>
      <c r="Z15" s="9">
        <v>5221.32</v>
      </c>
    </row>
    <row r="16" spans="1:26" ht="17.5" x14ac:dyDescent="0.35">
      <c r="A16" s="7" t="s">
        <v>27</v>
      </c>
      <c r="B16" s="7" t="s">
        <v>28</v>
      </c>
      <c r="C16" s="7" t="s">
        <v>48</v>
      </c>
      <c r="D16" s="7" t="s">
        <v>63</v>
      </c>
      <c r="E16" s="7" t="s">
        <v>47</v>
      </c>
      <c r="F16" s="7" t="s">
        <v>78</v>
      </c>
      <c r="G16" s="7">
        <v>2017</v>
      </c>
      <c r="H16" s="7" t="str">
        <f>CONCATENATE("04270232830")</f>
        <v>04270232830</v>
      </c>
      <c r="I16" s="7" t="s">
        <v>30</v>
      </c>
      <c r="J16" s="7" t="s">
        <v>31</v>
      </c>
      <c r="K16" s="7" t="str">
        <f>CONCATENATE("")</f>
        <v/>
      </c>
      <c r="L16" s="7" t="str">
        <f>CONCATENATE("4 4.1 2a")</f>
        <v>4 4.1 2a</v>
      </c>
      <c r="M16" s="7" t="str">
        <f>CONCATENATE("02416410443")</f>
        <v>02416410443</v>
      </c>
      <c r="N16" s="7" t="s">
        <v>79</v>
      </c>
      <c r="O16" s="7" t="s">
        <v>76</v>
      </c>
      <c r="P16" s="8">
        <v>44299</v>
      </c>
      <c r="Q16" s="7" t="s">
        <v>32</v>
      </c>
      <c r="R16" s="7" t="s">
        <v>39</v>
      </c>
      <c r="S16" s="7" t="s">
        <v>34</v>
      </c>
      <c r="T16" s="7"/>
      <c r="U16" s="7" t="s">
        <v>35</v>
      </c>
      <c r="V16" s="9">
        <v>15340.53</v>
      </c>
      <c r="W16" s="9">
        <v>6614.84</v>
      </c>
      <c r="X16" s="9">
        <v>6108.6</v>
      </c>
      <c r="Y16" s="7">
        <v>0</v>
      </c>
      <c r="Z16" s="9">
        <v>2617.09</v>
      </c>
    </row>
    <row r="17" spans="1:26" x14ac:dyDescent="0.35">
      <c r="A17" s="7" t="s">
        <v>27</v>
      </c>
      <c r="B17" s="7" t="s">
        <v>28</v>
      </c>
      <c r="C17" s="7" t="s">
        <v>48</v>
      </c>
      <c r="D17" s="7" t="s">
        <v>63</v>
      </c>
      <c r="E17" s="7" t="s">
        <v>36</v>
      </c>
      <c r="F17" s="7" t="s">
        <v>36</v>
      </c>
      <c r="G17" s="7">
        <v>2017</v>
      </c>
      <c r="H17" s="7" t="str">
        <f>CONCATENATE("04270232640")</f>
        <v>04270232640</v>
      </c>
      <c r="I17" s="7" t="s">
        <v>30</v>
      </c>
      <c r="J17" s="7" t="s">
        <v>31</v>
      </c>
      <c r="K17" s="7" t="str">
        <f>CONCATENATE("")</f>
        <v/>
      </c>
      <c r="L17" s="7" t="str">
        <f>CONCATENATE("4 4.1 2a")</f>
        <v>4 4.1 2a</v>
      </c>
      <c r="M17" s="7" t="str">
        <f>CONCATENATE("MRCPTR64M15H769G")</f>
        <v>MRCPTR64M15H769G</v>
      </c>
      <c r="N17" s="7" t="s">
        <v>80</v>
      </c>
      <c r="O17" s="7" t="s">
        <v>76</v>
      </c>
      <c r="P17" s="8">
        <v>44299</v>
      </c>
      <c r="Q17" s="7" t="s">
        <v>32</v>
      </c>
      <c r="R17" s="7" t="s">
        <v>39</v>
      </c>
      <c r="S17" s="7" t="s">
        <v>34</v>
      </c>
      <c r="T17" s="7"/>
      <c r="U17" s="7" t="s">
        <v>35</v>
      </c>
      <c r="V17" s="9">
        <v>16181.96</v>
      </c>
      <c r="W17" s="9">
        <v>6977.66</v>
      </c>
      <c r="X17" s="9">
        <v>6443.66</v>
      </c>
      <c r="Y17" s="7">
        <v>0</v>
      </c>
      <c r="Z17" s="9">
        <v>2760.64</v>
      </c>
    </row>
    <row r="18" spans="1:26" x14ac:dyDescent="0.35">
      <c r="A18" s="7" t="s">
        <v>27</v>
      </c>
      <c r="B18" s="7" t="s">
        <v>28</v>
      </c>
      <c r="C18" s="7" t="s">
        <v>48</v>
      </c>
      <c r="D18" s="7" t="s">
        <v>63</v>
      </c>
      <c r="E18" s="7" t="s">
        <v>38</v>
      </c>
      <c r="F18" s="7" t="s">
        <v>64</v>
      </c>
      <c r="G18" s="7">
        <v>2017</v>
      </c>
      <c r="H18" s="7" t="str">
        <f>CONCATENATE("04270232673")</f>
        <v>04270232673</v>
      </c>
      <c r="I18" s="7" t="s">
        <v>30</v>
      </c>
      <c r="J18" s="7" t="s">
        <v>31</v>
      </c>
      <c r="K18" s="7" t="str">
        <f>CONCATENATE("")</f>
        <v/>
      </c>
      <c r="L18" s="7" t="str">
        <f>CONCATENATE("4 4.1 2a")</f>
        <v>4 4.1 2a</v>
      </c>
      <c r="M18" s="7" t="str">
        <f>CONCATENATE("VLLRSO35B43C321Y")</f>
        <v>VLLRSO35B43C321Y</v>
      </c>
      <c r="N18" s="7" t="s">
        <v>81</v>
      </c>
      <c r="O18" s="7" t="s">
        <v>76</v>
      </c>
      <c r="P18" s="8">
        <v>44299</v>
      </c>
      <c r="Q18" s="7" t="s">
        <v>32</v>
      </c>
      <c r="R18" s="7" t="s">
        <v>39</v>
      </c>
      <c r="S18" s="7" t="s">
        <v>34</v>
      </c>
      <c r="T18" s="7"/>
      <c r="U18" s="7" t="s">
        <v>35</v>
      </c>
      <c r="V18" s="9">
        <v>40015.79</v>
      </c>
      <c r="W18" s="9">
        <v>17254.810000000001</v>
      </c>
      <c r="X18" s="9">
        <v>15934.29</v>
      </c>
      <c r="Y18" s="7">
        <v>0</v>
      </c>
      <c r="Z18" s="9">
        <v>6826.69</v>
      </c>
    </row>
    <row r="19" spans="1:26" x14ac:dyDescent="0.35">
      <c r="A19" s="7" t="s">
        <v>27</v>
      </c>
      <c r="B19" s="7" t="s">
        <v>28</v>
      </c>
      <c r="C19" s="7" t="s">
        <v>48</v>
      </c>
      <c r="D19" s="7" t="s">
        <v>63</v>
      </c>
      <c r="E19" s="7" t="s">
        <v>36</v>
      </c>
      <c r="F19" s="7" t="s">
        <v>36</v>
      </c>
      <c r="G19" s="7">
        <v>2017</v>
      </c>
      <c r="H19" s="7" t="str">
        <f>CONCATENATE("04270232657")</f>
        <v>04270232657</v>
      </c>
      <c r="I19" s="7" t="s">
        <v>30</v>
      </c>
      <c r="J19" s="7" t="s">
        <v>31</v>
      </c>
      <c r="K19" s="7" t="str">
        <f>CONCATENATE("")</f>
        <v/>
      </c>
      <c r="L19" s="7" t="str">
        <f>CONCATENATE("4 4.1 2a")</f>
        <v>4 4.1 2a</v>
      </c>
      <c r="M19" s="7" t="str">
        <f>CONCATENATE("02290580444")</f>
        <v>02290580444</v>
      </c>
      <c r="N19" s="7" t="s">
        <v>82</v>
      </c>
      <c r="O19" s="7" t="s">
        <v>76</v>
      </c>
      <c r="P19" s="8">
        <v>44299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275513.96999999997</v>
      </c>
      <c r="W19" s="9">
        <v>118801.62</v>
      </c>
      <c r="X19" s="9">
        <v>109709.66</v>
      </c>
      <c r="Y19" s="7">
        <v>0</v>
      </c>
      <c r="Z19" s="9">
        <v>47002.69</v>
      </c>
    </row>
    <row r="20" spans="1:26" ht="17.5" x14ac:dyDescent="0.35">
      <c r="A20" s="7" t="s">
        <v>27</v>
      </c>
      <c r="B20" s="7" t="s">
        <v>28</v>
      </c>
      <c r="C20" s="7" t="s">
        <v>48</v>
      </c>
      <c r="D20" s="7" t="s">
        <v>60</v>
      </c>
      <c r="E20" s="7" t="s">
        <v>38</v>
      </c>
      <c r="F20" s="7" t="s">
        <v>83</v>
      </c>
      <c r="G20" s="7">
        <v>2017</v>
      </c>
      <c r="H20" s="7" t="str">
        <f>CONCATENATE("04270232665")</f>
        <v>04270232665</v>
      </c>
      <c r="I20" s="7" t="s">
        <v>30</v>
      </c>
      <c r="J20" s="7" t="s">
        <v>31</v>
      </c>
      <c r="K20" s="7" t="str">
        <f>CONCATENATE("")</f>
        <v/>
      </c>
      <c r="L20" s="7" t="str">
        <f>CONCATENATE("4 4.1 2a")</f>
        <v>4 4.1 2a</v>
      </c>
      <c r="M20" s="7" t="str">
        <f>CONCATENATE("02317820419")</f>
        <v>02317820419</v>
      </c>
      <c r="N20" s="7" t="s">
        <v>84</v>
      </c>
      <c r="O20" s="7" t="s">
        <v>76</v>
      </c>
      <c r="P20" s="8">
        <v>44299</v>
      </c>
      <c r="Q20" s="7" t="s">
        <v>32</v>
      </c>
      <c r="R20" s="7" t="s">
        <v>39</v>
      </c>
      <c r="S20" s="7" t="s">
        <v>34</v>
      </c>
      <c r="T20" s="7"/>
      <c r="U20" s="7" t="s">
        <v>35</v>
      </c>
      <c r="V20" s="9">
        <v>41851.620000000003</v>
      </c>
      <c r="W20" s="9">
        <v>18046.419999999998</v>
      </c>
      <c r="X20" s="9">
        <v>16665.32</v>
      </c>
      <c r="Y20" s="7">
        <v>0</v>
      </c>
      <c r="Z20" s="9">
        <v>7139.88</v>
      </c>
    </row>
    <row r="21" spans="1:26" x14ac:dyDescent="0.35">
      <c r="A21" s="7" t="s">
        <v>27</v>
      </c>
      <c r="B21" s="7" t="s">
        <v>42</v>
      </c>
      <c r="C21" s="7" t="s">
        <v>48</v>
      </c>
      <c r="D21" s="7" t="s">
        <v>60</v>
      </c>
      <c r="E21" s="7" t="s">
        <v>40</v>
      </c>
      <c r="F21" s="7" t="s">
        <v>85</v>
      </c>
      <c r="G21" s="7">
        <v>2020</v>
      </c>
      <c r="H21" s="7" t="str">
        <f>CONCATENATE("04210293371")</f>
        <v>04210293371</v>
      </c>
      <c r="I21" s="7" t="s">
        <v>30</v>
      </c>
      <c r="J21" s="7" t="s">
        <v>31</v>
      </c>
      <c r="K21" s="7" t="str">
        <f>CONCATENATE("")</f>
        <v/>
      </c>
      <c r="L21" s="7" t="str">
        <f>CONCATENATE("13 13.1 4a")</f>
        <v>13 13.1 4a</v>
      </c>
      <c r="M21" s="7" t="str">
        <f>CONCATENATE("01266920410")</f>
        <v>01266920410</v>
      </c>
      <c r="N21" s="7" t="s">
        <v>86</v>
      </c>
      <c r="O21" s="7" t="s">
        <v>87</v>
      </c>
      <c r="P21" s="8">
        <v>44299</v>
      </c>
      <c r="Q21" s="7" t="s">
        <v>32</v>
      </c>
      <c r="R21" s="7" t="s">
        <v>39</v>
      </c>
      <c r="S21" s="7" t="s">
        <v>34</v>
      </c>
      <c r="T21" s="7"/>
      <c r="U21" s="7" t="s">
        <v>35</v>
      </c>
      <c r="V21" s="9">
        <v>2039.08</v>
      </c>
      <c r="W21" s="7">
        <v>879.25</v>
      </c>
      <c r="X21" s="7">
        <v>811.96</v>
      </c>
      <c r="Y21" s="7">
        <v>0</v>
      </c>
      <c r="Z21" s="7">
        <v>347.87</v>
      </c>
    </row>
    <row r="22" spans="1:26" x14ac:dyDescent="0.35">
      <c r="A22" s="7" t="s">
        <v>27</v>
      </c>
      <c r="B22" s="7" t="s">
        <v>42</v>
      </c>
      <c r="C22" s="7" t="s">
        <v>48</v>
      </c>
      <c r="D22" s="7" t="s">
        <v>63</v>
      </c>
      <c r="E22" s="7" t="s">
        <v>43</v>
      </c>
      <c r="F22" s="7" t="s">
        <v>88</v>
      </c>
      <c r="G22" s="7">
        <v>2020</v>
      </c>
      <c r="H22" s="7" t="str">
        <f>CONCATENATE("04210646933")</f>
        <v>04210646933</v>
      </c>
      <c r="I22" s="7" t="s">
        <v>30</v>
      </c>
      <c r="J22" s="7" t="s">
        <v>31</v>
      </c>
      <c r="K22" s="7" t="str">
        <f>CONCATENATE("")</f>
        <v/>
      </c>
      <c r="L22" s="7" t="str">
        <f>CONCATENATE("13 13.1 4a")</f>
        <v>13 13.1 4a</v>
      </c>
      <c r="M22" s="7" t="str">
        <f>CONCATENATE("83005350422")</f>
        <v>83005350422</v>
      </c>
      <c r="N22" s="7" t="s">
        <v>89</v>
      </c>
      <c r="O22" s="7" t="s">
        <v>87</v>
      </c>
      <c r="P22" s="8">
        <v>44299</v>
      </c>
      <c r="Q22" s="7" t="s">
        <v>32</v>
      </c>
      <c r="R22" s="7" t="s">
        <v>39</v>
      </c>
      <c r="S22" s="7" t="s">
        <v>34</v>
      </c>
      <c r="T22" s="7"/>
      <c r="U22" s="7" t="s">
        <v>35</v>
      </c>
      <c r="V22" s="9">
        <v>4621.16</v>
      </c>
      <c r="W22" s="9">
        <v>1992.64</v>
      </c>
      <c r="X22" s="9">
        <v>1840.15</v>
      </c>
      <c r="Y22" s="7">
        <v>0</v>
      </c>
      <c r="Z22" s="7">
        <v>788.37</v>
      </c>
    </row>
    <row r="23" spans="1:26" x14ac:dyDescent="0.35">
      <c r="A23" s="7" t="s">
        <v>27</v>
      </c>
      <c r="B23" s="7" t="s">
        <v>42</v>
      </c>
      <c r="C23" s="7" t="s">
        <v>48</v>
      </c>
      <c r="D23" s="7" t="s">
        <v>60</v>
      </c>
      <c r="E23" s="7" t="s">
        <v>40</v>
      </c>
      <c r="F23" s="7" t="s">
        <v>90</v>
      </c>
      <c r="G23" s="7">
        <v>2020</v>
      </c>
      <c r="H23" s="7" t="str">
        <f>CONCATENATE("04210343978")</f>
        <v>04210343978</v>
      </c>
      <c r="I23" s="7" t="s">
        <v>30</v>
      </c>
      <c r="J23" s="7" t="s">
        <v>31</v>
      </c>
      <c r="K23" s="7" t="str">
        <f>CONCATENATE("")</f>
        <v/>
      </c>
      <c r="L23" s="7" t="str">
        <f>CONCATENATE("13 13.1 4a")</f>
        <v>13 13.1 4a</v>
      </c>
      <c r="M23" s="7" t="str">
        <f>CONCATENATE("MNSCLD60E05B352D")</f>
        <v>MNSCLD60E05B352D</v>
      </c>
      <c r="N23" s="7" t="s">
        <v>91</v>
      </c>
      <c r="O23" s="7" t="s">
        <v>87</v>
      </c>
      <c r="P23" s="8">
        <v>44299</v>
      </c>
      <c r="Q23" s="7" t="s">
        <v>32</v>
      </c>
      <c r="R23" s="7" t="s">
        <v>39</v>
      </c>
      <c r="S23" s="7" t="s">
        <v>34</v>
      </c>
      <c r="T23" s="7"/>
      <c r="U23" s="7" t="s">
        <v>35</v>
      </c>
      <c r="V23" s="9">
        <v>2772.89</v>
      </c>
      <c r="W23" s="9">
        <v>1195.67</v>
      </c>
      <c r="X23" s="9">
        <v>1104.1600000000001</v>
      </c>
      <c r="Y23" s="7">
        <v>0</v>
      </c>
      <c r="Z23" s="7">
        <v>473.06</v>
      </c>
    </row>
    <row r="24" spans="1:26" x14ac:dyDescent="0.35">
      <c r="A24" s="7" t="s">
        <v>27</v>
      </c>
      <c r="B24" s="7" t="s">
        <v>42</v>
      </c>
      <c r="C24" s="7" t="s">
        <v>48</v>
      </c>
      <c r="D24" s="7" t="s">
        <v>60</v>
      </c>
      <c r="E24" s="7" t="s">
        <v>40</v>
      </c>
      <c r="F24" s="7" t="s">
        <v>90</v>
      </c>
      <c r="G24" s="7">
        <v>2020</v>
      </c>
      <c r="H24" s="7" t="str">
        <f>CONCATENATE("04210082485")</f>
        <v>04210082485</v>
      </c>
      <c r="I24" s="7" t="s">
        <v>30</v>
      </c>
      <c r="J24" s="7" t="s">
        <v>31</v>
      </c>
      <c r="K24" s="7" t="str">
        <f>CONCATENATE("")</f>
        <v/>
      </c>
      <c r="L24" s="7" t="str">
        <f>CONCATENATE("13 13.1 4a")</f>
        <v>13 13.1 4a</v>
      </c>
      <c r="M24" s="7" t="str">
        <f>CONCATENATE("BNFDNT65T28D007O")</f>
        <v>BNFDNT65T28D007O</v>
      </c>
      <c r="N24" s="7" t="s">
        <v>92</v>
      </c>
      <c r="O24" s="7" t="s">
        <v>87</v>
      </c>
      <c r="P24" s="8">
        <v>44299</v>
      </c>
      <c r="Q24" s="7" t="s">
        <v>32</v>
      </c>
      <c r="R24" s="7" t="s">
        <v>39</v>
      </c>
      <c r="S24" s="7" t="s">
        <v>34</v>
      </c>
      <c r="T24" s="7"/>
      <c r="U24" s="7" t="s">
        <v>35</v>
      </c>
      <c r="V24" s="9">
        <v>4107.93</v>
      </c>
      <c r="W24" s="9">
        <v>1771.34</v>
      </c>
      <c r="X24" s="9">
        <v>1635.78</v>
      </c>
      <c r="Y24" s="7">
        <v>0</v>
      </c>
      <c r="Z24" s="7">
        <v>700.81</v>
      </c>
    </row>
    <row r="25" spans="1:26" x14ac:dyDescent="0.35">
      <c r="A25" s="7" t="s">
        <v>27</v>
      </c>
      <c r="B25" s="7" t="s">
        <v>42</v>
      </c>
      <c r="C25" s="7" t="s">
        <v>48</v>
      </c>
      <c r="D25" s="7" t="s">
        <v>60</v>
      </c>
      <c r="E25" s="7" t="s">
        <v>40</v>
      </c>
      <c r="F25" s="7" t="s">
        <v>93</v>
      </c>
      <c r="G25" s="7">
        <v>2020</v>
      </c>
      <c r="H25" s="7" t="str">
        <f>CONCATENATE("04210366730")</f>
        <v>04210366730</v>
      </c>
      <c r="I25" s="7" t="s">
        <v>30</v>
      </c>
      <c r="J25" s="7" t="s">
        <v>31</v>
      </c>
      <c r="K25" s="7" t="str">
        <f>CONCATENATE("")</f>
        <v/>
      </c>
      <c r="L25" s="7" t="str">
        <f>CONCATENATE("13 13.1 4a")</f>
        <v>13 13.1 4a</v>
      </c>
      <c r="M25" s="7" t="str">
        <f>CONCATENATE("CRLMHL78M28I459R")</f>
        <v>CRLMHL78M28I459R</v>
      </c>
      <c r="N25" s="7" t="s">
        <v>94</v>
      </c>
      <c r="O25" s="7" t="s">
        <v>87</v>
      </c>
      <c r="P25" s="8">
        <v>44299</v>
      </c>
      <c r="Q25" s="7" t="s">
        <v>32</v>
      </c>
      <c r="R25" s="7" t="s">
        <v>39</v>
      </c>
      <c r="S25" s="7" t="s">
        <v>34</v>
      </c>
      <c r="T25" s="7"/>
      <c r="U25" s="7" t="s">
        <v>35</v>
      </c>
      <c r="V25" s="7">
        <v>880.7</v>
      </c>
      <c r="W25" s="7">
        <v>379.76</v>
      </c>
      <c r="X25" s="7">
        <v>350.69</v>
      </c>
      <c r="Y25" s="7">
        <v>0</v>
      </c>
      <c r="Z25" s="7">
        <v>150.25</v>
      </c>
    </row>
    <row r="26" spans="1:26" x14ac:dyDescent="0.35">
      <c r="A26" s="7" t="s">
        <v>27</v>
      </c>
      <c r="B26" s="7" t="s">
        <v>42</v>
      </c>
      <c r="C26" s="7" t="s">
        <v>48</v>
      </c>
      <c r="D26" s="7" t="s">
        <v>60</v>
      </c>
      <c r="E26" s="7" t="s">
        <v>40</v>
      </c>
      <c r="F26" s="7" t="s">
        <v>93</v>
      </c>
      <c r="G26" s="7">
        <v>2020</v>
      </c>
      <c r="H26" s="7" t="str">
        <f>CONCATENATE("04210458719")</f>
        <v>04210458719</v>
      </c>
      <c r="I26" s="7" t="s">
        <v>30</v>
      </c>
      <c r="J26" s="7" t="s">
        <v>31</v>
      </c>
      <c r="K26" s="7" t="str">
        <f>CONCATENATE("")</f>
        <v/>
      </c>
      <c r="L26" s="7" t="str">
        <f>CONCATENATE("13 13.1 4a")</f>
        <v>13 13.1 4a</v>
      </c>
      <c r="M26" s="7" t="str">
        <f>CONCATENATE("01408070413")</f>
        <v>01408070413</v>
      </c>
      <c r="N26" s="7" t="s">
        <v>95</v>
      </c>
      <c r="O26" s="7" t="s">
        <v>87</v>
      </c>
      <c r="P26" s="8">
        <v>44299</v>
      </c>
      <c r="Q26" s="7" t="s">
        <v>32</v>
      </c>
      <c r="R26" s="7" t="s">
        <v>39</v>
      </c>
      <c r="S26" s="7" t="s">
        <v>34</v>
      </c>
      <c r="T26" s="7"/>
      <c r="U26" s="7" t="s">
        <v>35</v>
      </c>
      <c r="V26" s="9">
        <v>6952.77</v>
      </c>
      <c r="W26" s="9">
        <v>2998.03</v>
      </c>
      <c r="X26" s="9">
        <v>2768.59</v>
      </c>
      <c r="Y26" s="7">
        <v>0</v>
      </c>
      <c r="Z26" s="9">
        <v>1186.1500000000001</v>
      </c>
    </row>
    <row r="27" spans="1:26" x14ac:dyDescent="0.35">
      <c r="A27" s="7" t="s">
        <v>27</v>
      </c>
      <c r="B27" s="7" t="s">
        <v>42</v>
      </c>
      <c r="C27" s="7" t="s">
        <v>48</v>
      </c>
      <c r="D27" s="7" t="s">
        <v>55</v>
      </c>
      <c r="E27" s="7" t="s">
        <v>46</v>
      </c>
      <c r="F27" s="7" t="s">
        <v>96</v>
      </c>
      <c r="G27" s="7">
        <v>2020</v>
      </c>
      <c r="H27" s="7" t="str">
        <f>CONCATENATE("04210723724")</f>
        <v>04210723724</v>
      </c>
      <c r="I27" s="7" t="s">
        <v>30</v>
      </c>
      <c r="J27" s="7" t="s">
        <v>31</v>
      </c>
      <c r="K27" s="7" t="str">
        <f>CONCATENATE("")</f>
        <v/>
      </c>
      <c r="L27" s="7" t="str">
        <f>CONCATENATE("13 13.1 4a")</f>
        <v>13 13.1 4a</v>
      </c>
      <c r="M27" s="7" t="str">
        <f>CONCATENATE("NTNJCP85D08B474I")</f>
        <v>NTNJCP85D08B474I</v>
      </c>
      <c r="N27" s="7" t="s">
        <v>97</v>
      </c>
      <c r="O27" s="7" t="s">
        <v>87</v>
      </c>
      <c r="P27" s="8">
        <v>44299</v>
      </c>
      <c r="Q27" s="7" t="s">
        <v>32</v>
      </c>
      <c r="R27" s="7" t="s">
        <v>39</v>
      </c>
      <c r="S27" s="7" t="s">
        <v>34</v>
      </c>
      <c r="T27" s="7"/>
      <c r="U27" s="7" t="s">
        <v>35</v>
      </c>
      <c r="V27" s="9">
        <v>1028.72</v>
      </c>
      <c r="W27" s="7">
        <v>443.58</v>
      </c>
      <c r="X27" s="7">
        <v>409.64</v>
      </c>
      <c r="Y27" s="7">
        <v>0</v>
      </c>
      <c r="Z27" s="7">
        <v>175.5</v>
      </c>
    </row>
    <row r="28" spans="1:26" x14ac:dyDescent="0.35">
      <c r="A28" s="7" t="s">
        <v>27</v>
      </c>
      <c r="B28" s="7" t="s">
        <v>42</v>
      </c>
      <c r="C28" s="7" t="s">
        <v>48</v>
      </c>
      <c r="D28" s="7" t="s">
        <v>49</v>
      </c>
      <c r="E28" s="7" t="s">
        <v>40</v>
      </c>
      <c r="F28" s="7" t="s">
        <v>98</v>
      </c>
      <c r="G28" s="7">
        <v>2020</v>
      </c>
      <c r="H28" s="7" t="str">
        <f>CONCATENATE("04210493948")</f>
        <v>04210493948</v>
      </c>
      <c r="I28" s="7" t="s">
        <v>37</v>
      </c>
      <c r="J28" s="7" t="s">
        <v>31</v>
      </c>
      <c r="K28" s="7" t="str">
        <f>CONCATENATE("")</f>
        <v/>
      </c>
      <c r="L28" s="7" t="str">
        <f>CONCATENATE("13 13.1 4a")</f>
        <v>13 13.1 4a</v>
      </c>
      <c r="M28" s="7" t="str">
        <f>CONCATENATE("RNLGPP65E29F051I")</f>
        <v>RNLGPP65E29F051I</v>
      </c>
      <c r="N28" s="7" t="s">
        <v>99</v>
      </c>
      <c r="O28" s="7" t="s">
        <v>87</v>
      </c>
      <c r="P28" s="8">
        <v>44299</v>
      </c>
      <c r="Q28" s="7" t="s">
        <v>32</v>
      </c>
      <c r="R28" s="7" t="s">
        <v>39</v>
      </c>
      <c r="S28" s="7" t="s">
        <v>34</v>
      </c>
      <c r="T28" s="7"/>
      <c r="U28" s="7" t="s">
        <v>35</v>
      </c>
      <c r="V28" s="7">
        <v>585.44000000000005</v>
      </c>
      <c r="W28" s="7">
        <v>252.44</v>
      </c>
      <c r="X28" s="7">
        <v>233.12</v>
      </c>
      <c r="Y28" s="7">
        <v>0</v>
      </c>
      <c r="Z28" s="7">
        <v>99.88</v>
      </c>
    </row>
    <row r="29" spans="1:26" x14ac:dyDescent="0.35">
      <c r="A29" s="7" t="s">
        <v>27</v>
      </c>
      <c r="B29" s="7" t="s">
        <v>42</v>
      </c>
      <c r="C29" s="7" t="s">
        <v>48</v>
      </c>
      <c r="D29" s="7" t="s">
        <v>60</v>
      </c>
      <c r="E29" s="7" t="s">
        <v>43</v>
      </c>
      <c r="F29" s="7" t="s">
        <v>88</v>
      </c>
      <c r="G29" s="7">
        <v>2020</v>
      </c>
      <c r="H29" s="7" t="str">
        <f>CONCATENATE("04210980076")</f>
        <v>04210980076</v>
      </c>
      <c r="I29" s="7" t="s">
        <v>30</v>
      </c>
      <c r="J29" s="7" t="s">
        <v>31</v>
      </c>
      <c r="K29" s="7" t="str">
        <f>CONCATENATE("")</f>
        <v/>
      </c>
      <c r="L29" s="7" t="str">
        <f>CONCATENATE("13 13.1 4a")</f>
        <v>13 13.1 4a</v>
      </c>
      <c r="M29" s="7" t="str">
        <f>CONCATENATE("MRNSVN36E49G453O")</f>
        <v>MRNSVN36E49G453O</v>
      </c>
      <c r="N29" s="7" t="s">
        <v>100</v>
      </c>
      <c r="O29" s="7" t="s">
        <v>87</v>
      </c>
      <c r="P29" s="8">
        <v>44299</v>
      </c>
      <c r="Q29" s="7" t="s">
        <v>32</v>
      </c>
      <c r="R29" s="7" t="s">
        <v>39</v>
      </c>
      <c r="S29" s="7" t="s">
        <v>34</v>
      </c>
      <c r="T29" s="7"/>
      <c r="U29" s="7" t="s">
        <v>35</v>
      </c>
      <c r="V29" s="9">
        <v>1473.56</v>
      </c>
      <c r="W29" s="7">
        <v>635.4</v>
      </c>
      <c r="X29" s="7">
        <v>586.77</v>
      </c>
      <c r="Y29" s="7">
        <v>0</v>
      </c>
      <c r="Z29" s="7">
        <v>251.39</v>
      </c>
    </row>
    <row r="30" spans="1:26" x14ac:dyDescent="0.35">
      <c r="A30" s="7" t="s">
        <v>27</v>
      </c>
      <c r="B30" s="7" t="s">
        <v>42</v>
      </c>
      <c r="C30" s="7" t="s">
        <v>48</v>
      </c>
      <c r="D30" s="7" t="s">
        <v>63</v>
      </c>
      <c r="E30" s="7" t="s">
        <v>38</v>
      </c>
      <c r="F30" s="7" t="s">
        <v>64</v>
      </c>
      <c r="G30" s="7">
        <v>2020</v>
      </c>
      <c r="H30" s="7" t="str">
        <f>CONCATENATE("04210429090")</f>
        <v>04210429090</v>
      </c>
      <c r="I30" s="7" t="s">
        <v>37</v>
      </c>
      <c r="J30" s="7" t="s">
        <v>31</v>
      </c>
      <c r="K30" s="7" t="str">
        <f>CONCATENATE("")</f>
        <v/>
      </c>
      <c r="L30" s="7" t="str">
        <f>CONCATENATE("13 13.1 4a")</f>
        <v>13 13.1 4a</v>
      </c>
      <c r="M30" s="7" t="str">
        <f>CONCATENATE("RSSVTI65H22F570V")</f>
        <v>RSSVTI65H22F570V</v>
      </c>
      <c r="N30" s="7" t="s">
        <v>101</v>
      </c>
      <c r="O30" s="7" t="s">
        <v>87</v>
      </c>
      <c r="P30" s="8">
        <v>44299</v>
      </c>
      <c r="Q30" s="7" t="s">
        <v>32</v>
      </c>
      <c r="R30" s="7" t="s">
        <v>39</v>
      </c>
      <c r="S30" s="7" t="s">
        <v>34</v>
      </c>
      <c r="T30" s="7"/>
      <c r="U30" s="7" t="s">
        <v>35</v>
      </c>
      <c r="V30" s="7">
        <v>401.98</v>
      </c>
      <c r="W30" s="7">
        <v>173.33</v>
      </c>
      <c r="X30" s="7">
        <v>160.07</v>
      </c>
      <c r="Y30" s="7">
        <v>0</v>
      </c>
      <c r="Z30" s="7">
        <v>68.58</v>
      </c>
    </row>
    <row r="31" spans="1:26" x14ac:dyDescent="0.35">
      <c r="A31" s="7" t="s">
        <v>27</v>
      </c>
      <c r="B31" s="7" t="s">
        <v>42</v>
      </c>
      <c r="C31" s="7" t="s">
        <v>48</v>
      </c>
      <c r="D31" s="7" t="s">
        <v>49</v>
      </c>
      <c r="E31" s="7" t="s">
        <v>38</v>
      </c>
      <c r="F31" s="7" t="s">
        <v>102</v>
      </c>
      <c r="G31" s="7">
        <v>2020</v>
      </c>
      <c r="H31" s="7" t="str">
        <f>CONCATENATE("04210481075")</f>
        <v>04210481075</v>
      </c>
      <c r="I31" s="7" t="s">
        <v>30</v>
      </c>
      <c r="J31" s="7" t="s">
        <v>31</v>
      </c>
      <c r="K31" s="7" t="str">
        <f>CONCATENATE("")</f>
        <v/>
      </c>
      <c r="L31" s="7" t="str">
        <f>CONCATENATE("13 13.1 4a")</f>
        <v>13 13.1 4a</v>
      </c>
      <c r="M31" s="7" t="str">
        <f>CONCATENATE("TNIPRZ53T70I461Z")</f>
        <v>TNIPRZ53T70I461Z</v>
      </c>
      <c r="N31" s="7" t="s">
        <v>103</v>
      </c>
      <c r="O31" s="7" t="s">
        <v>87</v>
      </c>
      <c r="P31" s="8">
        <v>44299</v>
      </c>
      <c r="Q31" s="7" t="s">
        <v>32</v>
      </c>
      <c r="R31" s="7" t="s">
        <v>39</v>
      </c>
      <c r="S31" s="7" t="s">
        <v>34</v>
      </c>
      <c r="T31" s="7"/>
      <c r="U31" s="7" t="s">
        <v>35</v>
      </c>
      <c r="V31" s="7">
        <v>315.54000000000002</v>
      </c>
      <c r="W31" s="7">
        <v>136.06</v>
      </c>
      <c r="X31" s="7">
        <v>125.65</v>
      </c>
      <c r="Y31" s="7">
        <v>0</v>
      </c>
      <c r="Z31" s="7">
        <v>53.83</v>
      </c>
    </row>
    <row r="32" spans="1:26" x14ac:dyDescent="0.35">
      <c r="A32" s="7" t="s">
        <v>27</v>
      </c>
      <c r="B32" s="7" t="s">
        <v>42</v>
      </c>
      <c r="C32" s="7" t="s">
        <v>48</v>
      </c>
      <c r="D32" s="7" t="s">
        <v>49</v>
      </c>
      <c r="E32" s="7" t="s">
        <v>38</v>
      </c>
      <c r="F32" s="7" t="s">
        <v>104</v>
      </c>
      <c r="G32" s="7">
        <v>2020</v>
      </c>
      <c r="H32" s="7" t="str">
        <f>CONCATENATE("04210061844")</f>
        <v>04210061844</v>
      </c>
      <c r="I32" s="7" t="s">
        <v>30</v>
      </c>
      <c r="J32" s="7" t="s">
        <v>31</v>
      </c>
      <c r="K32" s="7" t="str">
        <f>CONCATENATE("")</f>
        <v/>
      </c>
      <c r="L32" s="7" t="str">
        <f>CONCATENATE("13 13.1 4a")</f>
        <v>13 13.1 4a</v>
      </c>
      <c r="M32" s="7" t="str">
        <f>CONCATENATE("LNCLEI50T18D965K")</f>
        <v>LNCLEI50T18D965K</v>
      </c>
      <c r="N32" s="7" t="s">
        <v>105</v>
      </c>
      <c r="O32" s="7" t="s">
        <v>87</v>
      </c>
      <c r="P32" s="8">
        <v>44299</v>
      </c>
      <c r="Q32" s="7" t="s">
        <v>32</v>
      </c>
      <c r="R32" s="7" t="s">
        <v>39</v>
      </c>
      <c r="S32" s="7" t="s">
        <v>34</v>
      </c>
      <c r="T32" s="7"/>
      <c r="U32" s="7" t="s">
        <v>35</v>
      </c>
      <c r="V32" s="9">
        <v>4066.94</v>
      </c>
      <c r="W32" s="9">
        <v>1753.66</v>
      </c>
      <c r="X32" s="9">
        <v>1619.46</v>
      </c>
      <c r="Y32" s="7">
        <v>0</v>
      </c>
      <c r="Z32" s="7">
        <v>693.82</v>
      </c>
    </row>
    <row r="33" spans="1:26" x14ac:dyDescent="0.35">
      <c r="A33" s="7" t="s">
        <v>27</v>
      </c>
      <c r="B33" s="7" t="s">
        <v>42</v>
      </c>
      <c r="C33" s="7" t="s">
        <v>48</v>
      </c>
      <c r="D33" s="7" t="s">
        <v>63</v>
      </c>
      <c r="E33" s="7" t="s">
        <v>38</v>
      </c>
      <c r="F33" s="7" t="s">
        <v>106</v>
      </c>
      <c r="G33" s="7">
        <v>2020</v>
      </c>
      <c r="H33" s="7" t="str">
        <f>CONCATENATE("04210792059")</f>
        <v>04210792059</v>
      </c>
      <c r="I33" s="7" t="s">
        <v>30</v>
      </c>
      <c r="J33" s="7" t="s">
        <v>31</v>
      </c>
      <c r="K33" s="7" t="str">
        <f>CONCATENATE("")</f>
        <v/>
      </c>
      <c r="L33" s="7" t="str">
        <f>CONCATENATE("13 13.1 4a")</f>
        <v>13 13.1 4a</v>
      </c>
      <c r="M33" s="7" t="str">
        <f>CONCATENATE("NGLPRL64T10A462P")</f>
        <v>NGLPRL64T10A462P</v>
      </c>
      <c r="N33" s="7" t="s">
        <v>107</v>
      </c>
      <c r="O33" s="7" t="s">
        <v>87</v>
      </c>
      <c r="P33" s="8">
        <v>44299</v>
      </c>
      <c r="Q33" s="7" t="s">
        <v>32</v>
      </c>
      <c r="R33" s="7" t="s">
        <v>39</v>
      </c>
      <c r="S33" s="7" t="s">
        <v>34</v>
      </c>
      <c r="T33" s="7"/>
      <c r="U33" s="7" t="s">
        <v>35</v>
      </c>
      <c r="V33" s="9">
        <v>4861.3599999999997</v>
      </c>
      <c r="W33" s="9">
        <v>2096.2199999999998</v>
      </c>
      <c r="X33" s="9">
        <v>1935.79</v>
      </c>
      <c r="Y33" s="7">
        <v>0</v>
      </c>
      <c r="Z33" s="7">
        <v>829.35</v>
      </c>
    </row>
    <row r="34" spans="1:26" x14ac:dyDescent="0.35">
      <c r="A34" s="7" t="s">
        <v>27</v>
      </c>
      <c r="B34" s="7" t="s">
        <v>42</v>
      </c>
      <c r="C34" s="7" t="s">
        <v>48</v>
      </c>
      <c r="D34" s="7" t="s">
        <v>49</v>
      </c>
      <c r="E34" s="7" t="s">
        <v>40</v>
      </c>
      <c r="F34" s="7" t="s">
        <v>98</v>
      </c>
      <c r="G34" s="7">
        <v>2020</v>
      </c>
      <c r="H34" s="7" t="str">
        <f>CONCATENATE("04210618585")</f>
        <v>04210618585</v>
      </c>
      <c r="I34" s="7" t="s">
        <v>30</v>
      </c>
      <c r="J34" s="7" t="s">
        <v>31</v>
      </c>
      <c r="K34" s="7" t="str">
        <f>CONCATENATE("")</f>
        <v/>
      </c>
      <c r="L34" s="7" t="str">
        <f>CONCATENATE("13 13.1 4a")</f>
        <v>13 13.1 4a</v>
      </c>
      <c r="M34" s="7" t="str">
        <f>CONCATENATE("LBRNNL64L60I461G")</f>
        <v>LBRNNL64L60I461G</v>
      </c>
      <c r="N34" s="7" t="s">
        <v>108</v>
      </c>
      <c r="O34" s="7" t="s">
        <v>87</v>
      </c>
      <c r="P34" s="8">
        <v>44299</v>
      </c>
      <c r="Q34" s="7" t="s">
        <v>32</v>
      </c>
      <c r="R34" s="7" t="s">
        <v>39</v>
      </c>
      <c r="S34" s="7" t="s">
        <v>34</v>
      </c>
      <c r="T34" s="7"/>
      <c r="U34" s="7" t="s">
        <v>35</v>
      </c>
      <c r="V34" s="9">
        <v>2307.16</v>
      </c>
      <c r="W34" s="7">
        <v>994.85</v>
      </c>
      <c r="X34" s="7">
        <v>918.71</v>
      </c>
      <c r="Y34" s="7">
        <v>0</v>
      </c>
      <c r="Z34" s="7">
        <v>393.6</v>
      </c>
    </row>
    <row r="35" spans="1:26" x14ac:dyDescent="0.35">
      <c r="A35" s="7" t="s">
        <v>27</v>
      </c>
      <c r="B35" s="7" t="s">
        <v>42</v>
      </c>
      <c r="C35" s="7" t="s">
        <v>48</v>
      </c>
      <c r="D35" s="7" t="s">
        <v>60</v>
      </c>
      <c r="E35" s="7" t="s">
        <v>40</v>
      </c>
      <c r="F35" s="7" t="s">
        <v>93</v>
      </c>
      <c r="G35" s="7">
        <v>2020</v>
      </c>
      <c r="H35" s="7" t="str">
        <f>CONCATENATE("04210271955")</f>
        <v>04210271955</v>
      </c>
      <c r="I35" s="7" t="s">
        <v>30</v>
      </c>
      <c r="J35" s="7" t="s">
        <v>31</v>
      </c>
      <c r="K35" s="7" t="str">
        <f>CONCATENATE("")</f>
        <v/>
      </c>
      <c r="L35" s="7" t="str">
        <f>CONCATENATE("13 13.1 4a")</f>
        <v>13 13.1 4a</v>
      </c>
      <c r="M35" s="7" t="str">
        <f>CONCATENATE("MRTLDE33C48I681K")</f>
        <v>MRTLDE33C48I681K</v>
      </c>
      <c r="N35" s="7" t="s">
        <v>109</v>
      </c>
      <c r="O35" s="7" t="s">
        <v>87</v>
      </c>
      <c r="P35" s="8">
        <v>44299</v>
      </c>
      <c r="Q35" s="7" t="s">
        <v>32</v>
      </c>
      <c r="R35" s="7" t="s">
        <v>39</v>
      </c>
      <c r="S35" s="7" t="s">
        <v>34</v>
      </c>
      <c r="T35" s="7"/>
      <c r="U35" s="7" t="s">
        <v>35</v>
      </c>
      <c r="V35" s="9">
        <v>2408.2800000000002</v>
      </c>
      <c r="W35" s="9">
        <v>1038.45</v>
      </c>
      <c r="X35" s="7">
        <v>958.98</v>
      </c>
      <c r="Y35" s="7">
        <v>0</v>
      </c>
      <c r="Z35" s="7">
        <v>410.85</v>
      </c>
    </row>
    <row r="36" spans="1:26" x14ac:dyDescent="0.35">
      <c r="A36" s="7" t="s">
        <v>27</v>
      </c>
      <c r="B36" s="7" t="s">
        <v>42</v>
      </c>
      <c r="C36" s="7" t="s">
        <v>48</v>
      </c>
      <c r="D36" s="7" t="s">
        <v>60</v>
      </c>
      <c r="E36" s="7" t="s">
        <v>40</v>
      </c>
      <c r="F36" s="7" t="s">
        <v>90</v>
      </c>
      <c r="G36" s="7">
        <v>2020</v>
      </c>
      <c r="H36" s="7" t="str">
        <f>CONCATENATE("04210291987")</f>
        <v>04210291987</v>
      </c>
      <c r="I36" s="7" t="s">
        <v>30</v>
      </c>
      <c r="J36" s="7" t="s">
        <v>31</v>
      </c>
      <c r="K36" s="7" t="str">
        <f>CONCATENATE("")</f>
        <v/>
      </c>
      <c r="L36" s="7" t="str">
        <f>CONCATENATE("13 13.1 4a")</f>
        <v>13 13.1 4a</v>
      </c>
      <c r="M36" s="7" t="str">
        <f>CONCATENATE("MNCMRC32A01G453R")</f>
        <v>MNCMRC32A01G453R</v>
      </c>
      <c r="N36" s="7" t="s">
        <v>110</v>
      </c>
      <c r="O36" s="7" t="s">
        <v>87</v>
      </c>
      <c r="P36" s="8">
        <v>44299</v>
      </c>
      <c r="Q36" s="7" t="s">
        <v>32</v>
      </c>
      <c r="R36" s="7" t="s">
        <v>39</v>
      </c>
      <c r="S36" s="7" t="s">
        <v>34</v>
      </c>
      <c r="T36" s="7"/>
      <c r="U36" s="7" t="s">
        <v>35</v>
      </c>
      <c r="V36" s="9">
        <v>1698.04</v>
      </c>
      <c r="W36" s="7">
        <v>732.19</v>
      </c>
      <c r="X36" s="7">
        <v>676.16</v>
      </c>
      <c r="Y36" s="7">
        <v>0</v>
      </c>
      <c r="Z36" s="7">
        <v>289.69</v>
      </c>
    </row>
    <row r="37" spans="1:26" x14ac:dyDescent="0.35">
      <c r="A37" s="7" t="s">
        <v>27</v>
      </c>
      <c r="B37" s="7" t="s">
        <v>42</v>
      </c>
      <c r="C37" s="7" t="s">
        <v>48</v>
      </c>
      <c r="D37" s="7" t="s">
        <v>55</v>
      </c>
      <c r="E37" s="7" t="s">
        <v>38</v>
      </c>
      <c r="F37" s="7" t="s">
        <v>111</v>
      </c>
      <c r="G37" s="7">
        <v>2020</v>
      </c>
      <c r="H37" s="7" t="str">
        <f>CONCATENATE("04210723351")</f>
        <v>04210723351</v>
      </c>
      <c r="I37" s="7" t="s">
        <v>30</v>
      </c>
      <c r="J37" s="7" t="s">
        <v>31</v>
      </c>
      <c r="K37" s="7" t="str">
        <f>CONCATENATE("")</f>
        <v/>
      </c>
      <c r="L37" s="7" t="str">
        <f>CONCATENATE("13 13.1 4a")</f>
        <v>13 13.1 4a</v>
      </c>
      <c r="M37" s="7" t="str">
        <f>CONCATENATE("00399060433")</f>
        <v>00399060433</v>
      </c>
      <c r="N37" s="7" t="s">
        <v>112</v>
      </c>
      <c r="O37" s="7" t="s">
        <v>87</v>
      </c>
      <c r="P37" s="8">
        <v>44299</v>
      </c>
      <c r="Q37" s="7" t="s">
        <v>32</v>
      </c>
      <c r="R37" s="7" t="s">
        <v>39</v>
      </c>
      <c r="S37" s="7" t="s">
        <v>34</v>
      </c>
      <c r="T37" s="7"/>
      <c r="U37" s="7" t="s">
        <v>35</v>
      </c>
      <c r="V37" s="7">
        <v>110.54</v>
      </c>
      <c r="W37" s="7">
        <v>47.66</v>
      </c>
      <c r="X37" s="7">
        <v>44.02</v>
      </c>
      <c r="Y37" s="7">
        <v>0</v>
      </c>
      <c r="Z37" s="7">
        <v>18.86</v>
      </c>
    </row>
    <row r="38" spans="1:26" x14ac:dyDescent="0.35">
      <c r="A38" s="7" t="s">
        <v>27</v>
      </c>
      <c r="B38" s="7" t="s">
        <v>42</v>
      </c>
      <c r="C38" s="7" t="s">
        <v>48</v>
      </c>
      <c r="D38" s="7" t="s">
        <v>60</v>
      </c>
      <c r="E38" s="7" t="s">
        <v>40</v>
      </c>
      <c r="F38" s="7" t="s">
        <v>113</v>
      </c>
      <c r="G38" s="7">
        <v>2020</v>
      </c>
      <c r="H38" s="7" t="str">
        <f>CONCATENATE("04210586709")</f>
        <v>04210586709</v>
      </c>
      <c r="I38" s="7" t="s">
        <v>30</v>
      </c>
      <c r="J38" s="7" t="s">
        <v>31</v>
      </c>
      <c r="K38" s="7" t="str">
        <f>CONCATENATE("")</f>
        <v/>
      </c>
      <c r="L38" s="7" t="str">
        <f>CONCATENATE("13 13.1 4a")</f>
        <v>13 13.1 4a</v>
      </c>
      <c r="M38" s="7" t="str">
        <f>CONCATENATE("PTRPRZ61E23G453J")</f>
        <v>PTRPRZ61E23G453J</v>
      </c>
      <c r="N38" s="7" t="s">
        <v>114</v>
      </c>
      <c r="O38" s="7" t="s">
        <v>87</v>
      </c>
      <c r="P38" s="8">
        <v>44299</v>
      </c>
      <c r="Q38" s="7" t="s">
        <v>32</v>
      </c>
      <c r="R38" s="7" t="s">
        <v>39</v>
      </c>
      <c r="S38" s="7" t="s">
        <v>34</v>
      </c>
      <c r="T38" s="7"/>
      <c r="U38" s="7" t="s">
        <v>35</v>
      </c>
      <c r="V38" s="9">
        <v>1089.72</v>
      </c>
      <c r="W38" s="7">
        <v>469.89</v>
      </c>
      <c r="X38" s="7">
        <v>433.93</v>
      </c>
      <c r="Y38" s="7">
        <v>0</v>
      </c>
      <c r="Z38" s="7">
        <v>185.9</v>
      </c>
    </row>
    <row r="39" spans="1:26" x14ac:dyDescent="0.35">
      <c r="A39" s="7" t="s">
        <v>27</v>
      </c>
      <c r="B39" s="7" t="s">
        <v>42</v>
      </c>
      <c r="C39" s="7" t="s">
        <v>48</v>
      </c>
      <c r="D39" s="7" t="s">
        <v>60</v>
      </c>
      <c r="E39" s="7" t="s">
        <v>40</v>
      </c>
      <c r="F39" s="7" t="s">
        <v>113</v>
      </c>
      <c r="G39" s="7">
        <v>2020</v>
      </c>
      <c r="H39" s="7" t="str">
        <f>CONCATENATE("04210362895")</f>
        <v>04210362895</v>
      </c>
      <c r="I39" s="7" t="s">
        <v>30</v>
      </c>
      <c r="J39" s="7" t="s">
        <v>31</v>
      </c>
      <c r="K39" s="7" t="str">
        <f>CONCATENATE("")</f>
        <v/>
      </c>
      <c r="L39" s="7" t="str">
        <f>CONCATENATE("13 13.1 4a")</f>
        <v>13 13.1 4a</v>
      </c>
      <c r="M39" s="7" t="str">
        <f>CONCATENATE("PGNLGN60M09D749L")</f>
        <v>PGNLGN60M09D749L</v>
      </c>
      <c r="N39" s="7" t="s">
        <v>115</v>
      </c>
      <c r="O39" s="7" t="s">
        <v>87</v>
      </c>
      <c r="P39" s="8">
        <v>44299</v>
      </c>
      <c r="Q39" s="7" t="s">
        <v>32</v>
      </c>
      <c r="R39" s="7" t="s">
        <v>39</v>
      </c>
      <c r="S39" s="7" t="s">
        <v>34</v>
      </c>
      <c r="T39" s="7"/>
      <c r="U39" s="7" t="s">
        <v>35</v>
      </c>
      <c r="V39" s="7">
        <v>484.42</v>
      </c>
      <c r="W39" s="7">
        <v>208.88</v>
      </c>
      <c r="X39" s="7">
        <v>192.9</v>
      </c>
      <c r="Y39" s="7">
        <v>0</v>
      </c>
      <c r="Z39" s="7">
        <v>82.64</v>
      </c>
    </row>
    <row r="40" spans="1:26" x14ac:dyDescent="0.35">
      <c r="A40" s="7" t="s">
        <v>27</v>
      </c>
      <c r="B40" s="7" t="s">
        <v>42</v>
      </c>
      <c r="C40" s="7" t="s">
        <v>48</v>
      </c>
      <c r="D40" s="7" t="s">
        <v>60</v>
      </c>
      <c r="E40" s="7" t="s">
        <v>29</v>
      </c>
      <c r="F40" s="7" t="s">
        <v>116</v>
      </c>
      <c r="G40" s="7">
        <v>2020</v>
      </c>
      <c r="H40" s="7" t="str">
        <f>CONCATENATE("04210529287")</f>
        <v>04210529287</v>
      </c>
      <c r="I40" s="7" t="s">
        <v>30</v>
      </c>
      <c r="J40" s="7" t="s">
        <v>31</v>
      </c>
      <c r="K40" s="7" t="str">
        <f>CONCATENATE("")</f>
        <v/>
      </c>
      <c r="L40" s="7" t="str">
        <f>CONCATENATE("13 13.1 4a")</f>
        <v>13 13.1 4a</v>
      </c>
      <c r="M40" s="7" t="str">
        <f>CONCATENATE("FNCFRZ69B07D749Z")</f>
        <v>FNCFRZ69B07D749Z</v>
      </c>
      <c r="N40" s="7" t="s">
        <v>117</v>
      </c>
      <c r="O40" s="7" t="s">
        <v>87</v>
      </c>
      <c r="P40" s="8">
        <v>44299</v>
      </c>
      <c r="Q40" s="7" t="s">
        <v>32</v>
      </c>
      <c r="R40" s="7" t="s">
        <v>39</v>
      </c>
      <c r="S40" s="7" t="s">
        <v>34</v>
      </c>
      <c r="T40" s="7"/>
      <c r="U40" s="7" t="s">
        <v>35</v>
      </c>
      <c r="V40" s="9">
        <v>4603.7299999999996</v>
      </c>
      <c r="W40" s="9">
        <v>1985.13</v>
      </c>
      <c r="X40" s="9">
        <v>1833.21</v>
      </c>
      <c r="Y40" s="7">
        <v>0</v>
      </c>
      <c r="Z40" s="7">
        <v>785.39</v>
      </c>
    </row>
    <row r="41" spans="1:26" x14ac:dyDescent="0.35">
      <c r="A41" s="7" t="s">
        <v>27</v>
      </c>
      <c r="B41" s="7" t="s">
        <v>42</v>
      </c>
      <c r="C41" s="7" t="s">
        <v>48</v>
      </c>
      <c r="D41" s="7" t="s">
        <v>49</v>
      </c>
      <c r="E41" s="7" t="s">
        <v>38</v>
      </c>
      <c r="F41" s="7" t="s">
        <v>104</v>
      </c>
      <c r="G41" s="7">
        <v>2020</v>
      </c>
      <c r="H41" s="7" t="str">
        <f>CONCATENATE("04210289262")</f>
        <v>04210289262</v>
      </c>
      <c r="I41" s="7" t="s">
        <v>30</v>
      </c>
      <c r="J41" s="7" t="s">
        <v>31</v>
      </c>
      <c r="K41" s="7" t="str">
        <f>CONCATENATE("")</f>
        <v/>
      </c>
      <c r="L41" s="7" t="str">
        <f>CONCATENATE("13 13.1 4a")</f>
        <v>13 13.1 4a</v>
      </c>
      <c r="M41" s="7" t="str">
        <f>CONCATENATE("RGGSFN77S24D451H")</f>
        <v>RGGSFN77S24D451H</v>
      </c>
      <c r="N41" s="7" t="s">
        <v>118</v>
      </c>
      <c r="O41" s="7" t="s">
        <v>87</v>
      </c>
      <c r="P41" s="8">
        <v>44299</v>
      </c>
      <c r="Q41" s="7" t="s">
        <v>32</v>
      </c>
      <c r="R41" s="7" t="s">
        <v>39</v>
      </c>
      <c r="S41" s="7" t="s">
        <v>34</v>
      </c>
      <c r="T41" s="7"/>
      <c r="U41" s="7" t="s">
        <v>35</v>
      </c>
      <c r="V41" s="9">
        <v>2904.55</v>
      </c>
      <c r="W41" s="9">
        <v>1252.44</v>
      </c>
      <c r="X41" s="9">
        <v>1156.5899999999999</v>
      </c>
      <c r="Y41" s="7">
        <v>0</v>
      </c>
      <c r="Z41" s="7">
        <v>495.52</v>
      </c>
    </row>
    <row r="42" spans="1:26" x14ac:dyDescent="0.35">
      <c r="A42" s="7" t="s">
        <v>27</v>
      </c>
      <c r="B42" s="7" t="s">
        <v>42</v>
      </c>
      <c r="C42" s="7" t="s">
        <v>48</v>
      </c>
      <c r="D42" s="7" t="s">
        <v>60</v>
      </c>
      <c r="E42" s="7" t="s">
        <v>38</v>
      </c>
      <c r="F42" s="7" t="s">
        <v>119</v>
      </c>
      <c r="G42" s="7">
        <v>2020</v>
      </c>
      <c r="H42" s="7" t="str">
        <f>CONCATENATE("04210037836")</f>
        <v>04210037836</v>
      </c>
      <c r="I42" s="7" t="s">
        <v>30</v>
      </c>
      <c r="J42" s="7" t="s">
        <v>31</v>
      </c>
      <c r="K42" s="7" t="str">
        <f>CONCATENATE("")</f>
        <v/>
      </c>
      <c r="L42" s="7" t="str">
        <f>CONCATENATE("13 13.1 4a")</f>
        <v>13 13.1 4a</v>
      </c>
      <c r="M42" s="7" t="str">
        <f>CONCATENATE("GMBNSL68R63H294H")</f>
        <v>GMBNSL68R63H294H</v>
      </c>
      <c r="N42" s="7" t="s">
        <v>120</v>
      </c>
      <c r="O42" s="7" t="s">
        <v>87</v>
      </c>
      <c r="P42" s="8">
        <v>44299</v>
      </c>
      <c r="Q42" s="7" t="s">
        <v>32</v>
      </c>
      <c r="R42" s="7" t="s">
        <v>39</v>
      </c>
      <c r="S42" s="7" t="s">
        <v>34</v>
      </c>
      <c r="T42" s="7"/>
      <c r="U42" s="7" t="s">
        <v>35</v>
      </c>
      <c r="V42" s="7">
        <v>803.54</v>
      </c>
      <c r="W42" s="7">
        <v>346.49</v>
      </c>
      <c r="X42" s="7">
        <v>319.97000000000003</v>
      </c>
      <c r="Y42" s="7">
        <v>0</v>
      </c>
      <c r="Z42" s="7">
        <v>137.08000000000001</v>
      </c>
    </row>
    <row r="43" spans="1:26" x14ac:dyDescent="0.35">
      <c r="A43" s="7" t="s">
        <v>27</v>
      </c>
      <c r="B43" s="7" t="s">
        <v>42</v>
      </c>
      <c r="C43" s="7" t="s">
        <v>48</v>
      </c>
      <c r="D43" s="7" t="s">
        <v>49</v>
      </c>
      <c r="E43" s="7" t="s">
        <v>40</v>
      </c>
      <c r="F43" s="7" t="s">
        <v>121</v>
      </c>
      <c r="G43" s="7">
        <v>2020</v>
      </c>
      <c r="H43" s="7" t="str">
        <f>CONCATENATE("04210447894")</f>
        <v>04210447894</v>
      </c>
      <c r="I43" s="7" t="s">
        <v>37</v>
      </c>
      <c r="J43" s="7" t="s">
        <v>31</v>
      </c>
      <c r="K43" s="7" t="str">
        <f>CONCATENATE("")</f>
        <v/>
      </c>
      <c r="L43" s="7" t="str">
        <f>CONCATENATE("13 13.1 4a")</f>
        <v>13 13.1 4a</v>
      </c>
      <c r="M43" s="7" t="str">
        <f>CONCATENATE("MRLGNN75H63D451R")</f>
        <v>MRLGNN75H63D451R</v>
      </c>
      <c r="N43" s="7" t="s">
        <v>122</v>
      </c>
      <c r="O43" s="7" t="s">
        <v>87</v>
      </c>
      <c r="P43" s="8">
        <v>44299</v>
      </c>
      <c r="Q43" s="7" t="s">
        <v>32</v>
      </c>
      <c r="R43" s="7" t="s">
        <v>39</v>
      </c>
      <c r="S43" s="7" t="s">
        <v>34</v>
      </c>
      <c r="T43" s="7"/>
      <c r="U43" s="7" t="s">
        <v>35</v>
      </c>
      <c r="V43" s="7">
        <v>141.43</v>
      </c>
      <c r="W43" s="7">
        <v>60.98</v>
      </c>
      <c r="X43" s="7">
        <v>56.32</v>
      </c>
      <c r="Y43" s="7">
        <v>0</v>
      </c>
      <c r="Z43" s="7">
        <v>24.13</v>
      </c>
    </row>
    <row r="44" spans="1:26" x14ac:dyDescent="0.35">
      <c r="A44" s="7" t="s">
        <v>27</v>
      </c>
      <c r="B44" s="7" t="s">
        <v>42</v>
      </c>
      <c r="C44" s="7" t="s">
        <v>48</v>
      </c>
      <c r="D44" s="7" t="s">
        <v>49</v>
      </c>
      <c r="E44" s="7" t="s">
        <v>40</v>
      </c>
      <c r="F44" s="7" t="s">
        <v>98</v>
      </c>
      <c r="G44" s="7">
        <v>2020</v>
      </c>
      <c r="H44" s="7" t="str">
        <f>CONCATENATE("04210451003")</f>
        <v>04210451003</v>
      </c>
      <c r="I44" s="7" t="s">
        <v>30</v>
      </c>
      <c r="J44" s="7" t="s">
        <v>31</v>
      </c>
      <c r="K44" s="7" t="str">
        <f>CONCATENATE("")</f>
        <v/>
      </c>
      <c r="L44" s="7" t="str">
        <f>CONCATENATE("13 13.1 4a")</f>
        <v>13 13.1 4a</v>
      </c>
      <c r="M44" s="7" t="str">
        <f>CONCATENATE("BGRSFN77B48D451S")</f>
        <v>BGRSFN77B48D451S</v>
      </c>
      <c r="N44" s="7" t="s">
        <v>123</v>
      </c>
      <c r="O44" s="7" t="s">
        <v>87</v>
      </c>
      <c r="P44" s="8">
        <v>44299</v>
      </c>
      <c r="Q44" s="7" t="s">
        <v>32</v>
      </c>
      <c r="R44" s="7" t="s">
        <v>39</v>
      </c>
      <c r="S44" s="7" t="s">
        <v>34</v>
      </c>
      <c r="T44" s="7"/>
      <c r="U44" s="7" t="s">
        <v>35</v>
      </c>
      <c r="V44" s="7">
        <v>561.52</v>
      </c>
      <c r="W44" s="7">
        <v>242.13</v>
      </c>
      <c r="X44" s="7">
        <v>223.6</v>
      </c>
      <c r="Y44" s="7">
        <v>0</v>
      </c>
      <c r="Z44" s="7">
        <v>95.79</v>
      </c>
    </row>
    <row r="45" spans="1:26" x14ac:dyDescent="0.35">
      <c r="A45" s="7" t="s">
        <v>27</v>
      </c>
      <c r="B45" s="7" t="s">
        <v>42</v>
      </c>
      <c r="C45" s="7" t="s">
        <v>48</v>
      </c>
      <c r="D45" s="7" t="s">
        <v>60</v>
      </c>
      <c r="E45" s="7" t="s">
        <v>38</v>
      </c>
      <c r="F45" s="7" t="s">
        <v>119</v>
      </c>
      <c r="G45" s="7">
        <v>2020</v>
      </c>
      <c r="H45" s="7" t="str">
        <f>CONCATENATE("04210013571")</f>
        <v>04210013571</v>
      </c>
      <c r="I45" s="7" t="s">
        <v>30</v>
      </c>
      <c r="J45" s="7" t="s">
        <v>31</v>
      </c>
      <c r="K45" s="7" t="str">
        <f>CONCATENATE("")</f>
        <v/>
      </c>
      <c r="L45" s="7" t="str">
        <f>CONCATENATE("13 13.1 4a")</f>
        <v>13 13.1 4a</v>
      </c>
      <c r="M45" s="7" t="str">
        <f>CONCATENATE("BRCCLR80L49F205M")</f>
        <v>BRCCLR80L49F205M</v>
      </c>
      <c r="N45" s="7" t="s">
        <v>124</v>
      </c>
      <c r="O45" s="7" t="s">
        <v>87</v>
      </c>
      <c r="P45" s="8">
        <v>44299</v>
      </c>
      <c r="Q45" s="7" t="s">
        <v>32</v>
      </c>
      <c r="R45" s="7" t="s">
        <v>39</v>
      </c>
      <c r="S45" s="7" t="s">
        <v>34</v>
      </c>
      <c r="T45" s="7"/>
      <c r="U45" s="7" t="s">
        <v>35</v>
      </c>
      <c r="V45" s="7">
        <v>585.58000000000004</v>
      </c>
      <c r="W45" s="7">
        <v>252.5</v>
      </c>
      <c r="X45" s="7">
        <v>233.18</v>
      </c>
      <c r="Y45" s="7">
        <v>0</v>
      </c>
      <c r="Z45" s="7">
        <v>99.9</v>
      </c>
    </row>
    <row r="46" spans="1:26" x14ac:dyDescent="0.35">
      <c r="A46" s="7" t="s">
        <v>27</v>
      </c>
      <c r="B46" s="7" t="s">
        <v>42</v>
      </c>
      <c r="C46" s="7" t="s">
        <v>48</v>
      </c>
      <c r="D46" s="7" t="s">
        <v>49</v>
      </c>
      <c r="E46" s="7" t="s">
        <v>40</v>
      </c>
      <c r="F46" s="7" t="s">
        <v>98</v>
      </c>
      <c r="G46" s="7">
        <v>2020</v>
      </c>
      <c r="H46" s="7" t="str">
        <f>CONCATENATE("04210841278")</f>
        <v>04210841278</v>
      </c>
      <c r="I46" s="7" t="s">
        <v>30</v>
      </c>
      <c r="J46" s="7" t="s">
        <v>31</v>
      </c>
      <c r="K46" s="7" t="str">
        <f>CONCATENATE("")</f>
        <v/>
      </c>
      <c r="L46" s="7" t="str">
        <f>CONCATENATE("13 13.1 4a")</f>
        <v>13 13.1 4a</v>
      </c>
      <c r="M46" s="7" t="str">
        <f>CONCATENATE("SBBMLL43R50I461L")</f>
        <v>SBBMLL43R50I461L</v>
      </c>
      <c r="N46" s="7" t="s">
        <v>125</v>
      </c>
      <c r="O46" s="7" t="s">
        <v>87</v>
      </c>
      <c r="P46" s="8">
        <v>44299</v>
      </c>
      <c r="Q46" s="7" t="s">
        <v>32</v>
      </c>
      <c r="R46" s="7" t="s">
        <v>39</v>
      </c>
      <c r="S46" s="7" t="s">
        <v>34</v>
      </c>
      <c r="T46" s="7"/>
      <c r="U46" s="7" t="s">
        <v>35</v>
      </c>
      <c r="V46" s="7">
        <v>736.26</v>
      </c>
      <c r="W46" s="7">
        <v>317.48</v>
      </c>
      <c r="X46" s="7">
        <v>293.18</v>
      </c>
      <c r="Y46" s="7">
        <v>0</v>
      </c>
      <c r="Z46" s="7">
        <v>125.6</v>
      </c>
    </row>
    <row r="47" spans="1:26" x14ac:dyDescent="0.35">
      <c r="A47" s="7" t="s">
        <v>27</v>
      </c>
      <c r="B47" s="7" t="s">
        <v>42</v>
      </c>
      <c r="C47" s="7" t="s">
        <v>48</v>
      </c>
      <c r="D47" s="7" t="s">
        <v>49</v>
      </c>
      <c r="E47" s="7" t="s">
        <v>29</v>
      </c>
      <c r="F47" s="7" t="s">
        <v>126</v>
      </c>
      <c r="G47" s="7">
        <v>2020</v>
      </c>
      <c r="H47" s="7" t="str">
        <f>CONCATENATE("04210744639")</f>
        <v>04210744639</v>
      </c>
      <c r="I47" s="7" t="s">
        <v>30</v>
      </c>
      <c r="J47" s="7" t="s">
        <v>31</v>
      </c>
      <c r="K47" s="7" t="str">
        <f>CONCATENATE("")</f>
        <v/>
      </c>
      <c r="L47" s="7" t="str">
        <f>CONCATENATE("13 13.1 4a")</f>
        <v>13 13.1 4a</v>
      </c>
      <c r="M47" s="7" t="str">
        <f>CONCATENATE("SSSMZN62B62D211X")</f>
        <v>SSSMZN62B62D211X</v>
      </c>
      <c r="N47" s="7" t="s">
        <v>127</v>
      </c>
      <c r="O47" s="7" t="s">
        <v>87</v>
      </c>
      <c r="P47" s="8">
        <v>44299</v>
      </c>
      <c r="Q47" s="7" t="s">
        <v>32</v>
      </c>
      <c r="R47" s="7" t="s">
        <v>39</v>
      </c>
      <c r="S47" s="7" t="s">
        <v>34</v>
      </c>
      <c r="T47" s="7"/>
      <c r="U47" s="7" t="s">
        <v>35</v>
      </c>
      <c r="V47" s="9">
        <v>1810.34</v>
      </c>
      <c r="W47" s="7">
        <v>780.62</v>
      </c>
      <c r="X47" s="7">
        <v>720.88</v>
      </c>
      <c r="Y47" s="7">
        <v>0</v>
      </c>
      <c r="Z47" s="7">
        <v>308.83999999999997</v>
      </c>
    </row>
    <row r="48" spans="1:26" x14ac:dyDescent="0.35">
      <c r="A48" s="7" t="s">
        <v>27</v>
      </c>
      <c r="B48" s="7" t="s">
        <v>42</v>
      </c>
      <c r="C48" s="7" t="s">
        <v>48</v>
      </c>
      <c r="D48" s="7" t="s">
        <v>60</v>
      </c>
      <c r="E48" s="7" t="s">
        <v>40</v>
      </c>
      <c r="F48" s="7" t="s">
        <v>90</v>
      </c>
      <c r="G48" s="7">
        <v>2020</v>
      </c>
      <c r="H48" s="7" t="str">
        <f>CONCATENATE("04210280691")</f>
        <v>04210280691</v>
      </c>
      <c r="I48" s="7" t="s">
        <v>30</v>
      </c>
      <c r="J48" s="7" t="s">
        <v>31</v>
      </c>
      <c r="K48" s="7" t="str">
        <f>CONCATENATE("")</f>
        <v/>
      </c>
      <c r="L48" s="7" t="str">
        <f>CONCATENATE("13 13.1 4a")</f>
        <v>13 13.1 4a</v>
      </c>
      <c r="M48" s="7" t="str">
        <f>CONCATENATE("PRZDRN72P16G453C")</f>
        <v>PRZDRN72P16G453C</v>
      </c>
      <c r="N48" s="7" t="s">
        <v>128</v>
      </c>
      <c r="O48" s="7" t="s">
        <v>87</v>
      </c>
      <c r="P48" s="8">
        <v>44299</v>
      </c>
      <c r="Q48" s="7" t="s">
        <v>32</v>
      </c>
      <c r="R48" s="7" t="s">
        <v>39</v>
      </c>
      <c r="S48" s="7" t="s">
        <v>34</v>
      </c>
      <c r="T48" s="7"/>
      <c r="U48" s="7" t="s">
        <v>35</v>
      </c>
      <c r="V48" s="9">
        <v>3907.8</v>
      </c>
      <c r="W48" s="9">
        <v>1685.04</v>
      </c>
      <c r="X48" s="9">
        <v>1556.09</v>
      </c>
      <c r="Y48" s="7">
        <v>0</v>
      </c>
      <c r="Z48" s="7">
        <v>666.67</v>
      </c>
    </row>
    <row r="49" spans="1:26" x14ac:dyDescent="0.35">
      <c r="A49" s="7" t="s">
        <v>27</v>
      </c>
      <c r="B49" s="7" t="s">
        <v>42</v>
      </c>
      <c r="C49" s="7" t="s">
        <v>48</v>
      </c>
      <c r="D49" s="7" t="s">
        <v>49</v>
      </c>
      <c r="E49" s="7" t="s">
        <v>29</v>
      </c>
      <c r="F49" s="7" t="s">
        <v>126</v>
      </c>
      <c r="G49" s="7">
        <v>2020</v>
      </c>
      <c r="H49" s="7" t="str">
        <f>CONCATENATE("04210060150")</f>
        <v>04210060150</v>
      </c>
      <c r="I49" s="7" t="s">
        <v>30</v>
      </c>
      <c r="J49" s="7" t="s">
        <v>31</v>
      </c>
      <c r="K49" s="7" t="str">
        <f>CONCATENATE("")</f>
        <v/>
      </c>
      <c r="L49" s="7" t="str">
        <f>CONCATENATE("13 13.1 4a")</f>
        <v>13 13.1 4a</v>
      </c>
      <c r="M49" s="7" t="str">
        <f>CONCATENATE("LBRFNC54T12D451Q")</f>
        <v>LBRFNC54T12D451Q</v>
      </c>
      <c r="N49" s="7" t="s">
        <v>129</v>
      </c>
      <c r="O49" s="7" t="s">
        <v>87</v>
      </c>
      <c r="P49" s="8">
        <v>44299</v>
      </c>
      <c r="Q49" s="7" t="s">
        <v>32</v>
      </c>
      <c r="R49" s="7" t="s">
        <v>39</v>
      </c>
      <c r="S49" s="7" t="s">
        <v>34</v>
      </c>
      <c r="T49" s="7"/>
      <c r="U49" s="7" t="s">
        <v>35</v>
      </c>
      <c r="V49" s="7">
        <v>615.34</v>
      </c>
      <c r="W49" s="7">
        <v>265.33</v>
      </c>
      <c r="X49" s="7">
        <v>245.03</v>
      </c>
      <c r="Y49" s="7">
        <v>0</v>
      </c>
      <c r="Z49" s="7">
        <v>104.98</v>
      </c>
    </row>
    <row r="50" spans="1:26" x14ac:dyDescent="0.35">
      <c r="A50" s="7" t="s">
        <v>27</v>
      </c>
      <c r="B50" s="7" t="s">
        <v>42</v>
      </c>
      <c r="C50" s="7" t="s">
        <v>48</v>
      </c>
      <c r="D50" s="7" t="s">
        <v>49</v>
      </c>
      <c r="E50" s="7" t="s">
        <v>40</v>
      </c>
      <c r="F50" s="7" t="s">
        <v>98</v>
      </c>
      <c r="G50" s="7">
        <v>2020</v>
      </c>
      <c r="H50" s="7" t="str">
        <f>CONCATENATE("04210872885")</f>
        <v>04210872885</v>
      </c>
      <c r="I50" s="7" t="s">
        <v>37</v>
      </c>
      <c r="J50" s="7" t="s">
        <v>31</v>
      </c>
      <c r="K50" s="7" t="str">
        <f>CONCATENATE("")</f>
        <v/>
      </c>
      <c r="L50" s="7" t="str">
        <f>CONCATENATE("13 13.1 4a")</f>
        <v>13 13.1 4a</v>
      </c>
      <c r="M50" s="7" t="str">
        <f>CONCATENATE("CSNGFR43S07D965H")</f>
        <v>CSNGFR43S07D965H</v>
      </c>
      <c r="N50" s="7" t="s">
        <v>130</v>
      </c>
      <c r="O50" s="7" t="s">
        <v>87</v>
      </c>
      <c r="P50" s="8">
        <v>44299</v>
      </c>
      <c r="Q50" s="7" t="s">
        <v>32</v>
      </c>
      <c r="R50" s="7" t="s">
        <v>39</v>
      </c>
      <c r="S50" s="7" t="s">
        <v>34</v>
      </c>
      <c r="T50" s="7"/>
      <c r="U50" s="7" t="s">
        <v>35</v>
      </c>
      <c r="V50" s="7">
        <v>151.38999999999999</v>
      </c>
      <c r="W50" s="7">
        <v>65.28</v>
      </c>
      <c r="X50" s="7">
        <v>60.28</v>
      </c>
      <c r="Y50" s="7">
        <v>0</v>
      </c>
      <c r="Z50" s="7">
        <v>25.83</v>
      </c>
    </row>
    <row r="51" spans="1:26" x14ac:dyDescent="0.35">
      <c r="A51" s="7" t="s">
        <v>27</v>
      </c>
      <c r="B51" s="7" t="s">
        <v>42</v>
      </c>
      <c r="C51" s="7" t="s">
        <v>48</v>
      </c>
      <c r="D51" s="7" t="s">
        <v>49</v>
      </c>
      <c r="E51" s="7" t="s">
        <v>40</v>
      </c>
      <c r="F51" s="7" t="s">
        <v>98</v>
      </c>
      <c r="G51" s="7">
        <v>2020</v>
      </c>
      <c r="H51" s="7" t="str">
        <f>CONCATENATE("04210648897")</f>
        <v>04210648897</v>
      </c>
      <c r="I51" s="7" t="s">
        <v>37</v>
      </c>
      <c r="J51" s="7" t="s">
        <v>31</v>
      </c>
      <c r="K51" s="7" t="str">
        <f>CONCATENATE("")</f>
        <v/>
      </c>
      <c r="L51" s="7" t="str">
        <f>CONCATENATE("13 13.1 4a")</f>
        <v>13 13.1 4a</v>
      </c>
      <c r="M51" s="7" t="str">
        <f>CONCATENATE("DPSPNI84B64D451C")</f>
        <v>DPSPNI84B64D451C</v>
      </c>
      <c r="N51" s="7" t="s">
        <v>131</v>
      </c>
      <c r="O51" s="7" t="s">
        <v>87</v>
      </c>
      <c r="P51" s="8">
        <v>44299</v>
      </c>
      <c r="Q51" s="7" t="s">
        <v>32</v>
      </c>
      <c r="R51" s="7" t="s">
        <v>39</v>
      </c>
      <c r="S51" s="7" t="s">
        <v>34</v>
      </c>
      <c r="T51" s="7"/>
      <c r="U51" s="7" t="s">
        <v>35</v>
      </c>
      <c r="V51" s="7">
        <v>120.23</v>
      </c>
      <c r="W51" s="7">
        <v>51.84</v>
      </c>
      <c r="X51" s="7">
        <v>47.88</v>
      </c>
      <c r="Y51" s="7">
        <v>0</v>
      </c>
      <c r="Z51" s="7">
        <v>20.51</v>
      </c>
    </row>
    <row r="52" spans="1:26" x14ac:dyDescent="0.35">
      <c r="A52" s="7" t="s">
        <v>27</v>
      </c>
      <c r="B52" s="7" t="s">
        <v>42</v>
      </c>
      <c r="C52" s="7" t="s">
        <v>48</v>
      </c>
      <c r="D52" s="7" t="s">
        <v>60</v>
      </c>
      <c r="E52" s="7" t="s">
        <v>40</v>
      </c>
      <c r="F52" s="7" t="s">
        <v>70</v>
      </c>
      <c r="G52" s="7">
        <v>2020</v>
      </c>
      <c r="H52" s="7" t="str">
        <f>CONCATENATE("04210439941")</f>
        <v>04210439941</v>
      </c>
      <c r="I52" s="7" t="s">
        <v>30</v>
      </c>
      <c r="J52" s="7" t="s">
        <v>31</v>
      </c>
      <c r="K52" s="7" t="str">
        <f>CONCATENATE("")</f>
        <v/>
      </c>
      <c r="L52" s="7" t="str">
        <f>CONCATENATE("13 13.1 4a")</f>
        <v>13 13.1 4a</v>
      </c>
      <c r="M52" s="7" t="str">
        <f>CONCATENATE("RGHNNL66H59L500I")</f>
        <v>RGHNNL66H59L500I</v>
      </c>
      <c r="N52" s="7" t="s">
        <v>132</v>
      </c>
      <c r="O52" s="7" t="s">
        <v>87</v>
      </c>
      <c r="P52" s="8">
        <v>44299</v>
      </c>
      <c r="Q52" s="7" t="s">
        <v>32</v>
      </c>
      <c r="R52" s="7" t="s">
        <v>39</v>
      </c>
      <c r="S52" s="7" t="s">
        <v>34</v>
      </c>
      <c r="T52" s="7"/>
      <c r="U52" s="7" t="s">
        <v>35</v>
      </c>
      <c r="V52" s="9">
        <v>4083.56</v>
      </c>
      <c r="W52" s="9">
        <v>1760.83</v>
      </c>
      <c r="X52" s="9">
        <v>1626.07</v>
      </c>
      <c r="Y52" s="7">
        <v>0</v>
      </c>
      <c r="Z52" s="7">
        <v>696.66</v>
      </c>
    </row>
    <row r="53" spans="1:26" x14ac:dyDescent="0.35">
      <c r="A53" s="7" t="s">
        <v>27</v>
      </c>
      <c r="B53" s="7" t="s">
        <v>42</v>
      </c>
      <c r="C53" s="7" t="s">
        <v>48</v>
      </c>
      <c r="D53" s="7" t="s">
        <v>49</v>
      </c>
      <c r="E53" s="7" t="s">
        <v>38</v>
      </c>
      <c r="F53" s="7" t="s">
        <v>102</v>
      </c>
      <c r="G53" s="7">
        <v>2020</v>
      </c>
      <c r="H53" s="7" t="str">
        <f>CONCATENATE("04210532075")</f>
        <v>04210532075</v>
      </c>
      <c r="I53" s="7" t="s">
        <v>30</v>
      </c>
      <c r="J53" s="7" t="s">
        <v>31</v>
      </c>
      <c r="K53" s="7" t="str">
        <f>CONCATENATE("")</f>
        <v/>
      </c>
      <c r="L53" s="7" t="str">
        <f>CONCATENATE("13 13.1 4a")</f>
        <v>13 13.1 4a</v>
      </c>
      <c r="M53" s="7" t="str">
        <f>CONCATENATE("TSSMRT50B04I461Y")</f>
        <v>TSSMRT50B04I461Y</v>
      </c>
      <c r="N53" s="7" t="s">
        <v>133</v>
      </c>
      <c r="O53" s="7" t="s">
        <v>87</v>
      </c>
      <c r="P53" s="8">
        <v>44299</v>
      </c>
      <c r="Q53" s="7" t="s">
        <v>32</v>
      </c>
      <c r="R53" s="7" t="s">
        <v>39</v>
      </c>
      <c r="S53" s="7" t="s">
        <v>34</v>
      </c>
      <c r="T53" s="7"/>
      <c r="U53" s="7" t="s">
        <v>35</v>
      </c>
      <c r="V53" s="9">
        <v>1907.95</v>
      </c>
      <c r="W53" s="7">
        <v>822.71</v>
      </c>
      <c r="X53" s="7">
        <v>759.75</v>
      </c>
      <c r="Y53" s="7">
        <v>0</v>
      </c>
      <c r="Z53" s="7">
        <v>325.49</v>
      </c>
    </row>
    <row r="54" spans="1:26" x14ac:dyDescent="0.35">
      <c r="A54" s="7" t="s">
        <v>27</v>
      </c>
      <c r="B54" s="7" t="s">
        <v>42</v>
      </c>
      <c r="C54" s="7" t="s">
        <v>48</v>
      </c>
      <c r="D54" s="7" t="s">
        <v>49</v>
      </c>
      <c r="E54" s="7" t="s">
        <v>40</v>
      </c>
      <c r="F54" s="7" t="s">
        <v>98</v>
      </c>
      <c r="G54" s="7">
        <v>2020</v>
      </c>
      <c r="H54" s="7" t="str">
        <f>CONCATENATE("04210266344")</f>
        <v>04210266344</v>
      </c>
      <c r="I54" s="7" t="s">
        <v>37</v>
      </c>
      <c r="J54" s="7" t="s">
        <v>31</v>
      </c>
      <c r="K54" s="7" t="str">
        <f>CONCATENATE("")</f>
        <v/>
      </c>
      <c r="L54" s="7" t="str">
        <f>CONCATENATE("13 13.1 4a")</f>
        <v>13 13.1 4a</v>
      </c>
      <c r="M54" s="7" t="str">
        <f>CONCATENATE("BNCLCU92C03D451C")</f>
        <v>BNCLCU92C03D451C</v>
      </c>
      <c r="N54" s="7" t="s">
        <v>134</v>
      </c>
      <c r="O54" s="7" t="s">
        <v>87</v>
      </c>
      <c r="P54" s="8">
        <v>44299</v>
      </c>
      <c r="Q54" s="7" t="s">
        <v>32</v>
      </c>
      <c r="R54" s="7" t="s">
        <v>39</v>
      </c>
      <c r="S54" s="7" t="s">
        <v>34</v>
      </c>
      <c r="T54" s="7"/>
      <c r="U54" s="7" t="s">
        <v>35</v>
      </c>
      <c r="V54" s="7">
        <v>251.64</v>
      </c>
      <c r="W54" s="7">
        <v>108.51</v>
      </c>
      <c r="X54" s="7">
        <v>100.2</v>
      </c>
      <c r="Y54" s="7">
        <v>0</v>
      </c>
      <c r="Z54" s="7">
        <v>42.93</v>
      </c>
    </row>
    <row r="55" spans="1:26" x14ac:dyDescent="0.35">
      <c r="A55" s="7" t="s">
        <v>27</v>
      </c>
      <c r="B55" s="7" t="s">
        <v>42</v>
      </c>
      <c r="C55" s="7" t="s">
        <v>48</v>
      </c>
      <c r="D55" s="7" t="s">
        <v>63</v>
      </c>
      <c r="E55" s="7" t="s">
        <v>38</v>
      </c>
      <c r="F55" s="7" t="s">
        <v>64</v>
      </c>
      <c r="G55" s="7">
        <v>2020</v>
      </c>
      <c r="H55" s="7" t="str">
        <f>CONCATENATE("04210355840")</f>
        <v>04210355840</v>
      </c>
      <c r="I55" s="7" t="s">
        <v>37</v>
      </c>
      <c r="J55" s="7" t="s">
        <v>31</v>
      </c>
      <c r="K55" s="7" t="str">
        <f>CONCATENATE("")</f>
        <v/>
      </c>
      <c r="L55" s="7" t="str">
        <f>CONCATENATE("13 13.1 4a")</f>
        <v>13 13.1 4a</v>
      </c>
      <c r="M55" s="7" t="str">
        <f>CONCATENATE("DLTGNN54T28D691U")</f>
        <v>DLTGNN54T28D691U</v>
      </c>
      <c r="N55" s="7" t="s">
        <v>135</v>
      </c>
      <c r="O55" s="7" t="s">
        <v>87</v>
      </c>
      <c r="P55" s="8">
        <v>44299</v>
      </c>
      <c r="Q55" s="7" t="s">
        <v>32</v>
      </c>
      <c r="R55" s="7" t="s">
        <v>39</v>
      </c>
      <c r="S55" s="7" t="s">
        <v>34</v>
      </c>
      <c r="T55" s="7"/>
      <c r="U55" s="7" t="s">
        <v>35</v>
      </c>
      <c r="V55" s="9">
        <v>1294.72</v>
      </c>
      <c r="W55" s="7">
        <v>558.28</v>
      </c>
      <c r="X55" s="7">
        <v>515.55999999999995</v>
      </c>
      <c r="Y55" s="7">
        <v>0</v>
      </c>
      <c r="Z55" s="7">
        <v>220.88</v>
      </c>
    </row>
    <row r="56" spans="1:26" x14ac:dyDescent="0.35">
      <c r="A56" s="7" t="s">
        <v>27</v>
      </c>
      <c r="B56" s="7" t="s">
        <v>42</v>
      </c>
      <c r="C56" s="7" t="s">
        <v>48</v>
      </c>
      <c r="D56" s="7" t="s">
        <v>49</v>
      </c>
      <c r="E56" s="7" t="s">
        <v>45</v>
      </c>
      <c r="F56" s="7" t="s">
        <v>136</v>
      </c>
      <c r="G56" s="7">
        <v>2020</v>
      </c>
      <c r="H56" s="7" t="str">
        <f>CONCATENATE("04210857076")</f>
        <v>04210857076</v>
      </c>
      <c r="I56" s="7" t="s">
        <v>37</v>
      </c>
      <c r="J56" s="7" t="s">
        <v>31</v>
      </c>
      <c r="K56" s="7" t="str">
        <f>CONCATENATE("")</f>
        <v/>
      </c>
      <c r="L56" s="7" t="str">
        <f>CONCATENATE("13 13.1 4a")</f>
        <v>13 13.1 4a</v>
      </c>
      <c r="M56" s="7" t="str">
        <f>CONCATENATE("SRBFNC42H54D451L")</f>
        <v>SRBFNC42H54D451L</v>
      </c>
      <c r="N56" s="7" t="s">
        <v>137</v>
      </c>
      <c r="O56" s="7" t="s">
        <v>87</v>
      </c>
      <c r="P56" s="8">
        <v>44299</v>
      </c>
      <c r="Q56" s="7" t="s">
        <v>32</v>
      </c>
      <c r="R56" s="7" t="s">
        <v>39</v>
      </c>
      <c r="S56" s="7" t="s">
        <v>34</v>
      </c>
      <c r="T56" s="7"/>
      <c r="U56" s="7" t="s">
        <v>35</v>
      </c>
      <c r="V56" s="7">
        <v>130.15</v>
      </c>
      <c r="W56" s="7">
        <v>56.12</v>
      </c>
      <c r="X56" s="7">
        <v>51.83</v>
      </c>
      <c r="Y56" s="7">
        <v>0</v>
      </c>
      <c r="Z56" s="7">
        <v>22.2</v>
      </c>
    </row>
    <row r="57" spans="1:26" x14ac:dyDescent="0.35">
      <c r="A57" s="7" t="s">
        <v>27</v>
      </c>
      <c r="B57" s="7" t="s">
        <v>42</v>
      </c>
      <c r="C57" s="7" t="s">
        <v>48</v>
      </c>
      <c r="D57" s="7" t="s">
        <v>60</v>
      </c>
      <c r="E57" s="7" t="s">
        <v>46</v>
      </c>
      <c r="F57" s="7" t="s">
        <v>138</v>
      </c>
      <c r="G57" s="7">
        <v>2020</v>
      </c>
      <c r="H57" s="7" t="str">
        <f>CONCATENATE("04210904738")</f>
        <v>04210904738</v>
      </c>
      <c r="I57" s="7" t="s">
        <v>30</v>
      </c>
      <c r="J57" s="7" t="s">
        <v>31</v>
      </c>
      <c r="K57" s="7" t="str">
        <f>CONCATENATE("")</f>
        <v/>
      </c>
      <c r="L57" s="7" t="str">
        <f>CONCATENATE("13 13.1 4a")</f>
        <v>13 13.1 4a</v>
      </c>
      <c r="M57" s="7" t="str">
        <f>CONCATENATE("01398710416")</f>
        <v>01398710416</v>
      </c>
      <c r="N57" s="7" t="s">
        <v>139</v>
      </c>
      <c r="O57" s="7" t="s">
        <v>87</v>
      </c>
      <c r="P57" s="8">
        <v>44299</v>
      </c>
      <c r="Q57" s="7" t="s">
        <v>32</v>
      </c>
      <c r="R57" s="7" t="s">
        <v>39</v>
      </c>
      <c r="S57" s="7" t="s">
        <v>34</v>
      </c>
      <c r="T57" s="7"/>
      <c r="U57" s="7" t="s">
        <v>35</v>
      </c>
      <c r="V57" s="9">
        <v>6262.26</v>
      </c>
      <c r="W57" s="9">
        <v>2700.29</v>
      </c>
      <c r="X57" s="9">
        <v>2493.63</v>
      </c>
      <c r="Y57" s="7">
        <v>0</v>
      </c>
      <c r="Z57" s="9">
        <v>1068.3399999999999</v>
      </c>
    </row>
    <row r="58" spans="1:26" x14ac:dyDescent="0.35">
      <c r="A58" s="7" t="s">
        <v>27</v>
      </c>
      <c r="B58" s="7" t="s">
        <v>42</v>
      </c>
      <c r="C58" s="7" t="s">
        <v>48</v>
      </c>
      <c r="D58" s="7" t="s">
        <v>63</v>
      </c>
      <c r="E58" s="7" t="s">
        <v>29</v>
      </c>
      <c r="F58" s="7" t="s">
        <v>140</v>
      </c>
      <c r="G58" s="7">
        <v>2020</v>
      </c>
      <c r="H58" s="7" t="str">
        <f>CONCATENATE("04210549525")</f>
        <v>04210549525</v>
      </c>
      <c r="I58" s="7" t="s">
        <v>30</v>
      </c>
      <c r="J58" s="7" t="s">
        <v>31</v>
      </c>
      <c r="K58" s="7" t="str">
        <f>CONCATENATE("")</f>
        <v/>
      </c>
      <c r="L58" s="7" t="str">
        <f>CONCATENATE("13 13.1 4a")</f>
        <v>13 13.1 4a</v>
      </c>
      <c r="M58" s="7" t="str">
        <f>CONCATENATE("DSNNGL56A16F570Q")</f>
        <v>DSNNGL56A16F570Q</v>
      </c>
      <c r="N58" s="7" t="s">
        <v>141</v>
      </c>
      <c r="O58" s="7" t="s">
        <v>87</v>
      </c>
      <c r="P58" s="8">
        <v>44299</v>
      </c>
      <c r="Q58" s="7" t="s">
        <v>32</v>
      </c>
      <c r="R58" s="7" t="s">
        <v>39</v>
      </c>
      <c r="S58" s="7" t="s">
        <v>34</v>
      </c>
      <c r="T58" s="7"/>
      <c r="U58" s="7" t="s">
        <v>35</v>
      </c>
      <c r="V58" s="9">
        <v>1410.36</v>
      </c>
      <c r="W58" s="7">
        <v>608.15</v>
      </c>
      <c r="X58" s="7">
        <v>561.61</v>
      </c>
      <c r="Y58" s="7">
        <v>0</v>
      </c>
      <c r="Z58" s="7">
        <v>240.6</v>
      </c>
    </row>
    <row r="59" spans="1:26" x14ac:dyDescent="0.35">
      <c r="A59" s="7" t="s">
        <v>27</v>
      </c>
      <c r="B59" s="7" t="s">
        <v>42</v>
      </c>
      <c r="C59" s="7" t="s">
        <v>48</v>
      </c>
      <c r="D59" s="7" t="s">
        <v>49</v>
      </c>
      <c r="E59" s="7" t="s">
        <v>40</v>
      </c>
      <c r="F59" s="7" t="s">
        <v>98</v>
      </c>
      <c r="G59" s="7">
        <v>2020</v>
      </c>
      <c r="H59" s="7" t="str">
        <f>CONCATENATE("04210165082")</f>
        <v>04210165082</v>
      </c>
      <c r="I59" s="7" t="s">
        <v>37</v>
      </c>
      <c r="J59" s="7" t="s">
        <v>31</v>
      </c>
      <c r="K59" s="7" t="str">
        <f>CONCATENATE("")</f>
        <v/>
      </c>
      <c r="L59" s="7" t="str">
        <f>CONCATENATE("13 13.1 4a")</f>
        <v>13 13.1 4a</v>
      </c>
      <c r="M59" s="7" t="str">
        <f>CONCATENATE("VTLNDR59T24D451E")</f>
        <v>VTLNDR59T24D451E</v>
      </c>
      <c r="N59" s="7" t="s">
        <v>142</v>
      </c>
      <c r="O59" s="7" t="s">
        <v>87</v>
      </c>
      <c r="P59" s="8">
        <v>44299</v>
      </c>
      <c r="Q59" s="7" t="s">
        <v>32</v>
      </c>
      <c r="R59" s="7" t="s">
        <v>39</v>
      </c>
      <c r="S59" s="7" t="s">
        <v>34</v>
      </c>
      <c r="T59" s="7"/>
      <c r="U59" s="7" t="s">
        <v>35</v>
      </c>
      <c r="V59" s="7">
        <v>402.87</v>
      </c>
      <c r="W59" s="7">
        <v>173.72</v>
      </c>
      <c r="X59" s="7">
        <v>160.41999999999999</v>
      </c>
      <c r="Y59" s="7">
        <v>0</v>
      </c>
      <c r="Z59" s="7">
        <v>68.73</v>
      </c>
    </row>
    <row r="60" spans="1:26" x14ac:dyDescent="0.35">
      <c r="A60" s="7" t="s">
        <v>27</v>
      </c>
      <c r="B60" s="7" t="s">
        <v>42</v>
      </c>
      <c r="C60" s="7" t="s">
        <v>48</v>
      </c>
      <c r="D60" s="7" t="s">
        <v>55</v>
      </c>
      <c r="E60" s="7" t="s">
        <v>38</v>
      </c>
      <c r="F60" s="7" t="s">
        <v>143</v>
      </c>
      <c r="G60" s="7">
        <v>2020</v>
      </c>
      <c r="H60" s="7" t="str">
        <f>CONCATENATE("04210323954")</f>
        <v>04210323954</v>
      </c>
      <c r="I60" s="7" t="s">
        <v>30</v>
      </c>
      <c r="J60" s="7" t="s">
        <v>31</v>
      </c>
      <c r="K60" s="7" t="str">
        <f>CONCATENATE("")</f>
        <v/>
      </c>
      <c r="L60" s="7" t="str">
        <f>CONCATENATE("13 13.1 4a")</f>
        <v>13 13.1 4a</v>
      </c>
      <c r="M60" s="7" t="str">
        <f>CONCATENATE("01741900433")</f>
        <v>01741900433</v>
      </c>
      <c r="N60" s="7" t="s">
        <v>144</v>
      </c>
      <c r="O60" s="7" t="s">
        <v>87</v>
      </c>
      <c r="P60" s="8">
        <v>44299</v>
      </c>
      <c r="Q60" s="7" t="s">
        <v>32</v>
      </c>
      <c r="R60" s="7" t="s">
        <v>39</v>
      </c>
      <c r="S60" s="7" t="s">
        <v>34</v>
      </c>
      <c r="T60" s="7"/>
      <c r="U60" s="7" t="s">
        <v>35</v>
      </c>
      <c r="V60" s="7">
        <v>462.65</v>
      </c>
      <c r="W60" s="7">
        <v>199.49</v>
      </c>
      <c r="X60" s="7">
        <v>184.23</v>
      </c>
      <c r="Y60" s="7">
        <v>0</v>
      </c>
      <c r="Z60" s="7">
        <v>78.930000000000007</v>
      </c>
    </row>
    <row r="61" spans="1:26" x14ac:dyDescent="0.35">
      <c r="A61" s="7" t="s">
        <v>27</v>
      </c>
      <c r="B61" s="7" t="s">
        <v>42</v>
      </c>
      <c r="C61" s="7" t="s">
        <v>48</v>
      </c>
      <c r="D61" s="7" t="s">
        <v>55</v>
      </c>
      <c r="E61" s="7" t="s">
        <v>46</v>
      </c>
      <c r="F61" s="7" t="s">
        <v>145</v>
      </c>
      <c r="G61" s="7">
        <v>2020</v>
      </c>
      <c r="H61" s="7" t="str">
        <f>CONCATENATE("04210327369")</f>
        <v>04210327369</v>
      </c>
      <c r="I61" s="7" t="s">
        <v>30</v>
      </c>
      <c r="J61" s="7" t="s">
        <v>31</v>
      </c>
      <c r="K61" s="7" t="str">
        <f>CONCATENATE("")</f>
        <v/>
      </c>
      <c r="L61" s="7" t="str">
        <f>CONCATENATE("13 13.1 4a")</f>
        <v>13 13.1 4a</v>
      </c>
      <c r="M61" s="7" t="str">
        <f>CONCATENATE("RNZRLA65D09B474J")</f>
        <v>RNZRLA65D09B474J</v>
      </c>
      <c r="N61" s="7" t="s">
        <v>146</v>
      </c>
      <c r="O61" s="7" t="s">
        <v>87</v>
      </c>
      <c r="P61" s="8">
        <v>44299</v>
      </c>
      <c r="Q61" s="7" t="s">
        <v>32</v>
      </c>
      <c r="R61" s="7" t="s">
        <v>39</v>
      </c>
      <c r="S61" s="7" t="s">
        <v>34</v>
      </c>
      <c r="T61" s="7"/>
      <c r="U61" s="7" t="s">
        <v>35</v>
      </c>
      <c r="V61" s="7">
        <v>334.1</v>
      </c>
      <c r="W61" s="7">
        <v>144.06</v>
      </c>
      <c r="X61" s="7">
        <v>133.04</v>
      </c>
      <c r="Y61" s="7">
        <v>0</v>
      </c>
      <c r="Z61" s="7">
        <v>57</v>
      </c>
    </row>
    <row r="62" spans="1:26" x14ac:dyDescent="0.35">
      <c r="A62" s="7" t="s">
        <v>27</v>
      </c>
      <c r="B62" s="7" t="s">
        <v>42</v>
      </c>
      <c r="C62" s="7" t="s">
        <v>48</v>
      </c>
      <c r="D62" s="7" t="s">
        <v>55</v>
      </c>
      <c r="E62" s="7" t="s">
        <v>46</v>
      </c>
      <c r="F62" s="7" t="s">
        <v>147</v>
      </c>
      <c r="G62" s="7">
        <v>2020</v>
      </c>
      <c r="H62" s="7" t="str">
        <f>CONCATENATE("04210193373")</f>
        <v>04210193373</v>
      </c>
      <c r="I62" s="7" t="s">
        <v>30</v>
      </c>
      <c r="J62" s="7" t="s">
        <v>31</v>
      </c>
      <c r="K62" s="7" t="str">
        <f>CONCATENATE("")</f>
        <v/>
      </c>
      <c r="L62" s="7" t="str">
        <f>CONCATENATE("13 13.1 4a")</f>
        <v>13 13.1 4a</v>
      </c>
      <c r="M62" s="7" t="str">
        <f>CONCATENATE("CCCTTI67P18B474U")</f>
        <v>CCCTTI67P18B474U</v>
      </c>
      <c r="N62" s="7" t="s">
        <v>148</v>
      </c>
      <c r="O62" s="7" t="s">
        <v>87</v>
      </c>
      <c r="P62" s="8">
        <v>44299</v>
      </c>
      <c r="Q62" s="7" t="s">
        <v>32</v>
      </c>
      <c r="R62" s="7" t="s">
        <v>39</v>
      </c>
      <c r="S62" s="7" t="s">
        <v>34</v>
      </c>
      <c r="T62" s="7"/>
      <c r="U62" s="7" t="s">
        <v>35</v>
      </c>
      <c r="V62" s="9">
        <v>4482.7700000000004</v>
      </c>
      <c r="W62" s="9">
        <v>1932.97</v>
      </c>
      <c r="X62" s="9">
        <v>1785.04</v>
      </c>
      <c r="Y62" s="7">
        <v>0</v>
      </c>
      <c r="Z62" s="7">
        <v>764.76</v>
      </c>
    </row>
    <row r="63" spans="1:26" x14ac:dyDescent="0.35">
      <c r="A63" s="7" t="s">
        <v>27</v>
      </c>
      <c r="B63" s="7" t="s">
        <v>42</v>
      </c>
      <c r="C63" s="7" t="s">
        <v>48</v>
      </c>
      <c r="D63" s="7" t="s">
        <v>55</v>
      </c>
      <c r="E63" s="7" t="s">
        <v>38</v>
      </c>
      <c r="F63" s="7" t="s">
        <v>143</v>
      </c>
      <c r="G63" s="7">
        <v>2020</v>
      </c>
      <c r="H63" s="7" t="str">
        <f>CONCATENATE("04210554129")</f>
        <v>04210554129</v>
      </c>
      <c r="I63" s="7" t="s">
        <v>30</v>
      </c>
      <c r="J63" s="7" t="s">
        <v>31</v>
      </c>
      <c r="K63" s="7" t="str">
        <f>CONCATENATE("")</f>
        <v/>
      </c>
      <c r="L63" s="7" t="str">
        <f>CONCATENATE("13 13.1 4a")</f>
        <v>13 13.1 4a</v>
      </c>
      <c r="M63" s="7" t="str">
        <f>CONCATENATE("01988740435")</f>
        <v>01988740435</v>
      </c>
      <c r="N63" s="7" t="s">
        <v>149</v>
      </c>
      <c r="O63" s="7" t="s">
        <v>87</v>
      </c>
      <c r="P63" s="8">
        <v>44299</v>
      </c>
      <c r="Q63" s="7" t="s">
        <v>32</v>
      </c>
      <c r="R63" s="7" t="s">
        <v>39</v>
      </c>
      <c r="S63" s="7" t="s">
        <v>34</v>
      </c>
      <c r="T63" s="7"/>
      <c r="U63" s="7" t="s">
        <v>35</v>
      </c>
      <c r="V63" s="7">
        <v>614.86</v>
      </c>
      <c r="W63" s="7">
        <v>265.13</v>
      </c>
      <c r="X63" s="7">
        <v>244.84</v>
      </c>
      <c r="Y63" s="7">
        <v>0</v>
      </c>
      <c r="Z63" s="7">
        <v>104.89</v>
      </c>
    </row>
    <row r="64" spans="1:26" x14ac:dyDescent="0.35">
      <c r="A64" s="7" t="s">
        <v>27</v>
      </c>
      <c r="B64" s="7" t="s">
        <v>42</v>
      </c>
      <c r="C64" s="7" t="s">
        <v>48</v>
      </c>
      <c r="D64" s="7" t="s">
        <v>49</v>
      </c>
      <c r="E64" s="7" t="s">
        <v>40</v>
      </c>
      <c r="F64" s="7" t="s">
        <v>98</v>
      </c>
      <c r="G64" s="7">
        <v>2020</v>
      </c>
      <c r="H64" s="7" t="str">
        <f>CONCATENATE("04210606838")</f>
        <v>04210606838</v>
      </c>
      <c r="I64" s="7" t="s">
        <v>30</v>
      </c>
      <c r="J64" s="7" t="s">
        <v>31</v>
      </c>
      <c r="K64" s="7" t="str">
        <f>CONCATENATE("")</f>
        <v/>
      </c>
      <c r="L64" s="7" t="str">
        <f>CONCATENATE("13 13.1 4a")</f>
        <v>13 13.1 4a</v>
      </c>
      <c r="M64" s="7" t="str">
        <f>CONCATENATE("02817500420")</f>
        <v>02817500420</v>
      </c>
      <c r="N64" s="7" t="s">
        <v>150</v>
      </c>
      <c r="O64" s="7" t="s">
        <v>87</v>
      </c>
      <c r="P64" s="8">
        <v>44299</v>
      </c>
      <c r="Q64" s="7" t="s">
        <v>32</v>
      </c>
      <c r="R64" s="7" t="s">
        <v>39</v>
      </c>
      <c r="S64" s="7" t="s">
        <v>34</v>
      </c>
      <c r="T64" s="7"/>
      <c r="U64" s="7" t="s">
        <v>35</v>
      </c>
      <c r="V64" s="7">
        <v>79.430000000000007</v>
      </c>
      <c r="W64" s="7">
        <v>34.25</v>
      </c>
      <c r="X64" s="7">
        <v>31.63</v>
      </c>
      <c r="Y64" s="7">
        <v>0</v>
      </c>
      <c r="Z64" s="7">
        <v>13.55</v>
      </c>
    </row>
    <row r="65" spans="1:26" x14ac:dyDescent="0.35">
      <c r="A65" s="7" t="s">
        <v>27</v>
      </c>
      <c r="B65" s="7" t="s">
        <v>42</v>
      </c>
      <c r="C65" s="7" t="s">
        <v>48</v>
      </c>
      <c r="D65" s="7" t="s">
        <v>60</v>
      </c>
      <c r="E65" s="7" t="s">
        <v>40</v>
      </c>
      <c r="F65" s="7" t="s">
        <v>90</v>
      </c>
      <c r="G65" s="7">
        <v>2020</v>
      </c>
      <c r="H65" s="7" t="str">
        <f>CONCATENATE("04210300549")</f>
        <v>04210300549</v>
      </c>
      <c r="I65" s="7" t="s">
        <v>30</v>
      </c>
      <c r="J65" s="7" t="s">
        <v>31</v>
      </c>
      <c r="K65" s="7" t="str">
        <f>CONCATENATE("")</f>
        <v/>
      </c>
      <c r="L65" s="7" t="str">
        <f>CONCATENATE("13 13.1 4a")</f>
        <v>13 13.1 4a</v>
      </c>
      <c r="M65" s="7" t="str">
        <f>CONCATENATE("CNNGNI38D14B352S")</f>
        <v>CNNGNI38D14B352S</v>
      </c>
      <c r="N65" s="7" t="s">
        <v>151</v>
      </c>
      <c r="O65" s="7" t="s">
        <v>87</v>
      </c>
      <c r="P65" s="8">
        <v>44299</v>
      </c>
      <c r="Q65" s="7" t="s">
        <v>32</v>
      </c>
      <c r="R65" s="7" t="s">
        <v>39</v>
      </c>
      <c r="S65" s="7" t="s">
        <v>34</v>
      </c>
      <c r="T65" s="7"/>
      <c r="U65" s="7" t="s">
        <v>35</v>
      </c>
      <c r="V65" s="9">
        <v>4277</v>
      </c>
      <c r="W65" s="9">
        <v>1844.24</v>
      </c>
      <c r="X65" s="9">
        <v>1703.1</v>
      </c>
      <c r="Y65" s="7">
        <v>0</v>
      </c>
      <c r="Z65" s="7">
        <v>729.66</v>
      </c>
    </row>
    <row r="66" spans="1:26" x14ac:dyDescent="0.35">
      <c r="A66" s="7" t="s">
        <v>27</v>
      </c>
      <c r="B66" s="7" t="s">
        <v>42</v>
      </c>
      <c r="C66" s="7" t="s">
        <v>48</v>
      </c>
      <c r="D66" s="7" t="s">
        <v>49</v>
      </c>
      <c r="E66" s="7" t="s">
        <v>38</v>
      </c>
      <c r="F66" s="7" t="s">
        <v>104</v>
      </c>
      <c r="G66" s="7">
        <v>2020</v>
      </c>
      <c r="H66" s="7" t="str">
        <f>CONCATENATE("04210091437")</f>
        <v>04210091437</v>
      </c>
      <c r="I66" s="7" t="s">
        <v>30</v>
      </c>
      <c r="J66" s="7" t="s">
        <v>31</v>
      </c>
      <c r="K66" s="7" t="str">
        <f>CONCATENATE("")</f>
        <v/>
      </c>
      <c r="L66" s="7" t="str">
        <f>CONCATENATE("13 13.1 4a")</f>
        <v>13 13.1 4a</v>
      </c>
      <c r="M66" s="7" t="str">
        <f>CONCATENATE("TBCGBR63D20D451K")</f>
        <v>TBCGBR63D20D451K</v>
      </c>
      <c r="N66" s="7" t="s">
        <v>152</v>
      </c>
      <c r="O66" s="7" t="s">
        <v>87</v>
      </c>
      <c r="P66" s="8">
        <v>44299</v>
      </c>
      <c r="Q66" s="7" t="s">
        <v>32</v>
      </c>
      <c r="R66" s="7" t="s">
        <v>39</v>
      </c>
      <c r="S66" s="7" t="s">
        <v>34</v>
      </c>
      <c r="T66" s="7"/>
      <c r="U66" s="7" t="s">
        <v>35</v>
      </c>
      <c r="V66" s="9">
        <v>1461.42</v>
      </c>
      <c r="W66" s="7">
        <v>630.16</v>
      </c>
      <c r="X66" s="7">
        <v>581.94000000000005</v>
      </c>
      <c r="Y66" s="7">
        <v>0</v>
      </c>
      <c r="Z66" s="7">
        <v>249.32</v>
      </c>
    </row>
    <row r="67" spans="1:26" x14ac:dyDescent="0.35">
      <c r="A67" s="7" t="s">
        <v>27</v>
      </c>
      <c r="B67" s="7" t="s">
        <v>42</v>
      </c>
      <c r="C67" s="7" t="s">
        <v>48</v>
      </c>
      <c r="D67" s="7" t="s">
        <v>60</v>
      </c>
      <c r="E67" s="7" t="s">
        <v>40</v>
      </c>
      <c r="F67" s="7" t="s">
        <v>90</v>
      </c>
      <c r="G67" s="7">
        <v>2020</v>
      </c>
      <c r="H67" s="7" t="str">
        <f>CONCATENATE("04210277747")</f>
        <v>04210277747</v>
      </c>
      <c r="I67" s="7" t="s">
        <v>30</v>
      </c>
      <c r="J67" s="7" t="s">
        <v>31</v>
      </c>
      <c r="K67" s="7" t="str">
        <f>CONCATENATE("")</f>
        <v/>
      </c>
      <c r="L67" s="7" t="str">
        <f>CONCATENATE("13 13.1 4a")</f>
        <v>13 13.1 4a</v>
      </c>
      <c r="M67" s="7" t="str">
        <f>CONCATENATE("PRZMRA50P07B352K")</f>
        <v>PRZMRA50P07B352K</v>
      </c>
      <c r="N67" s="7" t="s">
        <v>153</v>
      </c>
      <c r="O67" s="7" t="s">
        <v>87</v>
      </c>
      <c r="P67" s="8">
        <v>44299</v>
      </c>
      <c r="Q67" s="7" t="s">
        <v>32</v>
      </c>
      <c r="R67" s="7" t="s">
        <v>39</v>
      </c>
      <c r="S67" s="7" t="s">
        <v>34</v>
      </c>
      <c r="T67" s="7"/>
      <c r="U67" s="7" t="s">
        <v>35</v>
      </c>
      <c r="V67" s="9">
        <v>3229.26</v>
      </c>
      <c r="W67" s="9">
        <v>1392.46</v>
      </c>
      <c r="X67" s="9">
        <v>1285.8900000000001</v>
      </c>
      <c r="Y67" s="7">
        <v>0</v>
      </c>
      <c r="Z67" s="7">
        <v>550.91</v>
      </c>
    </row>
    <row r="68" spans="1:26" x14ac:dyDescent="0.35">
      <c r="A68" s="7" t="s">
        <v>27</v>
      </c>
      <c r="B68" s="7" t="s">
        <v>42</v>
      </c>
      <c r="C68" s="7" t="s">
        <v>48</v>
      </c>
      <c r="D68" s="7" t="s">
        <v>60</v>
      </c>
      <c r="E68" s="7" t="s">
        <v>40</v>
      </c>
      <c r="F68" s="7" t="s">
        <v>90</v>
      </c>
      <c r="G68" s="7">
        <v>2020</v>
      </c>
      <c r="H68" s="7" t="str">
        <f>CONCATENATE("04210337921")</f>
        <v>04210337921</v>
      </c>
      <c r="I68" s="7" t="s">
        <v>30</v>
      </c>
      <c r="J68" s="7" t="s">
        <v>31</v>
      </c>
      <c r="K68" s="7" t="str">
        <f>CONCATENATE("")</f>
        <v/>
      </c>
      <c r="L68" s="7" t="str">
        <f>CONCATENATE("13 13.1 4a")</f>
        <v>13 13.1 4a</v>
      </c>
      <c r="M68" s="7" t="str">
        <f>CONCATENATE("NGLTRS47R61B352T")</f>
        <v>NGLTRS47R61B352T</v>
      </c>
      <c r="N68" s="7" t="s">
        <v>154</v>
      </c>
      <c r="O68" s="7" t="s">
        <v>87</v>
      </c>
      <c r="P68" s="8">
        <v>44299</v>
      </c>
      <c r="Q68" s="7" t="s">
        <v>32</v>
      </c>
      <c r="R68" s="7" t="s">
        <v>39</v>
      </c>
      <c r="S68" s="7" t="s">
        <v>34</v>
      </c>
      <c r="T68" s="7"/>
      <c r="U68" s="7" t="s">
        <v>35</v>
      </c>
      <c r="V68" s="9">
        <v>1015.5</v>
      </c>
      <c r="W68" s="7">
        <v>437.88</v>
      </c>
      <c r="X68" s="7">
        <v>404.37</v>
      </c>
      <c r="Y68" s="7">
        <v>0</v>
      </c>
      <c r="Z68" s="7">
        <v>173.25</v>
      </c>
    </row>
    <row r="69" spans="1:26" x14ac:dyDescent="0.35">
      <c r="A69" s="7" t="s">
        <v>27</v>
      </c>
      <c r="B69" s="7" t="s">
        <v>42</v>
      </c>
      <c r="C69" s="7" t="s">
        <v>48</v>
      </c>
      <c r="D69" s="7" t="s">
        <v>60</v>
      </c>
      <c r="E69" s="7" t="s">
        <v>46</v>
      </c>
      <c r="F69" s="7" t="s">
        <v>138</v>
      </c>
      <c r="G69" s="7">
        <v>2020</v>
      </c>
      <c r="H69" s="7" t="str">
        <f>CONCATENATE("04210905370")</f>
        <v>04210905370</v>
      </c>
      <c r="I69" s="7" t="s">
        <v>30</v>
      </c>
      <c r="J69" s="7" t="s">
        <v>31</v>
      </c>
      <c r="K69" s="7" t="str">
        <f>CONCATENATE("")</f>
        <v/>
      </c>
      <c r="L69" s="7" t="str">
        <f>CONCATENATE("13 13.1 4a")</f>
        <v>13 13.1 4a</v>
      </c>
      <c r="M69" s="7" t="str">
        <f>CONCATENATE("02247380419")</f>
        <v>02247380419</v>
      </c>
      <c r="N69" s="7" t="s">
        <v>155</v>
      </c>
      <c r="O69" s="7" t="s">
        <v>87</v>
      </c>
      <c r="P69" s="8">
        <v>44299</v>
      </c>
      <c r="Q69" s="7" t="s">
        <v>32</v>
      </c>
      <c r="R69" s="7" t="s">
        <v>39</v>
      </c>
      <c r="S69" s="7" t="s">
        <v>34</v>
      </c>
      <c r="T69" s="7"/>
      <c r="U69" s="7" t="s">
        <v>35</v>
      </c>
      <c r="V69" s="9">
        <v>6543.11</v>
      </c>
      <c r="W69" s="9">
        <v>2821.39</v>
      </c>
      <c r="X69" s="9">
        <v>2605.4699999999998</v>
      </c>
      <c r="Y69" s="7">
        <v>0</v>
      </c>
      <c r="Z69" s="9">
        <v>1116.25</v>
      </c>
    </row>
    <row r="70" spans="1:26" x14ac:dyDescent="0.35">
      <c r="A70" s="7" t="s">
        <v>27</v>
      </c>
      <c r="B70" s="7" t="s">
        <v>42</v>
      </c>
      <c r="C70" s="7" t="s">
        <v>48</v>
      </c>
      <c r="D70" s="7" t="s">
        <v>60</v>
      </c>
      <c r="E70" s="7" t="s">
        <v>38</v>
      </c>
      <c r="F70" s="7" t="s">
        <v>156</v>
      </c>
      <c r="G70" s="7">
        <v>2020</v>
      </c>
      <c r="H70" s="7" t="str">
        <f>CONCATENATE("04210039998")</f>
        <v>04210039998</v>
      </c>
      <c r="I70" s="7" t="s">
        <v>30</v>
      </c>
      <c r="J70" s="7" t="s">
        <v>31</v>
      </c>
      <c r="K70" s="7" t="str">
        <f>CONCATENATE("")</f>
        <v/>
      </c>
      <c r="L70" s="7" t="str">
        <f>CONCATENATE("13 13.1 4a")</f>
        <v>13 13.1 4a</v>
      </c>
      <c r="M70" s="7" t="str">
        <f>CONCATENATE("CRLLGU42H15C830J")</f>
        <v>CRLLGU42H15C830J</v>
      </c>
      <c r="N70" s="7" t="s">
        <v>157</v>
      </c>
      <c r="O70" s="7" t="s">
        <v>87</v>
      </c>
      <c r="P70" s="8">
        <v>44299</v>
      </c>
      <c r="Q70" s="7" t="s">
        <v>32</v>
      </c>
      <c r="R70" s="7" t="s">
        <v>39</v>
      </c>
      <c r="S70" s="7" t="s">
        <v>34</v>
      </c>
      <c r="T70" s="7"/>
      <c r="U70" s="7" t="s">
        <v>35</v>
      </c>
      <c r="V70" s="9">
        <v>2091.6799999999998</v>
      </c>
      <c r="W70" s="7">
        <v>901.93</v>
      </c>
      <c r="X70" s="7">
        <v>832.91</v>
      </c>
      <c r="Y70" s="7">
        <v>0</v>
      </c>
      <c r="Z70" s="7">
        <v>356.84</v>
      </c>
    </row>
    <row r="71" spans="1:26" x14ac:dyDescent="0.35">
      <c r="A71" s="7" t="s">
        <v>27</v>
      </c>
      <c r="B71" s="7" t="s">
        <v>42</v>
      </c>
      <c r="C71" s="7" t="s">
        <v>48</v>
      </c>
      <c r="D71" s="7" t="s">
        <v>60</v>
      </c>
      <c r="E71" s="7" t="s">
        <v>40</v>
      </c>
      <c r="F71" s="7" t="s">
        <v>90</v>
      </c>
      <c r="G71" s="7">
        <v>2020</v>
      </c>
      <c r="H71" s="7" t="str">
        <f>CONCATENATE("04210280022")</f>
        <v>04210280022</v>
      </c>
      <c r="I71" s="7" t="s">
        <v>30</v>
      </c>
      <c r="J71" s="7" t="s">
        <v>31</v>
      </c>
      <c r="K71" s="7" t="str">
        <f>CONCATENATE("")</f>
        <v/>
      </c>
      <c r="L71" s="7" t="str">
        <f>CONCATENATE("13 13.1 4a")</f>
        <v>13 13.1 4a</v>
      </c>
      <c r="M71" s="7" t="str">
        <f>CONCATENATE("TRSSRG50R09G453O")</f>
        <v>TRSSRG50R09G453O</v>
      </c>
      <c r="N71" s="7" t="s">
        <v>158</v>
      </c>
      <c r="O71" s="7" t="s">
        <v>87</v>
      </c>
      <c r="P71" s="8">
        <v>44299</v>
      </c>
      <c r="Q71" s="7" t="s">
        <v>32</v>
      </c>
      <c r="R71" s="7" t="s">
        <v>39</v>
      </c>
      <c r="S71" s="7" t="s">
        <v>34</v>
      </c>
      <c r="T71" s="7"/>
      <c r="U71" s="7" t="s">
        <v>35</v>
      </c>
      <c r="V71" s="9">
        <v>6391.55</v>
      </c>
      <c r="W71" s="9">
        <v>2756.04</v>
      </c>
      <c r="X71" s="9">
        <v>2545.12</v>
      </c>
      <c r="Y71" s="7">
        <v>0</v>
      </c>
      <c r="Z71" s="9">
        <v>1090.3900000000001</v>
      </c>
    </row>
    <row r="72" spans="1:26" x14ac:dyDescent="0.35">
      <c r="A72" s="7" t="s">
        <v>27</v>
      </c>
      <c r="B72" s="7" t="s">
        <v>42</v>
      </c>
      <c r="C72" s="7" t="s">
        <v>48</v>
      </c>
      <c r="D72" s="7" t="s">
        <v>49</v>
      </c>
      <c r="E72" s="7" t="s">
        <v>38</v>
      </c>
      <c r="F72" s="7" t="s">
        <v>102</v>
      </c>
      <c r="G72" s="7">
        <v>2020</v>
      </c>
      <c r="H72" s="7" t="str">
        <f>CONCATENATE("04210366953")</f>
        <v>04210366953</v>
      </c>
      <c r="I72" s="7" t="s">
        <v>30</v>
      </c>
      <c r="J72" s="7" t="s">
        <v>31</v>
      </c>
      <c r="K72" s="7" t="str">
        <f>CONCATENATE("")</f>
        <v/>
      </c>
      <c r="L72" s="7" t="str">
        <f>CONCATENATE("13 13.1 4a")</f>
        <v>13 13.1 4a</v>
      </c>
      <c r="M72" s="7" t="str">
        <f>CONCATENATE("CLMMRA30E55I461H")</f>
        <v>CLMMRA30E55I461H</v>
      </c>
      <c r="N72" s="7" t="s">
        <v>159</v>
      </c>
      <c r="O72" s="7" t="s">
        <v>87</v>
      </c>
      <c r="P72" s="8">
        <v>44299</v>
      </c>
      <c r="Q72" s="7" t="s">
        <v>32</v>
      </c>
      <c r="R72" s="7" t="s">
        <v>39</v>
      </c>
      <c r="S72" s="7" t="s">
        <v>34</v>
      </c>
      <c r="T72" s="7"/>
      <c r="U72" s="7" t="s">
        <v>35</v>
      </c>
      <c r="V72" s="9">
        <v>4889.53</v>
      </c>
      <c r="W72" s="9">
        <v>2108.37</v>
      </c>
      <c r="X72" s="9">
        <v>1947.01</v>
      </c>
      <c r="Y72" s="7">
        <v>0</v>
      </c>
      <c r="Z72" s="7">
        <v>834.15</v>
      </c>
    </row>
    <row r="73" spans="1:26" x14ac:dyDescent="0.35">
      <c r="A73" s="7" t="s">
        <v>27</v>
      </c>
      <c r="B73" s="7" t="s">
        <v>42</v>
      </c>
      <c r="C73" s="7" t="s">
        <v>48</v>
      </c>
      <c r="D73" s="7" t="s">
        <v>60</v>
      </c>
      <c r="E73" s="7" t="s">
        <v>40</v>
      </c>
      <c r="F73" s="7" t="s">
        <v>90</v>
      </c>
      <c r="G73" s="7">
        <v>2020</v>
      </c>
      <c r="H73" s="7" t="str">
        <f>CONCATENATE("04210305332")</f>
        <v>04210305332</v>
      </c>
      <c r="I73" s="7" t="s">
        <v>30</v>
      </c>
      <c r="J73" s="7" t="s">
        <v>31</v>
      </c>
      <c r="K73" s="7" t="str">
        <f>CONCATENATE("")</f>
        <v/>
      </c>
      <c r="L73" s="7" t="str">
        <f>CONCATENATE("13 13.1 4a")</f>
        <v>13 13.1 4a</v>
      </c>
      <c r="M73" s="7" t="str">
        <f>CONCATENATE("CCLSNT24E58B636O")</f>
        <v>CCLSNT24E58B636O</v>
      </c>
      <c r="N73" s="7" t="s">
        <v>160</v>
      </c>
      <c r="O73" s="7" t="s">
        <v>87</v>
      </c>
      <c r="P73" s="8">
        <v>44299</v>
      </c>
      <c r="Q73" s="7" t="s">
        <v>32</v>
      </c>
      <c r="R73" s="7" t="s">
        <v>39</v>
      </c>
      <c r="S73" s="7" t="s">
        <v>34</v>
      </c>
      <c r="T73" s="7"/>
      <c r="U73" s="7" t="s">
        <v>35</v>
      </c>
      <c r="V73" s="9">
        <v>1972.96</v>
      </c>
      <c r="W73" s="7">
        <v>850.74</v>
      </c>
      <c r="X73" s="7">
        <v>785.63</v>
      </c>
      <c r="Y73" s="7">
        <v>0</v>
      </c>
      <c r="Z73" s="7">
        <v>336.59</v>
      </c>
    </row>
    <row r="74" spans="1:26" x14ac:dyDescent="0.35">
      <c r="A74" s="7" t="s">
        <v>27</v>
      </c>
      <c r="B74" s="7" t="s">
        <v>42</v>
      </c>
      <c r="C74" s="7" t="s">
        <v>48</v>
      </c>
      <c r="D74" s="7" t="s">
        <v>55</v>
      </c>
      <c r="E74" s="7" t="s">
        <v>38</v>
      </c>
      <c r="F74" s="7" t="s">
        <v>143</v>
      </c>
      <c r="G74" s="7">
        <v>2020</v>
      </c>
      <c r="H74" s="7" t="str">
        <f>CONCATENATE("04210174944")</f>
        <v>04210174944</v>
      </c>
      <c r="I74" s="7" t="s">
        <v>30</v>
      </c>
      <c r="J74" s="7" t="s">
        <v>31</v>
      </c>
      <c r="K74" s="7" t="str">
        <f>CONCATENATE("")</f>
        <v/>
      </c>
      <c r="L74" s="7" t="str">
        <f>CONCATENATE("13 13.1 4a")</f>
        <v>13 13.1 4a</v>
      </c>
      <c r="M74" s="7" t="str">
        <f>CONCATENATE("TMSGNN66B01I436D")</f>
        <v>TMSGNN66B01I436D</v>
      </c>
      <c r="N74" s="7" t="s">
        <v>161</v>
      </c>
      <c r="O74" s="7" t="s">
        <v>87</v>
      </c>
      <c r="P74" s="8">
        <v>44299</v>
      </c>
      <c r="Q74" s="7" t="s">
        <v>32</v>
      </c>
      <c r="R74" s="7" t="s">
        <v>39</v>
      </c>
      <c r="S74" s="7" t="s">
        <v>34</v>
      </c>
      <c r="T74" s="7"/>
      <c r="U74" s="7" t="s">
        <v>35</v>
      </c>
      <c r="V74" s="7">
        <v>951.52</v>
      </c>
      <c r="W74" s="7">
        <v>410.3</v>
      </c>
      <c r="X74" s="7">
        <v>378.9</v>
      </c>
      <c r="Y74" s="7">
        <v>0</v>
      </c>
      <c r="Z74" s="7">
        <v>162.32</v>
      </c>
    </row>
    <row r="75" spans="1:26" x14ac:dyDescent="0.35">
      <c r="A75" s="7" t="s">
        <v>27</v>
      </c>
      <c r="B75" s="7" t="s">
        <v>42</v>
      </c>
      <c r="C75" s="7" t="s">
        <v>48</v>
      </c>
      <c r="D75" s="7" t="s">
        <v>60</v>
      </c>
      <c r="E75" s="7" t="s">
        <v>40</v>
      </c>
      <c r="F75" s="7" t="s">
        <v>113</v>
      </c>
      <c r="G75" s="7">
        <v>2020</v>
      </c>
      <c r="H75" s="7" t="str">
        <f>CONCATENATE("04210701936")</f>
        <v>04210701936</v>
      </c>
      <c r="I75" s="7" t="s">
        <v>30</v>
      </c>
      <c r="J75" s="7" t="s">
        <v>31</v>
      </c>
      <c r="K75" s="7" t="str">
        <f>CONCATENATE("")</f>
        <v/>
      </c>
      <c r="L75" s="7" t="str">
        <f>CONCATENATE("13 13.1 4a")</f>
        <v>13 13.1 4a</v>
      </c>
      <c r="M75" s="7" t="str">
        <f>CONCATENATE("PRDTNZ63L23D749L")</f>
        <v>PRDTNZ63L23D749L</v>
      </c>
      <c r="N75" s="7" t="s">
        <v>162</v>
      </c>
      <c r="O75" s="7" t="s">
        <v>87</v>
      </c>
      <c r="P75" s="8">
        <v>44299</v>
      </c>
      <c r="Q75" s="7" t="s">
        <v>32</v>
      </c>
      <c r="R75" s="7" t="s">
        <v>39</v>
      </c>
      <c r="S75" s="7" t="s">
        <v>34</v>
      </c>
      <c r="T75" s="7"/>
      <c r="U75" s="7" t="s">
        <v>35</v>
      </c>
      <c r="V75" s="9">
        <v>3193.45</v>
      </c>
      <c r="W75" s="9">
        <v>1377.02</v>
      </c>
      <c r="X75" s="9">
        <v>1271.6300000000001</v>
      </c>
      <c r="Y75" s="7">
        <v>0</v>
      </c>
      <c r="Z75" s="7">
        <v>544.79999999999995</v>
      </c>
    </row>
    <row r="76" spans="1:26" x14ac:dyDescent="0.35">
      <c r="A76" s="7" t="s">
        <v>27</v>
      </c>
      <c r="B76" s="7" t="s">
        <v>42</v>
      </c>
      <c r="C76" s="7" t="s">
        <v>48</v>
      </c>
      <c r="D76" s="7" t="s">
        <v>49</v>
      </c>
      <c r="E76" s="7" t="s">
        <v>45</v>
      </c>
      <c r="F76" s="7" t="s">
        <v>136</v>
      </c>
      <c r="G76" s="7">
        <v>2020</v>
      </c>
      <c r="H76" s="7" t="str">
        <f>CONCATENATE("04210868669")</f>
        <v>04210868669</v>
      </c>
      <c r="I76" s="7" t="s">
        <v>37</v>
      </c>
      <c r="J76" s="7" t="s">
        <v>31</v>
      </c>
      <c r="K76" s="7" t="str">
        <f>CONCATENATE("")</f>
        <v/>
      </c>
      <c r="L76" s="7" t="str">
        <f>CONCATENATE("13 13.1 4a")</f>
        <v>13 13.1 4a</v>
      </c>
      <c r="M76" s="7" t="str">
        <f>CONCATENATE("MRLTRB42L02C524J")</f>
        <v>MRLTRB42L02C524J</v>
      </c>
      <c r="N76" s="7" t="s">
        <v>163</v>
      </c>
      <c r="O76" s="7" t="s">
        <v>87</v>
      </c>
      <c r="P76" s="8">
        <v>44299</v>
      </c>
      <c r="Q76" s="7" t="s">
        <v>32</v>
      </c>
      <c r="R76" s="7" t="s">
        <v>39</v>
      </c>
      <c r="S76" s="7" t="s">
        <v>34</v>
      </c>
      <c r="T76" s="7"/>
      <c r="U76" s="7" t="s">
        <v>35</v>
      </c>
      <c r="V76" s="7">
        <v>87.96</v>
      </c>
      <c r="W76" s="7">
        <v>37.93</v>
      </c>
      <c r="X76" s="7">
        <v>35.03</v>
      </c>
      <c r="Y76" s="7">
        <v>0</v>
      </c>
      <c r="Z76" s="7">
        <v>15</v>
      </c>
    </row>
    <row r="77" spans="1:26" x14ac:dyDescent="0.35">
      <c r="A77" s="7" t="s">
        <v>27</v>
      </c>
      <c r="B77" s="7" t="s">
        <v>42</v>
      </c>
      <c r="C77" s="7" t="s">
        <v>48</v>
      </c>
      <c r="D77" s="7" t="s">
        <v>49</v>
      </c>
      <c r="E77" s="7" t="s">
        <v>38</v>
      </c>
      <c r="F77" s="7" t="s">
        <v>102</v>
      </c>
      <c r="G77" s="7">
        <v>2020</v>
      </c>
      <c r="H77" s="7" t="str">
        <f>CONCATENATE("04210517514")</f>
        <v>04210517514</v>
      </c>
      <c r="I77" s="7" t="s">
        <v>30</v>
      </c>
      <c r="J77" s="7" t="s">
        <v>31</v>
      </c>
      <c r="K77" s="7" t="str">
        <f>CONCATENATE("")</f>
        <v/>
      </c>
      <c r="L77" s="7" t="str">
        <f>CONCATENATE("13 13.1 4a")</f>
        <v>13 13.1 4a</v>
      </c>
      <c r="M77" s="7" t="str">
        <f>CONCATENATE("SBSGBR57S13A366M")</f>
        <v>SBSGBR57S13A366M</v>
      </c>
      <c r="N77" s="7" t="s">
        <v>164</v>
      </c>
      <c r="O77" s="7" t="s">
        <v>87</v>
      </c>
      <c r="P77" s="8">
        <v>44299</v>
      </c>
      <c r="Q77" s="7" t="s">
        <v>32</v>
      </c>
      <c r="R77" s="7" t="s">
        <v>39</v>
      </c>
      <c r="S77" s="7" t="s">
        <v>34</v>
      </c>
      <c r="T77" s="7"/>
      <c r="U77" s="7" t="s">
        <v>35</v>
      </c>
      <c r="V77" s="9">
        <v>1303.82</v>
      </c>
      <c r="W77" s="7">
        <v>562.21</v>
      </c>
      <c r="X77" s="7">
        <v>519.17999999999995</v>
      </c>
      <c r="Y77" s="7">
        <v>0</v>
      </c>
      <c r="Z77" s="7">
        <v>222.43</v>
      </c>
    </row>
    <row r="78" spans="1:26" x14ac:dyDescent="0.35">
      <c r="A78" s="7" t="s">
        <v>27</v>
      </c>
      <c r="B78" s="7" t="s">
        <v>42</v>
      </c>
      <c r="C78" s="7" t="s">
        <v>48</v>
      </c>
      <c r="D78" s="7" t="s">
        <v>60</v>
      </c>
      <c r="E78" s="7" t="s">
        <v>29</v>
      </c>
      <c r="F78" s="7" t="s">
        <v>165</v>
      </c>
      <c r="G78" s="7">
        <v>2020</v>
      </c>
      <c r="H78" s="7" t="str">
        <f>CONCATENATE("04210563955")</f>
        <v>04210563955</v>
      </c>
      <c r="I78" s="7" t="s">
        <v>30</v>
      </c>
      <c r="J78" s="7" t="s">
        <v>31</v>
      </c>
      <c r="K78" s="7" t="str">
        <f>CONCATENATE("")</f>
        <v/>
      </c>
      <c r="L78" s="7" t="str">
        <f>CONCATENATE("13 13.1 4a")</f>
        <v>13 13.1 4a</v>
      </c>
      <c r="M78" s="7" t="str">
        <f>CONCATENATE("GBCFLV33C04D749Q")</f>
        <v>GBCFLV33C04D749Q</v>
      </c>
      <c r="N78" s="7" t="s">
        <v>166</v>
      </c>
      <c r="O78" s="7" t="s">
        <v>87</v>
      </c>
      <c r="P78" s="8">
        <v>44299</v>
      </c>
      <c r="Q78" s="7" t="s">
        <v>32</v>
      </c>
      <c r="R78" s="7" t="s">
        <v>39</v>
      </c>
      <c r="S78" s="7" t="s">
        <v>34</v>
      </c>
      <c r="T78" s="7"/>
      <c r="U78" s="7" t="s">
        <v>35</v>
      </c>
      <c r="V78" s="7">
        <v>880.96</v>
      </c>
      <c r="W78" s="7">
        <v>379.87</v>
      </c>
      <c r="X78" s="7">
        <v>350.8</v>
      </c>
      <c r="Y78" s="7">
        <v>0</v>
      </c>
      <c r="Z78" s="7">
        <v>150.29</v>
      </c>
    </row>
    <row r="79" spans="1:26" x14ac:dyDescent="0.35">
      <c r="A79" s="7" t="s">
        <v>27</v>
      </c>
      <c r="B79" s="7" t="s">
        <v>42</v>
      </c>
      <c r="C79" s="7" t="s">
        <v>48</v>
      </c>
      <c r="D79" s="7" t="s">
        <v>60</v>
      </c>
      <c r="E79" s="7" t="s">
        <v>40</v>
      </c>
      <c r="F79" s="7" t="s">
        <v>93</v>
      </c>
      <c r="G79" s="7">
        <v>2020</v>
      </c>
      <c r="H79" s="7" t="str">
        <f>CONCATENATE("04210437226")</f>
        <v>04210437226</v>
      </c>
      <c r="I79" s="7" t="s">
        <v>30</v>
      </c>
      <c r="J79" s="7" t="s">
        <v>31</v>
      </c>
      <c r="K79" s="7" t="str">
        <f>CONCATENATE("")</f>
        <v/>
      </c>
      <c r="L79" s="7" t="str">
        <f>CONCATENATE("13 13.1 4a")</f>
        <v>13 13.1 4a</v>
      </c>
      <c r="M79" s="7" t="str">
        <f>CONCATENATE("GBRGRG58E01F478K")</f>
        <v>GBRGRG58E01F478K</v>
      </c>
      <c r="N79" s="7" t="s">
        <v>167</v>
      </c>
      <c r="O79" s="7" t="s">
        <v>87</v>
      </c>
      <c r="P79" s="8">
        <v>44299</v>
      </c>
      <c r="Q79" s="7" t="s">
        <v>32</v>
      </c>
      <c r="R79" s="7" t="s">
        <v>39</v>
      </c>
      <c r="S79" s="7" t="s">
        <v>34</v>
      </c>
      <c r="T79" s="7"/>
      <c r="U79" s="7" t="s">
        <v>35</v>
      </c>
      <c r="V79" s="7">
        <v>295.72000000000003</v>
      </c>
      <c r="W79" s="7">
        <v>127.51</v>
      </c>
      <c r="X79" s="7">
        <v>117.76</v>
      </c>
      <c r="Y79" s="7">
        <v>0</v>
      </c>
      <c r="Z79" s="7">
        <v>50.45</v>
      </c>
    </row>
    <row r="80" spans="1:26" x14ac:dyDescent="0.35">
      <c r="A80" s="7" t="s">
        <v>27</v>
      </c>
      <c r="B80" s="7" t="s">
        <v>42</v>
      </c>
      <c r="C80" s="7" t="s">
        <v>48</v>
      </c>
      <c r="D80" s="7" t="s">
        <v>63</v>
      </c>
      <c r="E80" s="7" t="s">
        <v>38</v>
      </c>
      <c r="F80" s="7" t="s">
        <v>64</v>
      </c>
      <c r="G80" s="7">
        <v>2020</v>
      </c>
      <c r="H80" s="7" t="str">
        <f>CONCATENATE("04210020493")</f>
        <v>04210020493</v>
      </c>
      <c r="I80" s="7" t="s">
        <v>37</v>
      </c>
      <c r="J80" s="7" t="s">
        <v>31</v>
      </c>
      <c r="K80" s="7" t="str">
        <f>CONCATENATE("")</f>
        <v/>
      </c>
      <c r="L80" s="7" t="str">
        <f>CONCATENATE("13 13.1 4a")</f>
        <v>13 13.1 4a</v>
      </c>
      <c r="M80" s="7" t="str">
        <f>CONCATENATE("MTCRNI53S28H588B")</f>
        <v>MTCRNI53S28H588B</v>
      </c>
      <c r="N80" s="7" t="s">
        <v>168</v>
      </c>
      <c r="O80" s="7" t="s">
        <v>87</v>
      </c>
      <c r="P80" s="8">
        <v>44299</v>
      </c>
      <c r="Q80" s="7" t="s">
        <v>32</v>
      </c>
      <c r="R80" s="7" t="s">
        <v>39</v>
      </c>
      <c r="S80" s="7" t="s">
        <v>34</v>
      </c>
      <c r="T80" s="7"/>
      <c r="U80" s="7" t="s">
        <v>35</v>
      </c>
      <c r="V80" s="7">
        <v>49.64</v>
      </c>
      <c r="W80" s="7">
        <v>21.4</v>
      </c>
      <c r="X80" s="7">
        <v>19.77</v>
      </c>
      <c r="Y80" s="7">
        <v>0</v>
      </c>
      <c r="Z80" s="7">
        <v>8.4700000000000006</v>
      </c>
    </row>
    <row r="81" spans="1:26" x14ac:dyDescent="0.35">
      <c r="A81" s="7" t="s">
        <v>27</v>
      </c>
      <c r="B81" s="7" t="s">
        <v>42</v>
      </c>
      <c r="C81" s="7" t="s">
        <v>48</v>
      </c>
      <c r="D81" s="7" t="s">
        <v>60</v>
      </c>
      <c r="E81" s="7" t="s">
        <v>40</v>
      </c>
      <c r="F81" s="7" t="s">
        <v>90</v>
      </c>
      <c r="G81" s="7">
        <v>2020</v>
      </c>
      <c r="H81" s="7" t="str">
        <f>CONCATENATE("04210306264")</f>
        <v>04210306264</v>
      </c>
      <c r="I81" s="7" t="s">
        <v>30</v>
      </c>
      <c r="J81" s="7" t="s">
        <v>31</v>
      </c>
      <c r="K81" s="7" t="str">
        <f>CONCATENATE("")</f>
        <v/>
      </c>
      <c r="L81" s="7" t="str">
        <f>CONCATENATE("13 13.1 4a")</f>
        <v>13 13.1 4a</v>
      </c>
      <c r="M81" s="7" t="str">
        <f>CONCATENATE("DPELGU52D27E441F")</f>
        <v>DPELGU52D27E441F</v>
      </c>
      <c r="N81" s="7" t="s">
        <v>169</v>
      </c>
      <c r="O81" s="7" t="s">
        <v>87</v>
      </c>
      <c r="P81" s="8">
        <v>44299</v>
      </c>
      <c r="Q81" s="7" t="s">
        <v>32</v>
      </c>
      <c r="R81" s="7" t="s">
        <v>39</v>
      </c>
      <c r="S81" s="7" t="s">
        <v>34</v>
      </c>
      <c r="T81" s="7"/>
      <c r="U81" s="7" t="s">
        <v>35</v>
      </c>
      <c r="V81" s="9">
        <v>6739.05</v>
      </c>
      <c r="W81" s="9">
        <v>2905.88</v>
      </c>
      <c r="X81" s="9">
        <v>2683.49</v>
      </c>
      <c r="Y81" s="7">
        <v>0</v>
      </c>
      <c r="Z81" s="9">
        <v>1149.68</v>
      </c>
    </row>
    <row r="82" spans="1:26" x14ac:dyDescent="0.35">
      <c r="A82" s="7" t="s">
        <v>27</v>
      </c>
      <c r="B82" s="7" t="s">
        <v>42</v>
      </c>
      <c r="C82" s="7" t="s">
        <v>48</v>
      </c>
      <c r="D82" s="7" t="s">
        <v>60</v>
      </c>
      <c r="E82" s="7" t="s">
        <v>40</v>
      </c>
      <c r="F82" s="7" t="s">
        <v>90</v>
      </c>
      <c r="G82" s="7">
        <v>2020</v>
      </c>
      <c r="H82" s="7" t="str">
        <f>CONCATENATE("04210278836")</f>
        <v>04210278836</v>
      </c>
      <c r="I82" s="7" t="s">
        <v>30</v>
      </c>
      <c r="J82" s="7" t="s">
        <v>31</v>
      </c>
      <c r="K82" s="7" t="str">
        <f>CONCATENATE("")</f>
        <v/>
      </c>
      <c r="L82" s="7" t="str">
        <f>CONCATENATE("13 13.1 4a")</f>
        <v>13 13.1 4a</v>
      </c>
      <c r="M82" s="7" t="str">
        <f>CONCATENATE("RVLCLD79T23G453O")</f>
        <v>RVLCLD79T23G453O</v>
      </c>
      <c r="N82" s="7" t="s">
        <v>170</v>
      </c>
      <c r="O82" s="7" t="s">
        <v>87</v>
      </c>
      <c r="P82" s="8">
        <v>44299</v>
      </c>
      <c r="Q82" s="7" t="s">
        <v>32</v>
      </c>
      <c r="R82" s="7" t="s">
        <v>39</v>
      </c>
      <c r="S82" s="7" t="s">
        <v>34</v>
      </c>
      <c r="T82" s="7"/>
      <c r="U82" s="7" t="s">
        <v>35</v>
      </c>
      <c r="V82" s="7">
        <v>334.36</v>
      </c>
      <c r="W82" s="7">
        <v>144.18</v>
      </c>
      <c r="X82" s="7">
        <v>133.13999999999999</v>
      </c>
      <c r="Y82" s="7">
        <v>0</v>
      </c>
      <c r="Z82" s="7">
        <v>57.04</v>
      </c>
    </row>
    <row r="83" spans="1:26" x14ac:dyDescent="0.35">
      <c r="A83" s="7" t="s">
        <v>27</v>
      </c>
      <c r="B83" s="7" t="s">
        <v>42</v>
      </c>
      <c r="C83" s="7" t="s">
        <v>48</v>
      </c>
      <c r="D83" s="7" t="s">
        <v>60</v>
      </c>
      <c r="E83" s="7" t="s">
        <v>46</v>
      </c>
      <c r="F83" s="7" t="s">
        <v>171</v>
      </c>
      <c r="G83" s="7">
        <v>2020</v>
      </c>
      <c r="H83" s="7" t="str">
        <f>CONCATENATE("04210881399")</f>
        <v>04210881399</v>
      </c>
      <c r="I83" s="7" t="s">
        <v>30</v>
      </c>
      <c r="J83" s="7" t="s">
        <v>31</v>
      </c>
      <c r="K83" s="7" t="str">
        <f>CONCATENATE("")</f>
        <v/>
      </c>
      <c r="L83" s="7" t="str">
        <f>CONCATENATE("13 13.1 4a")</f>
        <v>13 13.1 4a</v>
      </c>
      <c r="M83" s="7" t="str">
        <f>CONCATENATE("SCCMHL61L22G514L")</f>
        <v>SCCMHL61L22G514L</v>
      </c>
      <c r="N83" s="7" t="s">
        <v>172</v>
      </c>
      <c r="O83" s="7" t="s">
        <v>87</v>
      </c>
      <c r="P83" s="8">
        <v>44299</v>
      </c>
      <c r="Q83" s="7" t="s">
        <v>32</v>
      </c>
      <c r="R83" s="7" t="s">
        <v>39</v>
      </c>
      <c r="S83" s="7" t="s">
        <v>34</v>
      </c>
      <c r="T83" s="7"/>
      <c r="U83" s="7" t="s">
        <v>35</v>
      </c>
      <c r="V83" s="9">
        <v>1300.93</v>
      </c>
      <c r="W83" s="7">
        <v>560.96</v>
      </c>
      <c r="X83" s="7">
        <v>518.03</v>
      </c>
      <c r="Y83" s="7">
        <v>0</v>
      </c>
      <c r="Z83" s="7">
        <v>221.94</v>
      </c>
    </row>
    <row r="84" spans="1:26" x14ac:dyDescent="0.35">
      <c r="A84" s="7" t="s">
        <v>27</v>
      </c>
      <c r="B84" s="7" t="s">
        <v>42</v>
      </c>
      <c r="C84" s="7" t="s">
        <v>48</v>
      </c>
      <c r="D84" s="7" t="s">
        <v>60</v>
      </c>
      <c r="E84" s="7" t="s">
        <v>38</v>
      </c>
      <c r="F84" s="7" t="s">
        <v>173</v>
      </c>
      <c r="G84" s="7">
        <v>2020</v>
      </c>
      <c r="H84" s="7" t="str">
        <f>CONCATENATE("04210321594")</f>
        <v>04210321594</v>
      </c>
      <c r="I84" s="7" t="s">
        <v>30</v>
      </c>
      <c r="J84" s="7" t="s">
        <v>31</v>
      </c>
      <c r="K84" s="7" t="str">
        <f>CONCATENATE("")</f>
        <v/>
      </c>
      <c r="L84" s="7" t="str">
        <f>CONCATENATE("13 13.1 4a")</f>
        <v>13 13.1 4a</v>
      </c>
      <c r="M84" s="7" t="str">
        <f>CONCATENATE("SGUDNL65H03D749B")</f>
        <v>SGUDNL65H03D749B</v>
      </c>
      <c r="N84" s="7" t="s">
        <v>174</v>
      </c>
      <c r="O84" s="7" t="s">
        <v>87</v>
      </c>
      <c r="P84" s="8">
        <v>44299</v>
      </c>
      <c r="Q84" s="7" t="s">
        <v>32</v>
      </c>
      <c r="R84" s="7" t="s">
        <v>39</v>
      </c>
      <c r="S84" s="7" t="s">
        <v>34</v>
      </c>
      <c r="T84" s="7"/>
      <c r="U84" s="7" t="s">
        <v>35</v>
      </c>
      <c r="V84" s="9">
        <v>1001.74</v>
      </c>
      <c r="W84" s="7">
        <v>431.95</v>
      </c>
      <c r="X84" s="7">
        <v>398.89</v>
      </c>
      <c r="Y84" s="7">
        <v>0</v>
      </c>
      <c r="Z84" s="7">
        <v>170.9</v>
      </c>
    </row>
    <row r="85" spans="1:26" x14ac:dyDescent="0.35">
      <c r="A85" s="7" t="s">
        <v>27</v>
      </c>
      <c r="B85" s="7" t="s">
        <v>42</v>
      </c>
      <c r="C85" s="7" t="s">
        <v>48</v>
      </c>
      <c r="D85" s="7" t="s">
        <v>63</v>
      </c>
      <c r="E85" s="7" t="s">
        <v>44</v>
      </c>
      <c r="F85" s="7" t="s">
        <v>175</v>
      </c>
      <c r="G85" s="7">
        <v>2020</v>
      </c>
      <c r="H85" s="7" t="str">
        <f>CONCATENATE("04210788016")</f>
        <v>04210788016</v>
      </c>
      <c r="I85" s="7" t="s">
        <v>37</v>
      </c>
      <c r="J85" s="7" t="s">
        <v>31</v>
      </c>
      <c r="K85" s="7" t="str">
        <f>CONCATENATE("")</f>
        <v/>
      </c>
      <c r="L85" s="7" t="str">
        <f>CONCATENATE("13 13.1 4a")</f>
        <v>13 13.1 4a</v>
      </c>
      <c r="M85" s="7" t="str">
        <f>CONCATENATE("BNDFLC70S05A462P")</f>
        <v>BNDFLC70S05A462P</v>
      </c>
      <c r="N85" s="7" t="s">
        <v>176</v>
      </c>
      <c r="O85" s="7" t="s">
        <v>87</v>
      </c>
      <c r="P85" s="8">
        <v>44299</v>
      </c>
      <c r="Q85" s="7" t="s">
        <v>32</v>
      </c>
      <c r="R85" s="7" t="s">
        <v>39</v>
      </c>
      <c r="S85" s="7" t="s">
        <v>34</v>
      </c>
      <c r="T85" s="7"/>
      <c r="U85" s="7" t="s">
        <v>35</v>
      </c>
      <c r="V85" s="7">
        <v>65.5</v>
      </c>
      <c r="W85" s="7">
        <v>28.24</v>
      </c>
      <c r="X85" s="7">
        <v>26.08</v>
      </c>
      <c r="Y85" s="7">
        <v>0</v>
      </c>
      <c r="Z85" s="7">
        <v>11.18</v>
      </c>
    </row>
    <row r="86" spans="1:26" x14ac:dyDescent="0.35">
      <c r="A86" s="7" t="s">
        <v>27</v>
      </c>
      <c r="B86" s="7" t="s">
        <v>42</v>
      </c>
      <c r="C86" s="7" t="s">
        <v>48</v>
      </c>
      <c r="D86" s="7" t="s">
        <v>49</v>
      </c>
      <c r="E86" s="7" t="s">
        <v>38</v>
      </c>
      <c r="F86" s="7" t="s">
        <v>104</v>
      </c>
      <c r="G86" s="7">
        <v>2020</v>
      </c>
      <c r="H86" s="7" t="str">
        <f>CONCATENATE("04210030401")</f>
        <v>04210030401</v>
      </c>
      <c r="I86" s="7" t="s">
        <v>30</v>
      </c>
      <c r="J86" s="7" t="s">
        <v>31</v>
      </c>
      <c r="K86" s="7" t="str">
        <f>CONCATENATE("")</f>
        <v/>
      </c>
      <c r="L86" s="7" t="str">
        <f>CONCATENATE("13 13.1 4a")</f>
        <v>13 13.1 4a</v>
      </c>
      <c r="M86" s="7" t="str">
        <f>CONCATENATE("CRRPLA61T04D451B")</f>
        <v>CRRPLA61T04D451B</v>
      </c>
      <c r="N86" s="7" t="s">
        <v>177</v>
      </c>
      <c r="O86" s="7" t="s">
        <v>87</v>
      </c>
      <c r="P86" s="8">
        <v>44299</v>
      </c>
      <c r="Q86" s="7" t="s">
        <v>32</v>
      </c>
      <c r="R86" s="7" t="s">
        <v>39</v>
      </c>
      <c r="S86" s="7" t="s">
        <v>34</v>
      </c>
      <c r="T86" s="7"/>
      <c r="U86" s="7" t="s">
        <v>35</v>
      </c>
      <c r="V86" s="7">
        <v>813.64</v>
      </c>
      <c r="W86" s="7">
        <v>350.84</v>
      </c>
      <c r="X86" s="7">
        <v>323.99</v>
      </c>
      <c r="Y86" s="7">
        <v>0</v>
      </c>
      <c r="Z86" s="7">
        <v>138.81</v>
      </c>
    </row>
    <row r="87" spans="1:26" x14ac:dyDescent="0.35">
      <c r="A87" s="7" t="s">
        <v>27</v>
      </c>
      <c r="B87" s="7" t="s">
        <v>42</v>
      </c>
      <c r="C87" s="7" t="s">
        <v>48</v>
      </c>
      <c r="D87" s="7" t="s">
        <v>49</v>
      </c>
      <c r="E87" s="7" t="s">
        <v>38</v>
      </c>
      <c r="F87" s="7" t="s">
        <v>102</v>
      </c>
      <c r="G87" s="7">
        <v>2020</v>
      </c>
      <c r="H87" s="7" t="str">
        <f>CONCATENATE("04210365161")</f>
        <v>04210365161</v>
      </c>
      <c r="I87" s="7" t="s">
        <v>30</v>
      </c>
      <c r="J87" s="7" t="s">
        <v>31</v>
      </c>
      <c r="K87" s="7" t="str">
        <f>CONCATENATE("")</f>
        <v/>
      </c>
      <c r="L87" s="7" t="str">
        <f>CONCATENATE("13 13.1 4a")</f>
        <v>13 13.1 4a</v>
      </c>
      <c r="M87" s="7" t="str">
        <f>CONCATENATE("BRNNDR83A07D451B")</f>
        <v>BRNNDR83A07D451B</v>
      </c>
      <c r="N87" s="7" t="s">
        <v>178</v>
      </c>
      <c r="O87" s="7" t="s">
        <v>87</v>
      </c>
      <c r="P87" s="8">
        <v>44299</v>
      </c>
      <c r="Q87" s="7" t="s">
        <v>32</v>
      </c>
      <c r="R87" s="7" t="s">
        <v>39</v>
      </c>
      <c r="S87" s="7" t="s">
        <v>34</v>
      </c>
      <c r="T87" s="7"/>
      <c r="U87" s="7" t="s">
        <v>35</v>
      </c>
      <c r="V87" s="7">
        <v>866.73</v>
      </c>
      <c r="W87" s="7">
        <v>373.73</v>
      </c>
      <c r="X87" s="7">
        <v>345.13</v>
      </c>
      <c r="Y87" s="7">
        <v>0</v>
      </c>
      <c r="Z87" s="7">
        <v>147.87</v>
      </c>
    </row>
    <row r="88" spans="1:26" x14ac:dyDescent="0.35">
      <c r="A88" s="7" t="s">
        <v>27</v>
      </c>
      <c r="B88" s="7" t="s">
        <v>42</v>
      </c>
      <c r="C88" s="7" t="s">
        <v>48</v>
      </c>
      <c r="D88" s="7" t="s">
        <v>49</v>
      </c>
      <c r="E88" s="7" t="s">
        <v>38</v>
      </c>
      <c r="F88" s="7" t="s">
        <v>104</v>
      </c>
      <c r="G88" s="7">
        <v>2020</v>
      </c>
      <c r="H88" s="7" t="str">
        <f>CONCATENATE("04210023158")</f>
        <v>04210023158</v>
      </c>
      <c r="I88" s="7" t="s">
        <v>30</v>
      </c>
      <c r="J88" s="7" t="s">
        <v>31</v>
      </c>
      <c r="K88" s="7" t="str">
        <f>CONCATENATE("")</f>
        <v/>
      </c>
      <c r="L88" s="7" t="str">
        <f>CONCATENATE("13 13.1 4a")</f>
        <v>13 13.1 4a</v>
      </c>
      <c r="M88" s="7" t="str">
        <f>CONCATENATE("BRTFLV45C31D451W")</f>
        <v>BRTFLV45C31D451W</v>
      </c>
      <c r="N88" s="7" t="s">
        <v>179</v>
      </c>
      <c r="O88" s="7" t="s">
        <v>87</v>
      </c>
      <c r="P88" s="8">
        <v>44299</v>
      </c>
      <c r="Q88" s="7" t="s">
        <v>32</v>
      </c>
      <c r="R88" s="7" t="s">
        <v>39</v>
      </c>
      <c r="S88" s="7" t="s">
        <v>34</v>
      </c>
      <c r="T88" s="7"/>
      <c r="U88" s="7" t="s">
        <v>35</v>
      </c>
      <c r="V88" s="9">
        <v>5639.28</v>
      </c>
      <c r="W88" s="9">
        <v>2431.66</v>
      </c>
      <c r="X88" s="9">
        <v>2245.56</v>
      </c>
      <c r="Y88" s="7">
        <v>0</v>
      </c>
      <c r="Z88" s="7">
        <v>962.06</v>
      </c>
    </row>
    <row r="89" spans="1:26" x14ac:dyDescent="0.35">
      <c r="A89" s="7" t="s">
        <v>27</v>
      </c>
      <c r="B89" s="7" t="s">
        <v>42</v>
      </c>
      <c r="C89" s="7" t="s">
        <v>48</v>
      </c>
      <c r="D89" s="7" t="s">
        <v>63</v>
      </c>
      <c r="E89" s="7" t="s">
        <v>29</v>
      </c>
      <c r="F89" s="7" t="s">
        <v>140</v>
      </c>
      <c r="G89" s="7">
        <v>2020</v>
      </c>
      <c r="H89" s="7" t="str">
        <f>CONCATENATE("04210656783")</f>
        <v>04210656783</v>
      </c>
      <c r="I89" s="7" t="s">
        <v>37</v>
      </c>
      <c r="J89" s="7" t="s">
        <v>31</v>
      </c>
      <c r="K89" s="7" t="str">
        <f>CONCATENATE("")</f>
        <v/>
      </c>
      <c r="L89" s="7" t="str">
        <f>CONCATENATE("13 13.1 4a")</f>
        <v>13 13.1 4a</v>
      </c>
      <c r="M89" s="7" t="str">
        <f>CONCATENATE("TRBGLN69A19A252M")</f>
        <v>TRBGLN69A19A252M</v>
      </c>
      <c r="N89" s="7" t="s">
        <v>180</v>
      </c>
      <c r="O89" s="7" t="s">
        <v>87</v>
      </c>
      <c r="P89" s="8">
        <v>44299</v>
      </c>
      <c r="Q89" s="7" t="s">
        <v>32</v>
      </c>
      <c r="R89" s="7" t="s">
        <v>39</v>
      </c>
      <c r="S89" s="7" t="s">
        <v>34</v>
      </c>
      <c r="T89" s="7"/>
      <c r="U89" s="7" t="s">
        <v>35</v>
      </c>
      <c r="V89" s="7">
        <v>281.52</v>
      </c>
      <c r="W89" s="7">
        <v>121.39</v>
      </c>
      <c r="X89" s="7">
        <v>112.1</v>
      </c>
      <c r="Y89" s="7">
        <v>0</v>
      </c>
      <c r="Z89" s="7">
        <v>48.03</v>
      </c>
    </row>
    <row r="90" spans="1:26" x14ac:dyDescent="0.35">
      <c r="A90" s="7" t="s">
        <v>27</v>
      </c>
      <c r="B90" s="7" t="s">
        <v>42</v>
      </c>
      <c r="C90" s="7" t="s">
        <v>48</v>
      </c>
      <c r="D90" s="7" t="s">
        <v>60</v>
      </c>
      <c r="E90" s="7" t="s">
        <v>40</v>
      </c>
      <c r="F90" s="7" t="s">
        <v>93</v>
      </c>
      <c r="G90" s="7">
        <v>2020</v>
      </c>
      <c r="H90" s="7" t="str">
        <f>CONCATENATE("04210424554")</f>
        <v>04210424554</v>
      </c>
      <c r="I90" s="7" t="s">
        <v>30</v>
      </c>
      <c r="J90" s="7" t="s">
        <v>31</v>
      </c>
      <c r="K90" s="7" t="str">
        <f>CONCATENATE("")</f>
        <v/>
      </c>
      <c r="L90" s="7" t="str">
        <f>CONCATENATE("13 13.1 4a")</f>
        <v>13 13.1 4a</v>
      </c>
      <c r="M90" s="7" t="str">
        <f>CONCATENATE("CMLMRA37L55L078L")</f>
        <v>CMLMRA37L55L078L</v>
      </c>
      <c r="N90" s="7" t="s">
        <v>181</v>
      </c>
      <c r="O90" s="7" t="s">
        <v>87</v>
      </c>
      <c r="P90" s="8">
        <v>44299</v>
      </c>
      <c r="Q90" s="7" t="s">
        <v>32</v>
      </c>
      <c r="R90" s="7" t="s">
        <v>39</v>
      </c>
      <c r="S90" s="7" t="s">
        <v>34</v>
      </c>
      <c r="T90" s="7"/>
      <c r="U90" s="7" t="s">
        <v>35</v>
      </c>
      <c r="V90" s="9">
        <v>4981.22</v>
      </c>
      <c r="W90" s="9">
        <v>2147.9</v>
      </c>
      <c r="X90" s="9">
        <v>1983.52</v>
      </c>
      <c r="Y90" s="7">
        <v>0</v>
      </c>
      <c r="Z90" s="7">
        <v>849.8</v>
      </c>
    </row>
    <row r="91" spans="1:26" x14ac:dyDescent="0.35">
      <c r="A91" s="7" t="s">
        <v>27</v>
      </c>
      <c r="B91" s="7" t="s">
        <v>42</v>
      </c>
      <c r="C91" s="7" t="s">
        <v>48</v>
      </c>
      <c r="D91" s="7" t="s">
        <v>49</v>
      </c>
      <c r="E91" s="7" t="s">
        <v>40</v>
      </c>
      <c r="F91" s="7" t="s">
        <v>98</v>
      </c>
      <c r="G91" s="7">
        <v>2020</v>
      </c>
      <c r="H91" s="7" t="str">
        <f>CONCATENATE("04210640936")</f>
        <v>04210640936</v>
      </c>
      <c r="I91" s="7" t="s">
        <v>37</v>
      </c>
      <c r="J91" s="7" t="s">
        <v>31</v>
      </c>
      <c r="K91" s="7" t="str">
        <f>CONCATENATE("")</f>
        <v/>
      </c>
      <c r="L91" s="7" t="str">
        <f>CONCATENATE("13 13.1 4a")</f>
        <v>13 13.1 4a</v>
      </c>
      <c r="M91" s="7" t="str">
        <f>CONCATENATE("FRBMNL69A46D451E")</f>
        <v>FRBMNL69A46D451E</v>
      </c>
      <c r="N91" s="7" t="s">
        <v>182</v>
      </c>
      <c r="O91" s="7" t="s">
        <v>87</v>
      </c>
      <c r="P91" s="8">
        <v>44299</v>
      </c>
      <c r="Q91" s="7" t="s">
        <v>32</v>
      </c>
      <c r="R91" s="7" t="s">
        <v>39</v>
      </c>
      <c r="S91" s="7" t="s">
        <v>34</v>
      </c>
      <c r="T91" s="7"/>
      <c r="U91" s="7" t="s">
        <v>35</v>
      </c>
      <c r="V91" s="7">
        <v>323.88</v>
      </c>
      <c r="W91" s="7">
        <v>139.66</v>
      </c>
      <c r="X91" s="7">
        <v>128.97</v>
      </c>
      <c r="Y91" s="7">
        <v>0</v>
      </c>
      <c r="Z91" s="7">
        <v>55.25</v>
      </c>
    </row>
    <row r="92" spans="1:26" x14ac:dyDescent="0.35">
      <c r="A92" s="7" t="s">
        <v>27</v>
      </c>
      <c r="B92" s="7" t="s">
        <v>42</v>
      </c>
      <c r="C92" s="7" t="s">
        <v>48</v>
      </c>
      <c r="D92" s="7" t="s">
        <v>60</v>
      </c>
      <c r="E92" s="7" t="s">
        <v>38</v>
      </c>
      <c r="F92" s="7" t="s">
        <v>83</v>
      </c>
      <c r="G92" s="7">
        <v>2020</v>
      </c>
      <c r="H92" s="7" t="str">
        <f>CONCATENATE("04210327245")</f>
        <v>04210327245</v>
      </c>
      <c r="I92" s="7" t="s">
        <v>30</v>
      </c>
      <c r="J92" s="7" t="s">
        <v>31</v>
      </c>
      <c r="K92" s="7" t="str">
        <f>CONCATENATE("")</f>
        <v/>
      </c>
      <c r="L92" s="7" t="str">
        <f>CONCATENATE("13 13.1 4a")</f>
        <v>13 13.1 4a</v>
      </c>
      <c r="M92" s="7" t="str">
        <f>CONCATENATE("CCCNZR56M31B352T")</f>
        <v>CCCNZR56M31B352T</v>
      </c>
      <c r="N92" s="7" t="s">
        <v>183</v>
      </c>
      <c r="O92" s="7" t="s">
        <v>87</v>
      </c>
      <c r="P92" s="8">
        <v>44299</v>
      </c>
      <c r="Q92" s="7" t="s">
        <v>32</v>
      </c>
      <c r="R92" s="7" t="s">
        <v>39</v>
      </c>
      <c r="S92" s="7" t="s">
        <v>34</v>
      </c>
      <c r="T92" s="7"/>
      <c r="U92" s="7" t="s">
        <v>35</v>
      </c>
      <c r="V92" s="9">
        <v>2122.7399999999998</v>
      </c>
      <c r="W92" s="7">
        <v>915.33</v>
      </c>
      <c r="X92" s="7">
        <v>845.28</v>
      </c>
      <c r="Y92" s="7">
        <v>0</v>
      </c>
      <c r="Z92" s="7">
        <v>362.13</v>
      </c>
    </row>
    <row r="93" spans="1:26" x14ac:dyDescent="0.35">
      <c r="A93" s="7" t="s">
        <v>27</v>
      </c>
      <c r="B93" s="7" t="s">
        <v>42</v>
      </c>
      <c r="C93" s="7" t="s">
        <v>48</v>
      </c>
      <c r="D93" s="7" t="s">
        <v>49</v>
      </c>
      <c r="E93" s="7" t="s">
        <v>40</v>
      </c>
      <c r="F93" s="7" t="s">
        <v>98</v>
      </c>
      <c r="G93" s="7">
        <v>2020</v>
      </c>
      <c r="H93" s="7" t="str">
        <f>CONCATENATE("04210759181")</f>
        <v>04210759181</v>
      </c>
      <c r="I93" s="7" t="s">
        <v>37</v>
      </c>
      <c r="J93" s="7" t="s">
        <v>31</v>
      </c>
      <c r="K93" s="7" t="str">
        <f>CONCATENATE("")</f>
        <v/>
      </c>
      <c r="L93" s="7" t="str">
        <f>CONCATENATE("13 13.1 4a")</f>
        <v>13 13.1 4a</v>
      </c>
      <c r="M93" s="7" t="str">
        <f>CONCATENATE("PSSRTI49C42D451R")</f>
        <v>PSSRTI49C42D451R</v>
      </c>
      <c r="N93" s="7" t="s">
        <v>184</v>
      </c>
      <c r="O93" s="7" t="s">
        <v>87</v>
      </c>
      <c r="P93" s="8">
        <v>44299</v>
      </c>
      <c r="Q93" s="7" t="s">
        <v>32</v>
      </c>
      <c r="R93" s="7" t="s">
        <v>39</v>
      </c>
      <c r="S93" s="7" t="s">
        <v>34</v>
      </c>
      <c r="T93" s="7"/>
      <c r="U93" s="7" t="s">
        <v>35</v>
      </c>
      <c r="V93" s="7">
        <v>768.56</v>
      </c>
      <c r="W93" s="7">
        <v>331.4</v>
      </c>
      <c r="X93" s="7">
        <v>306.04000000000002</v>
      </c>
      <c r="Y93" s="7">
        <v>0</v>
      </c>
      <c r="Z93" s="7">
        <v>131.12</v>
      </c>
    </row>
    <row r="94" spans="1:26" x14ac:dyDescent="0.35">
      <c r="A94" s="7" t="s">
        <v>27</v>
      </c>
      <c r="B94" s="7" t="s">
        <v>42</v>
      </c>
      <c r="C94" s="7" t="s">
        <v>48</v>
      </c>
      <c r="D94" s="7" t="s">
        <v>49</v>
      </c>
      <c r="E94" s="7" t="s">
        <v>40</v>
      </c>
      <c r="F94" s="7" t="s">
        <v>98</v>
      </c>
      <c r="G94" s="7">
        <v>2020</v>
      </c>
      <c r="H94" s="7" t="str">
        <f>CONCATENATE("04210165058")</f>
        <v>04210165058</v>
      </c>
      <c r="I94" s="7" t="s">
        <v>37</v>
      </c>
      <c r="J94" s="7" t="s">
        <v>31</v>
      </c>
      <c r="K94" s="7" t="str">
        <f>CONCATENATE("")</f>
        <v/>
      </c>
      <c r="L94" s="7" t="str">
        <f>CONCATENATE("13 13.1 4a")</f>
        <v>13 13.1 4a</v>
      </c>
      <c r="M94" s="7" t="str">
        <f>CONCATENATE("SLVRSO39D43F051R")</f>
        <v>SLVRSO39D43F051R</v>
      </c>
      <c r="N94" s="7" t="s">
        <v>185</v>
      </c>
      <c r="O94" s="7" t="s">
        <v>87</v>
      </c>
      <c r="P94" s="8">
        <v>44299</v>
      </c>
      <c r="Q94" s="7" t="s">
        <v>32</v>
      </c>
      <c r="R94" s="7" t="s">
        <v>39</v>
      </c>
      <c r="S94" s="7" t="s">
        <v>34</v>
      </c>
      <c r="T94" s="7"/>
      <c r="U94" s="7" t="s">
        <v>35</v>
      </c>
      <c r="V94" s="7">
        <v>165.28</v>
      </c>
      <c r="W94" s="7">
        <v>71.27</v>
      </c>
      <c r="X94" s="7">
        <v>65.81</v>
      </c>
      <c r="Y94" s="7">
        <v>0</v>
      </c>
      <c r="Z94" s="7">
        <v>28.2</v>
      </c>
    </row>
    <row r="95" spans="1:26" x14ac:dyDescent="0.35">
      <c r="A95" s="7" t="s">
        <v>27</v>
      </c>
      <c r="B95" s="7" t="s">
        <v>42</v>
      </c>
      <c r="C95" s="7" t="s">
        <v>48</v>
      </c>
      <c r="D95" s="7" t="s">
        <v>49</v>
      </c>
      <c r="E95" s="7" t="s">
        <v>40</v>
      </c>
      <c r="F95" s="7" t="s">
        <v>98</v>
      </c>
      <c r="G95" s="7">
        <v>2020</v>
      </c>
      <c r="H95" s="7" t="str">
        <f>CONCATENATE("04210347045")</f>
        <v>04210347045</v>
      </c>
      <c r="I95" s="7" t="s">
        <v>37</v>
      </c>
      <c r="J95" s="7" t="s">
        <v>31</v>
      </c>
      <c r="K95" s="7" t="str">
        <f>CONCATENATE("")</f>
        <v/>
      </c>
      <c r="L95" s="7" t="str">
        <f>CONCATENATE("13 13.1 4a")</f>
        <v>13 13.1 4a</v>
      </c>
      <c r="M95" s="7" t="str">
        <f>CONCATENATE("FMSFPP92P08A475E")</f>
        <v>FMSFPP92P08A475E</v>
      </c>
      <c r="N95" s="7" t="s">
        <v>186</v>
      </c>
      <c r="O95" s="7" t="s">
        <v>87</v>
      </c>
      <c r="P95" s="8">
        <v>44299</v>
      </c>
      <c r="Q95" s="7" t="s">
        <v>32</v>
      </c>
      <c r="R95" s="7" t="s">
        <v>39</v>
      </c>
      <c r="S95" s="7" t="s">
        <v>34</v>
      </c>
      <c r="T95" s="7"/>
      <c r="U95" s="7" t="s">
        <v>35</v>
      </c>
      <c r="V95" s="9">
        <v>1090.93</v>
      </c>
      <c r="W95" s="7">
        <v>470.41</v>
      </c>
      <c r="X95" s="7">
        <v>434.41</v>
      </c>
      <c r="Y95" s="7">
        <v>0</v>
      </c>
      <c r="Z95" s="7">
        <v>186.11</v>
      </c>
    </row>
    <row r="96" spans="1:26" x14ac:dyDescent="0.35">
      <c r="A96" s="7" t="s">
        <v>27</v>
      </c>
      <c r="B96" s="7" t="s">
        <v>42</v>
      </c>
      <c r="C96" s="7" t="s">
        <v>48</v>
      </c>
      <c r="D96" s="7" t="s">
        <v>60</v>
      </c>
      <c r="E96" s="7" t="s">
        <v>40</v>
      </c>
      <c r="F96" s="7" t="s">
        <v>113</v>
      </c>
      <c r="G96" s="7">
        <v>2020</v>
      </c>
      <c r="H96" s="7" t="str">
        <f>CONCATENATE("04210285716")</f>
        <v>04210285716</v>
      </c>
      <c r="I96" s="7" t="s">
        <v>30</v>
      </c>
      <c r="J96" s="7" t="s">
        <v>31</v>
      </c>
      <c r="K96" s="7" t="str">
        <f>CONCATENATE("")</f>
        <v/>
      </c>
      <c r="L96" s="7" t="str">
        <f>CONCATENATE("13 13.1 4a")</f>
        <v>13 13.1 4a</v>
      </c>
      <c r="M96" s="7" t="str">
        <f>CONCATENATE("02639610415")</f>
        <v>02639610415</v>
      </c>
      <c r="N96" s="7" t="s">
        <v>187</v>
      </c>
      <c r="O96" s="7" t="s">
        <v>87</v>
      </c>
      <c r="P96" s="8">
        <v>44299</v>
      </c>
      <c r="Q96" s="7" t="s">
        <v>32</v>
      </c>
      <c r="R96" s="7" t="s">
        <v>39</v>
      </c>
      <c r="S96" s="7" t="s">
        <v>34</v>
      </c>
      <c r="T96" s="7"/>
      <c r="U96" s="7" t="s">
        <v>35</v>
      </c>
      <c r="V96" s="9">
        <v>5137.6000000000004</v>
      </c>
      <c r="W96" s="9">
        <v>2215.33</v>
      </c>
      <c r="X96" s="9">
        <v>2045.79</v>
      </c>
      <c r="Y96" s="7">
        <v>0</v>
      </c>
      <c r="Z96" s="7">
        <v>876.48</v>
      </c>
    </row>
    <row r="97" spans="1:26" x14ac:dyDescent="0.35">
      <c r="A97" s="7" t="s">
        <v>27</v>
      </c>
      <c r="B97" s="7" t="s">
        <v>42</v>
      </c>
      <c r="C97" s="7" t="s">
        <v>48</v>
      </c>
      <c r="D97" s="7" t="s">
        <v>49</v>
      </c>
      <c r="E97" s="7" t="s">
        <v>40</v>
      </c>
      <c r="F97" s="7" t="s">
        <v>98</v>
      </c>
      <c r="G97" s="7">
        <v>2020</v>
      </c>
      <c r="H97" s="7" t="str">
        <f>CONCATENATE("04210640753")</f>
        <v>04210640753</v>
      </c>
      <c r="I97" s="7" t="s">
        <v>37</v>
      </c>
      <c r="J97" s="7" t="s">
        <v>31</v>
      </c>
      <c r="K97" s="7" t="str">
        <f>CONCATENATE("")</f>
        <v/>
      </c>
      <c r="L97" s="7" t="str">
        <f>CONCATENATE("13 13.1 4a")</f>
        <v>13 13.1 4a</v>
      </c>
      <c r="M97" s="7" t="str">
        <f>CONCATENATE("MNFCRS92C49D451M")</f>
        <v>MNFCRS92C49D451M</v>
      </c>
      <c r="N97" s="7" t="s">
        <v>188</v>
      </c>
      <c r="O97" s="7" t="s">
        <v>87</v>
      </c>
      <c r="P97" s="8">
        <v>44299</v>
      </c>
      <c r="Q97" s="7" t="s">
        <v>32</v>
      </c>
      <c r="R97" s="7" t="s">
        <v>39</v>
      </c>
      <c r="S97" s="7" t="s">
        <v>34</v>
      </c>
      <c r="T97" s="7"/>
      <c r="U97" s="7" t="s">
        <v>35</v>
      </c>
      <c r="V97" s="7">
        <v>141.88999999999999</v>
      </c>
      <c r="W97" s="7">
        <v>61.18</v>
      </c>
      <c r="X97" s="7">
        <v>56.5</v>
      </c>
      <c r="Y97" s="7">
        <v>0</v>
      </c>
      <c r="Z97" s="7">
        <v>24.21</v>
      </c>
    </row>
    <row r="98" spans="1:26" x14ac:dyDescent="0.35">
      <c r="A98" s="7" t="s">
        <v>27</v>
      </c>
      <c r="B98" s="7" t="s">
        <v>42</v>
      </c>
      <c r="C98" s="7" t="s">
        <v>48</v>
      </c>
      <c r="D98" s="7" t="s">
        <v>55</v>
      </c>
      <c r="E98" s="7" t="s">
        <v>46</v>
      </c>
      <c r="F98" s="7" t="s">
        <v>145</v>
      </c>
      <c r="G98" s="7">
        <v>2020</v>
      </c>
      <c r="H98" s="7" t="str">
        <f>CONCATENATE("04210837367")</f>
        <v>04210837367</v>
      </c>
      <c r="I98" s="7" t="s">
        <v>37</v>
      </c>
      <c r="J98" s="7" t="s">
        <v>31</v>
      </c>
      <c r="K98" s="7" t="str">
        <f>CONCATENATE("")</f>
        <v/>
      </c>
      <c r="L98" s="7" t="str">
        <f>CONCATENATE("13 13.1 4a")</f>
        <v>13 13.1 4a</v>
      </c>
      <c r="M98" s="7" t="str">
        <f>CONCATENATE("01914370430")</f>
        <v>01914370430</v>
      </c>
      <c r="N98" s="7" t="s">
        <v>189</v>
      </c>
      <c r="O98" s="7" t="s">
        <v>87</v>
      </c>
      <c r="P98" s="8">
        <v>44299</v>
      </c>
      <c r="Q98" s="7" t="s">
        <v>32</v>
      </c>
      <c r="R98" s="7" t="s">
        <v>39</v>
      </c>
      <c r="S98" s="7" t="s">
        <v>34</v>
      </c>
      <c r="T98" s="7"/>
      <c r="U98" s="7" t="s">
        <v>35</v>
      </c>
      <c r="V98" s="7">
        <v>315.72000000000003</v>
      </c>
      <c r="W98" s="7">
        <v>136.13999999999999</v>
      </c>
      <c r="X98" s="7">
        <v>125.72</v>
      </c>
      <c r="Y98" s="7">
        <v>0</v>
      </c>
      <c r="Z98" s="7">
        <v>53.86</v>
      </c>
    </row>
    <row r="99" spans="1:26" x14ac:dyDescent="0.35">
      <c r="A99" s="7" t="s">
        <v>27</v>
      </c>
      <c r="B99" s="7" t="s">
        <v>42</v>
      </c>
      <c r="C99" s="7" t="s">
        <v>48</v>
      </c>
      <c r="D99" s="7" t="s">
        <v>63</v>
      </c>
      <c r="E99" s="7" t="s">
        <v>29</v>
      </c>
      <c r="F99" s="7" t="s">
        <v>140</v>
      </c>
      <c r="G99" s="7">
        <v>2020</v>
      </c>
      <c r="H99" s="7" t="str">
        <f>CONCATENATE("04210563302")</f>
        <v>04210563302</v>
      </c>
      <c r="I99" s="7" t="s">
        <v>37</v>
      </c>
      <c r="J99" s="7" t="s">
        <v>31</v>
      </c>
      <c r="K99" s="7" t="str">
        <f>CONCATENATE("")</f>
        <v/>
      </c>
      <c r="L99" s="7" t="str">
        <f>CONCATENATE("13 13.1 4a")</f>
        <v>13 13.1 4a</v>
      </c>
      <c r="M99" s="7" t="str">
        <f>CONCATENATE("GNNLCU96D30A252H")</f>
        <v>GNNLCU96D30A252H</v>
      </c>
      <c r="N99" s="7" t="s">
        <v>190</v>
      </c>
      <c r="O99" s="7" t="s">
        <v>87</v>
      </c>
      <c r="P99" s="8">
        <v>44299</v>
      </c>
      <c r="Q99" s="7" t="s">
        <v>32</v>
      </c>
      <c r="R99" s="7" t="s">
        <v>39</v>
      </c>
      <c r="S99" s="7" t="s">
        <v>34</v>
      </c>
      <c r="T99" s="7"/>
      <c r="U99" s="7" t="s">
        <v>35</v>
      </c>
      <c r="V99" s="7">
        <v>25.69</v>
      </c>
      <c r="W99" s="7">
        <v>11.08</v>
      </c>
      <c r="X99" s="7">
        <v>10.23</v>
      </c>
      <c r="Y99" s="7">
        <v>0</v>
      </c>
      <c r="Z99" s="7">
        <v>4.38</v>
      </c>
    </row>
    <row r="100" spans="1:26" x14ac:dyDescent="0.35">
      <c r="A100" s="7" t="s">
        <v>27</v>
      </c>
      <c r="B100" s="7" t="s">
        <v>42</v>
      </c>
      <c r="C100" s="7" t="s">
        <v>48</v>
      </c>
      <c r="D100" s="7" t="s">
        <v>55</v>
      </c>
      <c r="E100" s="7" t="s">
        <v>38</v>
      </c>
      <c r="F100" s="7" t="s">
        <v>143</v>
      </c>
      <c r="G100" s="7">
        <v>2020</v>
      </c>
      <c r="H100" s="7" t="str">
        <f>CONCATENATE("04210091270")</f>
        <v>04210091270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CONCATENATE("13 13.1 4a")</f>
        <v>13 13.1 4a</v>
      </c>
      <c r="M100" s="7" t="str">
        <f>CONCATENATE("00606180438")</f>
        <v>00606180438</v>
      </c>
      <c r="N100" s="7" t="s">
        <v>191</v>
      </c>
      <c r="O100" s="7" t="s">
        <v>87</v>
      </c>
      <c r="P100" s="8">
        <v>44299</v>
      </c>
      <c r="Q100" s="7" t="s">
        <v>32</v>
      </c>
      <c r="R100" s="7" t="s">
        <v>39</v>
      </c>
      <c r="S100" s="7" t="s">
        <v>34</v>
      </c>
      <c r="T100" s="7"/>
      <c r="U100" s="7" t="s">
        <v>35</v>
      </c>
      <c r="V100" s="9">
        <v>9000</v>
      </c>
      <c r="W100" s="9">
        <v>3880.8</v>
      </c>
      <c r="X100" s="9">
        <v>3583.8</v>
      </c>
      <c r="Y100" s="7">
        <v>0</v>
      </c>
      <c r="Z100" s="9">
        <v>1535.4</v>
      </c>
    </row>
    <row r="101" spans="1:26" x14ac:dyDescent="0.35">
      <c r="A101" s="7" t="s">
        <v>27</v>
      </c>
      <c r="B101" s="7" t="s">
        <v>42</v>
      </c>
      <c r="C101" s="7" t="s">
        <v>48</v>
      </c>
      <c r="D101" s="7" t="s">
        <v>49</v>
      </c>
      <c r="E101" s="7" t="s">
        <v>38</v>
      </c>
      <c r="F101" s="7" t="s">
        <v>102</v>
      </c>
      <c r="G101" s="7">
        <v>2020</v>
      </c>
      <c r="H101" s="7" t="str">
        <f>CONCATENATE("04210517290")</f>
        <v>04210517290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CONCATENATE("13 13.1 4a")</f>
        <v>13 13.1 4a</v>
      </c>
      <c r="M101" s="7" t="str">
        <f>CONCATENATE("SNTNRC58B17I461U")</f>
        <v>SNTNRC58B17I461U</v>
      </c>
      <c r="N101" s="7" t="s">
        <v>192</v>
      </c>
      <c r="O101" s="7" t="s">
        <v>87</v>
      </c>
      <c r="P101" s="8">
        <v>44299</v>
      </c>
      <c r="Q101" s="7" t="s">
        <v>32</v>
      </c>
      <c r="R101" s="7" t="s">
        <v>39</v>
      </c>
      <c r="S101" s="7" t="s">
        <v>34</v>
      </c>
      <c r="T101" s="7"/>
      <c r="U101" s="7" t="s">
        <v>35</v>
      </c>
      <c r="V101" s="9">
        <v>2124.8000000000002</v>
      </c>
      <c r="W101" s="7">
        <v>916.21</v>
      </c>
      <c r="X101" s="7">
        <v>846.1</v>
      </c>
      <c r="Y101" s="7">
        <v>0</v>
      </c>
      <c r="Z101" s="7">
        <v>362.49</v>
      </c>
    </row>
    <row r="102" spans="1:26" x14ac:dyDescent="0.35">
      <c r="A102" s="7" t="s">
        <v>27</v>
      </c>
      <c r="B102" s="7" t="s">
        <v>42</v>
      </c>
      <c r="C102" s="7" t="s">
        <v>48</v>
      </c>
      <c r="D102" s="7" t="s">
        <v>49</v>
      </c>
      <c r="E102" s="7" t="s">
        <v>38</v>
      </c>
      <c r="F102" s="7" t="s">
        <v>102</v>
      </c>
      <c r="G102" s="7">
        <v>2020</v>
      </c>
      <c r="H102" s="7" t="str">
        <f>CONCATENATE("04210541209")</f>
        <v>04210541209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CONCATENATE("13 13.1 4a")</f>
        <v>13 13.1 4a</v>
      </c>
      <c r="M102" s="7" t="str">
        <f>CONCATENATE("SPDNTN40H25I461I")</f>
        <v>SPDNTN40H25I461I</v>
      </c>
      <c r="N102" s="7" t="s">
        <v>193</v>
      </c>
      <c r="O102" s="7" t="s">
        <v>87</v>
      </c>
      <c r="P102" s="8">
        <v>44299</v>
      </c>
      <c r="Q102" s="7" t="s">
        <v>32</v>
      </c>
      <c r="R102" s="7" t="s">
        <v>39</v>
      </c>
      <c r="S102" s="7" t="s">
        <v>34</v>
      </c>
      <c r="T102" s="7"/>
      <c r="U102" s="7" t="s">
        <v>35</v>
      </c>
      <c r="V102" s="9">
        <v>5254.48</v>
      </c>
      <c r="W102" s="9">
        <v>2265.73</v>
      </c>
      <c r="X102" s="9">
        <v>2092.33</v>
      </c>
      <c r="Y102" s="7">
        <v>0</v>
      </c>
      <c r="Z102" s="7">
        <v>896.42</v>
      </c>
    </row>
    <row r="103" spans="1:26" x14ac:dyDescent="0.35">
      <c r="A103" s="7" t="s">
        <v>27</v>
      </c>
      <c r="B103" s="7" t="s">
        <v>42</v>
      </c>
      <c r="C103" s="7" t="s">
        <v>48</v>
      </c>
      <c r="D103" s="7" t="s">
        <v>49</v>
      </c>
      <c r="E103" s="7" t="s">
        <v>38</v>
      </c>
      <c r="F103" s="7" t="s">
        <v>102</v>
      </c>
      <c r="G103" s="7">
        <v>2020</v>
      </c>
      <c r="H103" s="7" t="str">
        <f>CONCATENATE("04210454817")</f>
        <v>04210454817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CONCATENATE("13 13.1 4a")</f>
        <v>13 13.1 4a</v>
      </c>
      <c r="M103" s="7" t="str">
        <f>CONCATENATE("MNRNGL51R23A366H")</f>
        <v>MNRNGL51R23A366H</v>
      </c>
      <c r="N103" s="7" t="s">
        <v>194</v>
      </c>
      <c r="O103" s="7" t="s">
        <v>87</v>
      </c>
      <c r="P103" s="8">
        <v>44299</v>
      </c>
      <c r="Q103" s="7" t="s">
        <v>32</v>
      </c>
      <c r="R103" s="7" t="s">
        <v>39</v>
      </c>
      <c r="S103" s="7" t="s">
        <v>34</v>
      </c>
      <c r="T103" s="7"/>
      <c r="U103" s="7" t="s">
        <v>35</v>
      </c>
      <c r="V103" s="9">
        <v>1109.8</v>
      </c>
      <c r="W103" s="7">
        <v>478.55</v>
      </c>
      <c r="X103" s="7">
        <v>441.92</v>
      </c>
      <c r="Y103" s="7">
        <v>0</v>
      </c>
      <c r="Z103" s="7">
        <v>189.33</v>
      </c>
    </row>
    <row r="104" spans="1:26" x14ac:dyDescent="0.35">
      <c r="A104" s="7" t="s">
        <v>27</v>
      </c>
      <c r="B104" s="7" t="s">
        <v>42</v>
      </c>
      <c r="C104" s="7" t="s">
        <v>48</v>
      </c>
      <c r="D104" s="7" t="s">
        <v>49</v>
      </c>
      <c r="E104" s="7" t="s">
        <v>38</v>
      </c>
      <c r="F104" s="7" t="s">
        <v>102</v>
      </c>
      <c r="G104" s="7">
        <v>2020</v>
      </c>
      <c r="H104" s="7" t="str">
        <f>CONCATENATE("04210517324")</f>
        <v>04210517324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CONCATENATE("13 13.1 4a")</f>
        <v>13 13.1 4a</v>
      </c>
      <c r="M104" s="7" t="str">
        <f>CONCATENATE("SNTRNT47T16I461I")</f>
        <v>SNTRNT47T16I461I</v>
      </c>
      <c r="N104" s="7" t="s">
        <v>195</v>
      </c>
      <c r="O104" s="7" t="s">
        <v>87</v>
      </c>
      <c r="P104" s="8">
        <v>44299</v>
      </c>
      <c r="Q104" s="7" t="s">
        <v>32</v>
      </c>
      <c r="R104" s="7" t="s">
        <v>39</v>
      </c>
      <c r="S104" s="7" t="s">
        <v>34</v>
      </c>
      <c r="T104" s="7"/>
      <c r="U104" s="7" t="s">
        <v>35</v>
      </c>
      <c r="V104" s="9">
        <v>1753.96</v>
      </c>
      <c r="W104" s="7">
        <v>756.31</v>
      </c>
      <c r="X104" s="7">
        <v>698.43</v>
      </c>
      <c r="Y104" s="7">
        <v>0</v>
      </c>
      <c r="Z104" s="7">
        <v>299.22000000000003</v>
      </c>
    </row>
    <row r="105" spans="1:26" x14ac:dyDescent="0.35">
      <c r="A105" s="7" t="s">
        <v>27</v>
      </c>
      <c r="B105" s="7" t="s">
        <v>42</v>
      </c>
      <c r="C105" s="7" t="s">
        <v>48</v>
      </c>
      <c r="D105" s="7" t="s">
        <v>49</v>
      </c>
      <c r="E105" s="7" t="s">
        <v>38</v>
      </c>
      <c r="F105" s="7" t="s">
        <v>102</v>
      </c>
      <c r="G105" s="7">
        <v>2020</v>
      </c>
      <c r="H105" s="7" t="str">
        <f>CONCATENATE("04210493989")</f>
        <v>04210493989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CONCATENATE("13 13.1 4a")</f>
        <v>13 13.1 4a</v>
      </c>
      <c r="M105" s="7" t="str">
        <f>CONCATENATE("RDCGLI61A20D965T")</f>
        <v>RDCGLI61A20D965T</v>
      </c>
      <c r="N105" s="7" t="s">
        <v>196</v>
      </c>
      <c r="O105" s="7" t="s">
        <v>87</v>
      </c>
      <c r="P105" s="8">
        <v>44299</v>
      </c>
      <c r="Q105" s="7" t="s">
        <v>32</v>
      </c>
      <c r="R105" s="7" t="s">
        <v>39</v>
      </c>
      <c r="S105" s="7" t="s">
        <v>34</v>
      </c>
      <c r="T105" s="7"/>
      <c r="U105" s="7" t="s">
        <v>35</v>
      </c>
      <c r="V105" s="9">
        <v>1683.78</v>
      </c>
      <c r="W105" s="7">
        <v>726.05</v>
      </c>
      <c r="X105" s="7">
        <v>670.48</v>
      </c>
      <c r="Y105" s="7">
        <v>0</v>
      </c>
      <c r="Z105" s="7">
        <v>287.25</v>
      </c>
    </row>
    <row r="106" spans="1:26" x14ac:dyDescent="0.35">
      <c r="A106" s="7" t="s">
        <v>27</v>
      </c>
      <c r="B106" s="7" t="s">
        <v>42</v>
      </c>
      <c r="C106" s="7" t="s">
        <v>48</v>
      </c>
      <c r="D106" s="7" t="s">
        <v>49</v>
      </c>
      <c r="E106" s="7" t="s">
        <v>38</v>
      </c>
      <c r="F106" s="7" t="s">
        <v>102</v>
      </c>
      <c r="G106" s="7">
        <v>2020</v>
      </c>
      <c r="H106" s="7" t="str">
        <f>CONCATENATE("04210545630")</f>
        <v>04210545630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CONCATENATE("13 13.1 4a")</f>
        <v>13 13.1 4a</v>
      </c>
      <c r="M106" s="7" t="str">
        <f>CONCATENATE("VTLLCU63M26I461P")</f>
        <v>VTLLCU63M26I461P</v>
      </c>
      <c r="N106" s="7" t="s">
        <v>197</v>
      </c>
      <c r="O106" s="7" t="s">
        <v>87</v>
      </c>
      <c r="P106" s="8">
        <v>44299</v>
      </c>
      <c r="Q106" s="7" t="s">
        <v>32</v>
      </c>
      <c r="R106" s="7" t="s">
        <v>39</v>
      </c>
      <c r="S106" s="7" t="s">
        <v>34</v>
      </c>
      <c r="T106" s="7"/>
      <c r="U106" s="7" t="s">
        <v>35</v>
      </c>
      <c r="V106" s="9">
        <v>2049.6799999999998</v>
      </c>
      <c r="W106" s="7">
        <v>883.82</v>
      </c>
      <c r="X106" s="7">
        <v>816.18</v>
      </c>
      <c r="Y106" s="7">
        <v>0</v>
      </c>
      <c r="Z106" s="7">
        <v>349.68</v>
      </c>
    </row>
    <row r="107" spans="1:26" x14ac:dyDescent="0.35">
      <c r="A107" s="7" t="s">
        <v>27</v>
      </c>
      <c r="B107" s="7" t="s">
        <v>42</v>
      </c>
      <c r="C107" s="7" t="s">
        <v>48</v>
      </c>
      <c r="D107" s="7" t="s">
        <v>55</v>
      </c>
      <c r="E107" s="7" t="s">
        <v>46</v>
      </c>
      <c r="F107" s="7" t="s">
        <v>198</v>
      </c>
      <c r="G107" s="7">
        <v>2020</v>
      </c>
      <c r="H107" s="7" t="str">
        <f>CONCATENATE("04210409936")</f>
        <v>04210409936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CONCATENATE("13 13.1 4a")</f>
        <v>13 13.1 4a</v>
      </c>
      <c r="M107" s="7" t="str">
        <f>CONCATENATE("NTLRRT80A14B474N")</f>
        <v>NTLRRT80A14B474N</v>
      </c>
      <c r="N107" s="7" t="s">
        <v>199</v>
      </c>
      <c r="O107" s="7" t="s">
        <v>87</v>
      </c>
      <c r="P107" s="8">
        <v>44299</v>
      </c>
      <c r="Q107" s="7" t="s">
        <v>32</v>
      </c>
      <c r="R107" s="7" t="s">
        <v>39</v>
      </c>
      <c r="S107" s="7" t="s">
        <v>34</v>
      </c>
      <c r="T107" s="7"/>
      <c r="U107" s="7" t="s">
        <v>35</v>
      </c>
      <c r="V107" s="7">
        <v>183.93</v>
      </c>
      <c r="W107" s="7">
        <v>79.31</v>
      </c>
      <c r="X107" s="7">
        <v>73.239999999999995</v>
      </c>
      <c r="Y107" s="7">
        <v>0</v>
      </c>
      <c r="Z107" s="7">
        <v>31.38</v>
      </c>
    </row>
    <row r="108" spans="1:26" x14ac:dyDescent="0.35">
      <c r="A108" s="7" t="s">
        <v>27</v>
      </c>
      <c r="B108" s="7" t="s">
        <v>42</v>
      </c>
      <c r="C108" s="7" t="s">
        <v>48</v>
      </c>
      <c r="D108" s="7" t="s">
        <v>60</v>
      </c>
      <c r="E108" s="7" t="s">
        <v>200</v>
      </c>
      <c r="F108" s="7" t="s">
        <v>201</v>
      </c>
      <c r="G108" s="7">
        <v>2020</v>
      </c>
      <c r="H108" s="7" t="str">
        <f>CONCATENATE("04210096105")</f>
        <v>04210096105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CONCATENATE("13 13.1 4a")</f>
        <v>13 13.1 4a</v>
      </c>
      <c r="M108" s="7" t="str">
        <f>CONCATENATE("SNTMGR58D50E785D")</f>
        <v>SNTMGR58D50E785D</v>
      </c>
      <c r="N108" s="7" t="s">
        <v>202</v>
      </c>
      <c r="O108" s="7" t="s">
        <v>87</v>
      </c>
      <c r="P108" s="8">
        <v>44299</v>
      </c>
      <c r="Q108" s="7" t="s">
        <v>32</v>
      </c>
      <c r="R108" s="7" t="s">
        <v>39</v>
      </c>
      <c r="S108" s="7" t="s">
        <v>34</v>
      </c>
      <c r="T108" s="7"/>
      <c r="U108" s="7" t="s">
        <v>35</v>
      </c>
      <c r="V108" s="9">
        <v>3550.44</v>
      </c>
      <c r="W108" s="9">
        <v>1530.95</v>
      </c>
      <c r="X108" s="9">
        <v>1413.79</v>
      </c>
      <c r="Y108" s="7">
        <v>0</v>
      </c>
      <c r="Z108" s="7">
        <v>605.70000000000005</v>
      </c>
    </row>
    <row r="109" spans="1:26" x14ac:dyDescent="0.35">
      <c r="A109" s="7" t="s">
        <v>27</v>
      </c>
      <c r="B109" s="7" t="s">
        <v>42</v>
      </c>
      <c r="C109" s="7" t="s">
        <v>48</v>
      </c>
      <c r="D109" s="7" t="s">
        <v>49</v>
      </c>
      <c r="E109" s="7" t="s">
        <v>38</v>
      </c>
      <c r="F109" s="7" t="s">
        <v>102</v>
      </c>
      <c r="G109" s="7">
        <v>2020</v>
      </c>
      <c r="H109" s="7" t="str">
        <f>CONCATENATE("04210462000")</f>
        <v>04210462000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CONCATENATE("13 13.1 4a")</f>
        <v>13 13.1 4a</v>
      </c>
      <c r="M109" s="7" t="str">
        <f>CONCATENATE("STFRNZ36H25I461S")</f>
        <v>STFRNZ36H25I461S</v>
      </c>
      <c r="N109" s="7" t="s">
        <v>203</v>
      </c>
      <c r="O109" s="7" t="s">
        <v>87</v>
      </c>
      <c r="P109" s="8">
        <v>44299</v>
      </c>
      <c r="Q109" s="7" t="s">
        <v>32</v>
      </c>
      <c r="R109" s="7" t="s">
        <v>39</v>
      </c>
      <c r="S109" s="7" t="s">
        <v>34</v>
      </c>
      <c r="T109" s="7"/>
      <c r="U109" s="7" t="s">
        <v>35</v>
      </c>
      <c r="V109" s="9">
        <v>1838.46</v>
      </c>
      <c r="W109" s="7">
        <v>792.74</v>
      </c>
      <c r="X109" s="7">
        <v>732.07</v>
      </c>
      <c r="Y109" s="7">
        <v>0</v>
      </c>
      <c r="Z109" s="7">
        <v>313.64999999999998</v>
      </c>
    </row>
    <row r="110" spans="1:26" x14ac:dyDescent="0.35">
      <c r="A110" s="7" t="s">
        <v>27</v>
      </c>
      <c r="B110" s="7" t="s">
        <v>42</v>
      </c>
      <c r="C110" s="7" t="s">
        <v>48</v>
      </c>
      <c r="D110" s="7" t="s">
        <v>49</v>
      </c>
      <c r="E110" s="7" t="s">
        <v>38</v>
      </c>
      <c r="F110" s="7" t="s">
        <v>102</v>
      </c>
      <c r="G110" s="7">
        <v>2020</v>
      </c>
      <c r="H110" s="7" t="str">
        <f>CONCATENATE("04210541423")</f>
        <v>04210541423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CONCATENATE("13 13.1 4a")</f>
        <v>13 13.1 4a</v>
      </c>
      <c r="M110" s="7" t="str">
        <f>CONCATENATE("STCLNE53C42Z129T")</f>
        <v>STCLNE53C42Z129T</v>
      </c>
      <c r="N110" s="7" t="s">
        <v>204</v>
      </c>
      <c r="O110" s="7" t="s">
        <v>87</v>
      </c>
      <c r="P110" s="8">
        <v>44299</v>
      </c>
      <c r="Q110" s="7" t="s">
        <v>32</v>
      </c>
      <c r="R110" s="7" t="s">
        <v>39</v>
      </c>
      <c r="S110" s="7" t="s">
        <v>34</v>
      </c>
      <c r="T110" s="7"/>
      <c r="U110" s="7" t="s">
        <v>35</v>
      </c>
      <c r="V110" s="9">
        <v>1192.8399999999999</v>
      </c>
      <c r="W110" s="7">
        <v>514.35</v>
      </c>
      <c r="X110" s="7">
        <v>474.99</v>
      </c>
      <c r="Y110" s="7">
        <v>0</v>
      </c>
      <c r="Z110" s="7">
        <v>203.5</v>
      </c>
    </row>
    <row r="111" spans="1:26" x14ac:dyDescent="0.35">
      <c r="A111" s="7" t="s">
        <v>27</v>
      </c>
      <c r="B111" s="7" t="s">
        <v>42</v>
      </c>
      <c r="C111" s="7" t="s">
        <v>48</v>
      </c>
      <c r="D111" s="7" t="s">
        <v>49</v>
      </c>
      <c r="E111" s="7" t="s">
        <v>38</v>
      </c>
      <c r="F111" s="7" t="s">
        <v>102</v>
      </c>
      <c r="G111" s="7">
        <v>2020</v>
      </c>
      <c r="H111" s="7" t="str">
        <f>CONCATENATE("04210544807")</f>
        <v>04210544807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CONCATENATE("13 13.1 4a")</f>
        <v>13 13.1 4a</v>
      </c>
      <c r="M111" s="7" t="str">
        <f>CONCATENATE("VSCNLN65C61I461N")</f>
        <v>VSCNLN65C61I461N</v>
      </c>
      <c r="N111" s="7" t="s">
        <v>205</v>
      </c>
      <c r="O111" s="7" t="s">
        <v>87</v>
      </c>
      <c r="P111" s="8">
        <v>44299</v>
      </c>
      <c r="Q111" s="7" t="s">
        <v>32</v>
      </c>
      <c r="R111" s="7" t="s">
        <v>39</v>
      </c>
      <c r="S111" s="7" t="s">
        <v>34</v>
      </c>
      <c r="T111" s="7"/>
      <c r="U111" s="7" t="s">
        <v>35</v>
      </c>
      <c r="V111" s="7">
        <v>931.29</v>
      </c>
      <c r="W111" s="7">
        <v>401.57</v>
      </c>
      <c r="X111" s="7">
        <v>370.84</v>
      </c>
      <c r="Y111" s="7">
        <v>0</v>
      </c>
      <c r="Z111" s="7">
        <v>158.88</v>
      </c>
    </row>
    <row r="112" spans="1:26" x14ac:dyDescent="0.35">
      <c r="A112" s="7" t="s">
        <v>27</v>
      </c>
      <c r="B112" s="7" t="s">
        <v>42</v>
      </c>
      <c r="C112" s="7" t="s">
        <v>48</v>
      </c>
      <c r="D112" s="7" t="s">
        <v>49</v>
      </c>
      <c r="E112" s="7" t="s">
        <v>40</v>
      </c>
      <c r="F112" s="7" t="s">
        <v>98</v>
      </c>
      <c r="G112" s="7">
        <v>2020</v>
      </c>
      <c r="H112" s="7" t="str">
        <f>CONCATENATE("04210163913")</f>
        <v>04210163913</v>
      </c>
      <c r="I112" s="7" t="s">
        <v>37</v>
      </c>
      <c r="J112" s="7" t="s">
        <v>31</v>
      </c>
      <c r="K112" s="7" t="str">
        <f>CONCATENATE("")</f>
        <v/>
      </c>
      <c r="L112" s="7" t="str">
        <f>CONCATENATE("13 13.1 4a")</f>
        <v>13 13.1 4a</v>
      </c>
      <c r="M112" s="7" t="str">
        <f>CONCATENATE("BNASST32P59D965O")</f>
        <v>BNASST32P59D965O</v>
      </c>
      <c r="N112" s="7" t="s">
        <v>206</v>
      </c>
      <c r="O112" s="7" t="s">
        <v>87</v>
      </c>
      <c r="P112" s="8">
        <v>44299</v>
      </c>
      <c r="Q112" s="7" t="s">
        <v>32</v>
      </c>
      <c r="R112" s="7" t="s">
        <v>39</v>
      </c>
      <c r="S112" s="7" t="s">
        <v>34</v>
      </c>
      <c r="T112" s="7"/>
      <c r="U112" s="7" t="s">
        <v>35</v>
      </c>
      <c r="V112" s="7">
        <v>140.6</v>
      </c>
      <c r="W112" s="7">
        <v>60.63</v>
      </c>
      <c r="X112" s="7">
        <v>55.99</v>
      </c>
      <c r="Y112" s="7">
        <v>0</v>
      </c>
      <c r="Z112" s="7">
        <v>23.98</v>
      </c>
    </row>
    <row r="113" spans="1:26" x14ac:dyDescent="0.35">
      <c r="A113" s="7" t="s">
        <v>27</v>
      </c>
      <c r="B113" s="7" t="s">
        <v>42</v>
      </c>
      <c r="C113" s="7" t="s">
        <v>48</v>
      </c>
      <c r="D113" s="7" t="s">
        <v>49</v>
      </c>
      <c r="E113" s="7" t="s">
        <v>40</v>
      </c>
      <c r="F113" s="7" t="s">
        <v>98</v>
      </c>
      <c r="G113" s="7">
        <v>2020</v>
      </c>
      <c r="H113" s="7" t="str">
        <f>CONCATENATE("04210305217")</f>
        <v>04210305217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CONCATENATE("13 13.1 4a")</f>
        <v>13 13.1 4a</v>
      </c>
      <c r="M113" s="7" t="str">
        <f>CONCATENATE("02600250423")</f>
        <v>02600250423</v>
      </c>
      <c r="N113" s="7" t="s">
        <v>207</v>
      </c>
      <c r="O113" s="7" t="s">
        <v>87</v>
      </c>
      <c r="P113" s="8">
        <v>44299</v>
      </c>
      <c r="Q113" s="7" t="s">
        <v>32</v>
      </c>
      <c r="R113" s="7" t="s">
        <v>39</v>
      </c>
      <c r="S113" s="7" t="s">
        <v>34</v>
      </c>
      <c r="T113" s="7"/>
      <c r="U113" s="7" t="s">
        <v>35</v>
      </c>
      <c r="V113" s="9">
        <v>3557.36</v>
      </c>
      <c r="W113" s="9">
        <v>1533.93</v>
      </c>
      <c r="X113" s="9">
        <v>1416.54</v>
      </c>
      <c r="Y113" s="7">
        <v>0</v>
      </c>
      <c r="Z113" s="7">
        <v>606.89</v>
      </c>
    </row>
    <row r="114" spans="1:26" x14ac:dyDescent="0.35">
      <c r="A114" s="7" t="s">
        <v>27</v>
      </c>
      <c r="B114" s="7" t="s">
        <v>42</v>
      </c>
      <c r="C114" s="7" t="s">
        <v>48</v>
      </c>
      <c r="D114" s="7" t="s">
        <v>49</v>
      </c>
      <c r="E114" s="7" t="s">
        <v>40</v>
      </c>
      <c r="F114" s="7" t="s">
        <v>121</v>
      </c>
      <c r="G114" s="7">
        <v>2020</v>
      </c>
      <c r="H114" s="7" t="str">
        <f>CONCATENATE("04210629657")</f>
        <v>04210629657</v>
      </c>
      <c r="I114" s="7" t="s">
        <v>37</v>
      </c>
      <c r="J114" s="7" t="s">
        <v>31</v>
      </c>
      <c r="K114" s="7" t="str">
        <f>CONCATENATE("")</f>
        <v/>
      </c>
      <c r="L114" s="7" t="str">
        <f>CONCATENATE("13 13.1 4a")</f>
        <v>13 13.1 4a</v>
      </c>
      <c r="M114" s="7" t="str">
        <f>CONCATENATE("CRZDGI78L10G203Q")</f>
        <v>CRZDGI78L10G203Q</v>
      </c>
      <c r="N114" s="7" t="s">
        <v>208</v>
      </c>
      <c r="O114" s="7" t="s">
        <v>87</v>
      </c>
      <c r="P114" s="8">
        <v>44299</v>
      </c>
      <c r="Q114" s="7" t="s">
        <v>32</v>
      </c>
      <c r="R114" s="7" t="s">
        <v>39</v>
      </c>
      <c r="S114" s="7" t="s">
        <v>34</v>
      </c>
      <c r="T114" s="7"/>
      <c r="U114" s="7" t="s">
        <v>35</v>
      </c>
      <c r="V114" s="7">
        <v>138.16</v>
      </c>
      <c r="W114" s="7">
        <v>59.57</v>
      </c>
      <c r="X114" s="7">
        <v>55.02</v>
      </c>
      <c r="Y114" s="7">
        <v>0</v>
      </c>
      <c r="Z114" s="7">
        <v>23.57</v>
      </c>
    </row>
    <row r="115" spans="1:26" x14ac:dyDescent="0.35">
      <c r="A115" s="7" t="s">
        <v>27</v>
      </c>
      <c r="B115" s="7" t="s">
        <v>42</v>
      </c>
      <c r="C115" s="7" t="s">
        <v>48</v>
      </c>
      <c r="D115" s="7" t="s">
        <v>49</v>
      </c>
      <c r="E115" s="7" t="s">
        <v>40</v>
      </c>
      <c r="F115" s="7" t="s">
        <v>98</v>
      </c>
      <c r="G115" s="7">
        <v>2020</v>
      </c>
      <c r="H115" s="7" t="str">
        <f>CONCATENATE("04210592517")</f>
        <v>04210592517</v>
      </c>
      <c r="I115" s="7" t="s">
        <v>37</v>
      </c>
      <c r="J115" s="7" t="s">
        <v>31</v>
      </c>
      <c r="K115" s="7" t="str">
        <f>CONCATENATE("")</f>
        <v/>
      </c>
      <c r="L115" s="7" t="str">
        <f>CONCATENATE("13 13.1 4a")</f>
        <v>13 13.1 4a</v>
      </c>
      <c r="M115" s="7" t="str">
        <f>CONCATENATE("LTNRRT77S19D451G")</f>
        <v>LTNRRT77S19D451G</v>
      </c>
      <c r="N115" s="7" t="s">
        <v>209</v>
      </c>
      <c r="O115" s="7" t="s">
        <v>87</v>
      </c>
      <c r="P115" s="8">
        <v>44299</v>
      </c>
      <c r="Q115" s="7" t="s">
        <v>32</v>
      </c>
      <c r="R115" s="7" t="s">
        <v>39</v>
      </c>
      <c r="S115" s="7" t="s">
        <v>34</v>
      </c>
      <c r="T115" s="7"/>
      <c r="U115" s="7" t="s">
        <v>35</v>
      </c>
      <c r="V115" s="7">
        <v>29.61</v>
      </c>
      <c r="W115" s="7">
        <v>12.77</v>
      </c>
      <c r="X115" s="7">
        <v>11.79</v>
      </c>
      <c r="Y115" s="7">
        <v>0</v>
      </c>
      <c r="Z115" s="7">
        <v>5.05</v>
      </c>
    </row>
    <row r="116" spans="1:26" x14ac:dyDescent="0.35">
      <c r="A116" s="7" t="s">
        <v>27</v>
      </c>
      <c r="B116" s="7" t="s">
        <v>42</v>
      </c>
      <c r="C116" s="7" t="s">
        <v>48</v>
      </c>
      <c r="D116" s="7" t="s">
        <v>49</v>
      </c>
      <c r="E116" s="7" t="s">
        <v>40</v>
      </c>
      <c r="F116" s="7" t="s">
        <v>98</v>
      </c>
      <c r="G116" s="7">
        <v>2020</v>
      </c>
      <c r="H116" s="7" t="str">
        <f>CONCATENATE("04210479400")</f>
        <v>04210479400</v>
      </c>
      <c r="I116" s="7" t="s">
        <v>37</v>
      </c>
      <c r="J116" s="7" t="s">
        <v>31</v>
      </c>
      <c r="K116" s="7" t="str">
        <f>CONCATENATE("")</f>
        <v/>
      </c>
      <c r="L116" s="7" t="str">
        <f>CONCATENATE("13 13.1 4a")</f>
        <v>13 13.1 4a</v>
      </c>
      <c r="M116" s="7" t="str">
        <f>CONCATENATE("MROMSM80H29I608B")</f>
        <v>MROMSM80H29I608B</v>
      </c>
      <c r="N116" s="7" t="s">
        <v>210</v>
      </c>
      <c r="O116" s="7" t="s">
        <v>87</v>
      </c>
      <c r="P116" s="8">
        <v>44299</v>
      </c>
      <c r="Q116" s="7" t="s">
        <v>32</v>
      </c>
      <c r="R116" s="7" t="s">
        <v>39</v>
      </c>
      <c r="S116" s="7" t="s">
        <v>34</v>
      </c>
      <c r="T116" s="7"/>
      <c r="U116" s="7" t="s">
        <v>35</v>
      </c>
      <c r="V116" s="7">
        <v>100.59</v>
      </c>
      <c r="W116" s="7">
        <v>43.37</v>
      </c>
      <c r="X116" s="7">
        <v>40.049999999999997</v>
      </c>
      <c r="Y116" s="7">
        <v>0</v>
      </c>
      <c r="Z116" s="7">
        <v>17.170000000000002</v>
      </c>
    </row>
    <row r="117" spans="1:26" x14ac:dyDescent="0.35">
      <c r="A117" s="7" t="s">
        <v>27</v>
      </c>
      <c r="B117" s="7" t="s">
        <v>42</v>
      </c>
      <c r="C117" s="7" t="s">
        <v>48</v>
      </c>
      <c r="D117" s="7" t="s">
        <v>49</v>
      </c>
      <c r="E117" s="7" t="s">
        <v>40</v>
      </c>
      <c r="F117" s="7" t="s">
        <v>121</v>
      </c>
      <c r="G117" s="7">
        <v>2020</v>
      </c>
      <c r="H117" s="7" t="str">
        <f>CONCATENATE("04210674182")</f>
        <v>04210674182</v>
      </c>
      <c r="I117" s="7" t="s">
        <v>37</v>
      </c>
      <c r="J117" s="7" t="s">
        <v>31</v>
      </c>
      <c r="K117" s="7" t="str">
        <f>CONCATENATE("")</f>
        <v/>
      </c>
      <c r="L117" s="7" t="str">
        <f>CONCATENATE("13 13.1 4a")</f>
        <v>13 13.1 4a</v>
      </c>
      <c r="M117" s="7" t="str">
        <f>CONCATENATE("CRZGMR87H18E388F")</f>
        <v>CRZGMR87H18E388F</v>
      </c>
      <c r="N117" s="7" t="s">
        <v>211</v>
      </c>
      <c r="O117" s="7" t="s">
        <v>87</v>
      </c>
      <c r="P117" s="8">
        <v>44299</v>
      </c>
      <c r="Q117" s="7" t="s">
        <v>32</v>
      </c>
      <c r="R117" s="7" t="s">
        <v>39</v>
      </c>
      <c r="S117" s="7" t="s">
        <v>34</v>
      </c>
      <c r="T117" s="7"/>
      <c r="U117" s="7" t="s">
        <v>35</v>
      </c>
      <c r="V117" s="7">
        <v>362.05</v>
      </c>
      <c r="W117" s="7">
        <v>156.12</v>
      </c>
      <c r="X117" s="7">
        <v>144.16999999999999</v>
      </c>
      <c r="Y117" s="7">
        <v>0</v>
      </c>
      <c r="Z117" s="7">
        <v>61.76</v>
      </c>
    </row>
    <row r="118" spans="1:26" x14ac:dyDescent="0.35">
      <c r="A118" s="7" t="s">
        <v>27</v>
      </c>
      <c r="B118" s="7" t="s">
        <v>42</v>
      </c>
      <c r="C118" s="7" t="s">
        <v>48</v>
      </c>
      <c r="D118" s="7" t="s">
        <v>55</v>
      </c>
      <c r="E118" s="7" t="s">
        <v>40</v>
      </c>
      <c r="F118" s="7" t="s">
        <v>121</v>
      </c>
      <c r="G118" s="7">
        <v>2020</v>
      </c>
      <c r="H118" s="7" t="str">
        <f>CONCATENATE("04210648863")</f>
        <v>04210648863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CONCATENATE("13 13.1 4a")</f>
        <v>13 13.1 4a</v>
      </c>
      <c r="M118" s="7" t="str">
        <f>CONCATENATE("LBRMTT93P26A465A")</f>
        <v>LBRMTT93P26A465A</v>
      </c>
      <c r="N118" s="7" t="s">
        <v>212</v>
      </c>
      <c r="O118" s="7" t="s">
        <v>87</v>
      </c>
      <c r="P118" s="8">
        <v>44299</v>
      </c>
      <c r="Q118" s="7" t="s">
        <v>32</v>
      </c>
      <c r="R118" s="7" t="s">
        <v>39</v>
      </c>
      <c r="S118" s="7" t="s">
        <v>34</v>
      </c>
      <c r="T118" s="7"/>
      <c r="U118" s="7" t="s">
        <v>35</v>
      </c>
      <c r="V118" s="7">
        <v>214.05</v>
      </c>
      <c r="W118" s="7">
        <v>92.3</v>
      </c>
      <c r="X118" s="7">
        <v>85.23</v>
      </c>
      <c r="Y118" s="7">
        <v>0</v>
      </c>
      <c r="Z118" s="7">
        <v>36.520000000000003</v>
      </c>
    </row>
    <row r="119" spans="1:26" x14ac:dyDescent="0.35">
      <c r="A119" s="7" t="s">
        <v>27</v>
      </c>
      <c r="B119" s="7" t="s">
        <v>42</v>
      </c>
      <c r="C119" s="7" t="s">
        <v>48</v>
      </c>
      <c r="D119" s="7" t="s">
        <v>60</v>
      </c>
      <c r="E119" s="7" t="s">
        <v>40</v>
      </c>
      <c r="F119" s="7" t="s">
        <v>113</v>
      </c>
      <c r="G119" s="7">
        <v>2020</v>
      </c>
      <c r="H119" s="7" t="str">
        <f>CONCATENATE("04210403426")</f>
        <v>04210403426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CONCATENATE("13 13.1 4a")</f>
        <v>13 13.1 4a</v>
      </c>
      <c r="M119" s="7" t="str">
        <f>CONCATENATE("RSSLTT56A66F581T")</f>
        <v>RSSLTT56A66F581T</v>
      </c>
      <c r="N119" s="7" t="s">
        <v>213</v>
      </c>
      <c r="O119" s="7" t="s">
        <v>87</v>
      </c>
      <c r="P119" s="8">
        <v>44299</v>
      </c>
      <c r="Q119" s="7" t="s">
        <v>32</v>
      </c>
      <c r="R119" s="7" t="s">
        <v>39</v>
      </c>
      <c r="S119" s="7" t="s">
        <v>34</v>
      </c>
      <c r="T119" s="7"/>
      <c r="U119" s="7" t="s">
        <v>35</v>
      </c>
      <c r="V119" s="7">
        <v>715.85</v>
      </c>
      <c r="W119" s="7">
        <v>308.67</v>
      </c>
      <c r="X119" s="7">
        <v>285.05</v>
      </c>
      <c r="Y119" s="7">
        <v>0</v>
      </c>
      <c r="Z119" s="7">
        <v>122.13</v>
      </c>
    </row>
    <row r="120" spans="1:26" x14ac:dyDescent="0.35">
      <c r="A120" s="7" t="s">
        <v>27</v>
      </c>
      <c r="B120" s="7" t="s">
        <v>42</v>
      </c>
      <c r="C120" s="7" t="s">
        <v>48</v>
      </c>
      <c r="D120" s="7" t="s">
        <v>49</v>
      </c>
      <c r="E120" s="7" t="s">
        <v>40</v>
      </c>
      <c r="F120" s="7" t="s">
        <v>98</v>
      </c>
      <c r="G120" s="7">
        <v>2020</v>
      </c>
      <c r="H120" s="7" t="str">
        <f>CONCATENATE("04210753770")</f>
        <v>04210753770</v>
      </c>
      <c r="I120" s="7" t="s">
        <v>37</v>
      </c>
      <c r="J120" s="7" t="s">
        <v>31</v>
      </c>
      <c r="K120" s="7" t="str">
        <f>CONCATENATE("")</f>
        <v/>
      </c>
      <c r="L120" s="7" t="str">
        <f>CONCATENATE("13 13.1 4a")</f>
        <v>13 13.1 4a</v>
      </c>
      <c r="M120" s="7" t="str">
        <f>CONCATENATE("MRTPPL59M13Z700N")</f>
        <v>MRTPPL59M13Z700N</v>
      </c>
      <c r="N120" s="7" t="s">
        <v>214</v>
      </c>
      <c r="O120" s="7" t="s">
        <v>87</v>
      </c>
      <c r="P120" s="8">
        <v>44299</v>
      </c>
      <c r="Q120" s="7" t="s">
        <v>32</v>
      </c>
      <c r="R120" s="7" t="s">
        <v>39</v>
      </c>
      <c r="S120" s="7" t="s">
        <v>34</v>
      </c>
      <c r="T120" s="7"/>
      <c r="U120" s="7" t="s">
        <v>35</v>
      </c>
      <c r="V120" s="7">
        <v>108.87</v>
      </c>
      <c r="W120" s="7">
        <v>46.94</v>
      </c>
      <c r="X120" s="7">
        <v>43.35</v>
      </c>
      <c r="Y120" s="7">
        <v>0</v>
      </c>
      <c r="Z120" s="7">
        <v>18.579999999999998</v>
      </c>
    </row>
    <row r="121" spans="1:26" x14ac:dyDescent="0.35">
      <c r="A121" s="7" t="s">
        <v>27</v>
      </c>
      <c r="B121" s="7" t="s">
        <v>42</v>
      </c>
      <c r="C121" s="7" t="s">
        <v>48</v>
      </c>
      <c r="D121" s="7" t="s">
        <v>49</v>
      </c>
      <c r="E121" s="7" t="s">
        <v>38</v>
      </c>
      <c r="F121" s="7" t="s">
        <v>102</v>
      </c>
      <c r="G121" s="7">
        <v>2020</v>
      </c>
      <c r="H121" s="7" t="str">
        <f>CONCATENATE("04210494680")</f>
        <v>04210494680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CONCATENATE("13 13.1 4a")</f>
        <v>13 13.1 4a</v>
      </c>
      <c r="M121" s="7" t="str">
        <f>CONCATENATE("RNORLL30S27I461V")</f>
        <v>RNORLL30S27I461V</v>
      </c>
      <c r="N121" s="7" t="s">
        <v>215</v>
      </c>
      <c r="O121" s="7" t="s">
        <v>87</v>
      </c>
      <c r="P121" s="8">
        <v>44299</v>
      </c>
      <c r="Q121" s="7" t="s">
        <v>32</v>
      </c>
      <c r="R121" s="7" t="s">
        <v>39</v>
      </c>
      <c r="S121" s="7" t="s">
        <v>34</v>
      </c>
      <c r="T121" s="7"/>
      <c r="U121" s="7" t="s">
        <v>35</v>
      </c>
      <c r="V121" s="7">
        <v>571.12</v>
      </c>
      <c r="W121" s="7">
        <v>246.27</v>
      </c>
      <c r="X121" s="7">
        <v>227.42</v>
      </c>
      <c r="Y121" s="7">
        <v>0</v>
      </c>
      <c r="Z121" s="7">
        <v>97.43</v>
      </c>
    </row>
    <row r="122" spans="1:26" x14ac:dyDescent="0.35">
      <c r="A122" s="7" t="s">
        <v>27</v>
      </c>
      <c r="B122" s="7" t="s">
        <v>42</v>
      </c>
      <c r="C122" s="7" t="s">
        <v>48</v>
      </c>
      <c r="D122" s="7" t="s">
        <v>49</v>
      </c>
      <c r="E122" s="7" t="s">
        <v>38</v>
      </c>
      <c r="F122" s="7" t="s">
        <v>102</v>
      </c>
      <c r="G122" s="7">
        <v>2020</v>
      </c>
      <c r="H122" s="7" t="str">
        <f>CONCATENATE("04210541381")</f>
        <v>04210541381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CONCATENATE("13 13.1 4a")</f>
        <v>13 13.1 4a</v>
      </c>
      <c r="M122" s="7" t="str">
        <f>CONCATENATE("STFSRA50A21I461F")</f>
        <v>STFSRA50A21I461F</v>
      </c>
      <c r="N122" s="7" t="s">
        <v>216</v>
      </c>
      <c r="O122" s="7" t="s">
        <v>87</v>
      </c>
      <c r="P122" s="8">
        <v>44299</v>
      </c>
      <c r="Q122" s="7" t="s">
        <v>32</v>
      </c>
      <c r="R122" s="7" t="s">
        <v>39</v>
      </c>
      <c r="S122" s="7" t="s">
        <v>34</v>
      </c>
      <c r="T122" s="7"/>
      <c r="U122" s="7" t="s">
        <v>35</v>
      </c>
      <c r="V122" s="9">
        <v>3531.68</v>
      </c>
      <c r="W122" s="9">
        <v>1522.86</v>
      </c>
      <c r="X122" s="9">
        <v>1406.31</v>
      </c>
      <c r="Y122" s="7">
        <v>0</v>
      </c>
      <c r="Z122" s="7">
        <v>602.51</v>
      </c>
    </row>
    <row r="123" spans="1:26" x14ac:dyDescent="0.35">
      <c r="A123" s="7" t="s">
        <v>27</v>
      </c>
      <c r="B123" s="7" t="s">
        <v>42</v>
      </c>
      <c r="C123" s="7" t="s">
        <v>48</v>
      </c>
      <c r="D123" s="7" t="s">
        <v>49</v>
      </c>
      <c r="E123" s="7" t="s">
        <v>47</v>
      </c>
      <c r="F123" s="7" t="s">
        <v>217</v>
      </c>
      <c r="G123" s="7">
        <v>2020</v>
      </c>
      <c r="H123" s="7" t="str">
        <f>CONCATENATE("04210784965")</f>
        <v>04210784965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CONCATENATE("13 13.1 4a")</f>
        <v>13 13.1 4a</v>
      </c>
      <c r="M123" s="7" t="str">
        <f>CONCATENATE("CCCGNN44R18D451F")</f>
        <v>CCCGNN44R18D451F</v>
      </c>
      <c r="N123" s="7" t="s">
        <v>218</v>
      </c>
      <c r="O123" s="7" t="s">
        <v>87</v>
      </c>
      <c r="P123" s="8">
        <v>44299</v>
      </c>
      <c r="Q123" s="7" t="s">
        <v>32</v>
      </c>
      <c r="R123" s="7" t="s">
        <v>39</v>
      </c>
      <c r="S123" s="7" t="s">
        <v>34</v>
      </c>
      <c r="T123" s="7"/>
      <c r="U123" s="7" t="s">
        <v>35</v>
      </c>
      <c r="V123" s="9">
        <v>2462.06</v>
      </c>
      <c r="W123" s="9">
        <v>1061.6400000000001</v>
      </c>
      <c r="X123" s="7">
        <v>980.39</v>
      </c>
      <c r="Y123" s="7">
        <v>0</v>
      </c>
      <c r="Z123" s="7">
        <v>420.03</v>
      </c>
    </row>
    <row r="124" spans="1:26" x14ac:dyDescent="0.35">
      <c r="A124" s="7" t="s">
        <v>27</v>
      </c>
      <c r="B124" s="7" t="s">
        <v>42</v>
      </c>
      <c r="C124" s="7" t="s">
        <v>48</v>
      </c>
      <c r="D124" s="7" t="s">
        <v>60</v>
      </c>
      <c r="E124" s="7" t="s">
        <v>38</v>
      </c>
      <c r="F124" s="7" t="s">
        <v>83</v>
      </c>
      <c r="G124" s="7">
        <v>2020</v>
      </c>
      <c r="H124" s="7" t="str">
        <f>CONCATENATE("04210427029")</f>
        <v>04210427029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CONCATENATE("13 13.1 4a")</f>
        <v>13 13.1 4a</v>
      </c>
      <c r="M124" s="7" t="str">
        <f>CONCATENATE("MTTDRH69P52G479T")</f>
        <v>MTTDRH69P52G479T</v>
      </c>
      <c r="N124" s="7" t="s">
        <v>219</v>
      </c>
      <c r="O124" s="7" t="s">
        <v>87</v>
      </c>
      <c r="P124" s="8">
        <v>44299</v>
      </c>
      <c r="Q124" s="7" t="s">
        <v>32</v>
      </c>
      <c r="R124" s="7" t="s">
        <v>39</v>
      </c>
      <c r="S124" s="7" t="s">
        <v>34</v>
      </c>
      <c r="T124" s="7"/>
      <c r="U124" s="7" t="s">
        <v>35</v>
      </c>
      <c r="V124" s="9">
        <v>5721.32</v>
      </c>
      <c r="W124" s="9">
        <v>2467.0300000000002</v>
      </c>
      <c r="X124" s="9">
        <v>2278.23</v>
      </c>
      <c r="Y124" s="7">
        <v>0</v>
      </c>
      <c r="Z124" s="7">
        <v>976.06</v>
      </c>
    </row>
    <row r="125" spans="1:26" x14ac:dyDescent="0.35">
      <c r="A125" s="7" t="s">
        <v>27</v>
      </c>
      <c r="B125" s="7" t="s">
        <v>42</v>
      </c>
      <c r="C125" s="7" t="s">
        <v>48</v>
      </c>
      <c r="D125" s="7" t="s">
        <v>49</v>
      </c>
      <c r="E125" s="7" t="s">
        <v>38</v>
      </c>
      <c r="F125" s="7" t="s">
        <v>102</v>
      </c>
      <c r="G125" s="7">
        <v>2020</v>
      </c>
      <c r="H125" s="7" t="str">
        <f>CONCATENATE("04210014082")</f>
        <v>04210014082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CONCATENATE("13 13.1 4a")</f>
        <v>13 13.1 4a</v>
      </c>
      <c r="M125" s="7" t="str">
        <f>CONCATENATE("GSTRRT44H07A366K")</f>
        <v>GSTRRT44H07A366K</v>
      </c>
      <c r="N125" s="7" t="s">
        <v>220</v>
      </c>
      <c r="O125" s="7" t="s">
        <v>87</v>
      </c>
      <c r="P125" s="8">
        <v>44299</v>
      </c>
      <c r="Q125" s="7" t="s">
        <v>32</v>
      </c>
      <c r="R125" s="7" t="s">
        <v>39</v>
      </c>
      <c r="S125" s="7" t="s">
        <v>34</v>
      </c>
      <c r="T125" s="7"/>
      <c r="U125" s="7" t="s">
        <v>35</v>
      </c>
      <c r="V125" s="7">
        <v>926.02</v>
      </c>
      <c r="W125" s="7">
        <v>399.3</v>
      </c>
      <c r="X125" s="7">
        <v>368.74</v>
      </c>
      <c r="Y125" s="7">
        <v>0</v>
      </c>
      <c r="Z125" s="7">
        <v>157.97999999999999</v>
      </c>
    </row>
    <row r="126" spans="1:26" x14ac:dyDescent="0.35">
      <c r="A126" s="7" t="s">
        <v>27</v>
      </c>
      <c r="B126" s="7" t="s">
        <v>42</v>
      </c>
      <c r="C126" s="7" t="s">
        <v>48</v>
      </c>
      <c r="D126" s="7" t="s">
        <v>60</v>
      </c>
      <c r="E126" s="7" t="s">
        <v>38</v>
      </c>
      <c r="F126" s="7" t="s">
        <v>221</v>
      </c>
      <c r="G126" s="7">
        <v>2020</v>
      </c>
      <c r="H126" s="7" t="str">
        <f>CONCATENATE("04210377661")</f>
        <v>04210377661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CONCATENATE("13 13.1 4a")</f>
        <v>13 13.1 4a</v>
      </c>
      <c r="M126" s="7" t="str">
        <f>CONCATENATE("DCRGFR77C04D007I")</f>
        <v>DCRGFR77C04D007I</v>
      </c>
      <c r="N126" s="7" t="s">
        <v>222</v>
      </c>
      <c r="O126" s="7" t="s">
        <v>87</v>
      </c>
      <c r="P126" s="8">
        <v>44299</v>
      </c>
      <c r="Q126" s="7" t="s">
        <v>32</v>
      </c>
      <c r="R126" s="7" t="s">
        <v>39</v>
      </c>
      <c r="S126" s="7" t="s">
        <v>34</v>
      </c>
      <c r="T126" s="7"/>
      <c r="U126" s="7" t="s">
        <v>35</v>
      </c>
      <c r="V126" s="9">
        <v>2970.86</v>
      </c>
      <c r="W126" s="9">
        <v>1281.03</v>
      </c>
      <c r="X126" s="9">
        <v>1183</v>
      </c>
      <c r="Y126" s="7">
        <v>0</v>
      </c>
      <c r="Z126" s="7">
        <v>506.83</v>
      </c>
    </row>
    <row r="127" spans="1:26" x14ac:dyDescent="0.35">
      <c r="A127" s="7" t="s">
        <v>27</v>
      </c>
      <c r="B127" s="7" t="s">
        <v>42</v>
      </c>
      <c r="C127" s="7" t="s">
        <v>48</v>
      </c>
      <c r="D127" s="7" t="s">
        <v>49</v>
      </c>
      <c r="E127" s="7" t="s">
        <v>38</v>
      </c>
      <c r="F127" s="7" t="s">
        <v>104</v>
      </c>
      <c r="G127" s="7">
        <v>2020</v>
      </c>
      <c r="H127" s="7" t="str">
        <f>CONCATENATE("04210211126")</f>
        <v>04210211126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CONCATENATE("13 13.1 4a")</f>
        <v>13 13.1 4a</v>
      </c>
      <c r="M127" s="7" t="str">
        <f>CONCATENATE("GBBGNN84D22D451F")</f>
        <v>GBBGNN84D22D451F</v>
      </c>
      <c r="N127" s="7" t="s">
        <v>223</v>
      </c>
      <c r="O127" s="7" t="s">
        <v>87</v>
      </c>
      <c r="P127" s="8">
        <v>44299</v>
      </c>
      <c r="Q127" s="7" t="s">
        <v>32</v>
      </c>
      <c r="R127" s="7" t="s">
        <v>39</v>
      </c>
      <c r="S127" s="7" t="s">
        <v>34</v>
      </c>
      <c r="T127" s="7"/>
      <c r="U127" s="7" t="s">
        <v>35</v>
      </c>
      <c r="V127" s="7">
        <v>804.54</v>
      </c>
      <c r="W127" s="7">
        <v>346.92</v>
      </c>
      <c r="X127" s="7">
        <v>320.37</v>
      </c>
      <c r="Y127" s="7">
        <v>0</v>
      </c>
      <c r="Z127" s="7">
        <v>137.25</v>
      </c>
    </row>
    <row r="128" spans="1:26" x14ac:dyDescent="0.35">
      <c r="A128" s="7" t="s">
        <v>27</v>
      </c>
      <c r="B128" s="7" t="s">
        <v>42</v>
      </c>
      <c r="C128" s="7" t="s">
        <v>48</v>
      </c>
      <c r="D128" s="7" t="s">
        <v>49</v>
      </c>
      <c r="E128" s="7" t="s">
        <v>38</v>
      </c>
      <c r="F128" s="7" t="s">
        <v>104</v>
      </c>
      <c r="G128" s="7">
        <v>2020</v>
      </c>
      <c r="H128" s="7" t="str">
        <f>CONCATENATE("04210286896")</f>
        <v>04210286896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CONCATENATE("13 13.1 4a")</f>
        <v>13 13.1 4a</v>
      </c>
      <c r="M128" s="7" t="str">
        <f>CONCATENATE("SPRRSO28P57F051X")</f>
        <v>SPRRSO28P57F051X</v>
      </c>
      <c r="N128" s="7" t="s">
        <v>224</v>
      </c>
      <c r="O128" s="7" t="s">
        <v>87</v>
      </c>
      <c r="P128" s="8">
        <v>44299</v>
      </c>
      <c r="Q128" s="7" t="s">
        <v>32</v>
      </c>
      <c r="R128" s="7" t="s">
        <v>39</v>
      </c>
      <c r="S128" s="7" t="s">
        <v>34</v>
      </c>
      <c r="T128" s="7"/>
      <c r="U128" s="7" t="s">
        <v>35</v>
      </c>
      <c r="V128" s="9">
        <v>1141.9000000000001</v>
      </c>
      <c r="W128" s="7">
        <v>492.39</v>
      </c>
      <c r="X128" s="7">
        <v>454.7</v>
      </c>
      <c r="Y128" s="7">
        <v>0</v>
      </c>
      <c r="Z128" s="7">
        <v>194.81</v>
      </c>
    </row>
    <row r="129" spans="1:26" x14ac:dyDescent="0.35">
      <c r="A129" s="7" t="s">
        <v>27</v>
      </c>
      <c r="B129" s="7" t="s">
        <v>42</v>
      </c>
      <c r="C129" s="7" t="s">
        <v>48</v>
      </c>
      <c r="D129" s="7" t="s">
        <v>49</v>
      </c>
      <c r="E129" s="7" t="s">
        <v>38</v>
      </c>
      <c r="F129" s="7" t="s">
        <v>143</v>
      </c>
      <c r="G129" s="7">
        <v>2020</v>
      </c>
      <c r="H129" s="7" t="str">
        <f>CONCATENATE("04210550887")</f>
        <v>04210550887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CONCATENATE("13 13.1 4a")</f>
        <v>13 13.1 4a</v>
      </c>
      <c r="M129" s="7" t="str">
        <f>CONCATENATE("LRNSMN73S27F051W")</f>
        <v>LRNSMN73S27F051W</v>
      </c>
      <c r="N129" s="7" t="s">
        <v>225</v>
      </c>
      <c r="O129" s="7" t="s">
        <v>87</v>
      </c>
      <c r="P129" s="8">
        <v>44299</v>
      </c>
      <c r="Q129" s="7" t="s">
        <v>32</v>
      </c>
      <c r="R129" s="7" t="s">
        <v>39</v>
      </c>
      <c r="S129" s="7" t="s">
        <v>34</v>
      </c>
      <c r="T129" s="7"/>
      <c r="U129" s="7" t="s">
        <v>35</v>
      </c>
      <c r="V129" s="9">
        <v>2753.74</v>
      </c>
      <c r="W129" s="9">
        <v>1187.4100000000001</v>
      </c>
      <c r="X129" s="9">
        <v>1096.54</v>
      </c>
      <c r="Y129" s="7">
        <v>0</v>
      </c>
      <c r="Z129" s="7">
        <v>469.79</v>
      </c>
    </row>
    <row r="130" spans="1:26" x14ac:dyDescent="0.35">
      <c r="A130" s="7" t="s">
        <v>27</v>
      </c>
      <c r="B130" s="7" t="s">
        <v>42</v>
      </c>
      <c r="C130" s="7" t="s">
        <v>48</v>
      </c>
      <c r="D130" s="7" t="s">
        <v>55</v>
      </c>
      <c r="E130" s="7" t="s">
        <v>46</v>
      </c>
      <c r="F130" s="7" t="s">
        <v>96</v>
      </c>
      <c r="G130" s="7">
        <v>2020</v>
      </c>
      <c r="H130" s="7" t="str">
        <f>CONCATENATE("04210846210")</f>
        <v>04210846210</v>
      </c>
      <c r="I130" s="7" t="s">
        <v>37</v>
      </c>
      <c r="J130" s="7" t="s">
        <v>31</v>
      </c>
      <c r="K130" s="7" t="str">
        <f>CONCATENATE("")</f>
        <v/>
      </c>
      <c r="L130" s="7" t="str">
        <f>CONCATENATE("13 13.1 4a")</f>
        <v>13 13.1 4a</v>
      </c>
      <c r="M130" s="7" t="str">
        <f>CONCATENATE("FRRFBA70A16I156B")</f>
        <v>FRRFBA70A16I156B</v>
      </c>
      <c r="N130" s="7" t="s">
        <v>226</v>
      </c>
      <c r="O130" s="7" t="s">
        <v>87</v>
      </c>
      <c r="P130" s="8">
        <v>44299</v>
      </c>
      <c r="Q130" s="7" t="s">
        <v>32</v>
      </c>
      <c r="R130" s="7" t="s">
        <v>39</v>
      </c>
      <c r="S130" s="7" t="s">
        <v>34</v>
      </c>
      <c r="T130" s="7"/>
      <c r="U130" s="7" t="s">
        <v>35</v>
      </c>
      <c r="V130" s="9">
        <v>5080.0600000000004</v>
      </c>
      <c r="W130" s="9">
        <v>2190.52</v>
      </c>
      <c r="X130" s="9">
        <v>2022.88</v>
      </c>
      <c r="Y130" s="7">
        <v>0</v>
      </c>
      <c r="Z130" s="7">
        <v>866.66</v>
      </c>
    </row>
    <row r="131" spans="1:26" x14ac:dyDescent="0.35">
      <c r="A131" s="7" t="s">
        <v>27</v>
      </c>
      <c r="B131" s="7" t="s">
        <v>42</v>
      </c>
      <c r="C131" s="7" t="s">
        <v>48</v>
      </c>
      <c r="D131" s="7" t="s">
        <v>49</v>
      </c>
      <c r="E131" s="7" t="s">
        <v>38</v>
      </c>
      <c r="F131" s="7" t="s">
        <v>104</v>
      </c>
      <c r="G131" s="7">
        <v>2020</v>
      </c>
      <c r="H131" s="7" t="str">
        <f>CONCATENATE("04210020725")</f>
        <v>04210020725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CONCATENATE("13 13.1 4a")</f>
        <v>13 13.1 4a</v>
      </c>
      <c r="M131" s="7" t="str">
        <f>CONCATENATE("RGLGRG71H30I653I")</f>
        <v>RGLGRG71H30I653I</v>
      </c>
      <c r="N131" s="7" t="s">
        <v>227</v>
      </c>
      <c r="O131" s="7" t="s">
        <v>87</v>
      </c>
      <c r="P131" s="8">
        <v>44299</v>
      </c>
      <c r="Q131" s="7" t="s">
        <v>32</v>
      </c>
      <c r="R131" s="7" t="s">
        <v>39</v>
      </c>
      <c r="S131" s="7" t="s">
        <v>34</v>
      </c>
      <c r="T131" s="7"/>
      <c r="U131" s="7" t="s">
        <v>35</v>
      </c>
      <c r="V131" s="7">
        <v>801.74</v>
      </c>
      <c r="W131" s="7">
        <v>345.71</v>
      </c>
      <c r="X131" s="7">
        <v>319.25</v>
      </c>
      <c r="Y131" s="7">
        <v>0</v>
      </c>
      <c r="Z131" s="7">
        <v>136.78</v>
      </c>
    </row>
    <row r="132" spans="1:26" x14ac:dyDescent="0.35">
      <c r="A132" s="7" t="s">
        <v>27</v>
      </c>
      <c r="B132" s="7" t="s">
        <v>42</v>
      </c>
      <c r="C132" s="7" t="s">
        <v>48</v>
      </c>
      <c r="D132" s="7" t="s">
        <v>49</v>
      </c>
      <c r="E132" s="7" t="s">
        <v>38</v>
      </c>
      <c r="F132" s="7" t="s">
        <v>102</v>
      </c>
      <c r="G132" s="7">
        <v>2020</v>
      </c>
      <c r="H132" s="7" t="str">
        <f>CONCATENATE("04210363612")</f>
        <v>04210363612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CONCATENATE("13 13.1 4a")</f>
        <v>13 13.1 4a</v>
      </c>
      <c r="M132" s="7" t="str">
        <f>CONCATENATE("BREMRS38E61I461N")</f>
        <v>BREMRS38E61I461N</v>
      </c>
      <c r="N132" s="7" t="s">
        <v>228</v>
      </c>
      <c r="O132" s="7" t="s">
        <v>87</v>
      </c>
      <c r="P132" s="8">
        <v>44299</v>
      </c>
      <c r="Q132" s="7" t="s">
        <v>32</v>
      </c>
      <c r="R132" s="7" t="s">
        <v>39</v>
      </c>
      <c r="S132" s="7" t="s">
        <v>34</v>
      </c>
      <c r="T132" s="7"/>
      <c r="U132" s="7" t="s">
        <v>35</v>
      </c>
      <c r="V132" s="7">
        <v>678.98</v>
      </c>
      <c r="W132" s="7">
        <v>292.77999999999997</v>
      </c>
      <c r="X132" s="7">
        <v>270.37</v>
      </c>
      <c r="Y132" s="7">
        <v>0</v>
      </c>
      <c r="Z132" s="7">
        <v>115.83</v>
      </c>
    </row>
    <row r="133" spans="1:26" x14ac:dyDescent="0.35">
      <c r="A133" s="7" t="s">
        <v>27</v>
      </c>
      <c r="B133" s="7" t="s">
        <v>42</v>
      </c>
      <c r="C133" s="7" t="s">
        <v>48</v>
      </c>
      <c r="D133" s="7" t="s">
        <v>49</v>
      </c>
      <c r="E133" s="7" t="s">
        <v>38</v>
      </c>
      <c r="F133" s="7" t="s">
        <v>102</v>
      </c>
      <c r="G133" s="7">
        <v>2020</v>
      </c>
      <c r="H133" s="7" t="str">
        <f>CONCATENATE("04210016574")</f>
        <v>04210016574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CONCATENATE("13 13.1 4a")</f>
        <v>13 13.1 4a</v>
      </c>
      <c r="M133" s="7" t="str">
        <f>CONCATENATE("RTGSLV77M55I461M")</f>
        <v>RTGSLV77M55I461M</v>
      </c>
      <c r="N133" s="7" t="s">
        <v>229</v>
      </c>
      <c r="O133" s="7" t="s">
        <v>87</v>
      </c>
      <c r="P133" s="8">
        <v>44299</v>
      </c>
      <c r="Q133" s="7" t="s">
        <v>32</v>
      </c>
      <c r="R133" s="7" t="s">
        <v>39</v>
      </c>
      <c r="S133" s="7" t="s">
        <v>34</v>
      </c>
      <c r="T133" s="7"/>
      <c r="U133" s="7" t="s">
        <v>35</v>
      </c>
      <c r="V133" s="7">
        <v>526.74</v>
      </c>
      <c r="W133" s="7">
        <v>227.13</v>
      </c>
      <c r="X133" s="7">
        <v>209.75</v>
      </c>
      <c r="Y133" s="7">
        <v>0</v>
      </c>
      <c r="Z133" s="7">
        <v>89.86</v>
      </c>
    </row>
    <row r="134" spans="1:26" x14ac:dyDescent="0.35">
      <c r="A134" s="7" t="s">
        <v>27</v>
      </c>
      <c r="B134" s="7" t="s">
        <v>42</v>
      </c>
      <c r="C134" s="7" t="s">
        <v>48</v>
      </c>
      <c r="D134" s="7" t="s">
        <v>49</v>
      </c>
      <c r="E134" s="7" t="s">
        <v>38</v>
      </c>
      <c r="F134" s="7" t="s">
        <v>104</v>
      </c>
      <c r="G134" s="7">
        <v>2020</v>
      </c>
      <c r="H134" s="7" t="str">
        <f>CONCATENATE("04210061257")</f>
        <v>04210061257</v>
      </c>
      <c r="I134" s="7" t="s">
        <v>37</v>
      </c>
      <c r="J134" s="7" t="s">
        <v>31</v>
      </c>
      <c r="K134" s="7" t="str">
        <f>CONCATENATE("")</f>
        <v/>
      </c>
      <c r="L134" s="7" t="str">
        <f>CONCATENATE("13 13.1 4a")</f>
        <v>13 13.1 4a</v>
      </c>
      <c r="M134" s="7" t="str">
        <f>CONCATENATE("BRBFRZ63T27D451T")</f>
        <v>BRBFRZ63T27D451T</v>
      </c>
      <c r="N134" s="7" t="s">
        <v>230</v>
      </c>
      <c r="O134" s="7" t="s">
        <v>87</v>
      </c>
      <c r="P134" s="8">
        <v>44299</v>
      </c>
      <c r="Q134" s="7" t="s">
        <v>32</v>
      </c>
      <c r="R134" s="7" t="s">
        <v>39</v>
      </c>
      <c r="S134" s="7" t="s">
        <v>34</v>
      </c>
      <c r="T134" s="7"/>
      <c r="U134" s="7" t="s">
        <v>35</v>
      </c>
      <c r="V134" s="9">
        <v>1350</v>
      </c>
      <c r="W134" s="7">
        <v>582.12</v>
      </c>
      <c r="X134" s="7">
        <v>537.57000000000005</v>
      </c>
      <c r="Y134" s="7">
        <v>0</v>
      </c>
      <c r="Z134" s="7">
        <v>230.31</v>
      </c>
    </row>
    <row r="135" spans="1:26" x14ac:dyDescent="0.35">
      <c r="A135" s="7" t="s">
        <v>27</v>
      </c>
      <c r="B135" s="7" t="s">
        <v>42</v>
      </c>
      <c r="C135" s="7" t="s">
        <v>48</v>
      </c>
      <c r="D135" s="7" t="s">
        <v>60</v>
      </c>
      <c r="E135" s="7" t="s">
        <v>40</v>
      </c>
      <c r="F135" s="7" t="s">
        <v>93</v>
      </c>
      <c r="G135" s="7">
        <v>2020</v>
      </c>
      <c r="H135" s="7" t="str">
        <f>CONCATENATE("04210499432")</f>
        <v>04210499432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CONCATENATE("13 13.1 4a")</f>
        <v>13 13.1 4a</v>
      </c>
      <c r="M135" s="7" t="str">
        <f>CONCATENATE("CMLGNZ44R11L078C")</f>
        <v>CMLGNZ44R11L078C</v>
      </c>
      <c r="N135" s="7" t="s">
        <v>231</v>
      </c>
      <c r="O135" s="7" t="s">
        <v>87</v>
      </c>
      <c r="P135" s="8">
        <v>44299</v>
      </c>
      <c r="Q135" s="7" t="s">
        <v>32</v>
      </c>
      <c r="R135" s="7" t="s">
        <v>39</v>
      </c>
      <c r="S135" s="7" t="s">
        <v>34</v>
      </c>
      <c r="T135" s="7"/>
      <c r="U135" s="7" t="s">
        <v>35</v>
      </c>
      <c r="V135" s="7">
        <v>956.14</v>
      </c>
      <c r="W135" s="7">
        <v>412.29</v>
      </c>
      <c r="X135" s="7">
        <v>380.73</v>
      </c>
      <c r="Y135" s="7">
        <v>0</v>
      </c>
      <c r="Z135" s="7">
        <v>163.12</v>
      </c>
    </row>
    <row r="136" spans="1:26" x14ac:dyDescent="0.35">
      <c r="A136" s="7" t="s">
        <v>27</v>
      </c>
      <c r="B136" s="7" t="s">
        <v>42</v>
      </c>
      <c r="C136" s="7" t="s">
        <v>48</v>
      </c>
      <c r="D136" s="7" t="s">
        <v>60</v>
      </c>
      <c r="E136" s="7" t="s">
        <v>38</v>
      </c>
      <c r="F136" s="7" t="s">
        <v>173</v>
      </c>
      <c r="G136" s="7">
        <v>2020</v>
      </c>
      <c r="H136" s="7" t="str">
        <f>CONCATENATE("04210119642")</f>
        <v>04210119642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CONCATENATE("13 13.1 4a")</f>
        <v>13 13.1 4a</v>
      </c>
      <c r="M136" s="7" t="str">
        <f>CONCATENATE("BRTLDN48C07D749Q")</f>
        <v>BRTLDN48C07D749Q</v>
      </c>
      <c r="N136" s="7" t="s">
        <v>232</v>
      </c>
      <c r="O136" s="7" t="s">
        <v>87</v>
      </c>
      <c r="P136" s="8">
        <v>44299</v>
      </c>
      <c r="Q136" s="7" t="s">
        <v>32</v>
      </c>
      <c r="R136" s="7" t="s">
        <v>39</v>
      </c>
      <c r="S136" s="7" t="s">
        <v>34</v>
      </c>
      <c r="T136" s="7"/>
      <c r="U136" s="7" t="s">
        <v>35</v>
      </c>
      <c r="V136" s="9">
        <v>1319.24</v>
      </c>
      <c r="W136" s="7">
        <v>568.86</v>
      </c>
      <c r="X136" s="7">
        <v>525.32000000000005</v>
      </c>
      <c r="Y136" s="7">
        <v>0</v>
      </c>
      <c r="Z136" s="7">
        <v>225.06</v>
      </c>
    </row>
    <row r="137" spans="1:26" x14ac:dyDescent="0.35">
      <c r="A137" s="7" t="s">
        <v>27</v>
      </c>
      <c r="B137" s="7" t="s">
        <v>42</v>
      </c>
      <c r="C137" s="7" t="s">
        <v>48</v>
      </c>
      <c r="D137" s="7" t="s">
        <v>49</v>
      </c>
      <c r="E137" s="7" t="s">
        <v>38</v>
      </c>
      <c r="F137" s="7" t="s">
        <v>104</v>
      </c>
      <c r="G137" s="7">
        <v>2020</v>
      </c>
      <c r="H137" s="7" t="str">
        <f>CONCATENATE("04210370328")</f>
        <v>04210370328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CONCATENATE("13 13.1 4a")</f>
        <v>13 13.1 4a</v>
      </c>
      <c r="M137" s="7" t="str">
        <f>CONCATENATE("01491760425")</f>
        <v>01491760425</v>
      </c>
      <c r="N137" s="7" t="s">
        <v>233</v>
      </c>
      <c r="O137" s="7" t="s">
        <v>87</v>
      </c>
      <c r="P137" s="8">
        <v>44299</v>
      </c>
      <c r="Q137" s="7" t="s">
        <v>32</v>
      </c>
      <c r="R137" s="7" t="s">
        <v>39</v>
      </c>
      <c r="S137" s="7" t="s">
        <v>34</v>
      </c>
      <c r="T137" s="7"/>
      <c r="U137" s="7" t="s">
        <v>35</v>
      </c>
      <c r="V137" s="7">
        <v>693.51</v>
      </c>
      <c r="W137" s="7">
        <v>299.04000000000002</v>
      </c>
      <c r="X137" s="7">
        <v>276.16000000000003</v>
      </c>
      <c r="Y137" s="7">
        <v>0</v>
      </c>
      <c r="Z137" s="7">
        <v>118.31</v>
      </c>
    </row>
    <row r="138" spans="1:26" x14ac:dyDescent="0.35">
      <c r="A138" s="7" t="s">
        <v>27</v>
      </c>
      <c r="B138" s="7" t="s">
        <v>42</v>
      </c>
      <c r="C138" s="7" t="s">
        <v>48</v>
      </c>
      <c r="D138" s="7" t="s">
        <v>55</v>
      </c>
      <c r="E138" s="7" t="s">
        <v>38</v>
      </c>
      <c r="F138" s="7" t="s">
        <v>143</v>
      </c>
      <c r="G138" s="7">
        <v>2020</v>
      </c>
      <c r="H138" s="7" t="str">
        <f>CONCATENATE("04210549822")</f>
        <v>04210549822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CONCATENATE("13 13.1 4a")</f>
        <v>13 13.1 4a</v>
      </c>
      <c r="M138" s="7" t="str">
        <f>CONCATENATE("MCAMGS61R55I661H")</f>
        <v>MCAMGS61R55I661H</v>
      </c>
      <c r="N138" s="7" t="s">
        <v>234</v>
      </c>
      <c r="O138" s="7" t="s">
        <v>87</v>
      </c>
      <c r="P138" s="8">
        <v>44299</v>
      </c>
      <c r="Q138" s="7" t="s">
        <v>32</v>
      </c>
      <c r="R138" s="7" t="s">
        <v>39</v>
      </c>
      <c r="S138" s="7" t="s">
        <v>34</v>
      </c>
      <c r="T138" s="7"/>
      <c r="U138" s="7" t="s">
        <v>35</v>
      </c>
      <c r="V138" s="9">
        <v>8385.61</v>
      </c>
      <c r="W138" s="9">
        <v>3615.88</v>
      </c>
      <c r="X138" s="9">
        <v>3339.15</v>
      </c>
      <c r="Y138" s="7">
        <v>0</v>
      </c>
      <c r="Z138" s="9">
        <v>1430.58</v>
      </c>
    </row>
    <row r="139" spans="1:26" x14ac:dyDescent="0.35">
      <c r="A139" s="7" t="s">
        <v>27</v>
      </c>
      <c r="B139" s="7" t="s">
        <v>42</v>
      </c>
      <c r="C139" s="7" t="s">
        <v>48</v>
      </c>
      <c r="D139" s="7" t="s">
        <v>60</v>
      </c>
      <c r="E139" s="7" t="s">
        <v>40</v>
      </c>
      <c r="F139" s="7" t="s">
        <v>90</v>
      </c>
      <c r="G139" s="7">
        <v>2020</v>
      </c>
      <c r="H139" s="7" t="str">
        <f>CONCATENATE("04210306207")</f>
        <v>04210306207</v>
      </c>
      <c r="I139" s="7" t="s">
        <v>30</v>
      </c>
      <c r="J139" s="7" t="s">
        <v>31</v>
      </c>
      <c r="K139" s="7" t="str">
        <f>CONCATENATE("")</f>
        <v/>
      </c>
      <c r="L139" s="7" t="str">
        <f>CONCATENATE("13 13.1 4a")</f>
        <v>13 13.1 4a</v>
      </c>
      <c r="M139" s="7" t="str">
        <f>CONCATENATE("CFLSRG49T19B636E")</f>
        <v>CFLSRG49T19B636E</v>
      </c>
      <c r="N139" s="7" t="s">
        <v>235</v>
      </c>
      <c r="O139" s="7" t="s">
        <v>87</v>
      </c>
      <c r="P139" s="8">
        <v>44299</v>
      </c>
      <c r="Q139" s="7" t="s">
        <v>32</v>
      </c>
      <c r="R139" s="7" t="s">
        <v>39</v>
      </c>
      <c r="S139" s="7" t="s">
        <v>34</v>
      </c>
      <c r="T139" s="7"/>
      <c r="U139" s="7" t="s">
        <v>35</v>
      </c>
      <c r="V139" s="7">
        <v>179.11</v>
      </c>
      <c r="W139" s="7">
        <v>77.23</v>
      </c>
      <c r="X139" s="7">
        <v>71.319999999999993</v>
      </c>
      <c r="Y139" s="7">
        <v>0</v>
      </c>
      <c r="Z139" s="7">
        <v>30.56</v>
      </c>
    </row>
    <row r="140" spans="1:26" x14ac:dyDescent="0.35">
      <c r="A140" s="7" t="s">
        <v>27</v>
      </c>
      <c r="B140" s="7" t="s">
        <v>42</v>
      </c>
      <c r="C140" s="7" t="s">
        <v>48</v>
      </c>
      <c r="D140" s="7" t="s">
        <v>60</v>
      </c>
      <c r="E140" s="7" t="s">
        <v>40</v>
      </c>
      <c r="F140" s="7" t="s">
        <v>93</v>
      </c>
      <c r="G140" s="7">
        <v>2020</v>
      </c>
      <c r="H140" s="7" t="str">
        <f>CONCATENATE("04210378073")</f>
        <v>04210378073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CONCATENATE("13 13.1 4a")</f>
        <v>13 13.1 4a</v>
      </c>
      <c r="M140" s="7" t="str">
        <f>CONCATENATE("MRGSFN56T31F136X")</f>
        <v>MRGSFN56T31F136X</v>
      </c>
      <c r="N140" s="7" t="s">
        <v>236</v>
      </c>
      <c r="O140" s="7" t="s">
        <v>87</v>
      </c>
      <c r="P140" s="8">
        <v>44299</v>
      </c>
      <c r="Q140" s="7" t="s">
        <v>32</v>
      </c>
      <c r="R140" s="7" t="s">
        <v>39</v>
      </c>
      <c r="S140" s="7" t="s">
        <v>34</v>
      </c>
      <c r="T140" s="7"/>
      <c r="U140" s="7" t="s">
        <v>35</v>
      </c>
      <c r="V140" s="7">
        <v>930.9</v>
      </c>
      <c r="W140" s="7">
        <v>401.4</v>
      </c>
      <c r="X140" s="7">
        <v>370.68</v>
      </c>
      <c r="Y140" s="7">
        <v>0</v>
      </c>
      <c r="Z140" s="7">
        <v>158.82</v>
      </c>
    </row>
    <row r="141" spans="1:26" x14ac:dyDescent="0.35">
      <c r="A141" s="7" t="s">
        <v>27</v>
      </c>
      <c r="B141" s="7" t="s">
        <v>42</v>
      </c>
      <c r="C141" s="7" t="s">
        <v>48</v>
      </c>
      <c r="D141" s="7" t="s">
        <v>55</v>
      </c>
      <c r="E141" s="7" t="s">
        <v>38</v>
      </c>
      <c r="F141" s="7" t="s">
        <v>143</v>
      </c>
      <c r="G141" s="7">
        <v>2020</v>
      </c>
      <c r="H141" s="7" t="str">
        <f>CONCATENATE("04210078160")</f>
        <v>04210078160</v>
      </c>
      <c r="I141" s="7" t="s">
        <v>30</v>
      </c>
      <c r="J141" s="7" t="s">
        <v>31</v>
      </c>
      <c r="K141" s="7" t="str">
        <f>CONCATENATE("")</f>
        <v/>
      </c>
      <c r="L141" s="7" t="str">
        <f>CONCATENATE("13 13.1 4a")</f>
        <v>13 13.1 4a</v>
      </c>
      <c r="M141" s="7" t="str">
        <f>CONCATENATE("PGTMEO62T14B474V")</f>
        <v>PGTMEO62T14B474V</v>
      </c>
      <c r="N141" s="7" t="s">
        <v>237</v>
      </c>
      <c r="O141" s="7" t="s">
        <v>87</v>
      </c>
      <c r="P141" s="8">
        <v>44299</v>
      </c>
      <c r="Q141" s="7" t="s">
        <v>32</v>
      </c>
      <c r="R141" s="7" t="s">
        <v>39</v>
      </c>
      <c r="S141" s="7" t="s">
        <v>34</v>
      </c>
      <c r="T141" s="7"/>
      <c r="U141" s="7" t="s">
        <v>35</v>
      </c>
      <c r="V141" s="9">
        <v>3039.24</v>
      </c>
      <c r="W141" s="9">
        <v>1310.52</v>
      </c>
      <c r="X141" s="9">
        <v>1210.23</v>
      </c>
      <c r="Y141" s="7">
        <v>0</v>
      </c>
      <c r="Z141" s="7">
        <v>518.49</v>
      </c>
    </row>
    <row r="142" spans="1:26" x14ac:dyDescent="0.35">
      <c r="A142" s="7" t="s">
        <v>27</v>
      </c>
      <c r="B142" s="7" t="s">
        <v>42</v>
      </c>
      <c r="C142" s="7" t="s">
        <v>48</v>
      </c>
      <c r="D142" s="7" t="s">
        <v>60</v>
      </c>
      <c r="E142" s="7" t="s">
        <v>46</v>
      </c>
      <c r="F142" s="7" t="s">
        <v>138</v>
      </c>
      <c r="G142" s="7">
        <v>2020</v>
      </c>
      <c r="H142" s="7" t="str">
        <f>CONCATENATE("04210462158")</f>
        <v>04210462158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CONCATENATE("13 13.1 4a")</f>
        <v>13 13.1 4a</v>
      </c>
      <c r="M142" s="7" t="str">
        <f>CONCATENATE("BNCSFN71B18L500V")</f>
        <v>BNCSFN71B18L500V</v>
      </c>
      <c r="N142" s="7" t="s">
        <v>238</v>
      </c>
      <c r="O142" s="7" t="s">
        <v>87</v>
      </c>
      <c r="P142" s="8">
        <v>44299</v>
      </c>
      <c r="Q142" s="7" t="s">
        <v>32</v>
      </c>
      <c r="R142" s="7" t="s">
        <v>39</v>
      </c>
      <c r="S142" s="7" t="s">
        <v>34</v>
      </c>
      <c r="T142" s="7"/>
      <c r="U142" s="7" t="s">
        <v>35</v>
      </c>
      <c r="V142" s="9">
        <v>1480.42</v>
      </c>
      <c r="W142" s="7">
        <v>638.36</v>
      </c>
      <c r="X142" s="7">
        <v>589.5</v>
      </c>
      <c r="Y142" s="7">
        <v>0</v>
      </c>
      <c r="Z142" s="7">
        <v>252.56</v>
      </c>
    </row>
    <row r="143" spans="1:26" x14ac:dyDescent="0.35">
      <c r="A143" s="7" t="s">
        <v>27</v>
      </c>
      <c r="B143" s="7" t="s">
        <v>42</v>
      </c>
      <c r="C143" s="7" t="s">
        <v>48</v>
      </c>
      <c r="D143" s="7" t="s">
        <v>49</v>
      </c>
      <c r="E143" s="7" t="s">
        <v>38</v>
      </c>
      <c r="F143" s="7" t="s">
        <v>104</v>
      </c>
      <c r="G143" s="7">
        <v>2020</v>
      </c>
      <c r="H143" s="7" t="str">
        <f>CONCATENATE("04210477149")</f>
        <v>04210477149</v>
      </c>
      <c r="I143" s="7" t="s">
        <v>30</v>
      </c>
      <c r="J143" s="7" t="s">
        <v>31</v>
      </c>
      <c r="K143" s="7" t="str">
        <f>CONCATENATE("")</f>
        <v/>
      </c>
      <c r="L143" s="7" t="str">
        <f>CONCATENATE("13 13.1 4a")</f>
        <v>13 13.1 4a</v>
      </c>
      <c r="M143" s="7" t="str">
        <f>CONCATENATE("GLDFNC81L02E388X")</f>
        <v>GLDFNC81L02E388X</v>
      </c>
      <c r="N143" s="7" t="s">
        <v>239</v>
      </c>
      <c r="O143" s="7" t="s">
        <v>87</v>
      </c>
      <c r="P143" s="8">
        <v>44299</v>
      </c>
      <c r="Q143" s="7" t="s">
        <v>32</v>
      </c>
      <c r="R143" s="7" t="s">
        <v>39</v>
      </c>
      <c r="S143" s="7" t="s">
        <v>34</v>
      </c>
      <c r="T143" s="7"/>
      <c r="U143" s="7" t="s">
        <v>35</v>
      </c>
      <c r="V143" s="7">
        <v>289.38</v>
      </c>
      <c r="W143" s="7">
        <v>124.78</v>
      </c>
      <c r="X143" s="7">
        <v>115.23</v>
      </c>
      <c r="Y143" s="7">
        <v>0</v>
      </c>
      <c r="Z143" s="7">
        <v>49.37</v>
      </c>
    </row>
    <row r="144" spans="1:26" x14ac:dyDescent="0.35">
      <c r="A144" s="7" t="s">
        <v>27</v>
      </c>
      <c r="B144" s="7" t="s">
        <v>42</v>
      </c>
      <c r="C144" s="7" t="s">
        <v>48</v>
      </c>
      <c r="D144" s="7" t="s">
        <v>55</v>
      </c>
      <c r="E144" s="7" t="s">
        <v>38</v>
      </c>
      <c r="F144" s="7" t="s">
        <v>143</v>
      </c>
      <c r="G144" s="7">
        <v>2020</v>
      </c>
      <c r="H144" s="7" t="str">
        <f>CONCATENATE("04210148567")</f>
        <v>04210148567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CONCATENATE("13 13.1 4a")</f>
        <v>13 13.1 4a</v>
      </c>
      <c r="M144" s="7" t="str">
        <f>CONCATENATE("00735960437")</f>
        <v>00735960437</v>
      </c>
      <c r="N144" s="7" t="s">
        <v>240</v>
      </c>
      <c r="O144" s="7" t="s">
        <v>87</v>
      </c>
      <c r="P144" s="8">
        <v>44299</v>
      </c>
      <c r="Q144" s="7" t="s">
        <v>32</v>
      </c>
      <c r="R144" s="7" t="s">
        <v>39</v>
      </c>
      <c r="S144" s="7" t="s">
        <v>34</v>
      </c>
      <c r="T144" s="7"/>
      <c r="U144" s="7" t="s">
        <v>35</v>
      </c>
      <c r="V144" s="9">
        <v>3788.16</v>
      </c>
      <c r="W144" s="9">
        <v>1633.45</v>
      </c>
      <c r="X144" s="9">
        <v>1508.45</v>
      </c>
      <c r="Y144" s="7">
        <v>0</v>
      </c>
      <c r="Z144" s="7">
        <v>646.26</v>
      </c>
    </row>
    <row r="145" spans="1:26" x14ac:dyDescent="0.35">
      <c r="A145" s="7" t="s">
        <v>27</v>
      </c>
      <c r="B145" s="7" t="s">
        <v>42</v>
      </c>
      <c r="C145" s="7" t="s">
        <v>48</v>
      </c>
      <c r="D145" s="7" t="s">
        <v>60</v>
      </c>
      <c r="E145" s="7" t="s">
        <v>43</v>
      </c>
      <c r="F145" s="7" t="s">
        <v>88</v>
      </c>
      <c r="G145" s="7">
        <v>2020</v>
      </c>
      <c r="H145" s="7" t="str">
        <f>CONCATENATE("04210403509")</f>
        <v>04210403509</v>
      </c>
      <c r="I145" s="7" t="s">
        <v>30</v>
      </c>
      <c r="J145" s="7" t="s">
        <v>31</v>
      </c>
      <c r="K145" s="7" t="str">
        <f>CONCATENATE("")</f>
        <v/>
      </c>
      <c r="L145" s="7" t="str">
        <f>CONCATENATE("13 13.1 4a")</f>
        <v>13 13.1 4a</v>
      </c>
      <c r="M145" s="7" t="str">
        <f>CONCATENATE("BSLPLA57B09G514H")</f>
        <v>BSLPLA57B09G514H</v>
      </c>
      <c r="N145" s="7" t="s">
        <v>241</v>
      </c>
      <c r="O145" s="7" t="s">
        <v>87</v>
      </c>
      <c r="P145" s="8">
        <v>44299</v>
      </c>
      <c r="Q145" s="7" t="s">
        <v>32</v>
      </c>
      <c r="R145" s="7" t="s">
        <v>39</v>
      </c>
      <c r="S145" s="7" t="s">
        <v>34</v>
      </c>
      <c r="T145" s="7"/>
      <c r="U145" s="7" t="s">
        <v>35</v>
      </c>
      <c r="V145" s="9">
        <v>1721.6</v>
      </c>
      <c r="W145" s="7">
        <v>742.35</v>
      </c>
      <c r="X145" s="7">
        <v>685.54</v>
      </c>
      <c r="Y145" s="7">
        <v>0</v>
      </c>
      <c r="Z145" s="7">
        <v>293.70999999999998</v>
      </c>
    </row>
    <row r="146" spans="1:26" x14ac:dyDescent="0.35">
      <c r="A146" s="7" t="s">
        <v>27</v>
      </c>
      <c r="B146" s="7" t="s">
        <v>42</v>
      </c>
      <c r="C146" s="7" t="s">
        <v>48</v>
      </c>
      <c r="D146" s="7" t="s">
        <v>49</v>
      </c>
      <c r="E146" s="7" t="s">
        <v>40</v>
      </c>
      <c r="F146" s="7" t="s">
        <v>98</v>
      </c>
      <c r="G146" s="7">
        <v>2020</v>
      </c>
      <c r="H146" s="7" t="str">
        <f>CONCATENATE("04210426716")</f>
        <v>04210426716</v>
      </c>
      <c r="I146" s="7" t="s">
        <v>37</v>
      </c>
      <c r="J146" s="7" t="s">
        <v>31</v>
      </c>
      <c r="K146" s="7" t="str">
        <f>CONCATENATE("")</f>
        <v/>
      </c>
      <c r="L146" s="7" t="str">
        <f>CONCATENATE("13 13.1 4a")</f>
        <v>13 13.1 4a</v>
      </c>
      <c r="M146" s="7" t="str">
        <f>CONCATENATE("02683180422")</f>
        <v>02683180422</v>
      </c>
      <c r="N146" s="7" t="s">
        <v>242</v>
      </c>
      <c r="O146" s="7" t="s">
        <v>87</v>
      </c>
      <c r="P146" s="8">
        <v>44299</v>
      </c>
      <c r="Q146" s="7" t="s">
        <v>32</v>
      </c>
      <c r="R146" s="7" t="s">
        <v>39</v>
      </c>
      <c r="S146" s="7" t="s">
        <v>34</v>
      </c>
      <c r="T146" s="7"/>
      <c r="U146" s="7" t="s">
        <v>35</v>
      </c>
      <c r="V146" s="7">
        <v>105.8</v>
      </c>
      <c r="W146" s="7">
        <v>45.62</v>
      </c>
      <c r="X146" s="7">
        <v>42.13</v>
      </c>
      <c r="Y146" s="7">
        <v>0</v>
      </c>
      <c r="Z146" s="7">
        <v>18.05</v>
      </c>
    </row>
    <row r="147" spans="1:26" x14ac:dyDescent="0.35">
      <c r="A147" s="7" t="s">
        <v>27</v>
      </c>
      <c r="B147" s="7" t="s">
        <v>42</v>
      </c>
      <c r="C147" s="7" t="s">
        <v>48</v>
      </c>
      <c r="D147" s="7" t="s">
        <v>55</v>
      </c>
      <c r="E147" s="7" t="s">
        <v>38</v>
      </c>
      <c r="F147" s="7" t="s">
        <v>143</v>
      </c>
      <c r="G147" s="7">
        <v>2020</v>
      </c>
      <c r="H147" s="7" t="str">
        <f>CONCATENATE("04210551547")</f>
        <v>04210551547</v>
      </c>
      <c r="I147" s="7" t="s">
        <v>30</v>
      </c>
      <c r="J147" s="7" t="s">
        <v>31</v>
      </c>
      <c r="K147" s="7" t="str">
        <f>CONCATENATE("")</f>
        <v/>
      </c>
      <c r="L147" s="7" t="str">
        <f>CONCATENATE("13 13.1 4a")</f>
        <v>13 13.1 4a</v>
      </c>
      <c r="M147" s="7" t="str">
        <f>CONCATENATE("MCHRRT64D25B474S")</f>
        <v>MCHRRT64D25B474S</v>
      </c>
      <c r="N147" s="7" t="s">
        <v>243</v>
      </c>
      <c r="O147" s="7" t="s">
        <v>87</v>
      </c>
      <c r="P147" s="8">
        <v>44299</v>
      </c>
      <c r="Q147" s="7" t="s">
        <v>32</v>
      </c>
      <c r="R147" s="7" t="s">
        <v>39</v>
      </c>
      <c r="S147" s="7" t="s">
        <v>34</v>
      </c>
      <c r="T147" s="7"/>
      <c r="U147" s="7" t="s">
        <v>35</v>
      </c>
      <c r="V147" s="7">
        <v>532.24</v>
      </c>
      <c r="W147" s="7">
        <v>229.5</v>
      </c>
      <c r="X147" s="7">
        <v>211.94</v>
      </c>
      <c r="Y147" s="7">
        <v>0</v>
      </c>
      <c r="Z147" s="7">
        <v>90.8</v>
      </c>
    </row>
    <row r="148" spans="1:26" x14ac:dyDescent="0.35">
      <c r="A148" s="7" t="s">
        <v>27</v>
      </c>
      <c r="B148" s="7" t="s">
        <v>42</v>
      </c>
      <c r="C148" s="7" t="s">
        <v>48</v>
      </c>
      <c r="D148" s="7" t="s">
        <v>60</v>
      </c>
      <c r="E148" s="7" t="s">
        <v>40</v>
      </c>
      <c r="F148" s="7" t="s">
        <v>93</v>
      </c>
      <c r="G148" s="7">
        <v>2020</v>
      </c>
      <c r="H148" s="7" t="str">
        <f>CONCATENATE("04210980159")</f>
        <v>04210980159</v>
      </c>
      <c r="I148" s="7" t="s">
        <v>30</v>
      </c>
      <c r="J148" s="7" t="s">
        <v>31</v>
      </c>
      <c r="K148" s="7" t="str">
        <f>CONCATENATE("")</f>
        <v/>
      </c>
      <c r="L148" s="7" t="str">
        <f>CONCATENATE("13 13.1 4a")</f>
        <v>13 13.1 4a</v>
      </c>
      <c r="M148" s="7" t="str">
        <f>CONCATENATE("BRRGCR61R30Z130G")</f>
        <v>BRRGCR61R30Z130G</v>
      </c>
      <c r="N148" s="7" t="s">
        <v>244</v>
      </c>
      <c r="O148" s="7" t="s">
        <v>87</v>
      </c>
      <c r="P148" s="8">
        <v>44299</v>
      </c>
      <c r="Q148" s="7" t="s">
        <v>32</v>
      </c>
      <c r="R148" s="7" t="s">
        <v>39</v>
      </c>
      <c r="S148" s="7" t="s">
        <v>34</v>
      </c>
      <c r="T148" s="7"/>
      <c r="U148" s="7" t="s">
        <v>35</v>
      </c>
      <c r="V148" s="9">
        <v>4365.18</v>
      </c>
      <c r="W148" s="9">
        <v>1882.27</v>
      </c>
      <c r="X148" s="9">
        <v>1738.21</v>
      </c>
      <c r="Y148" s="7">
        <v>0</v>
      </c>
      <c r="Z148" s="7">
        <v>744.7</v>
      </c>
    </row>
    <row r="149" spans="1:26" x14ac:dyDescent="0.35">
      <c r="A149" s="7" t="s">
        <v>27</v>
      </c>
      <c r="B149" s="7" t="s">
        <v>42</v>
      </c>
      <c r="C149" s="7" t="s">
        <v>48</v>
      </c>
      <c r="D149" s="7" t="s">
        <v>60</v>
      </c>
      <c r="E149" s="7" t="s">
        <v>40</v>
      </c>
      <c r="F149" s="7" t="s">
        <v>93</v>
      </c>
      <c r="G149" s="7">
        <v>2020</v>
      </c>
      <c r="H149" s="7" t="str">
        <f>CONCATENATE("04210020543")</f>
        <v>04210020543</v>
      </c>
      <c r="I149" s="7" t="s">
        <v>30</v>
      </c>
      <c r="J149" s="7" t="s">
        <v>31</v>
      </c>
      <c r="K149" s="7" t="str">
        <f>CONCATENATE("")</f>
        <v/>
      </c>
      <c r="L149" s="7" t="str">
        <f>CONCATENATE("13 13.1 4a")</f>
        <v>13 13.1 4a</v>
      </c>
      <c r="M149" s="7" t="str">
        <f>CONCATENATE("DNGGLL56S57F478T")</f>
        <v>DNGGLL56S57F478T</v>
      </c>
      <c r="N149" s="7" t="s">
        <v>245</v>
      </c>
      <c r="O149" s="7" t="s">
        <v>87</v>
      </c>
      <c r="P149" s="8">
        <v>44299</v>
      </c>
      <c r="Q149" s="7" t="s">
        <v>32</v>
      </c>
      <c r="R149" s="7" t="s">
        <v>39</v>
      </c>
      <c r="S149" s="7" t="s">
        <v>34</v>
      </c>
      <c r="T149" s="7"/>
      <c r="U149" s="7" t="s">
        <v>35</v>
      </c>
      <c r="V149" s="7">
        <v>930.94</v>
      </c>
      <c r="W149" s="7">
        <v>401.42</v>
      </c>
      <c r="X149" s="7">
        <v>370.7</v>
      </c>
      <c r="Y149" s="7">
        <v>0</v>
      </c>
      <c r="Z149" s="7">
        <v>158.82</v>
      </c>
    </row>
    <row r="150" spans="1:26" x14ac:dyDescent="0.35">
      <c r="A150" s="7" t="s">
        <v>27</v>
      </c>
      <c r="B150" s="7" t="s">
        <v>42</v>
      </c>
      <c r="C150" s="7" t="s">
        <v>48</v>
      </c>
      <c r="D150" s="7" t="s">
        <v>60</v>
      </c>
      <c r="E150" s="7" t="s">
        <v>40</v>
      </c>
      <c r="F150" s="7" t="s">
        <v>93</v>
      </c>
      <c r="G150" s="7">
        <v>2020</v>
      </c>
      <c r="H150" s="7" t="str">
        <f>CONCATENATE("04210484541")</f>
        <v>04210484541</v>
      </c>
      <c r="I150" s="7" t="s">
        <v>30</v>
      </c>
      <c r="J150" s="7" t="s">
        <v>31</v>
      </c>
      <c r="K150" s="7" t="str">
        <f>CONCATENATE("")</f>
        <v/>
      </c>
      <c r="L150" s="7" t="str">
        <f>CONCATENATE("13 13.1 4a")</f>
        <v>13 13.1 4a</v>
      </c>
      <c r="M150" s="7" t="str">
        <f>CONCATENATE("BRTGBR50E50F524H")</f>
        <v>BRTGBR50E50F524H</v>
      </c>
      <c r="N150" s="7" t="s">
        <v>246</v>
      </c>
      <c r="O150" s="7" t="s">
        <v>87</v>
      </c>
      <c r="P150" s="8">
        <v>44299</v>
      </c>
      <c r="Q150" s="7" t="s">
        <v>32</v>
      </c>
      <c r="R150" s="7" t="s">
        <v>39</v>
      </c>
      <c r="S150" s="7" t="s">
        <v>34</v>
      </c>
      <c r="T150" s="7"/>
      <c r="U150" s="7" t="s">
        <v>35</v>
      </c>
      <c r="V150" s="9">
        <v>2363.09</v>
      </c>
      <c r="W150" s="9">
        <v>1018.96</v>
      </c>
      <c r="X150" s="7">
        <v>940.98</v>
      </c>
      <c r="Y150" s="7">
        <v>0</v>
      </c>
      <c r="Z150" s="7">
        <v>403.15</v>
      </c>
    </row>
    <row r="151" spans="1:26" x14ac:dyDescent="0.35">
      <c r="A151" s="7" t="s">
        <v>27</v>
      </c>
      <c r="B151" s="7" t="s">
        <v>42</v>
      </c>
      <c r="C151" s="7" t="s">
        <v>48</v>
      </c>
      <c r="D151" s="7" t="s">
        <v>49</v>
      </c>
      <c r="E151" s="7" t="s">
        <v>38</v>
      </c>
      <c r="F151" s="7" t="s">
        <v>102</v>
      </c>
      <c r="G151" s="7">
        <v>2020</v>
      </c>
      <c r="H151" s="7" t="str">
        <f>CONCATENATE("04210013332")</f>
        <v>04210013332</v>
      </c>
      <c r="I151" s="7" t="s">
        <v>30</v>
      </c>
      <c r="J151" s="7" t="s">
        <v>31</v>
      </c>
      <c r="K151" s="7" t="str">
        <f>CONCATENATE("")</f>
        <v/>
      </c>
      <c r="L151" s="7" t="str">
        <f>CONCATENATE("13 13.1 4a")</f>
        <v>13 13.1 4a</v>
      </c>
      <c r="M151" s="7" t="str">
        <f>CONCATENATE("GSTNDR73C02I461H")</f>
        <v>GSTNDR73C02I461H</v>
      </c>
      <c r="N151" s="7" t="s">
        <v>247</v>
      </c>
      <c r="O151" s="7" t="s">
        <v>87</v>
      </c>
      <c r="P151" s="8">
        <v>44299</v>
      </c>
      <c r="Q151" s="7" t="s">
        <v>32</v>
      </c>
      <c r="R151" s="7" t="s">
        <v>39</v>
      </c>
      <c r="S151" s="7" t="s">
        <v>34</v>
      </c>
      <c r="T151" s="7"/>
      <c r="U151" s="7" t="s">
        <v>35</v>
      </c>
      <c r="V151" s="9">
        <v>1166.22</v>
      </c>
      <c r="W151" s="7">
        <v>502.87</v>
      </c>
      <c r="X151" s="7">
        <v>464.39</v>
      </c>
      <c r="Y151" s="7">
        <v>0</v>
      </c>
      <c r="Z151" s="7">
        <v>198.96</v>
      </c>
    </row>
    <row r="152" spans="1:26" x14ac:dyDescent="0.35">
      <c r="A152" s="7" t="s">
        <v>27</v>
      </c>
      <c r="B152" s="7" t="s">
        <v>42</v>
      </c>
      <c r="C152" s="7" t="s">
        <v>48</v>
      </c>
      <c r="D152" s="7" t="s">
        <v>49</v>
      </c>
      <c r="E152" s="7" t="s">
        <v>40</v>
      </c>
      <c r="F152" s="7" t="s">
        <v>98</v>
      </c>
      <c r="G152" s="7">
        <v>2020</v>
      </c>
      <c r="H152" s="7" t="str">
        <f>CONCATENATE("04210599090")</f>
        <v>04210599090</v>
      </c>
      <c r="I152" s="7" t="s">
        <v>37</v>
      </c>
      <c r="J152" s="7" t="s">
        <v>31</v>
      </c>
      <c r="K152" s="7" t="str">
        <f>CONCATENATE("")</f>
        <v/>
      </c>
      <c r="L152" s="7" t="str">
        <f>CONCATENATE("13 13.1 4a")</f>
        <v>13 13.1 4a</v>
      </c>
      <c r="M152" s="7" t="str">
        <f>CONCATENATE("MZZNRC78P23D451N")</f>
        <v>MZZNRC78P23D451N</v>
      </c>
      <c r="N152" s="7" t="s">
        <v>248</v>
      </c>
      <c r="O152" s="7" t="s">
        <v>87</v>
      </c>
      <c r="P152" s="8">
        <v>44299</v>
      </c>
      <c r="Q152" s="7" t="s">
        <v>32</v>
      </c>
      <c r="R152" s="7" t="s">
        <v>39</v>
      </c>
      <c r="S152" s="7" t="s">
        <v>34</v>
      </c>
      <c r="T152" s="7"/>
      <c r="U152" s="7" t="s">
        <v>35</v>
      </c>
      <c r="V152" s="7">
        <v>225.24</v>
      </c>
      <c r="W152" s="7">
        <v>97.12</v>
      </c>
      <c r="X152" s="7">
        <v>89.69</v>
      </c>
      <c r="Y152" s="7">
        <v>0</v>
      </c>
      <c r="Z152" s="7">
        <v>38.43</v>
      </c>
    </row>
    <row r="153" spans="1:26" x14ac:dyDescent="0.35">
      <c r="A153" s="7" t="s">
        <v>27</v>
      </c>
      <c r="B153" s="7" t="s">
        <v>42</v>
      </c>
      <c r="C153" s="7" t="s">
        <v>48</v>
      </c>
      <c r="D153" s="7" t="s">
        <v>60</v>
      </c>
      <c r="E153" s="7" t="s">
        <v>40</v>
      </c>
      <c r="F153" s="7" t="s">
        <v>90</v>
      </c>
      <c r="G153" s="7">
        <v>2020</v>
      </c>
      <c r="H153" s="7" t="str">
        <f>CONCATENATE("04210289445")</f>
        <v>04210289445</v>
      </c>
      <c r="I153" s="7" t="s">
        <v>30</v>
      </c>
      <c r="J153" s="7" t="s">
        <v>31</v>
      </c>
      <c r="K153" s="7" t="str">
        <f>CONCATENATE("")</f>
        <v/>
      </c>
      <c r="L153" s="7" t="str">
        <f>CONCATENATE("13 13.1 4a")</f>
        <v>13 13.1 4a</v>
      </c>
      <c r="M153" s="7" t="str">
        <f>CONCATENATE("02477900415")</f>
        <v>02477900415</v>
      </c>
      <c r="N153" s="7" t="s">
        <v>249</v>
      </c>
      <c r="O153" s="7" t="s">
        <v>87</v>
      </c>
      <c r="P153" s="8">
        <v>44299</v>
      </c>
      <c r="Q153" s="7" t="s">
        <v>32</v>
      </c>
      <c r="R153" s="7" t="s">
        <v>39</v>
      </c>
      <c r="S153" s="7" t="s">
        <v>34</v>
      </c>
      <c r="T153" s="7"/>
      <c r="U153" s="7" t="s">
        <v>35</v>
      </c>
      <c r="V153" s="9">
        <v>1262.1600000000001</v>
      </c>
      <c r="W153" s="7">
        <v>544.24</v>
      </c>
      <c r="X153" s="7">
        <v>502.59</v>
      </c>
      <c r="Y153" s="7">
        <v>0</v>
      </c>
      <c r="Z153" s="7">
        <v>215.33</v>
      </c>
    </row>
    <row r="154" spans="1:26" x14ac:dyDescent="0.35">
      <c r="A154" s="7" t="s">
        <v>27</v>
      </c>
      <c r="B154" s="7" t="s">
        <v>42</v>
      </c>
      <c r="C154" s="7" t="s">
        <v>48</v>
      </c>
      <c r="D154" s="7" t="s">
        <v>60</v>
      </c>
      <c r="E154" s="7" t="s">
        <v>40</v>
      </c>
      <c r="F154" s="7" t="s">
        <v>113</v>
      </c>
      <c r="G154" s="7">
        <v>2020</v>
      </c>
      <c r="H154" s="7" t="str">
        <f>CONCATENATE("04210599280")</f>
        <v>04210599280</v>
      </c>
      <c r="I154" s="7" t="s">
        <v>30</v>
      </c>
      <c r="J154" s="7" t="s">
        <v>31</v>
      </c>
      <c r="K154" s="7" t="str">
        <f>CONCATENATE("")</f>
        <v/>
      </c>
      <c r="L154" s="7" t="str">
        <f>CONCATENATE("13 13.1 4a")</f>
        <v>13 13.1 4a</v>
      </c>
      <c r="M154" s="7" t="str">
        <f>CONCATENATE("01387140419")</f>
        <v>01387140419</v>
      </c>
      <c r="N154" s="7" t="s">
        <v>250</v>
      </c>
      <c r="O154" s="7" t="s">
        <v>87</v>
      </c>
      <c r="P154" s="8">
        <v>44299</v>
      </c>
      <c r="Q154" s="7" t="s">
        <v>32</v>
      </c>
      <c r="R154" s="7" t="s">
        <v>39</v>
      </c>
      <c r="S154" s="7" t="s">
        <v>34</v>
      </c>
      <c r="T154" s="7"/>
      <c r="U154" s="7" t="s">
        <v>35</v>
      </c>
      <c r="V154" s="9">
        <v>4032.55</v>
      </c>
      <c r="W154" s="9">
        <v>1738.84</v>
      </c>
      <c r="X154" s="9">
        <v>1605.76</v>
      </c>
      <c r="Y154" s="7">
        <v>0</v>
      </c>
      <c r="Z154" s="7">
        <v>687.95</v>
      </c>
    </row>
    <row r="155" spans="1:26" x14ac:dyDescent="0.35">
      <c r="A155" s="7" t="s">
        <v>27</v>
      </c>
      <c r="B155" s="7" t="s">
        <v>42</v>
      </c>
      <c r="C155" s="7" t="s">
        <v>48</v>
      </c>
      <c r="D155" s="7" t="s">
        <v>60</v>
      </c>
      <c r="E155" s="7" t="s">
        <v>46</v>
      </c>
      <c r="F155" s="7" t="s">
        <v>138</v>
      </c>
      <c r="G155" s="7">
        <v>2020</v>
      </c>
      <c r="H155" s="7" t="str">
        <f>CONCATENATE("04210468460")</f>
        <v>04210468460</v>
      </c>
      <c r="I155" s="7" t="s">
        <v>30</v>
      </c>
      <c r="J155" s="7" t="s">
        <v>31</v>
      </c>
      <c r="K155" s="7" t="str">
        <f>CONCATENATE("")</f>
        <v/>
      </c>
      <c r="L155" s="7" t="str">
        <f>CONCATENATE("13 13.1 4a")</f>
        <v>13 13.1 4a</v>
      </c>
      <c r="M155" s="7" t="str">
        <f>CONCATENATE("BCCGRL70E28I459S")</f>
        <v>BCCGRL70E28I459S</v>
      </c>
      <c r="N155" s="7" t="s">
        <v>251</v>
      </c>
      <c r="O155" s="7" t="s">
        <v>87</v>
      </c>
      <c r="P155" s="8">
        <v>44299</v>
      </c>
      <c r="Q155" s="7" t="s">
        <v>32</v>
      </c>
      <c r="R155" s="7" t="s">
        <v>39</v>
      </c>
      <c r="S155" s="7" t="s">
        <v>34</v>
      </c>
      <c r="T155" s="7"/>
      <c r="U155" s="7" t="s">
        <v>35</v>
      </c>
      <c r="V155" s="9">
        <v>1616.38</v>
      </c>
      <c r="W155" s="7">
        <v>696.98</v>
      </c>
      <c r="X155" s="7">
        <v>643.64</v>
      </c>
      <c r="Y155" s="7">
        <v>0</v>
      </c>
      <c r="Z155" s="7">
        <v>275.76</v>
      </c>
    </row>
    <row r="156" spans="1:26" x14ac:dyDescent="0.35">
      <c r="A156" s="7" t="s">
        <v>27</v>
      </c>
      <c r="B156" s="7" t="s">
        <v>42</v>
      </c>
      <c r="C156" s="7" t="s">
        <v>48</v>
      </c>
      <c r="D156" s="7" t="s">
        <v>60</v>
      </c>
      <c r="E156" s="7" t="s">
        <v>40</v>
      </c>
      <c r="F156" s="7" t="s">
        <v>113</v>
      </c>
      <c r="G156" s="7">
        <v>2020</v>
      </c>
      <c r="H156" s="7" t="str">
        <f>CONCATENATE("04210667632")</f>
        <v>04210667632</v>
      </c>
      <c r="I156" s="7" t="s">
        <v>30</v>
      </c>
      <c r="J156" s="7" t="s">
        <v>31</v>
      </c>
      <c r="K156" s="7" t="str">
        <f>CONCATENATE("")</f>
        <v/>
      </c>
      <c r="L156" s="7" t="str">
        <f>CONCATENATE("13 13.1 4a")</f>
        <v>13 13.1 4a</v>
      </c>
      <c r="M156" s="7" t="str">
        <f>CONCATENATE("MRLMSM77A18D749J")</f>
        <v>MRLMSM77A18D749J</v>
      </c>
      <c r="N156" s="7" t="s">
        <v>252</v>
      </c>
      <c r="O156" s="7" t="s">
        <v>87</v>
      </c>
      <c r="P156" s="8">
        <v>44299</v>
      </c>
      <c r="Q156" s="7" t="s">
        <v>32</v>
      </c>
      <c r="R156" s="7" t="s">
        <v>39</v>
      </c>
      <c r="S156" s="7" t="s">
        <v>34</v>
      </c>
      <c r="T156" s="7"/>
      <c r="U156" s="7" t="s">
        <v>35</v>
      </c>
      <c r="V156" s="9">
        <v>1363.66</v>
      </c>
      <c r="W156" s="7">
        <v>588.01</v>
      </c>
      <c r="X156" s="7">
        <v>543.01</v>
      </c>
      <c r="Y156" s="7">
        <v>0</v>
      </c>
      <c r="Z156" s="7">
        <v>232.64</v>
      </c>
    </row>
    <row r="157" spans="1:26" x14ac:dyDescent="0.35">
      <c r="A157" s="7" t="s">
        <v>27</v>
      </c>
      <c r="B157" s="7" t="s">
        <v>42</v>
      </c>
      <c r="C157" s="7" t="s">
        <v>48</v>
      </c>
      <c r="D157" s="7" t="s">
        <v>49</v>
      </c>
      <c r="E157" s="7" t="s">
        <v>38</v>
      </c>
      <c r="F157" s="7" t="s">
        <v>104</v>
      </c>
      <c r="G157" s="7">
        <v>2020</v>
      </c>
      <c r="H157" s="7" t="str">
        <f>CONCATENATE("04210154078")</f>
        <v>04210154078</v>
      </c>
      <c r="I157" s="7" t="s">
        <v>30</v>
      </c>
      <c r="J157" s="7" t="s">
        <v>31</v>
      </c>
      <c r="K157" s="7" t="str">
        <f>CONCATENATE("")</f>
        <v/>
      </c>
      <c r="L157" s="7" t="str">
        <f>CONCATENATE("13 13.1 4a")</f>
        <v>13 13.1 4a</v>
      </c>
      <c r="M157" s="7" t="str">
        <f>CONCATENATE("PCGRNT71C29D451J")</f>
        <v>PCGRNT71C29D451J</v>
      </c>
      <c r="N157" s="7" t="s">
        <v>253</v>
      </c>
      <c r="O157" s="7" t="s">
        <v>87</v>
      </c>
      <c r="P157" s="8">
        <v>44299</v>
      </c>
      <c r="Q157" s="7" t="s">
        <v>32</v>
      </c>
      <c r="R157" s="7" t="s">
        <v>39</v>
      </c>
      <c r="S157" s="7" t="s">
        <v>34</v>
      </c>
      <c r="T157" s="7"/>
      <c r="U157" s="7" t="s">
        <v>35</v>
      </c>
      <c r="V157" s="9">
        <v>3120.18</v>
      </c>
      <c r="W157" s="9">
        <v>1345.42</v>
      </c>
      <c r="X157" s="9">
        <v>1242.46</v>
      </c>
      <c r="Y157" s="7">
        <v>0</v>
      </c>
      <c r="Z157" s="7">
        <v>532.29999999999995</v>
      </c>
    </row>
    <row r="158" spans="1:26" x14ac:dyDescent="0.35">
      <c r="A158" s="7" t="s">
        <v>27</v>
      </c>
      <c r="B158" s="7" t="s">
        <v>42</v>
      </c>
      <c r="C158" s="7" t="s">
        <v>48</v>
      </c>
      <c r="D158" s="7" t="s">
        <v>60</v>
      </c>
      <c r="E158" s="7" t="s">
        <v>40</v>
      </c>
      <c r="F158" s="7" t="s">
        <v>93</v>
      </c>
      <c r="G158" s="7">
        <v>2020</v>
      </c>
      <c r="H158" s="7" t="str">
        <f>CONCATENATE("04210476158")</f>
        <v>04210476158</v>
      </c>
      <c r="I158" s="7" t="s">
        <v>30</v>
      </c>
      <c r="J158" s="7" t="s">
        <v>31</v>
      </c>
      <c r="K158" s="7" t="str">
        <f>CONCATENATE("")</f>
        <v/>
      </c>
      <c r="L158" s="7" t="str">
        <f>CONCATENATE("13 13.1 4a")</f>
        <v>13 13.1 4a</v>
      </c>
      <c r="M158" s="7" t="str">
        <f>CONCATENATE("GRRGPP61T63I459U")</f>
        <v>GRRGPP61T63I459U</v>
      </c>
      <c r="N158" s="7" t="s">
        <v>254</v>
      </c>
      <c r="O158" s="7" t="s">
        <v>87</v>
      </c>
      <c r="P158" s="8">
        <v>44299</v>
      </c>
      <c r="Q158" s="7" t="s">
        <v>32</v>
      </c>
      <c r="R158" s="7" t="s">
        <v>39</v>
      </c>
      <c r="S158" s="7" t="s">
        <v>34</v>
      </c>
      <c r="T158" s="7"/>
      <c r="U158" s="7" t="s">
        <v>35</v>
      </c>
      <c r="V158" s="9">
        <v>5940.71</v>
      </c>
      <c r="W158" s="9">
        <v>2561.63</v>
      </c>
      <c r="X158" s="9">
        <v>2365.59</v>
      </c>
      <c r="Y158" s="7">
        <v>0</v>
      </c>
      <c r="Z158" s="9">
        <v>1013.49</v>
      </c>
    </row>
    <row r="159" spans="1:26" ht="17.5" x14ac:dyDescent="0.35">
      <c r="A159" s="7" t="s">
        <v>27</v>
      </c>
      <c r="B159" s="7" t="s">
        <v>42</v>
      </c>
      <c r="C159" s="7" t="s">
        <v>48</v>
      </c>
      <c r="D159" s="7" t="s">
        <v>55</v>
      </c>
      <c r="E159" s="7" t="s">
        <v>38</v>
      </c>
      <c r="F159" s="7" t="s">
        <v>111</v>
      </c>
      <c r="G159" s="7">
        <v>2020</v>
      </c>
      <c r="H159" s="7" t="str">
        <f>CONCATENATE("04210192292")</f>
        <v>04210192292</v>
      </c>
      <c r="I159" s="7" t="s">
        <v>30</v>
      </c>
      <c r="J159" s="7" t="s">
        <v>31</v>
      </c>
      <c r="K159" s="7" t="str">
        <f>CONCATENATE("")</f>
        <v/>
      </c>
      <c r="L159" s="7" t="str">
        <f>CONCATENATE("13 13.1 4a")</f>
        <v>13 13.1 4a</v>
      </c>
      <c r="M159" s="7" t="str">
        <f>CONCATENATE("01797880430")</f>
        <v>01797880430</v>
      </c>
      <c r="N159" s="7" t="s">
        <v>255</v>
      </c>
      <c r="O159" s="7" t="s">
        <v>87</v>
      </c>
      <c r="P159" s="8">
        <v>44299</v>
      </c>
      <c r="Q159" s="7" t="s">
        <v>32</v>
      </c>
      <c r="R159" s="7" t="s">
        <v>39</v>
      </c>
      <c r="S159" s="7" t="s">
        <v>34</v>
      </c>
      <c r="T159" s="7"/>
      <c r="U159" s="7" t="s">
        <v>35</v>
      </c>
      <c r="V159" s="7">
        <v>982.38</v>
      </c>
      <c r="W159" s="7">
        <v>423.6</v>
      </c>
      <c r="X159" s="7">
        <v>391.18</v>
      </c>
      <c r="Y159" s="7">
        <v>0</v>
      </c>
      <c r="Z159" s="7">
        <v>167.6</v>
      </c>
    </row>
    <row r="160" spans="1:26" ht="17.5" x14ac:dyDescent="0.35">
      <c r="A160" s="7" t="s">
        <v>27</v>
      </c>
      <c r="B160" s="7" t="s">
        <v>42</v>
      </c>
      <c r="C160" s="7" t="s">
        <v>48</v>
      </c>
      <c r="D160" s="7" t="s">
        <v>55</v>
      </c>
      <c r="E160" s="7" t="s">
        <v>46</v>
      </c>
      <c r="F160" s="7" t="s">
        <v>145</v>
      </c>
      <c r="G160" s="7">
        <v>2020</v>
      </c>
      <c r="H160" s="7" t="str">
        <f>CONCATENATE("04210604965")</f>
        <v>04210604965</v>
      </c>
      <c r="I160" s="7" t="s">
        <v>30</v>
      </c>
      <c r="J160" s="7" t="s">
        <v>31</v>
      </c>
      <c r="K160" s="7" t="str">
        <f>CONCATENATE("")</f>
        <v/>
      </c>
      <c r="L160" s="7" t="str">
        <f>CONCATENATE("13 13.1 4a")</f>
        <v>13 13.1 4a</v>
      </c>
      <c r="M160" s="7" t="str">
        <f>CONCATENATE("01597000437")</f>
        <v>01597000437</v>
      </c>
      <c r="N160" s="7" t="s">
        <v>256</v>
      </c>
      <c r="O160" s="7" t="s">
        <v>87</v>
      </c>
      <c r="P160" s="8">
        <v>44299</v>
      </c>
      <c r="Q160" s="7" t="s">
        <v>32</v>
      </c>
      <c r="R160" s="7" t="s">
        <v>39</v>
      </c>
      <c r="S160" s="7" t="s">
        <v>34</v>
      </c>
      <c r="T160" s="7"/>
      <c r="U160" s="7" t="s">
        <v>35</v>
      </c>
      <c r="V160" s="7">
        <v>492.22</v>
      </c>
      <c r="W160" s="7">
        <v>212.25</v>
      </c>
      <c r="X160" s="7">
        <v>196</v>
      </c>
      <c r="Y160" s="7">
        <v>0</v>
      </c>
      <c r="Z160" s="7">
        <v>83.97</v>
      </c>
    </row>
    <row r="161" spans="1:26" x14ac:dyDescent="0.35">
      <c r="A161" s="7" t="s">
        <v>27</v>
      </c>
      <c r="B161" s="7" t="s">
        <v>42</v>
      </c>
      <c r="C161" s="7" t="s">
        <v>48</v>
      </c>
      <c r="D161" s="7" t="s">
        <v>60</v>
      </c>
      <c r="E161" s="7" t="s">
        <v>43</v>
      </c>
      <c r="F161" s="7" t="s">
        <v>88</v>
      </c>
      <c r="G161" s="7">
        <v>2020</v>
      </c>
      <c r="H161" s="7" t="str">
        <f>CONCATENATE("04210477024")</f>
        <v>04210477024</v>
      </c>
      <c r="I161" s="7" t="s">
        <v>30</v>
      </c>
      <c r="J161" s="7" t="s">
        <v>31</v>
      </c>
      <c r="K161" s="7" t="str">
        <f>CONCATENATE("")</f>
        <v/>
      </c>
      <c r="L161" s="7" t="str">
        <f>CONCATENATE("13 13.1 4a")</f>
        <v>13 13.1 4a</v>
      </c>
      <c r="M161" s="7" t="str">
        <f>CONCATENATE("CPPFST71B26L498M")</f>
        <v>CPPFST71B26L498M</v>
      </c>
      <c r="N161" s="7" t="s">
        <v>257</v>
      </c>
      <c r="O161" s="7" t="s">
        <v>87</v>
      </c>
      <c r="P161" s="8">
        <v>44299</v>
      </c>
      <c r="Q161" s="7" t="s">
        <v>32</v>
      </c>
      <c r="R161" s="7" t="s">
        <v>39</v>
      </c>
      <c r="S161" s="7" t="s">
        <v>34</v>
      </c>
      <c r="T161" s="7"/>
      <c r="U161" s="7" t="s">
        <v>35</v>
      </c>
      <c r="V161" s="7">
        <v>414.78</v>
      </c>
      <c r="W161" s="7">
        <v>178.85</v>
      </c>
      <c r="X161" s="7">
        <v>165.17</v>
      </c>
      <c r="Y161" s="7">
        <v>0</v>
      </c>
      <c r="Z161" s="7">
        <v>70.760000000000005</v>
      </c>
    </row>
    <row r="162" spans="1:26" x14ac:dyDescent="0.35">
      <c r="A162" s="7" t="s">
        <v>27</v>
      </c>
      <c r="B162" s="7" t="s">
        <v>42</v>
      </c>
      <c r="C162" s="7" t="s">
        <v>48</v>
      </c>
      <c r="D162" s="7" t="s">
        <v>55</v>
      </c>
      <c r="E162" s="7" t="s">
        <v>38</v>
      </c>
      <c r="F162" s="7" t="s">
        <v>143</v>
      </c>
      <c r="G162" s="7">
        <v>2020</v>
      </c>
      <c r="H162" s="7" t="str">
        <f>CONCATENATE("04210029205")</f>
        <v>04210029205</v>
      </c>
      <c r="I162" s="7" t="s">
        <v>30</v>
      </c>
      <c r="J162" s="7" t="s">
        <v>31</v>
      </c>
      <c r="K162" s="7" t="str">
        <f>CONCATENATE("")</f>
        <v/>
      </c>
      <c r="L162" s="7" t="str">
        <f>CONCATENATE("13 13.1 4a")</f>
        <v>13 13.1 4a</v>
      </c>
      <c r="M162" s="7" t="str">
        <f>CONCATENATE("CRSSRA89H64B474Q")</f>
        <v>CRSSRA89H64B474Q</v>
      </c>
      <c r="N162" s="7" t="s">
        <v>258</v>
      </c>
      <c r="O162" s="7" t="s">
        <v>87</v>
      </c>
      <c r="P162" s="8">
        <v>44299</v>
      </c>
      <c r="Q162" s="7" t="s">
        <v>32</v>
      </c>
      <c r="R162" s="7" t="s">
        <v>39</v>
      </c>
      <c r="S162" s="7" t="s">
        <v>34</v>
      </c>
      <c r="T162" s="7"/>
      <c r="U162" s="7" t="s">
        <v>35</v>
      </c>
      <c r="V162" s="7">
        <v>846.19</v>
      </c>
      <c r="W162" s="7">
        <v>364.88</v>
      </c>
      <c r="X162" s="7">
        <v>336.95</v>
      </c>
      <c r="Y162" s="7">
        <v>0</v>
      </c>
      <c r="Z162" s="7">
        <v>144.36000000000001</v>
      </c>
    </row>
    <row r="163" spans="1:26" x14ac:dyDescent="0.35">
      <c r="A163" s="7" t="s">
        <v>27</v>
      </c>
      <c r="B163" s="7" t="s">
        <v>42</v>
      </c>
      <c r="C163" s="7" t="s">
        <v>48</v>
      </c>
      <c r="D163" s="7" t="s">
        <v>63</v>
      </c>
      <c r="E163" s="7" t="s">
        <v>38</v>
      </c>
      <c r="F163" s="7" t="s">
        <v>64</v>
      </c>
      <c r="G163" s="7">
        <v>2020</v>
      </c>
      <c r="H163" s="7" t="str">
        <f>CONCATENATE("04210257418")</f>
        <v>04210257418</v>
      </c>
      <c r="I163" s="7" t="s">
        <v>37</v>
      </c>
      <c r="J163" s="7" t="s">
        <v>31</v>
      </c>
      <c r="K163" s="7" t="str">
        <f>CONCATENATE("")</f>
        <v/>
      </c>
      <c r="L163" s="7" t="str">
        <f>CONCATENATE("13 13.1 4a")</f>
        <v>13 13.1 4a</v>
      </c>
      <c r="M163" s="7" t="str">
        <f>CONCATENATE("DMLRRT67H08D635D")</f>
        <v>DMLRRT67H08D635D</v>
      </c>
      <c r="N163" s="7" t="s">
        <v>259</v>
      </c>
      <c r="O163" s="7" t="s">
        <v>87</v>
      </c>
      <c r="P163" s="8">
        <v>44299</v>
      </c>
      <c r="Q163" s="7" t="s">
        <v>32</v>
      </c>
      <c r="R163" s="7" t="s">
        <v>39</v>
      </c>
      <c r="S163" s="7" t="s">
        <v>34</v>
      </c>
      <c r="T163" s="7"/>
      <c r="U163" s="7" t="s">
        <v>35</v>
      </c>
      <c r="V163" s="7">
        <v>67.349999999999994</v>
      </c>
      <c r="W163" s="7">
        <v>29.04</v>
      </c>
      <c r="X163" s="7">
        <v>26.82</v>
      </c>
      <c r="Y163" s="7">
        <v>0</v>
      </c>
      <c r="Z163" s="7">
        <v>11.49</v>
      </c>
    </row>
    <row r="164" spans="1:26" x14ac:dyDescent="0.35">
      <c r="A164" s="7" t="s">
        <v>27</v>
      </c>
      <c r="B164" s="7" t="s">
        <v>42</v>
      </c>
      <c r="C164" s="7" t="s">
        <v>48</v>
      </c>
      <c r="D164" s="7" t="s">
        <v>60</v>
      </c>
      <c r="E164" s="7" t="s">
        <v>40</v>
      </c>
      <c r="F164" s="7" t="s">
        <v>90</v>
      </c>
      <c r="G164" s="7">
        <v>2020</v>
      </c>
      <c r="H164" s="7" t="str">
        <f>CONCATENATE("04210344471")</f>
        <v>04210344471</v>
      </c>
      <c r="I164" s="7" t="s">
        <v>30</v>
      </c>
      <c r="J164" s="7" t="s">
        <v>31</v>
      </c>
      <c r="K164" s="7" t="str">
        <f>CONCATENATE("")</f>
        <v/>
      </c>
      <c r="L164" s="7" t="str">
        <f>CONCATENATE("13 13.1 4a")</f>
        <v>13 13.1 4a</v>
      </c>
      <c r="M164" s="7" t="str">
        <f>CONCATENATE("MZZCLD56C20B352Q")</f>
        <v>MZZCLD56C20B352Q</v>
      </c>
      <c r="N164" s="7" t="s">
        <v>260</v>
      </c>
      <c r="O164" s="7" t="s">
        <v>87</v>
      </c>
      <c r="P164" s="8">
        <v>44299</v>
      </c>
      <c r="Q164" s="7" t="s">
        <v>32</v>
      </c>
      <c r="R164" s="7" t="s">
        <v>39</v>
      </c>
      <c r="S164" s="7" t="s">
        <v>34</v>
      </c>
      <c r="T164" s="7"/>
      <c r="U164" s="7" t="s">
        <v>35</v>
      </c>
      <c r="V164" s="9">
        <v>2016.28</v>
      </c>
      <c r="W164" s="7">
        <v>869.42</v>
      </c>
      <c r="X164" s="7">
        <v>802.88</v>
      </c>
      <c r="Y164" s="7">
        <v>0</v>
      </c>
      <c r="Z164" s="7">
        <v>343.98</v>
      </c>
    </row>
    <row r="165" spans="1:26" x14ac:dyDescent="0.35">
      <c r="A165" s="7" t="s">
        <v>27</v>
      </c>
      <c r="B165" s="7" t="s">
        <v>42</v>
      </c>
      <c r="C165" s="7" t="s">
        <v>48</v>
      </c>
      <c r="D165" s="7" t="s">
        <v>55</v>
      </c>
      <c r="E165" s="7" t="s">
        <v>38</v>
      </c>
      <c r="F165" s="7" t="s">
        <v>111</v>
      </c>
      <c r="G165" s="7">
        <v>2020</v>
      </c>
      <c r="H165" s="7" t="str">
        <f>CONCATENATE("04210744043")</f>
        <v>04210744043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CONCATENATE("13 13.1 4a")</f>
        <v>13 13.1 4a</v>
      </c>
      <c r="M165" s="7" t="str">
        <f>CONCATENATE("CNTVIO49P12A252Y")</f>
        <v>CNTVIO49P12A252Y</v>
      </c>
      <c r="N165" s="7" t="s">
        <v>261</v>
      </c>
      <c r="O165" s="7" t="s">
        <v>87</v>
      </c>
      <c r="P165" s="8">
        <v>44299</v>
      </c>
      <c r="Q165" s="7" t="s">
        <v>32</v>
      </c>
      <c r="R165" s="7" t="s">
        <v>39</v>
      </c>
      <c r="S165" s="7" t="s">
        <v>34</v>
      </c>
      <c r="T165" s="7"/>
      <c r="U165" s="7" t="s">
        <v>35</v>
      </c>
      <c r="V165" s="9">
        <v>2038.55</v>
      </c>
      <c r="W165" s="7">
        <v>879.02</v>
      </c>
      <c r="X165" s="7">
        <v>811.75</v>
      </c>
      <c r="Y165" s="7">
        <v>0</v>
      </c>
      <c r="Z165" s="7">
        <v>347.78</v>
      </c>
    </row>
    <row r="166" spans="1:26" x14ac:dyDescent="0.35">
      <c r="A166" s="7" t="s">
        <v>27</v>
      </c>
      <c r="B166" s="7" t="s">
        <v>42</v>
      </c>
      <c r="C166" s="7" t="s">
        <v>48</v>
      </c>
      <c r="D166" s="7" t="s">
        <v>49</v>
      </c>
      <c r="E166" s="7" t="s">
        <v>40</v>
      </c>
      <c r="F166" s="7" t="s">
        <v>98</v>
      </c>
      <c r="G166" s="7">
        <v>2020</v>
      </c>
      <c r="H166" s="7" t="str">
        <f>CONCATENATE("04210778843")</f>
        <v>04210778843</v>
      </c>
      <c r="I166" s="7" t="s">
        <v>37</v>
      </c>
      <c r="J166" s="7" t="s">
        <v>31</v>
      </c>
      <c r="K166" s="7" t="str">
        <f>CONCATENATE("")</f>
        <v/>
      </c>
      <c r="L166" s="7" t="str">
        <f>CONCATENATE("13 13.1 4a")</f>
        <v>13 13.1 4a</v>
      </c>
      <c r="M166" s="7" t="str">
        <f>CONCATENATE("LROSRG59H12I461C")</f>
        <v>LROSRG59H12I461C</v>
      </c>
      <c r="N166" s="7" t="s">
        <v>262</v>
      </c>
      <c r="O166" s="7" t="s">
        <v>87</v>
      </c>
      <c r="P166" s="8">
        <v>44299</v>
      </c>
      <c r="Q166" s="7" t="s">
        <v>32</v>
      </c>
      <c r="R166" s="7" t="s">
        <v>39</v>
      </c>
      <c r="S166" s="7" t="s">
        <v>34</v>
      </c>
      <c r="T166" s="7"/>
      <c r="U166" s="7" t="s">
        <v>35</v>
      </c>
      <c r="V166" s="7">
        <v>160.82</v>
      </c>
      <c r="W166" s="7">
        <v>69.349999999999994</v>
      </c>
      <c r="X166" s="7">
        <v>64.040000000000006</v>
      </c>
      <c r="Y166" s="7">
        <v>0</v>
      </c>
      <c r="Z166" s="7">
        <v>27.43</v>
      </c>
    </row>
    <row r="167" spans="1:26" ht="17.5" x14ac:dyDescent="0.35">
      <c r="A167" s="7" t="s">
        <v>27</v>
      </c>
      <c r="B167" s="7" t="s">
        <v>42</v>
      </c>
      <c r="C167" s="7" t="s">
        <v>48</v>
      </c>
      <c r="D167" s="7" t="s">
        <v>60</v>
      </c>
      <c r="E167" s="7" t="s">
        <v>38</v>
      </c>
      <c r="F167" s="7" t="s">
        <v>263</v>
      </c>
      <c r="G167" s="7">
        <v>2020</v>
      </c>
      <c r="H167" s="7" t="str">
        <f>CONCATENATE("04210027985")</f>
        <v>04210027985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CONCATENATE("13 13.1 4a")</f>
        <v>13 13.1 4a</v>
      </c>
      <c r="M167" s="7" t="str">
        <f>CONCATENATE("01382630414")</f>
        <v>01382630414</v>
      </c>
      <c r="N167" s="7" t="s">
        <v>264</v>
      </c>
      <c r="O167" s="7" t="s">
        <v>87</v>
      </c>
      <c r="P167" s="8">
        <v>44299</v>
      </c>
      <c r="Q167" s="7" t="s">
        <v>32</v>
      </c>
      <c r="R167" s="7" t="s">
        <v>39</v>
      </c>
      <c r="S167" s="7" t="s">
        <v>34</v>
      </c>
      <c r="T167" s="7"/>
      <c r="U167" s="7" t="s">
        <v>35</v>
      </c>
      <c r="V167" s="9">
        <v>1765.81</v>
      </c>
      <c r="W167" s="7">
        <v>761.42</v>
      </c>
      <c r="X167" s="7">
        <v>703.15</v>
      </c>
      <c r="Y167" s="7">
        <v>0</v>
      </c>
      <c r="Z167" s="7">
        <v>301.24</v>
      </c>
    </row>
    <row r="168" spans="1:26" x14ac:dyDescent="0.35">
      <c r="A168" s="7" t="s">
        <v>27</v>
      </c>
      <c r="B168" s="7" t="s">
        <v>42</v>
      </c>
      <c r="C168" s="7" t="s">
        <v>48</v>
      </c>
      <c r="D168" s="7" t="s">
        <v>60</v>
      </c>
      <c r="E168" s="7" t="s">
        <v>40</v>
      </c>
      <c r="F168" s="7" t="s">
        <v>93</v>
      </c>
      <c r="G168" s="7">
        <v>2020</v>
      </c>
      <c r="H168" s="7" t="str">
        <f>CONCATENATE("04210027449")</f>
        <v>04210027449</v>
      </c>
      <c r="I168" s="7" t="s">
        <v>30</v>
      </c>
      <c r="J168" s="7" t="s">
        <v>31</v>
      </c>
      <c r="K168" s="7" t="str">
        <f>CONCATENATE("")</f>
        <v/>
      </c>
      <c r="L168" s="7" t="str">
        <f>CONCATENATE("13 13.1 4a")</f>
        <v>13 13.1 4a</v>
      </c>
      <c r="M168" s="7" t="str">
        <f>CONCATENATE("PCCMRC77L11E785Z")</f>
        <v>PCCMRC77L11E785Z</v>
      </c>
      <c r="N168" s="7" t="s">
        <v>265</v>
      </c>
      <c r="O168" s="7" t="s">
        <v>87</v>
      </c>
      <c r="P168" s="8">
        <v>44299</v>
      </c>
      <c r="Q168" s="7" t="s">
        <v>32</v>
      </c>
      <c r="R168" s="7" t="s">
        <v>39</v>
      </c>
      <c r="S168" s="7" t="s">
        <v>34</v>
      </c>
      <c r="T168" s="7"/>
      <c r="U168" s="7" t="s">
        <v>35</v>
      </c>
      <c r="V168" s="9">
        <v>1689.33</v>
      </c>
      <c r="W168" s="7">
        <v>728.44</v>
      </c>
      <c r="X168" s="7">
        <v>672.69</v>
      </c>
      <c r="Y168" s="7">
        <v>0</v>
      </c>
      <c r="Z168" s="7">
        <v>288.2</v>
      </c>
    </row>
    <row r="169" spans="1:26" x14ac:dyDescent="0.35">
      <c r="A169" s="7" t="s">
        <v>27</v>
      </c>
      <c r="B169" s="7" t="s">
        <v>42</v>
      </c>
      <c r="C169" s="7" t="s">
        <v>48</v>
      </c>
      <c r="D169" s="7" t="s">
        <v>60</v>
      </c>
      <c r="E169" s="7" t="s">
        <v>40</v>
      </c>
      <c r="F169" s="7" t="s">
        <v>113</v>
      </c>
      <c r="G169" s="7">
        <v>2020</v>
      </c>
      <c r="H169" s="7" t="str">
        <f>CONCATENATE("04210352342")</f>
        <v>04210352342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CONCATENATE("13 13.1 4a")</f>
        <v>13 13.1 4a</v>
      </c>
      <c r="M169" s="7" t="str">
        <f>CONCATENATE("PRCFNC53A17D749C")</f>
        <v>PRCFNC53A17D749C</v>
      </c>
      <c r="N169" s="7" t="s">
        <v>266</v>
      </c>
      <c r="O169" s="7" t="s">
        <v>87</v>
      </c>
      <c r="P169" s="8">
        <v>44299</v>
      </c>
      <c r="Q169" s="7" t="s">
        <v>32</v>
      </c>
      <c r="R169" s="7" t="s">
        <v>39</v>
      </c>
      <c r="S169" s="7" t="s">
        <v>34</v>
      </c>
      <c r="T169" s="7"/>
      <c r="U169" s="7" t="s">
        <v>35</v>
      </c>
      <c r="V169" s="7">
        <v>348.64</v>
      </c>
      <c r="W169" s="7">
        <v>150.33000000000001</v>
      </c>
      <c r="X169" s="7">
        <v>138.83000000000001</v>
      </c>
      <c r="Y169" s="7">
        <v>0</v>
      </c>
      <c r="Z169" s="7">
        <v>59.48</v>
      </c>
    </row>
    <row r="170" spans="1:26" x14ac:dyDescent="0.35">
      <c r="A170" s="7" t="s">
        <v>27</v>
      </c>
      <c r="B170" s="7" t="s">
        <v>42</v>
      </c>
      <c r="C170" s="7" t="s">
        <v>48</v>
      </c>
      <c r="D170" s="7" t="s">
        <v>49</v>
      </c>
      <c r="E170" s="7" t="s">
        <v>38</v>
      </c>
      <c r="F170" s="7" t="s">
        <v>102</v>
      </c>
      <c r="G170" s="7">
        <v>2020</v>
      </c>
      <c r="H170" s="7" t="str">
        <f>CONCATENATE("04210362465")</f>
        <v>04210362465</v>
      </c>
      <c r="I170" s="7" t="s">
        <v>30</v>
      </c>
      <c r="J170" s="7" t="s">
        <v>31</v>
      </c>
      <c r="K170" s="7" t="str">
        <f>CONCATENATE("")</f>
        <v/>
      </c>
      <c r="L170" s="7" t="str">
        <f>CONCATENATE("13 13.1 4a")</f>
        <v>13 13.1 4a</v>
      </c>
      <c r="M170" s="7" t="str">
        <f>CONCATENATE("BCNPPL53A46A366L")</f>
        <v>BCNPPL53A46A366L</v>
      </c>
      <c r="N170" s="7" t="s">
        <v>267</v>
      </c>
      <c r="O170" s="7" t="s">
        <v>87</v>
      </c>
      <c r="P170" s="8">
        <v>44299</v>
      </c>
      <c r="Q170" s="7" t="s">
        <v>32</v>
      </c>
      <c r="R170" s="7" t="s">
        <v>39</v>
      </c>
      <c r="S170" s="7" t="s">
        <v>34</v>
      </c>
      <c r="T170" s="7"/>
      <c r="U170" s="7" t="s">
        <v>35</v>
      </c>
      <c r="V170" s="7">
        <v>299.76</v>
      </c>
      <c r="W170" s="7">
        <v>129.26</v>
      </c>
      <c r="X170" s="7">
        <v>119.36</v>
      </c>
      <c r="Y170" s="7">
        <v>0</v>
      </c>
      <c r="Z170" s="7">
        <v>51.14</v>
      </c>
    </row>
    <row r="171" spans="1:26" x14ac:dyDescent="0.35">
      <c r="A171" s="7" t="s">
        <v>27</v>
      </c>
      <c r="B171" s="7" t="s">
        <v>42</v>
      </c>
      <c r="C171" s="7" t="s">
        <v>48</v>
      </c>
      <c r="D171" s="7" t="s">
        <v>49</v>
      </c>
      <c r="E171" s="7" t="s">
        <v>47</v>
      </c>
      <c r="F171" s="7" t="s">
        <v>217</v>
      </c>
      <c r="G171" s="7">
        <v>2020</v>
      </c>
      <c r="H171" s="7" t="str">
        <f>CONCATENATE("04210785145")</f>
        <v>04210785145</v>
      </c>
      <c r="I171" s="7" t="s">
        <v>30</v>
      </c>
      <c r="J171" s="7" t="s">
        <v>31</v>
      </c>
      <c r="K171" s="7" t="str">
        <f>CONCATENATE("")</f>
        <v/>
      </c>
      <c r="L171" s="7" t="str">
        <f>CONCATENATE("13 13.1 4a")</f>
        <v>13 13.1 4a</v>
      </c>
      <c r="M171" s="7" t="str">
        <f>CONCATENATE("CCCGLG75L20D451W")</f>
        <v>CCCGLG75L20D451W</v>
      </c>
      <c r="N171" s="7" t="s">
        <v>268</v>
      </c>
      <c r="O171" s="7" t="s">
        <v>87</v>
      </c>
      <c r="P171" s="8">
        <v>44299</v>
      </c>
      <c r="Q171" s="7" t="s">
        <v>32</v>
      </c>
      <c r="R171" s="7" t="s">
        <v>39</v>
      </c>
      <c r="S171" s="7" t="s">
        <v>34</v>
      </c>
      <c r="T171" s="7"/>
      <c r="U171" s="7" t="s">
        <v>35</v>
      </c>
      <c r="V171" s="9">
        <v>1546.67</v>
      </c>
      <c r="W171" s="7">
        <v>666.92</v>
      </c>
      <c r="X171" s="7">
        <v>615.88</v>
      </c>
      <c r="Y171" s="7">
        <v>0</v>
      </c>
      <c r="Z171" s="7">
        <v>263.87</v>
      </c>
    </row>
    <row r="172" spans="1:26" x14ac:dyDescent="0.35">
      <c r="A172" s="7" t="s">
        <v>27</v>
      </c>
      <c r="B172" s="7" t="s">
        <v>42</v>
      </c>
      <c r="C172" s="7" t="s">
        <v>48</v>
      </c>
      <c r="D172" s="7" t="s">
        <v>60</v>
      </c>
      <c r="E172" s="7" t="s">
        <v>40</v>
      </c>
      <c r="F172" s="7" t="s">
        <v>113</v>
      </c>
      <c r="G172" s="7">
        <v>2020</v>
      </c>
      <c r="H172" s="7" t="str">
        <f>CONCATENATE("04210517613")</f>
        <v>04210517613</v>
      </c>
      <c r="I172" s="7" t="s">
        <v>30</v>
      </c>
      <c r="J172" s="7" t="s">
        <v>31</v>
      </c>
      <c r="K172" s="7" t="str">
        <f>CONCATENATE("")</f>
        <v/>
      </c>
      <c r="L172" s="7" t="str">
        <f>CONCATENATE("13 13.1 4a")</f>
        <v>13 13.1 4a</v>
      </c>
      <c r="M172" s="7" t="str">
        <f>CONCATENATE("PGLDRN66E17D749A")</f>
        <v>PGLDRN66E17D749A</v>
      </c>
      <c r="N172" s="7" t="s">
        <v>269</v>
      </c>
      <c r="O172" s="7" t="s">
        <v>87</v>
      </c>
      <c r="P172" s="8">
        <v>44299</v>
      </c>
      <c r="Q172" s="7" t="s">
        <v>32</v>
      </c>
      <c r="R172" s="7" t="s">
        <v>39</v>
      </c>
      <c r="S172" s="7" t="s">
        <v>34</v>
      </c>
      <c r="T172" s="7"/>
      <c r="U172" s="7" t="s">
        <v>35</v>
      </c>
      <c r="V172" s="9">
        <v>1464.88</v>
      </c>
      <c r="W172" s="7">
        <v>631.66</v>
      </c>
      <c r="X172" s="7">
        <v>583.32000000000005</v>
      </c>
      <c r="Y172" s="7">
        <v>0</v>
      </c>
      <c r="Z172" s="7">
        <v>249.9</v>
      </c>
    </row>
    <row r="173" spans="1:26" x14ac:dyDescent="0.35">
      <c r="A173" s="7" t="s">
        <v>27</v>
      </c>
      <c r="B173" s="7" t="s">
        <v>42</v>
      </c>
      <c r="C173" s="7" t="s">
        <v>48</v>
      </c>
      <c r="D173" s="7" t="s">
        <v>60</v>
      </c>
      <c r="E173" s="7" t="s">
        <v>40</v>
      </c>
      <c r="F173" s="7" t="s">
        <v>93</v>
      </c>
      <c r="G173" s="7">
        <v>2020</v>
      </c>
      <c r="H173" s="7" t="str">
        <f>CONCATENATE("04210426112")</f>
        <v>04210426112</v>
      </c>
      <c r="I173" s="7" t="s">
        <v>30</v>
      </c>
      <c r="J173" s="7" t="s">
        <v>31</v>
      </c>
      <c r="K173" s="7" t="str">
        <f>CONCATENATE("")</f>
        <v/>
      </c>
      <c r="L173" s="7" t="str">
        <f>CONCATENATE("13 13.1 4a")</f>
        <v>13 13.1 4a</v>
      </c>
      <c r="M173" s="7" t="str">
        <f>CONCATENATE("02679220414")</f>
        <v>02679220414</v>
      </c>
      <c r="N173" s="7" t="s">
        <v>270</v>
      </c>
      <c r="O173" s="7" t="s">
        <v>87</v>
      </c>
      <c r="P173" s="8">
        <v>44299</v>
      </c>
      <c r="Q173" s="7" t="s">
        <v>32</v>
      </c>
      <c r="R173" s="7" t="s">
        <v>39</v>
      </c>
      <c r="S173" s="7" t="s">
        <v>34</v>
      </c>
      <c r="T173" s="7"/>
      <c r="U173" s="7" t="s">
        <v>35</v>
      </c>
      <c r="V173" s="9">
        <v>1777.43</v>
      </c>
      <c r="W173" s="7">
        <v>766.43</v>
      </c>
      <c r="X173" s="7">
        <v>707.77</v>
      </c>
      <c r="Y173" s="7">
        <v>0</v>
      </c>
      <c r="Z173" s="7">
        <v>303.23</v>
      </c>
    </row>
    <row r="174" spans="1:26" x14ac:dyDescent="0.35">
      <c r="A174" s="7" t="s">
        <v>27</v>
      </c>
      <c r="B174" s="7" t="s">
        <v>42</v>
      </c>
      <c r="C174" s="7" t="s">
        <v>48</v>
      </c>
      <c r="D174" s="7" t="s">
        <v>60</v>
      </c>
      <c r="E174" s="7" t="s">
        <v>47</v>
      </c>
      <c r="F174" s="7" t="s">
        <v>271</v>
      </c>
      <c r="G174" s="7">
        <v>2020</v>
      </c>
      <c r="H174" s="7" t="str">
        <f>CONCATENATE("04210574713")</f>
        <v>04210574713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CONCATENATE("13 13.1 4a")</f>
        <v>13 13.1 4a</v>
      </c>
      <c r="M174" s="7" t="str">
        <f>CONCATENATE("FRLDGI96B06D749R")</f>
        <v>FRLDGI96B06D749R</v>
      </c>
      <c r="N174" s="7" t="s">
        <v>272</v>
      </c>
      <c r="O174" s="7" t="s">
        <v>87</v>
      </c>
      <c r="P174" s="8">
        <v>44299</v>
      </c>
      <c r="Q174" s="7" t="s">
        <v>32</v>
      </c>
      <c r="R174" s="7" t="s">
        <v>39</v>
      </c>
      <c r="S174" s="7" t="s">
        <v>34</v>
      </c>
      <c r="T174" s="7"/>
      <c r="U174" s="7" t="s">
        <v>35</v>
      </c>
      <c r="V174" s="9">
        <v>1318.99</v>
      </c>
      <c r="W174" s="7">
        <v>568.75</v>
      </c>
      <c r="X174" s="7">
        <v>525.22</v>
      </c>
      <c r="Y174" s="7">
        <v>0</v>
      </c>
      <c r="Z174" s="7">
        <v>225.02</v>
      </c>
    </row>
    <row r="175" spans="1:26" x14ac:dyDescent="0.35">
      <c r="A175" s="7" t="s">
        <v>27</v>
      </c>
      <c r="B175" s="7" t="s">
        <v>42</v>
      </c>
      <c r="C175" s="7" t="s">
        <v>48</v>
      </c>
      <c r="D175" s="7" t="s">
        <v>60</v>
      </c>
      <c r="E175" s="7" t="s">
        <v>36</v>
      </c>
      <c r="F175" s="7" t="s">
        <v>36</v>
      </c>
      <c r="G175" s="7">
        <v>2020</v>
      </c>
      <c r="H175" s="7" t="str">
        <f>CONCATENATE("04210574895")</f>
        <v>04210574895</v>
      </c>
      <c r="I175" s="7" t="s">
        <v>30</v>
      </c>
      <c r="J175" s="7" t="s">
        <v>31</v>
      </c>
      <c r="K175" s="7" t="str">
        <f>CONCATENATE("")</f>
        <v/>
      </c>
      <c r="L175" s="7" t="str">
        <f>CONCATENATE("13 13.1 4a")</f>
        <v>13 13.1 4a</v>
      </c>
      <c r="M175" s="7" t="str">
        <f>CONCATENATE("01456020419")</f>
        <v>01456020419</v>
      </c>
      <c r="N175" s="7" t="s">
        <v>273</v>
      </c>
      <c r="O175" s="7" t="s">
        <v>87</v>
      </c>
      <c r="P175" s="8">
        <v>44299</v>
      </c>
      <c r="Q175" s="7" t="s">
        <v>32</v>
      </c>
      <c r="R175" s="7" t="s">
        <v>39</v>
      </c>
      <c r="S175" s="7" t="s">
        <v>34</v>
      </c>
      <c r="T175" s="7"/>
      <c r="U175" s="7" t="s">
        <v>35</v>
      </c>
      <c r="V175" s="9">
        <v>1260.3900000000001</v>
      </c>
      <c r="W175" s="7">
        <v>543.48</v>
      </c>
      <c r="X175" s="7">
        <v>501.89</v>
      </c>
      <c r="Y175" s="7">
        <v>0</v>
      </c>
      <c r="Z175" s="7">
        <v>215.02</v>
      </c>
    </row>
    <row r="176" spans="1:26" x14ac:dyDescent="0.35">
      <c r="A176" s="7" t="s">
        <v>27</v>
      </c>
      <c r="B176" s="7" t="s">
        <v>42</v>
      </c>
      <c r="C176" s="7" t="s">
        <v>48</v>
      </c>
      <c r="D176" s="7" t="s">
        <v>60</v>
      </c>
      <c r="E176" s="7" t="s">
        <v>40</v>
      </c>
      <c r="F176" s="7" t="s">
        <v>113</v>
      </c>
      <c r="G176" s="7">
        <v>2020</v>
      </c>
      <c r="H176" s="7" t="str">
        <f>CONCATENATE("04210338325")</f>
        <v>04210338325</v>
      </c>
      <c r="I176" s="7" t="s">
        <v>30</v>
      </c>
      <c r="J176" s="7" t="s">
        <v>31</v>
      </c>
      <c r="K176" s="7" t="str">
        <f>CONCATENATE("")</f>
        <v/>
      </c>
      <c r="L176" s="7" t="str">
        <f>CONCATENATE("13 13.1 4a")</f>
        <v>13 13.1 4a</v>
      </c>
      <c r="M176" s="7" t="str">
        <f>CONCATENATE("PRTFST63D07G453J")</f>
        <v>PRTFST63D07G453J</v>
      </c>
      <c r="N176" s="7" t="s">
        <v>274</v>
      </c>
      <c r="O176" s="7" t="s">
        <v>87</v>
      </c>
      <c r="P176" s="8">
        <v>44299</v>
      </c>
      <c r="Q176" s="7" t="s">
        <v>32</v>
      </c>
      <c r="R176" s="7" t="s">
        <v>39</v>
      </c>
      <c r="S176" s="7" t="s">
        <v>34</v>
      </c>
      <c r="T176" s="7"/>
      <c r="U176" s="7" t="s">
        <v>35</v>
      </c>
      <c r="V176" s="9">
        <v>1670.88</v>
      </c>
      <c r="W176" s="7">
        <v>720.48</v>
      </c>
      <c r="X176" s="7">
        <v>665.34</v>
      </c>
      <c r="Y176" s="7">
        <v>0</v>
      </c>
      <c r="Z176" s="7">
        <v>285.06</v>
      </c>
    </row>
    <row r="177" spans="1:26" x14ac:dyDescent="0.35">
      <c r="A177" s="7" t="s">
        <v>27</v>
      </c>
      <c r="B177" s="7" t="s">
        <v>42</v>
      </c>
      <c r="C177" s="7" t="s">
        <v>48</v>
      </c>
      <c r="D177" s="7" t="s">
        <v>60</v>
      </c>
      <c r="E177" s="7" t="s">
        <v>29</v>
      </c>
      <c r="F177" s="7" t="s">
        <v>116</v>
      </c>
      <c r="G177" s="7">
        <v>2020</v>
      </c>
      <c r="H177" s="7" t="str">
        <f>CONCATENATE("04210680023")</f>
        <v>04210680023</v>
      </c>
      <c r="I177" s="7" t="s">
        <v>30</v>
      </c>
      <c r="J177" s="7" t="s">
        <v>31</v>
      </c>
      <c r="K177" s="7" t="str">
        <f>CONCATENATE("")</f>
        <v/>
      </c>
      <c r="L177" s="7" t="str">
        <f>CONCATENATE("13 13.1 4a")</f>
        <v>13 13.1 4a</v>
      </c>
      <c r="M177" s="7" t="str">
        <f>CONCATENATE("GHSLEI49E04L500T")</f>
        <v>GHSLEI49E04L500T</v>
      </c>
      <c r="N177" s="7" t="s">
        <v>275</v>
      </c>
      <c r="O177" s="7" t="s">
        <v>87</v>
      </c>
      <c r="P177" s="8">
        <v>44299</v>
      </c>
      <c r="Q177" s="7" t="s">
        <v>32</v>
      </c>
      <c r="R177" s="7" t="s">
        <v>39</v>
      </c>
      <c r="S177" s="7" t="s">
        <v>34</v>
      </c>
      <c r="T177" s="7"/>
      <c r="U177" s="7" t="s">
        <v>35</v>
      </c>
      <c r="V177" s="9">
        <v>2463.88</v>
      </c>
      <c r="W177" s="9">
        <v>1062.43</v>
      </c>
      <c r="X177" s="7">
        <v>981.12</v>
      </c>
      <c r="Y177" s="7">
        <v>0</v>
      </c>
      <c r="Z177" s="7">
        <v>420.33</v>
      </c>
    </row>
    <row r="178" spans="1:26" x14ac:dyDescent="0.35">
      <c r="A178" s="7" t="s">
        <v>27</v>
      </c>
      <c r="B178" s="7" t="s">
        <v>42</v>
      </c>
      <c r="C178" s="7" t="s">
        <v>48</v>
      </c>
      <c r="D178" s="7" t="s">
        <v>60</v>
      </c>
      <c r="E178" s="7" t="s">
        <v>40</v>
      </c>
      <c r="F178" s="7" t="s">
        <v>93</v>
      </c>
      <c r="G178" s="7">
        <v>2020</v>
      </c>
      <c r="H178" s="7" t="str">
        <f>CONCATENATE("04210263150")</f>
        <v>04210263150</v>
      </c>
      <c r="I178" s="7" t="s">
        <v>30</v>
      </c>
      <c r="J178" s="7" t="s">
        <v>31</v>
      </c>
      <c r="K178" s="7" t="str">
        <f>CONCATENATE("")</f>
        <v/>
      </c>
      <c r="L178" s="7" t="str">
        <f>CONCATENATE("13 13.1 4a")</f>
        <v>13 13.1 4a</v>
      </c>
      <c r="M178" s="7" t="str">
        <f>CONCATENATE("FLNDNC52A18F467M")</f>
        <v>FLNDNC52A18F467M</v>
      </c>
      <c r="N178" s="7" t="s">
        <v>276</v>
      </c>
      <c r="O178" s="7" t="s">
        <v>87</v>
      </c>
      <c r="P178" s="8">
        <v>44299</v>
      </c>
      <c r="Q178" s="7" t="s">
        <v>32</v>
      </c>
      <c r="R178" s="7" t="s">
        <v>39</v>
      </c>
      <c r="S178" s="7" t="s">
        <v>34</v>
      </c>
      <c r="T178" s="7"/>
      <c r="U178" s="7" t="s">
        <v>35</v>
      </c>
      <c r="V178" s="9">
        <v>2068.0700000000002</v>
      </c>
      <c r="W178" s="7">
        <v>891.75</v>
      </c>
      <c r="X178" s="7">
        <v>823.51</v>
      </c>
      <c r="Y178" s="7">
        <v>0</v>
      </c>
      <c r="Z178" s="7">
        <v>352.81</v>
      </c>
    </row>
    <row r="179" spans="1:26" x14ac:dyDescent="0.35">
      <c r="A179" s="7" t="s">
        <v>27</v>
      </c>
      <c r="B179" s="7" t="s">
        <v>42</v>
      </c>
      <c r="C179" s="7" t="s">
        <v>48</v>
      </c>
      <c r="D179" s="7" t="s">
        <v>60</v>
      </c>
      <c r="E179" s="7" t="s">
        <v>43</v>
      </c>
      <c r="F179" s="7" t="s">
        <v>88</v>
      </c>
      <c r="G179" s="7">
        <v>2020</v>
      </c>
      <c r="H179" s="7" t="str">
        <f>CONCATENATE("04210426377")</f>
        <v>04210426377</v>
      </c>
      <c r="I179" s="7" t="s">
        <v>30</v>
      </c>
      <c r="J179" s="7" t="s">
        <v>31</v>
      </c>
      <c r="K179" s="7" t="str">
        <f>CONCATENATE("")</f>
        <v/>
      </c>
      <c r="L179" s="7" t="str">
        <f>CONCATENATE("13 13.1 4a")</f>
        <v>13 13.1 4a</v>
      </c>
      <c r="M179" s="7" t="str">
        <f>CONCATENATE("NDRSMN77L67L498X")</f>
        <v>NDRSMN77L67L498X</v>
      </c>
      <c r="N179" s="7" t="s">
        <v>277</v>
      </c>
      <c r="O179" s="7" t="s">
        <v>87</v>
      </c>
      <c r="P179" s="8">
        <v>44299</v>
      </c>
      <c r="Q179" s="7" t="s">
        <v>32</v>
      </c>
      <c r="R179" s="7" t="s">
        <v>39</v>
      </c>
      <c r="S179" s="7" t="s">
        <v>34</v>
      </c>
      <c r="T179" s="7"/>
      <c r="U179" s="7" t="s">
        <v>35</v>
      </c>
      <c r="V179" s="9">
        <v>9000</v>
      </c>
      <c r="W179" s="9">
        <v>3880.8</v>
      </c>
      <c r="X179" s="9">
        <v>3583.8</v>
      </c>
      <c r="Y179" s="7">
        <v>0</v>
      </c>
      <c r="Z179" s="9">
        <v>1535.4</v>
      </c>
    </row>
    <row r="180" spans="1:26" x14ac:dyDescent="0.35">
      <c r="A180" s="7" t="s">
        <v>27</v>
      </c>
      <c r="B180" s="7" t="s">
        <v>42</v>
      </c>
      <c r="C180" s="7" t="s">
        <v>48</v>
      </c>
      <c r="D180" s="7" t="s">
        <v>60</v>
      </c>
      <c r="E180" s="7" t="s">
        <v>38</v>
      </c>
      <c r="F180" s="7" t="s">
        <v>156</v>
      </c>
      <c r="G180" s="7">
        <v>2020</v>
      </c>
      <c r="H180" s="7" t="str">
        <f>CONCATENATE("04210427706")</f>
        <v>04210427706</v>
      </c>
      <c r="I180" s="7" t="s">
        <v>30</v>
      </c>
      <c r="J180" s="7" t="s">
        <v>31</v>
      </c>
      <c r="K180" s="7" t="str">
        <f>CONCATENATE("")</f>
        <v/>
      </c>
      <c r="L180" s="7" t="str">
        <f>CONCATENATE("13 13.1 4a")</f>
        <v>13 13.1 4a</v>
      </c>
      <c r="M180" s="7" t="str">
        <f>CONCATENATE("02611800414")</f>
        <v>02611800414</v>
      </c>
      <c r="N180" s="7" t="s">
        <v>278</v>
      </c>
      <c r="O180" s="7" t="s">
        <v>87</v>
      </c>
      <c r="P180" s="8">
        <v>44299</v>
      </c>
      <c r="Q180" s="7" t="s">
        <v>32</v>
      </c>
      <c r="R180" s="7" t="s">
        <v>39</v>
      </c>
      <c r="S180" s="7" t="s">
        <v>34</v>
      </c>
      <c r="T180" s="7"/>
      <c r="U180" s="7" t="s">
        <v>35</v>
      </c>
      <c r="V180" s="9">
        <v>2245.61</v>
      </c>
      <c r="W180" s="7">
        <v>968.31</v>
      </c>
      <c r="X180" s="7">
        <v>894.2</v>
      </c>
      <c r="Y180" s="7">
        <v>0</v>
      </c>
      <c r="Z180" s="7">
        <v>383.1</v>
      </c>
    </row>
    <row r="181" spans="1:26" x14ac:dyDescent="0.35">
      <c r="A181" s="7" t="s">
        <v>27</v>
      </c>
      <c r="B181" s="7" t="s">
        <v>42</v>
      </c>
      <c r="C181" s="7" t="s">
        <v>48</v>
      </c>
      <c r="D181" s="7" t="s">
        <v>60</v>
      </c>
      <c r="E181" s="7" t="s">
        <v>40</v>
      </c>
      <c r="F181" s="7" t="s">
        <v>90</v>
      </c>
      <c r="G181" s="7">
        <v>2020</v>
      </c>
      <c r="H181" s="7" t="str">
        <f>CONCATENATE("04210310894")</f>
        <v>04210310894</v>
      </c>
      <c r="I181" s="7" t="s">
        <v>30</v>
      </c>
      <c r="J181" s="7" t="s">
        <v>31</v>
      </c>
      <c r="K181" s="7" t="str">
        <f>CONCATENATE("")</f>
        <v/>
      </c>
      <c r="L181" s="7" t="str">
        <f>CONCATENATE("13 13.1 4a")</f>
        <v>13 13.1 4a</v>
      </c>
      <c r="M181" s="7" t="str">
        <f>CONCATENATE("SPRGNS62R13B352A")</f>
        <v>SPRGNS62R13B352A</v>
      </c>
      <c r="N181" s="7" t="s">
        <v>279</v>
      </c>
      <c r="O181" s="7" t="s">
        <v>87</v>
      </c>
      <c r="P181" s="8">
        <v>44299</v>
      </c>
      <c r="Q181" s="7" t="s">
        <v>32</v>
      </c>
      <c r="R181" s="7" t="s">
        <v>39</v>
      </c>
      <c r="S181" s="7" t="s">
        <v>34</v>
      </c>
      <c r="T181" s="7"/>
      <c r="U181" s="7" t="s">
        <v>35</v>
      </c>
      <c r="V181" s="7">
        <v>469.54</v>
      </c>
      <c r="W181" s="7">
        <v>202.47</v>
      </c>
      <c r="X181" s="7">
        <v>186.97</v>
      </c>
      <c r="Y181" s="7">
        <v>0</v>
      </c>
      <c r="Z181" s="7">
        <v>80.099999999999994</v>
      </c>
    </row>
    <row r="182" spans="1:26" x14ac:dyDescent="0.35">
      <c r="A182" s="7" t="s">
        <v>27</v>
      </c>
      <c r="B182" s="7" t="s">
        <v>42</v>
      </c>
      <c r="C182" s="7" t="s">
        <v>48</v>
      </c>
      <c r="D182" s="7" t="s">
        <v>60</v>
      </c>
      <c r="E182" s="7" t="s">
        <v>38</v>
      </c>
      <c r="F182" s="7" t="s">
        <v>156</v>
      </c>
      <c r="G182" s="7">
        <v>2020</v>
      </c>
      <c r="H182" s="7" t="str">
        <f>CONCATENATE("04210259372")</f>
        <v>04210259372</v>
      </c>
      <c r="I182" s="7" t="s">
        <v>30</v>
      </c>
      <c r="J182" s="7" t="s">
        <v>31</v>
      </c>
      <c r="K182" s="7" t="str">
        <f>CONCATENATE("")</f>
        <v/>
      </c>
      <c r="L182" s="7" t="str">
        <f>CONCATENATE("13 13.1 4a")</f>
        <v>13 13.1 4a</v>
      </c>
      <c r="M182" s="7" t="str">
        <f>CONCATENATE("01342540414")</f>
        <v>01342540414</v>
      </c>
      <c r="N182" s="7" t="s">
        <v>280</v>
      </c>
      <c r="O182" s="7" t="s">
        <v>87</v>
      </c>
      <c r="P182" s="8">
        <v>44299</v>
      </c>
      <c r="Q182" s="7" t="s">
        <v>32</v>
      </c>
      <c r="R182" s="7" t="s">
        <v>39</v>
      </c>
      <c r="S182" s="7" t="s">
        <v>34</v>
      </c>
      <c r="T182" s="7"/>
      <c r="U182" s="7" t="s">
        <v>35</v>
      </c>
      <c r="V182" s="9">
        <v>2129.64</v>
      </c>
      <c r="W182" s="7">
        <v>918.3</v>
      </c>
      <c r="X182" s="7">
        <v>848.02</v>
      </c>
      <c r="Y182" s="7">
        <v>0</v>
      </c>
      <c r="Z182" s="7">
        <v>363.32</v>
      </c>
    </row>
    <row r="183" spans="1:26" x14ac:dyDescent="0.35">
      <c r="A183" s="7" t="s">
        <v>27</v>
      </c>
      <c r="B183" s="7" t="s">
        <v>42</v>
      </c>
      <c r="C183" s="7" t="s">
        <v>48</v>
      </c>
      <c r="D183" s="7" t="s">
        <v>60</v>
      </c>
      <c r="E183" s="7" t="s">
        <v>38</v>
      </c>
      <c r="F183" s="7" t="s">
        <v>173</v>
      </c>
      <c r="G183" s="7">
        <v>2020</v>
      </c>
      <c r="H183" s="7" t="str">
        <f>CONCATENATE("04210119238")</f>
        <v>04210119238</v>
      </c>
      <c r="I183" s="7" t="s">
        <v>30</v>
      </c>
      <c r="J183" s="7" t="s">
        <v>31</v>
      </c>
      <c r="K183" s="7" t="str">
        <f>CONCATENATE("")</f>
        <v/>
      </c>
      <c r="L183" s="7" t="str">
        <f>CONCATENATE("13 13.1 4a")</f>
        <v>13 13.1 4a</v>
      </c>
      <c r="M183" s="7" t="str">
        <f>CONCATENATE("MDRDLF38C47D749X")</f>
        <v>MDRDLF38C47D749X</v>
      </c>
      <c r="N183" s="7" t="s">
        <v>281</v>
      </c>
      <c r="O183" s="7" t="s">
        <v>87</v>
      </c>
      <c r="P183" s="8">
        <v>44299</v>
      </c>
      <c r="Q183" s="7" t="s">
        <v>32</v>
      </c>
      <c r="R183" s="7" t="s">
        <v>39</v>
      </c>
      <c r="S183" s="7" t="s">
        <v>34</v>
      </c>
      <c r="T183" s="7"/>
      <c r="U183" s="7" t="s">
        <v>35</v>
      </c>
      <c r="V183" s="9">
        <v>1347.32</v>
      </c>
      <c r="W183" s="7">
        <v>580.96</v>
      </c>
      <c r="X183" s="7">
        <v>536.5</v>
      </c>
      <c r="Y183" s="7">
        <v>0</v>
      </c>
      <c r="Z183" s="7">
        <v>229.86</v>
      </c>
    </row>
    <row r="184" spans="1:26" x14ac:dyDescent="0.35">
      <c r="A184" s="7" t="s">
        <v>27</v>
      </c>
      <c r="B184" s="7" t="s">
        <v>42</v>
      </c>
      <c r="C184" s="7" t="s">
        <v>48</v>
      </c>
      <c r="D184" s="7" t="s">
        <v>60</v>
      </c>
      <c r="E184" s="7" t="s">
        <v>40</v>
      </c>
      <c r="F184" s="7" t="s">
        <v>90</v>
      </c>
      <c r="G184" s="7">
        <v>2020</v>
      </c>
      <c r="H184" s="7" t="str">
        <f>CONCATENATE("04210123339")</f>
        <v>04210123339</v>
      </c>
      <c r="I184" s="7" t="s">
        <v>30</v>
      </c>
      <c r="J184" s="7" t="s">
        <v>31</v>
      </c>
      <c r="K184" s="7" t="str">
        <f>CONCATENATE("")</f>
        <v/>
      </c>
      <c r="L184" s="7" t="str">
        <f>CONCATENATE("13 13.1 4a")</f>
        <v>13 13.1 4a</v>
      </c>
      <c r="M184" s="7" t="str">
        <f>CONCATENATE("BNCBBR71E56Z110G")</f>
        <v>BNCBBR71E56Z110G</v>
      </c>
      <c r="N184" s="7" t="s">
        <v>282</v>
      </c>
      <c r="O184" s="7" t="s">
        <v>87</v>
      </c>
      <c r="P184" s="8">
        <v>44299</v>
      </c>
      <c r="Q184" s="7" t="s">
        <v>32</v>
      </c>
      <c r="R184" s="7" t="s">
        <v>39</v>
      </c>
      <c r="S184" s="7" t="s">
        <v>34</v>
      </c>
      <c r="T184" s="7"/>
      <c r="U184" s="7" t="s">
        <v>35</v>
      </c>
      <c r="V184" s="9">
        <v>1531.28</v>
      </c>
      <c r="W184" s="7">
        <v>660.29</v>
      </c>
      <c r="X184" s="7">
        <v>609.76</v>
      </c>
      <c r="Y184" s="7">
        <v>0</v>
      </c>
      <c r="Z184" s="7">
        <v>261.23</v>
      </c>
    </row>
    <row r="185" spans="1:26" x14ac:dyDescent="0.35">
      <c r="A185" s="7" t="s">
        <v>27</v>
      </c>
      <c r="B185" s="7" t="s">
        <v>42</v>
      </c>
      <c r="C185" s="7" t="s">
        <v>48</v>
      </c>
      <c r="D185" s="7" t="s">
        <v>63</v>
      </c>
      <c r="E185" s="7" t="s">
        <v>38</v>
      </c>
      <c r="F185" s="7" t="s">
        <v>106</v>
      </c>
      <c r="G185" s="7">
        <v>2020</v>
      </c>
      <c r="H185" s="7" t="str">
        <f>CONCATENATE("04210432896")</f>
        <v>04210432896</v>
      </c>
      <c r="I185" s="7" t="s">
        <v>30</v>
      </c>
      <c r="J185" s="7" t="s">
        <v>31</v>
      </c>
      <c r="K185" s="7" t="str">
        <f>CONCATENATE("")</f>
        <v/>
      </c>
      <c r="L185" s="7" t="str">
        <f>CONCATENATE("13 13.1 4a")</f>
        <v>13 13.1 4a</v>
      </c>
      <c r="M185" s="7" t="str">
        <f>CONCATENATE("02333100440")</f>
        <v>02333100440</v>
      </c>
      <c r="N185" s="7" t="s">
        <v>283</v>
      </c>
      <c r="O185" s="7" t="s">
        <v>87</v>
      </c>
      <c r="P185" s="8">
        <v>44299</v>
      </c>
      <c r="Q185" s="7" t="s">
        <v>32</v>
      </c>
      <c r="R185" s="7" t="s">
        <v>39</v>
      </c>
      <c r="S185" s="7" t="s">
        <v>34</v>
      </c>
      <c r="T185" s="7"/>
      <c r="U185" s="7" t="s">
        <v>35</v>
      </c>
      <c r="V185" s="7">
        <v>4.2300000000000004</v>
      </c>
      <c r="W185" s="7">
        <v>1.82</v>
      </c>
      <c r="X185" s="7">
        <v>1.68</v>
      </c>
      <c r="Y185" s="7">
        <v>0</v>
      </c>
      <c r="Z185" s="7">
        <v>0.73</v>
      </c>
    </row>
    <row r="186" spans="1:26" x14ac:dyDescent="0.35">
      <c r="A186" s="7" t="s">
        <v>27</v>
      </c>
      <c r="B186" s="7" t="s">
        <v>42</v>
      </c>
      <c r="C186" s="7" t="s">
        <v>48</v>
      </c>
      <c r="D186" s="7" t="s">
        <v>60</v>
      </c>
      <c r="E186" s="7" t="s">
        <v>40</v>
      </c>
      <c r="F186" s="7" t="s">
        <v>90</v>
      </c>
      <c r="G186" s="7">
        <v>2020</v>
      </c>
      <c r="H186" s="7" t="str">
        <f>CONCATENATE("04210310258")</f>
        <v>04210310258</v>
      </c>
      <c r="I186" s="7" t="s">
        <v>30</v>
      </c>
      <c r="J186" s="7" t="s">
        <v>31</v>
      </c>
      <c r="K186" s="7" t="str">
        <f>CONCATENATE("")</f>
        <v/>
      </c>
      <c r="L186" s="7" t="str">
        <f>CONCATENATE("13 13.1 4a")</f>
        <v>13 13.1 4a</v>
      </c>
      <c r="M186" s="7" t="str">
        <f>CONCATENATE("PRLPLA68D09C745A")</f>
        <v>PRLPLA68D09C745A</v>
      </c>
      <c r="N186" s="7" t="s">
        <v>284</v>
      </c>
      <c r="O186" s="7" t="s">
        <v>87</v>
      </c>
      <c r="P186" s="8">
        <v>44299</v>
      </c>
      <c r="Q186" s="7" t="s">
        <v>32</v>
      </c>
      <c r="R186" s="7" t="s">
        <v>39</v>
      </c>
      <c r="S186" s="7" t="s">
        <v>34</v>
      </c>
      <c r="T186" s="7"/>
      <c r="U186" s="7" t="s">
        <v>35</v>
      </c>
      <c r="V186" s="9">
        <v>4953.45</v>
      </c>
      <c r="W186" s="9">
        <v>2135.9299999999998</v>
      </c>
      <c r="X186" s="9">
        <v>1972.46</v>
      </c>
      <c r="Y186" s="7">
        <v>0</v>
      </c>
      <c r="Z186" s="7">
        <v>845.06</v>
      </c>
    </row>
    <row r="187" spans="1:26" x14ac:dyDescent="0.35">
      <c r="A187" s="7" t="s">
        <v>27</v>
      </c>
      <c r="B187" s="7" t="s">
        <v>42</v>
      </c>
      <c r="C187" s="7" t="s">
        <v>48</v>
      </c>
      <c r="D187" s="7" t="s">
        <v>60</v>
      </c>
      <c r="E187" s="7" t="s">
        <v>40</v>
      </c>
      <c r="F187" s="7" t="s">
        <v>93</v>
      </c>
      <c r="G187" s="7">
        <v>2020</v>
      </c>
      <c r="H187" s="7" t="str">
        <f>CONCATENATE("04210366458")</f>
        <v>04210366458</v>
      </c>
      <c r="I187" s="7" t="s">
        <v>30</v>
      </c>
      <c r="J187" s="7" t="s">
        <v>31</v>
      </c>
      <c r="K187" s="7" t="str">
        <f>CONCATENATE("")</f>
        <v/>
      </c>
      <c r="L187" s="7" t="str">
        <f>CONCATENATE("13 13.1 4a")</f>
        <v>13 13.1 4a</v>
      </c>
      <c r="M187" s="7" t="str">
        <f>CONCATENATE("GSTMSM56S25I459Q")</f>
        <v>GSTMSM56S25I459Q</v>
      </c>
      <c r="N187" s="7" t="s">
        <v>285</v>
      </c>
      <c r="O187" s="7" t="s">
        <v>87</v>
      </c>
      <c r="P187" s="8">
        <v>44299</v>
      </c>
      <c r="Q187" s="7" t="s">
        <v>32</v>
      </c>
      <c r="R187" s="7" t="s">
        <v>39</v>
      </c>
      <c r="S187" s="7" t="s">
        <v>34</v>
      </c>
      <c r="T187" s="7"/>
      <c r="U187" s="7" t="s">
        <v>35</v>
      </c>
      <c r="V187" s="7">
        <v>865.36</v>
      </c>
      <c r="W187" s="7">
        <v>373.14</v>
      </c>
      <c r="X187" s="7">
        <v>344.59</v>
      </c>
      <c r="Y187" s="7">
        <v>0</v>
      </c>
      <c r="Z187" s="7">
        <v>147.63</v>
      </c>
    </row>
    <row r="188" spans="1:26" x14ac:dyDescent="0.35">
      <c r="A188" s="7" t="s">
        <v>27</v>
      </c>
      <c r="B188" s="7" t="s">
        <v>42</v>
      </c>
      <c r="C188" s="7" t="s">
        <v>48</v>
      </c>
      <c r="D188" s="7" t="s">
        <v>60</v>
      </c>
      <c r="E188" s="7" t="s">
        <v>40</v>
      </c>
      <c r="F188" s="7" t="s">
        <v>93</v>
      </c>
      <c r="G188" s="7">
        <v>2020</v>
      </c>
      <c r="H188" s="7" t="str">
        <f>CONCATENATE("04210031920")</f>
        <v>04210031920</v>
      </c>
      <c r="I188" s="7" t="s">
        <v>30</v>
      </c>
      <c r="J188" s="7" t="s">
        <v>31</v>
      </c>
      <c r="K188" s="7" t="str">
        <f>CONCATENATE("")</f>
        <v/>
      </c>
      <c r="L188" s="7" t="str">
        <f>CONCATENATE("13 13.1 4a")</f>
        <v>13 13.1 4a</v>
      </c>
      <c r="M188" s="7" t="str">
        <f>CONCATENATE("MGALCU83R22I459L")</f>
        <v>MGALCU83R22I459L</v>
      </c>
      <c r="N188" s="7" t="s">
        <v>286</v>
      </c>
      <c r="O188" s="7" t="s">
        <v>87</v>
      </c>
      <c r="P188" s="8">
        <v>44299</v>
      </c>
      <c r="Q188" s="7" t="s">
        <v>32</v>
      </c>
      <c r="R188" s="7" t="s">
        <v>39</v>
      </c>
      <c r="S188" s="7" t="s">
        <v>34</v>
      </c>
      <c r="T188" s="7"/>
      <c r="U188" s="7" t="s">
        <v>35</v>
      </c>
      <c r="V188" s="9">
        <v>2502.38</v>
      </c>
      <c r="W188" s="9">
        <v>1079.03</v>
      </c>
      <c r="X188" s="7">
        <v>996.45</v>
      </c>
      <c r="Y188" s="7">
        <v>0</v>
      </c>
      <c r="Z188" s="7">
        <v>426.9</v>
      </c>
    </row>
    <row r="189" spans="1:26" x14ac:dyDescent="0.35">
      <c r="A189" s="7" t="s">
        <v>27</v>
      </c>
      <c r="B189" s="7" t="s">
        <v>42</v>
      </c>
      <c r="C189" s="7" t="s">
        <v>48</v>
      </c>
      <c r="D189" s="7" t="s">
        <v>55</v>
      </c>
      <c r="E189" s="7" t="s">
        <v>46</v>
      </c>
      <c r="F189" s="7" t="s">
        <v>147</v>
      </c>
      <c r="G189" s="7">
        <v>2020</v>
      </c>
      <c r="H189" s="7" t="str">
        <f>CONCATENATE("04210211415")</f>
        <v>04210211415</v>
      </c>
      <c r="I189" s="7" t="s">
        <v>30</v>
      </c>
      <c r="J189" s="7" t="s">
        <v>31</v>
      </c>
      <c r="K189" s="7" t="str">
        <f>CONCATENATE("")</f>
        <v/>
      </c>
      <c r="L189" s="7" t="str">
        <f>CONCATENATE("13 13.1 4a")</f>
        <v>13 13.1 4a</v>
      </c>
      <c r="M189" s="7" t="str">
        <f>CONCATENATE("MSCMLN89C13L117K")</f>
        <v>MSCMLN89C13L117K</v>
      </c>
      <c r="N189" s="7" t="s">
        <v>287</v>
      </c>
      <c r="O189" s="7" t="s">
        <v>87</v>
      </c>
      <c r="P189" s="8">
        <v>44299</v>
      </c>
      <c r="Q189" s="7" t="s">
        <v>32</v>
      </c>
      <c r="R189" s="7" t="s">
        <v>39</v>
      </c>
      <c r="S189" s="7" t="s">
        <v>34</v>
      </c>
      <c r="T189" s="7"/>
      <c r="U189" s="7" t="s">
        <v>35</v>
      </c>
      <c r="V189" s="7">
        <v>549.79</v>
      </c>
      <c r="W189" s="7">
        <v>237.07</v>
      </c>
      <c r="X189" s="7">
        <v>218.93</v>
      </c>
      <c r="Y189" s="7">
        <v>0</v>
      </c>
      <c r="Z189" s="7">
        <v>93.79</v>
      </c>
    </row>
    <row r="190" spans="1:26" x14ac:dyDescent="0.35">
      <c r="A190" s="7" t="s">
        <v>27</v>
      </c>
      <c r="B190" s="7" t="s">
        <v>42</v>
      </c>
      <c r="C190" s="7" t="s">
        <v>48</v>
      </c>
      <c r="D190" s="7" t="s">
        <v>49</v>
      </c>
      <c r="E190" s="7" t="s">
        <v>38</v>
      </c>
      <c r="F190" s="7" t="s">
        <v>102</v>
      </c>
      <c r="G190" s="7">
        <v>2020</v>
      </c>
      <c r="H190" s="7" t="str">
        <f>CONCATENATE("04210014298")</f>
        <v>04210014298</v>
      </c>
      <c r="I190" s="7" t="s">
        <v>30</v>
      </c>
      <c r="J190" s="7" t="s">
        <v>31</v>
      </c>
      <c r="K190" s="7" t="str">
        <f>CONCATENATE("")</f>
        <v/>
      </c>
      <c r="L190" s="7" t="str">
        <f>CONCATENATE("13 13.1 4a")</f>
        <v>13 13.1 4a</v>
      </c>
      <c r="M190" s="7" t="str">
        <f>CONCATENATE("MRAMLA59D17I461S")</f>
        <v>MRAMLA59D17I461S</v>
      </c>
      <c r="N190" s="7" t="s">
        <v>288</v>
      </c>
      <c r="O190" s="7" t="s">
        <v>87</v>
      </c>
      <c r="P190" s="8">
        <v>44299</v>
      </c>
      <c r="Q190" s="7" t="s">
        <v>32</v>
      </c>
      <c r="R190" s="7" t="s">
        <v>39</v>
      </c>
      <c r="S190" s="7" t="s">
        <v>34</v>
      </c>
      <c r="T190" s="7"/>
      <c r="U190" s="7" t="s">
        <v>35</v>
      </c>
      <c r="V190" s="7">
        <v>464.06</v>
      </c>
      <c r="W190" s="7">
        <v>200.1</v>
      </c>
      <c r="X190" s="7">
        <v>184.79</v>
      </c>
      <c r="Y190" s="7">
        <v>0</v>
      </c>
      <c r="Z190" s="7">
        <v>79.17</v>
      </c>
    </row>
    <row r="191" spans="1:26" x14ac:dyDescent="0.35">
      <c r="A191" s="7" t="s">
        <v>27</v>
      </c>
      <c r="B191" s="7" t="s">
        <v>42</v>
      </c>
      <c r="C191" s="7" t="s">
        <v>48</v>
      </c>
      <c r="D191" s="7" t="s">
        <v>60</v>
      </c>
      <c r="E191" s="7" t="s">
        <v>40</v>
      </c>
      <c r="F191" s="7" t="s">
        <v>93</v>
      </c>
      <c r="G191" s="7">
        <v>2020</v>
      </c>
      <c r="H191" s="7" t="str">
        <f>CONCATENATE("04210423820")</f>
        <v>04210423820</v>
      </c>
      <c r="I191" s="7" t="s">
        <v>30</v>
      </c>
      <c r="J191" s="7" t="s">
        <v>31</v>
      </c>
      <c r="K191" s="7" t="str">
        <f>CONCATENATE("")</f>
        <v/>
      </c>
      <c r="L191" s="7" t="str">
        <f>CONCATENATE("13 13.1 4a")</f>
        <v>13 13.1 4a</v>
      </c>
      <c r="M191" s="7" t="str">
        <f>CONCATENATE("NCCTZN59P30A493G")</f>
        <v>NCCTZN59P30A493G</v>
      </c>
      <c r="N191" s="7" t="s">
        <v>289</v>
      </c>
      <c r="O191" s="7" t="s">
        <v>87</v>
      </c>
      <c r="P191" s="8">
        <v>44299</v>
      </c>
      <c r="Q191" s="7" t="s">
        <v>32</v>
      </c>
      <c r="R191" s="7" t="s">
        <v>39</v>
      </c>
      <c r="S191" s="7" t="s">
        <v>34</v>
      </c>
      <c r="T191" s="7"/>
      <c r="U191" s="7" t="s">
        <v>35</v>
      </c>
      <c r="V191" s="9">
        <v>3669.79</v>
      </c>
      <c r="W191" s="9">
        <v>1582.41</v>
      </c>
      <c r="X191" s="9">
        <v>1461.31</v>
      </c>
      <c r="Y191" s="7">
        <v>0</v>
      </c>
      <c r="Z191" s="7">
        <v>626.07000000000005</v>
      </c>
    </row>
    <row r="192" spans="1:26" x14ac:dyDescent="0.35">
      <c r="A192" s="7" t="s">
        <v>27</v>
      </c>
      <c r="B192" s="7" t="s">
        <v>42</v>
      </c>
      <c r="C192" s="7" t="s">
        <v>48</v>
      </c>
      <c r="D192" s="7" t="s">
        <v>49</v>
      </c>
      <c r="E192" s="7" t="s">
        <v>38</v>
      </c>
      <c r="F192" s="7" t="s">
        <v>102</v>
      </c>
      <c r="G192" s="7">
        <v>2020</v>
      </c>
      <c r="H192" s="7" t="str">
        <f>CONCATENATE("04210015923")</f>
        <v>04210015923</v>
      </c>
      <c r="I192" s="7" t="s">
        <v>30</v>
      </c>
      <c r="J192" s="7" t="s">
        <v>31</v>
      </c>
      <c r="K192" s="7" t="str">
        <f>CONCATENATE("")</f>
        <v/>
      </c>
      <c r="L192" s="7" t="str">
        <f>CONCATENATE("13 13.1 4a")</f>
        <v>13 13.1 4a</v>
      </c>
      <c r="M192" s="7" t="str">
        <f>CONCATENATE("RTGFNC38T21I461T")</f>
        <v>RTGFNC38T21I461T</v>
      </c>
      <c r="N192" s="7" t="s">
        <v>290</v>
      </c>
      <c r="O192" s="7" t="s">
        <v>87</v>
      </c>
      <c r="P192" s="8">
        <v>44299</v>
      </c>
      <c r="Q192" s="7" t="s">
        <v>32</v>
      </c>
      <c r="R192" s="7" t="s">
        <v>39</v>
      </c>
      <c r="S192" s="7" t="s">
        <v>34</v>
      </c>
      <c r="T192" s="7"/>
      <c r="U192" s="7" t="s">
        <v>35</v>
      </c>
      <c r="V192" s="9">
        <v>2241.16</v>
      </c>
      <c r="W192" s="7">
        <v>966.39</v>
      </c>
      <c r="X192" s="7">
        <v>892.43</v>
      </c>
      <c r="Y192" s="7">
        <v>0</v>
      </c>
      <c r="Z192" s="7">
        <v>382.34</v>
      </c>
    </row>
    <row r="193" spans="1:26" x14ac:dyDescent="0.35">
      <c r="A193" s="7" t="s">
        <v>27</v>
      </c>
      <c r="B193" s="7" t="s">
        <v>42</v>
      </c>
      <c r="C193" s="7" t="s">
        <v>48</v>
      </c>
      <c r="D193" s="7" t="s">
        <v>63</v>
      </c>
      <c r="E193" s="7" t="s">
        <v>40</v>
      </c>
      <c r="F193" s="7" t="s">
        <v>291</v>
      </c>
      <c r="G193" s="7">
        <v>2020</v>
      </c>
      <c r="H193" s="7" t="str">
        <f>CONCATENATE("04210238673")</f>
        <v>04210238673</v>
      </c>
      <c r="I193" s="7" t="s">
        <v>30</v>
      </c>
      <c r="J193" s="7" t="s">
        <v>31</v>
      </c>
      <c r="K193" s="7" t="str">
        <f>CONCATENATE("")</f>
        <v/>
      </c>
      <c r="L193" s="7" t="str">
        <f>CONCATENATE("13 13.1 4a")</f>
        <v>13 13.1 4a</v>
      </c>
      <c r="M193" s="7" t="str">
        <f>CONCATENATE("01882010448")</f>
        <v>01882010448</v>
      </c>
      <c r="N193" s="7" t="s">
        <v>292</v>
      </c>
      <c r="O193" s="7" t="s">
        <v>87</v>
      </c>
      <c r="P193" s="8">
        <v>44299</v>
      </c>
      <c r="Q193" s="7" t="s">
        <v>32</v>
      </c>
      <c r="R193" s="7" t="s">
        <v>39</v>
      </c>
      <c r="S193" s="7" t="s">
        <v>34</v>
      </c>
      <c r="T193" s="7"/>
      <c r="U193" s="7" t="s">
        <v>35</v>
      </c>
      <c r="V193" s="9">
        <v>1349.98</v>
      </c>
      <c r="W193" s="7">
        <v>582.11</v>
      </c>
      <c r="X193" s="7">
        <v>537.55999999999995</v>
      </c>
      <c r="Y193" s="7">
        <v>0</v>
      </c>
      <c r="Z193" s="7">
        <v>230.31</v>
      </c>
    </row>
    <row r="194" spans="1:26" x14ac:dyDescent="0.35">
      <c r="A194" s="7" t="s">
        <v>27</v>
      </c>
      <c r="B194" s="7" t="s">
        <v>42</v>
      </c>
      <c r="C194" s="7" t="s">
        <v>48</v>
      </c>
      <c r="D194" s="7" t="s">
        <v>55</v>
      </c>
      <c r="E194" s="7" t="s">
        <v>38</v>
      </c>
      <c r="F194" s="7" t="s">
        <v>143</v>
      </c>
      <c r="G194" s="7">
        <v>2020</v>
      </c>
      <c r="H194" s="7" t="str">
        <f>CONCATENATE("04210424893")</f>
        <v>04210424893</v>
      </c>
      <c r="I194" s="7" t="s">
        <v>30</v>
      </c>
      <c r="J194" s="7" t="s">
        <v>31</v>
      </c>
      <c r="K194" s="7" t="str">
        <f>CONCATENATE("")</f>
        <v/>
      </c>
      <c r="L194" s="7" t="str">
        <f>CONCATENATE("13 13.1 4a")</f>
        <v>13 13.1 4a</v>
      </c>
      <c r="M194" s="7" t="str">
        <f>CONCATENATE("FBRFST81T23B474X")</f>
        <v>FBRFST81T23B474X</v>
      </c>
      <c r="N194" s="7" t="s">
        <v>293</v>
      </c>
      <c r="O194" s="7" t="s">
        <v>87</v>
      </c>
      <c r="P194" s="8">
        <v>44299</v>
      </c>
      <c r="Q194" s="7" t="s">
        <v>32</v>
      </c>
      <c r="R194" s="7" t="s">
        <v>39</v>
      </c>
      <c r="S194" s="7" t="s">
        <v>34</v>
      </c>
      <c r="T194" s="7"/>
      <c r="U194" s="7" t="s">
        <v>35</v>
      </c>
      <c r="V194" s="7">
        <v>361.71</v>
      </c>
      <c r="W194" s="7">
        <v>155.97</v>
      </c>
      <c r="X194" s="7">
        <v>144.03</v>
      </c>
      <c r="Y194" s="7">
        <v>0</v>
      </c>
      <c r="Z194" s="7">
        <v>61.71</v>
      </c>
    </row>
    <row r="195" spans="1:26" x14ac:dyDescent="0.35">
      <c r="A195" s="7" t="s">
        <v>27</v>
      </c>
      <c r="B195" s="7" t="s">
        <v>42</v>
      </c>
      <c r="C195" s="7" t="s">
        <v>48</v>
      </c>
      <c r="D195" s="7" t="s">
        <v>60</v>
      </c>
      <c r="E195" s="7" t="s">
        <v>40</v>
      </c>
      <c r="F195" s="7" t="s">
        <v>90</v>
      </c>
      <c r="G195" s="7">
        <v>2020</v>
      </c>
      <c r="H195" s="7" t="str">
        <f>CONCATENATE("04210277655")</f>
        <v>04210277655</v>
      </c>
      <c r="I195" s="7" t="s">
        <v>30</v>
      </c>
      <c r="J195" s="7" t="s">
        <v>31</v>
      </c>
      <c r="K195" s="7" t="str">
        <f>CONCATENATE("")</f>
        <v/>
      </c>
      <c r="L195" s="7" t="str">
        <f>CONCATENATE("13 13.1 4a")</f>
        <v>13 13.1 4a</v>
      </c>
      <c r="M195" s="7" t="str">
        <f>CONCATENATE("NCCDVN53B65B352C")</f>
        <v>NCCDVN53B65B352C</v>
      </c>
      <c r="N195" s="7" t="s">
        <v>294</v>
      </c>
      <c r="O195" s="7" t="s">
        <v>87</v>
      </c>
      <c r="P195" s="8">
        <v>44299</v>
      </c>
      <c r="Q195" s="7" t="s">
        <v>32</v>
      </c>
      <c r="R195" s="7" t="s">
        <v>39</v>
      </c>
      <c r="S195" s="7" t="s">
        <v>34</v>
      </c>
      <c r="T195" s="7"/>
      <c r="U195" s="7" t="s">
        <v>35</v>
      </c>
      <c r="V195" s="9">
        <v>3184</v>
      </c>
      <c r="W195" s="9">
        <v>1372.94</v>
      </c>
      <c r="X195" s="9">
        <v>1267.8699999999999</v>
      </c>
      <c r="Y195" s="7">
        <v>0</v>
      </c>
      <c r="Z195" s="7">
        <v>543.19000000000005</v>
      </c>
    </row>
    <row r="196" spans="1:26" x14ac:dyDescent="0.35">
      <c r="A196" s="7" t="s">
        <v>27</v>
      </c>
      <c r="B196" s="7" t="s">
        <v>42</v>
      </c>
      <c r="C196" s="7" t="s">
        <v>48</v>
      </c>
      <c r="D196" s="7" t="s">
        <v>60</v>
      </c>
      <c r="E196" s="7" t="s">
        <v>40</v>
      </c>
      <c r="F196" s="7" t="s">
        <v>90</v>
      </c>
      <c r="G196" s="7">
        <v>2020</v>
      </c>
      <c r="H196" s="7" t="str">
        <f>CONCATENATE("04210085157")</f>
        <v>04210085157</v>
      </c>
      <c r="I196" s="7" t="s">
        <v>30</v>
      </c>
      <c r="J196" s="7" t="s">
        <v>31</v>
      </c>
      <c r="K196" s="7" t="str">
        <f>CONCATENATE("")</f>
        <v/>
      </c>
      <c r="L196" s="7" t="str">
        <f>CONCATENATE("13 13.1 4a")</f>
        <v>13 13.1 4a</v>
      </c>
      <c r="M196" s="7" t="str">
        <f>CONCATENATE("SDRNZE57T12B352R")</f>
        <v>SDRNZE57T12B352R</v>
      </c>
      <c r="N196" s="7" t="s">
        <v>295</v>
      </c>
      <c r="O196" s="7" t="s">
        <v>87</v>
      </c>
      <c r="P196" s="8">
        <v>44299</v>
      </c>
      <c r="Q196" s="7" t="s">
        <v>32</v>
      </c>
      <c r="R196" s="7" t="s">
        <v>39</v>
      </c>
      <c r="S196" s="7" t="s">
        <v>34</v>
      </c>
      <c r="T196" s="7"/>
      <c r="U196" s="7" t="s">
        <v>35</v>
      </c>
      <c r="V196" s="9">
        <v>3293.66</v>
      </c>
      <c r="W196" s="9">
        <v>1420.23</v>
      </c>
      <c r="X196" s="9">
        <v>1311.54</v>
      </c>
      <c r="Y196" s="7">
        <v>0</v>
      </c>
      <c r="Z196" s="7">
        <v>561.89</v>
      </c>
    </row>
    <row r="197" spans="1:26" x14ac:dyDescent="0.35">
      <c r="A197" s="7" t="s">
        <v>27</v>
      </c>
      <c r="B197" s="7" t="s">
        <v>42</v>
      </c>
      <c r="C197" s="7" t="s">
        <v>48</v>
      </c>
      <c r="D197" s="7" t="s">
        <v>60</v>
      </c>
      <c r="E197" s="7" t="s">
        <v>40</v>
      </c>
      <c r="F197" s="7" t="s">
        <v>90</v>
      </c>
      <c r="G197" s="7">
        <v>2020</v>
      </c>
      <c r="H197" s="7" t="str">
        <f>CONCATENATE("04210040251")</f>
        <v>04210040251</v>
      </c>
      <c r="I197" s="7" t="s">
        <v>30</v>
      </c>
      <c r="J197" s="7" t="s">
        <v>31</v>
      </c>
      <c r="K197" s="7" t="str">
        <f>CONCATENATE("")</f>
        <v/>
      </c>
      <c r="L197" s="7" t="str">
        <f>CONCATENATE("13 13.1 4a")</f>
        <v>13 13.1 4a</v>
      </c>
      <c r="M197" s="7" t="str">
        <f>CONCATENATE("GNTGPP55P25B636G")</f>
        <v>GNTGPP55P25B636G</v>
      </c>
      <c r="N197" s="7" t="s">
        <v>296</v>
      </c>
      <c r="O197" s="7" t="s">
        <v>87</v>
      </c>
      <c r="P197" s="8">
        <v>44299</v>
      </c>
      <c r="Q197" s="7" t="s">
        <v>32</v>
      </c>
      <c r="R197" s="7" t="s">
        <v>39</v>
      </c>
      <c r="S197" s="7" t="s">
        <v>34</v>
      </c>
      <c r="T197" s="7"/>
      <c r="U197" s="7" t="s">
        <v>35</v>
      </c>
      <c r="V197" s="9">
        <v>6602.39</v>
      </c>
      <c r="W197" s="9">
        <v>2846.95</v>
      </c>
      <c r="X197" s="9">
        <v>2629.07</v>
      </c>
      <c r="Y197" s="7">
        <v>0</v>
      </c>
      <c r="Z197" s="9">
        <v>1126.3699999999999</v>
      </c>
    </row>
    <row r="198" spans="1:26" x14ac:dyDescent="0.35">
      <c r="A198" s="7" t="s">
        <v>27</v>
      </c>
      <c r="B198" s="7" t="s">
        <v>42</v>
      </c>
      <c r="C198" s="7" t="s">
        <v>48</v>
      </c>
      <c r="D198" s="7" t="s">
        <v>60</v>
      </c>
      <c r="E198" s="7" t="s">
        <v>40</v>
      </c>
      <c r="F198" s="7" t="s">
        <v>90</v>
      </c>
      <c r="G198" s="7">
        <v>2020</v>
      </c>
      <c r="H198" s="7" t="str">
        <f>CONCATENATE("04210161537")</f>
        <v>04210161537</v>
      </c>
      <c r="I198" s="7" t="s">
        <v>30</v>
      </c>
      <c r="J198" s="7" t="s">
        <v>31</v>
      </c>
      <c r="K198" s="7" t="str">
        <f>CONCATENATE("")</f>
        <v/>
      </c>
      <c r="L198" s="7" t="str">
        <f>CONCATENATE("13 13.1 4a")</f>
        <v>13 13.1 4a</v>
      </c>
      <c r="M198" s="7" t="str">
        <f>CONCATENATE("NIOCLD61D56B352F")</f>
        <v>NIOCLD61D56B352F</v>
      </c>
      <c r="N198" s="7" t="s">
        <v>297</v>
      </c>
      <c r="O198" s="7" t="s">
        <v>87</v>
      </c>
      <c r="P198" s="8">
        <v>44299</v>
      </c>
      <c r="Q198" s="7" t="s">
        <v>32</v>
      </c>
      <c r="R198" s="7" t="s">
        <v>39</v>
      </c>
      <c r="S198" s="7" t="s">
        <v>34</v>
      </c>
      <c r="T198" s="7"/>
      <c r="U198" s="7" t="s">
        <v>35</v>
      </c>
      <c r="V198" s="7">
        <v>428.6</v>
      </c>
      <c r="W198" s="7">
        <v>184.81</v>
      </c>
      <c r="X198" s="7">
        <v>170.67</v>
      </c>
      <c r="Y198" s="7">
        <v>0</v>
      </c>
      <c r="Z198" s="7">
        <v>73.12</v>
      </c>
    </row>
    <row r="199" spans="1:26" x14ac:dyDescent="0.35">
      <c r="A199" s="7" t="s">
        <v>27</v>
      </c>
      <c r="B199" s="7" t="s">
        <v>42</v>
      </c>
      <c r="C199" s="7" t="s">
        <v>48</v>
      </c>
      <c r="D199" s="7" t="s">
        <v>60</v>
      </c>
      <c r="E199" s="7" t="s">
        <v>40</v>
      </c>
      <c r="F199" s="7" t="s">
        <v>90</v>
      </c>
      <c r="G199" s="7">
        <v>2020</v>
      </c>
      <c r="H199" s="7" t="str">
        <f>CONCATENATE("04210122984")</f>
        <v>04210122984</v>
      </c>
      <c r="I199" s="7" t="s">
        <v>30</v>
      </c>
      <c r="J199" s="7" t="s">
        <v>31</v>
      </c>
      <c r="K199" s="7" t="str">
        <f>CONCATENATE("")</f>
        <v/>
      </c>
      <c r="L199" s="7" t="str">
        <f>CONCATENATE("13 13.1 4a")</f>
        <v>13 13.1 4a</v>
      </c>
      <c r="M199" s="7" t="str">
        <f>CONCATENATE("GLNNRC73D18D007H")</f>
        <v>GLNNRC73D18D007H</v>
      </c>
      <c r="N199" s="7" t="s">
        <v>298</v>
      </c>
      <c r="O199" s="7" t="s">
        <v>87</v>
      </c>
      <c r="P199" s="8">
        <v>44299</v>
      </c>
      <c r="Q199" s="7" t="s">
        <v>32</v>
      </c>
      <c r="R199" s="7" t="s">
        <v>39</v>
      </c>
      <c r="S199" s="7" t="s">
        <v>34</v>
      </c>
      <c r="T199" s="7"/>
      <c r="U199" s="7" t="s">
        <v>35</v>
      </c>
      <c r="V199" s="7">
        <v>588.64</v>
      </c>
      <c r="W199" s="7">
        <v>253.82</v>
      </c>
      <c r="X199" s="7">
        <v>234.4</v>
      </c>
      <c r="Y199" s="7">
        <v>0</v>
      </c>
      <c r="Z199" s="7">
        <v>100.42</v>
      </c>
    </row>
    <row r="200" spans="1:26" x14ac:dyDescent="0.35">
      <c r="A200" s="7" t="s">
        <v>27</v>
      </c>
      <c r="B200" s="7" t="s">
        <v>42</v>
      </c>
      <c r="C200" s="7" t="s">
        <v>48</v>
      </c>
      <c r="D200" s="7" t="s">
        <v>60</v>
      </c>
      <c r="E200" s="7" t="s">
        <v>40</v>
      </c>
      <c r="F200" s="7" t="s">
        <v>90</v>
      </c>
      <c r="G200" s="7">
        <v>2020</v>
      </c>
      <c r="H200" s="7" t="str">
        <f>CONCATENATE("04210309789")</f>
        <v>04210309789</v>
      </c>
      <c r="I200" s="7" t="s">
        <v>30</v>
      </c>
      <c r="J200" s="7" t="s">
        <v>31</v>
      </c>
      <c r="K200" s="7" t="str">
        <f>CONCATENATE("")</f>
        <v/>
      </c>
      <c r="L200" s="7" t="str">
        <f>CONCATENATE("13 13.1 4a")</f>
        <v>13 13.1 4a</v>
      </c>
      <c r="M200" s="7" t="str">
        <f>CONCATENATE("CSCLFA51M17I654J")</f>
        <v>CSCLFA51M17I654J</v>
      </c>
      <c r="N200" s="7" t="s">
        <v>299</v>
      </c>
      <c r="O200" s="7" t="s">
        <v>87</v>
      </c>
      <c r="P200" s="8">
        <v>44299</v>
      </c>
      <c r="Q200" s="7" t="s">
        <v>32</v>
      </c>
      <c r="R200" s="7" t="s">
        <v>39</v>
      </c>
      <c r="S200" s="7" t="s">
        <v>34</v>
      </c>
      <c r="T200" s="7"/>
      <c r="U200" s="7" t="s">
        <v>35</v>
      </c>
      <c r="V200" s="7">
        <v>683.47</v>
      </c>
      <c r="W200" s="7">
        <v>294.70999999999998</v>
      </c>
      <c r="X200" s="7">
        <v>272.16000000000003</v>
      </c>
      <c r="Y200" s="7">
        <v>0</v>
      </c>
      <c r="Z200" s="7">
        <v>116.6</v>
      </c>
    </row>
    <row r="201" spans="1:26" x14ac:dyDescent="0.35">
      <c r="A201" s="7" t="s">
        <v>27</v>
      </c>
      <c r="B201" s="7" t="s">
        <v>42</v>
      </c>
      <c r="C201" s="7" t="s">
        <v>48</v>
      </c>
      <c r="D201" s="7" t="s">
        <v>60</v>
      </c>
      <c r="E201" s="7" t="s">
        <v>38</v>
      </c>
      <c r="F201" s="7" t="s">
        <v>300</v>
      </c>
      <c r="G201" s="7">
        <v>2020</v>
      </c>
      <c r="H201" s="7" t="str">
        <f>CONCATENATE("04210223527")</f>
        <v>04210223527</v>
      </c>
      <c r="I201" s="7" t="s">
        <v>30</v>
      </c>
      <c r="J201" s="7" t="s">
        <v>31</v>
      </c>
      <c r="K201" s="7" t="str">
        <f>CONCATENATE("")</f>
        <v/>
      </c>
      <c r="L201" s="7" t="str">
        <f>CONCATENATE("13 13.1 4a")</f>
        <v>13 13.1 4a</v>
      </c>
      <c r="M201" s="7" t="str">
        <f>CONCATENATE("RCNNRC44A19B636T")</f>
        <v>RCNNRC44A19B636T</v>
      </c>
      <c r="N201" s="7" t="s">
        <v>301</v>
      </c>
      <c r="O201" s="7" t="s">
        <v>87</v>
      </c>
      <c r="P201" s="8">
        <v>44299</v>
      </c>
      <c r="Q201" s="7" t="s">
        <v>32</v>
      </c>
      <c r="R201" s="7" t="s">
        <v>39</v>
      </c>
      <c r="S201" s="7" t="s">
        <v>34</v>
      </c>
      <c r="T201" s="7"/>
      <c r="U201" s="7" t="s">
        <v>35</v>
      </c>
      <c r="V201" s="7">
        <v>545.66</v>
      </c>
      <c r="W201" s="7">
        <v>235.29</v>
      </c>
      <c r="X201" s="7">
        <v>217.28</v>
      </c>
      <c r="Y201" s="7">
        <v>0</v>
      </c>
      <c r="Z201" s="7">
        <v>93.09</v>
      </c>
    </row>
    <row r="202" spans="1:26" x14ac:dyDescent="0.35">
      <c r="A202" s="7" t="s">
        <v>27</v>
      </c>
      <c r="B202" s="7" t="s">
        <v>42</v>
      </c>
      <c r="C202" s="7" t="s">
        <v>48</v>
      </c>
      <c r="D202" s="7" t="s">
        <v>49</v>
      </c>
      <c r="E202" s="7" t="s">
        <v>40</v>
      </c>
      <c r="F202" s="7" t="s">
        <v>98</v>
      </c>
      <c r="G202" s="7">
        <v>2020</v>
      </c>
      <c r="H202" s="7" t="str">
        <f>CONCATENATE("04210611143")</f>
        <v>04210611143</v>
      </c>
      <c r="I202" s="7" t="s">
        <v>37</v>
      </c>
      <c r="J202" s="7" t="s">
        <v>31</v>
      </c>
      <c r="K202" s="7" t="str">
        <f>CONCATENATE("")</f>
        <v/>
      </c>
      <c r="L202" s="7" t="str">
        <f>CONCATENATE("13 13.1 4a")</f>
        <v>13 13.1 4a</v>
      </c>
      <c r="M202" s="7" t="str">
        <f>CONCATENATE("BRNJCP93A02I608I")</f>
        <v>BRNJCP93A02I608I</v>
      </c>
      <c r="N202" s="7" t="s">
        <v>302</v>
      </c>
      <c r="O202" s="7" t="s">
        <v>87</v>
      </c>
      <c r="P202" s="8">
        <v>44299</v>
      </c>
      <c r="Q202" s="7" t="s">
        <v>32</v>
      </c>
      <c r="R202" s="7" t="s">
        <v>39</v>
      </c>
      <c r="S202" s="7" t="s">
        <v>34</v>
      </c>
      <c r="T202" s="7"/>
      <c r="U202" s="7" t="s">
        <v>35</v>
      </c>
      <c r="V202" s="7">
        <v>105.85</v>
      </c>
      <c r="W202" s="7">
        <v>45.64</v>
      </c>
      <c r="X202" s="7">
        <v>42.15</v>
      </c>
      <c r="Y202" s="7">
        <v>0</v>
      </c>
      <c r="Z202" s="7">
        <v>18.059999999999999</v>
      </c>
    </row>
    <row r="203" spans="1:26" x14ac:dyDescent="0.35">
      <c r="A203" s="7" t="s">
        <v>27</v>
      </c>
      <c r="B203" s="7" t="s">
        <v>42</v>
      </c>
      <c r="C203" s="7" t="s">
        <v>48</v>
      </c>
      <c r="D203" s="7" t="s">
        <v>60</v>
      </c>
      <c r="E203" s="7" t="s">
        <v>43</v>
      </c>
      <c r="F203" s="7" t="s">
        <v>88</v>
      </c>
      <c r="G203" s="7">
        <v>2020</v>
      </c>
      <c r="H203" s="7" t="str">
        <f>CONCATENATE("04210401438")</f>
        <v>04210401438</v>
      </c>
      <c r="I203" s="7" t="s">
        <v>30</v>
      </c>
      <c r="J203" s="7" t="s">
        <v>31</v>
      </c>
      <c r="K203" s="7" t="str">
        <f>CONCATENATE("")</f>
        <v/>
      </c>
      <c r="L203" s="7" t="str">
        <f>CONCATENATE("13 13.1 4a")</f>
        <v>13 13.1 4a</v>
      </c>
      <c r="M203" s="7" t="str">
        <f>CONCATENATE("CRMLRA55S47A944O")</f>
        <v>CRMLRA55S47A944O</v>
      </c>
      <c r="N203" s="7" t="s">
        <v>303</v>
      </c>
      <c r="O203" s="7" t="s">
        <v>87</v>
      </c>
      <c r="P203" s="8">
        <v>44299</v>
      </c>
      <c r="Q203" s="7" t="s">
        <v>32</v>
      </c>
      <c r="R203" s="7" t="s">
        <v>39</v>
      </c>
      <c r="S203" s="7" t="s">
        <v>34</v>
      </c>
      <c r="T203" s="7"/>
      <c r="U203" s="7" t="s">
        <v>35</v>
      </c>
      <c r="V203" s="9">
        <v>2483.3200000000002</v>
      </c>
      <c r="W203" s="9">
        <v>1070.81</v>
      </c>
      <c r="X203" s="7">
        <v>988.86</v>
      </c>
      <c r="Y203" s="7">
        <v>0</v>
      </c>
      <c r="Z203" s="7">
        <v>423.65</v>
      </c>
    </row>
    <row r="204" spans="1:26" x14ac:dyDescent="0.35">
      <c r="A204" s="7" t="s">
        <v>27</v>
      </c>
      <c r="B204" s="7" t="s">
        <v>42</v>
      </c>
      <c r="C204" s="7" t="s">
        <v>48</v>
      </c>
      <c r="D204" s="7" t="s">
        <v>60</v>
      </c>
      <c r="E204" s="7" t="s">
        <v>40</v>
      </c>
      <c r="F204" s="7" t="s">
        <v>85</v>
      </c>
      <c r="G204" s="7">
        <v>2020</v>
      </c>
      <c r="H204" s="7" t="str">
        <f>CONCATENATE("04210290484")</f>
        <v>04210290484</v>
      </c>
      <c r="I204" s="7" t="s">
        <v>30</v>
      </c>
      <c r="J204" s="7" t="s">
        <v>31</v>
      </c>
      <c r="K204" s="7" t="str">
        <f>CONCATENATE("")</f>
        <v/>
      </c>
      <c r="L204" s="7" t="str">
        <f>CONCATENATE("13 13.1 4a")</f>
        <v>13 13.1 4a</v>
      </c>
      <c r="M204" s="7" t="str">
        <f>CONCATENATE("MTSLGU84A26D488T")</f>
        <v>MTSLGU84A26D488T</v>
      </c>
      <c r="N204" s="7" t="s">
        <v>304</v>
      </c>
      <c r="O204" s="7" t="s">
        <v>87</v>
      </c>
      <c r="P204" s="8">
        <v>44299</v>
      </c>
      <c r="Q204" s="7" t="s">
        <v>32</v>
      </c>
      <c r="R204" s="7" t="s">
        <v>39</v>
      </c>
      <c r="S204" s="7" t="s">
        <v>34</v>
      </c>
      <c r="T204" s="7"/>
      <c r="U204" s="7" t="s">
        <v>35</v>
      </c>
      <c r="V204" s="9">
        <v>1308.46</v>
      </c>
      <c r="W204" s="7">
        <v>564.21</v>
      </c>
      <c r="X204" s="7">
        <v>521.03</v>
      </c>
      <c r="Y204" s="7">
        <v>0</v>
      </c>
      <c r="Z204" s="7">
        <v>223.22</v>
      </c>
    </row>
    <row r="205" spans="1:26" x14ac:dyDescent="0.35">
      <c r="A205" s="7" t="s">
        <v>27</v>
      </c>
      <c r="B205" s="7" t="s">
        <v>42</v>
      </c>
      <c r="C205" s="7" t="s">
        <v>48</v>
      </c>
      <c r="D205" s="7" t="s">
        <v>55</v>
      </c>
      <c r="E205" s="7" t="s">
        <v>38</v>
      </c>
      <c r="F205" s="7" t="s">
        <v>143</v>
      </c>
      <c r="G205" s="7">
        <v>2020</v>
      </c>
      <c r="H205" s="7" t="str">
        <f>CONCATENATE("04210330397")</f>
        <v>04210330397</v>
      </c>
      <c r="I205" s="7" t="s">
        <v>30</v>
      </c>
      <c r="J205" s="7" t="s">
        <v>31</v>
      </c>
      <c r="K205" s="7" t="str">
        <f>CONCATENATE("")</f>
        <v/>
      </c>
      <c r="L205" s="7" t="str">
        <f>CONCATENATE("13 13.1 4a")</f>
        <v>13 13.1 4a</v>
      </c>
      <c r="M205" s="7" t="str">
        <f>CONCATENATE("DMNNZR45R30D653S")</f>
        <v>DMNNZR45R30D653S</v>
      </c>
      <c r="N205" s="7" t="s">
        <v>305</v>
      </c>
      <c r="O205" s="7" t="s">
        <v>87</v>
      </c>
      <c r="P205" s="8">
        <v>44299</v>
      </c>
      <c r="Q205" s="7" t="s">
        <v>32</v>
      </c>
      <c r="R205" s="7" t="s">
        <v>39</v>
      </c>
      <c r="S205" s="7" t="s">
        <v>34</v>
      </c>
      <c r="T205" s="7"/>
      <c r="U205" s="7" t="s">
        <v>35</v>
      </c>
      <c r="V205" s="7">
        <v>770.32</v>
      </c>
      <c r="W205" s="7">
        <v>332.16</v>
      </c>
      <c r="X205" s="7">
        <v>306.74</v>
      </c>
      <c r="Y205" s="7">
        <v>0</v>
      </c>
      <c r="Z205" s="7">
        <v>131.41999999999999</v>
      </c>
    </row>
    <row r="206" spans="1:26" ht="17.5" x14ac:dyDescent="0.35">
      <c r="A206" s="7" t="s">
        <v>27</v>
      </c>
      <c r="B206" s="7" t="s">
        <v>42</v>
      </c>
      <c r="C206" s="7" t="s">
        <v>48</v>
      </c>
      <c r="D206" s="7" t="s">
        <v>60</v>
      </c>
      <c r="E206" s="7" t="s">
        <v>40</v>
      </c>
      <c r="F206" s="7" t="s">
        <v>113</v>
      </c>
      <c r="G206" s="7">
        <v>2020</v>
      </c>
      <c r="H206" s="7" t="str">
        <f>CONCATENATE("04210606671")</f>
        <v>04210606671</v>
      </c>
      <c r="I206" s="7" t="s">
        <v>30</v>
      </c>
      <c r="J206" s="7" t="s">
        <v>31</v>
      </c>
      <c r="K206" s="7" t="str">
        <f>CONCATENATE("")</f>
        <v/>
      </c>
      <c r="L206" s="7" t="str">
        <f>CONCATENATE("13 13.1 4a")</f>
        <v>13 13.1 4a</v>
      </c>
      <c r="M206" s="7" t="str">
        <f>CONCATENATE("00110730413")</f>
        <v>00110730413</v>
      </c>
      <c r="N206" s="7" t="s">
        <v>306</v>
      </c>
      <c r="O206" s="7" t="s">
        <v>87</v>
      </c>
      <c r="P206" s="8">
        <v>44299</v>
      </c>
      <c r="Q206" s="7" t="s">
        <v>32</v>
      </c>
      <c r="R206" s="7" t="s">
        <v>39</v>
      </c>
      <c r="S206" s="7" t="s">
        <v>34</v>
      </c>
      <c r="T206" s="7"/>
      <c r="U206" s="7" t="s">
        <v>35</v>
      </c>
      <c r="V206" s="7">
        <v>882.28</v>
      </c>
      <c r="W206" s="7">
        <v>380.44</v>
      </c>
      <c r="X206" s="7">
        <v>351.32</v>
      </c>
      <c r="Y206" s="7">
        <v>0</v>
      </c>
      <c r="Z206" s="7">
        <v>150.52000000000001</v>
      </c>
    </row>
    <row r="207" spans="1:26" x14ac:dyDescent="0.35">
      <c r="A207" s="7" t="s">
        <v>27</v>
      </c>
      <c r="B207" s="7" t="s">
        <v>42</v>
      </c>
      <c r="C207" s="7" t="s">
        <v>48</v>
      </c>
      <c r="D207" s="7" t="s">
        <v>60</v>
      </c>
      <c r="E207" s="7" t="s">
        <v>43</v>
      </c>
      <c r="F207" s="7" t="s">
        <v>88</v>
      </c>
      <c r="G207" s="7">
        <v>2020</v>
      </c>
      <c r="H207" s="7" t="str">
        <f>CONCATENATE("04210424810")</f>
        <v>04210424810</v>
      </c>
      <c r="I207" s="7" t="s">
        <v>30</v>
      </c>
      <c r="J207" s="7" t="s">
        <v>31</v>
      </c>
      <c r="K207" s="7" t="str">
        <f>CONCATENATE("")</f>
        <v/>
      </c>
      <c r="L207" s="7" t="str">
        <f>CONCATENATE("13 13.1 4a")</f>
        <v>13 13.1 4a</v>
      </c>
      <c r="M207" s="7" t="str">
        <f>CONCATENATE("BCRBBR75P68F205X")</f>
        <v>BCRBBR75P68F205X</v>
      </c>
      <c r="N207" s="7" t="s">
        <v>307</v>
      </c>
      <c r="O207" s="7" t="s">
        <v>87</v>
      </c>
      <c r="P207" s="8">
        <v>44299</v>
      </c>
      <c r="Q207" s="7" t="s">
        <v>32</v>
      </c>
      <c r="R207" s="7" t="s">
        <v>39</v>
      </c>
      <c r="S207" s="7" t="s">
        <v>34</v>
      </c>
      <c r="T207" s="7"/>
      <c r="U207" s="7" t="s">
        <v>35</v>
      </c>
      <c r="V207" s="9">
        <v>5645.06</v>
      </c>
      <c r="W207" s="9">
        <v>2434.15</v>
      </c>
      <c r="X207" s="9">
        <v>2247.86</v>
      </c>
      <c r="Y207" s="7">
        <v>0</v>
      </c>
      <c r="Z207" s="7">
        <v>963.05</v>
      </c>
    </row>
    <row r="208" spans="1:26" x14ac:dyDescent="0.35">
      <c r="A208" s="7" t="s">
        <v>27</v>
      </c>
      <c r="B208" s="7" t="s">
        <v>42</v>
      </c>
      <c r="C208" s="7" t="s">
        <v>48</v>
      </c>
      <c r="D208" s="7" t="s">
        <v>49</v>
      </c>
      <c r="E208" s="7" t="s">
        <v>40</v>
      </c>
      <c r="F208" s="7" t="s">
        <v>98</v>
      </c>
      <c r="G208" s="7">
        <v>2020</v>
      </c>
      <c r="H208" s="7" t="str">
        <f>CONCATENATE("04210236768")</f>
        <v>04210236768</v>
      </c>
      <c r="I208" s="7" t="s">
        <v>37</v>
      </c>
      <c r="J208" s="7" t="s">
        <v>31</v>
      </c>
      <c r="K208" s="7" t="str">
        <f>CONCATENATE("")</f>
        <v/>
      </c>
      <c r="L208" s="7" t="str">
        <f>CONCATENATE("13 13.1 4a")</f>
        <v>13 13.1 4a</v>
      </c>
      <c r="M208" s="7" t="str">
        <f>CONCATENATE("CCCTRS32A48A366O")</f>
        <v>CCCTRS32A48A366O</v>
      </c>
      <c r="N208" s="7" t="s">
        <v>308</v>
      </c>
      <c r="O208" s="7" t="s">
        <v>87</v>
      </c>
      <c r="P208" s="8">
        <v>44299</v>
      </c>
      <c r="Q208" s="7" t="s">
        <v>32</v>
      </c>
      <c r="R208" s="7" t="s">
        <v>39</v>
      </c>
      <c r="S208" s="7" t="s">
        <v>34</v>
      </c>
      <c r="T208" s="7"/>
      <c r="U208" s="7" t="s">
        <v>35</v>
      </c>
      <c r="V208" s="7">
        <v>437.81</v>
      </c>
      <c r="W208" s="7">
        <v>188.78</v>
      </c>
      <c r="X208" s="7">
        <v>174.34</v>
      </c>
      <c r="Y208" s="7">
        <v>0</v>
      </c>
      <c r="Z208" s="7">
        <v>74.69</v>
      </c>
    </row>
    <row r="209" spans="1:26" x14ac:dyDescent="0.35">
      <c r="A209" s="7" t="s">
        <v>27</v>
      </c>
      <c r="B209" s="7" t="s">
        <v>42</v>
      </c>
      <c r="C209" s="7" t="s">
        <v>48</v>
      </c>
      <c r="D209" s="7" t="s">
        <v>60</v>
      </c>
      <c r="E209" s="7" t="s">
        <v>40</v>
      </c>
      <c r="F209" s="7" t="s">
        <v>113</v>
      </c>
      <c r="G209" s="7">
        <v>2020</v>
      </c>
      <c r="H209" s="7" t="str">
        <f>CONCATENATE("04210202794")</f>
        <v>04210202794</v>
      </c>
      <c r="I209" s="7" t="s">
        <v>30</v>
      </c>
      <c r="J209" s="7" t="s">
        <v>31</v>
      </c>
      <c r="K209" s="7" t="str">
        <f>CONCATENATE("")</f>
        <v/>
      </c>
      <c r="L209" s="7" t="str">
        <f>CONCATENATE("13 13.1 4a")</f>
        <v>13 13.1 4a</v>
      </c>
      <c r="M209" s="7" t="str">
        <f>CONCATENATE("CNILRD66H13B352T")</f>
        <v>CNILRD66H13B352T</v>
      </c>
      <c r="N209" s="7" t="s">
        <v>309</v>
      </c>
      <c r="O209" s="7" t="s">
        <v>87</v>
      </c>
      <c r="P209" s="8">
        <v>44299</v>
      </c>
      <c r="Q209" s="7" t="s">
        <v>32</v>
      </c>
      <c r="R209" s="7" t="s">
        <v>39</v>
      </c>
      <c r="S209" s="7" t="s">
        <v>34</v>
      </c>
      <c r="T209" s="7"/>
      <c r="U209" s="7" t="s">
        <v>35</v>
      </c>
      <c r="V209" s="7">
        <v>991.88</v>
      </c>
      <c r="W209" s="7">
        <v>427.7</v>
      </c>
      <c r="X209" s="7">
        <v>394.97</v>
      </c>
      <c r="Y209" s="7">
        <v>0</v>
      </c>
      <c r="Z209" s="7">
        <v>169.21</v>
      </c>
    </row>
    <row r="210" spans="1:26" x14ac:dyDescent="0.35">
      <c r="A210" s="7" t="s">
        <v>27</v>
      </c>
      <c r="B210" s="7" t="s">
        <v>42</v>
      </c>
      <c r="C210" s="7" t="s">
        <v>48</v>
      </c>
      <c r="D210" s="7" t="s">
        <v>60</v>
      </c>
      <c r="E210" s="7" t="s">
        <v>40</v>
      </c>
      <c r="F210" s="7" t="s">
        <v>93</v>
      </c>
      <c r="G210" s="7">
        <v>2020</v>
      </c>
      <c r="H210" s="7" t="str">
        <f>CONCATENATE("04210021467")</f>
        <v>04210021467</v>
      </c>
      <c r="I210" s="7" t="s">
        <v>30</v>
      </c>
      <c r="J210" s="7" t="s">
        <v>31</v>
      </c>
      <c r="K210" s="7" t="str">
        <f>CONCATENATE("")</f>
        <v/>
      </c>
      <c r="L210" s="7" t="str">
        <f>CONCATENATE("13 13.1 4a")</f>
        <v>13 13.1 4a</v>
      </c>
      <c r="M210" s="7" t="str">
        <f>CONCATENATE("TRCLDN55P56I459V")</f>
        <v>TRCLDN55P56I459V</v>
      </c>
      <c r="N210" s="7" t="s">
        <v>310</v>
      </c>
      <c r="O210" s="7" t="s">
        <v>87</v>
      </c>
      <c r="P210" s="8">
        <v>44299</v>
      </c>
      <c r="Q210" s="7" t="s">
        <v>32</v>
      </c>
      <c r="R210" s="7" t="s">
        <v>39</v>
      </c>
      <c r="S210" s="7" t="s">
        <v>34</v>
      </c>
      <c r="T210" s="7"/>
      <c r="U210" s="7" t="s">
        <v>35</v>
      </c>
      <c r="V210" s="7">
        <v>655.92</v>
      </c>
      <c r="W210" s="7">
        <v>282.83</v>
      </c>
      <c r="X210" s="7">
        <v>261.19</v>
      </c>
      <c r="Y210" s="7">
        <v>0</v>
      </c>
      <c r="Z210" s="7">
        <v>111.9</v>
      </c>
    </row>
    <row r="211" spans="1:26" x14ac:dyDescent="0.35">
      <c r="A211" s="7" t="s">
        <v>27</v>
      </c>
      <c r="B211" s="7" t="s">
        <v>42</v>
      </c>
      <c r="C211" s="7" t="s">
        <v>48</v>
      </c>
      <c r="D211" s="7" t="s">
        <v>60</v>
      </c>
      <c r="E211" s="7" t="s">
        <v>46</v>
      </c>
      <c r="F211" s="7" t="s">
        <v>96</v>
      </c>
      <c r="G211" s="7">
        <v>2020</v>
      </c>
      <c r="H211" s="7" t="str">
        <f>CONCATENATE("04210732808")</f>
        <v>04210732808</v>
      </c>
      <c r="I211" s="7" t="s">
        <v>30</v>
      </c>
      <c r="J211" s="7" t="s">
        <v>31</v>
      </c>
      <c r="K211" s="7" t="str">
        <f>CONCATENATE("")</f>
        <v/>
      </c>
      <c r="L211" s="7" t="str">
        <f>CONCATENATE("13 13.1 4a")</f>
        <v>13 13.1 4a</v>
      </c>
      <c r="M211" s="7" t="str">
        <f>CONCATENATE("02742860428")</f>
        <v>02742860428</v>
      </c>
      <c r="N211" s="7" t="s">
        <v>311</v>
      </c>
      <c r="O211" s="7" t="s">
        <v>87</v>
      </c>
      <c r="P211" s="8">
        <v>44299</v>
      </c>
      <c r="Q211" s="7" t="s">
        <v>32</v>
      </c>
      <c r="R211" s="7" t="s">
        <v>39</v>
      </c>
      <c r="S211" s="7" t="s">
        <v>34</v>
      </c>
      <c r="T211" s="7"/>
      <c r="U211" s="7" t="s">
        <v>35</v>
      </c>
      <c r="V211" s="9">
        <v>1836.26</v>
      </c>
      <c r="W211" s="7">
        <v>791.8</v>
      </c>
      <c r="X211" s="7">
        <v>731.2</v>
      </c>
      <c r="Y211" s="7">
        <v>0</v>
      </c>
      <c r="Z211" s="7">
        <v>313.26</v>
      </c>
    </row>
    <row r="212" spans="1:26" x14ac:dyDescent="0.35">
      <c r="A212" s="7" t="s">
        <v>27</v>
      </c>
      <c r="B212" s="7" t="s">
        <v>42</v>
      </c>
      <c r="C212" s="7" t="s">
        <v>48</v>
      </c>
      <c r="D212" s="7" t="s">
        <v>60</v>
      </c>
      <c r="E212" s="7" t="s">
        <v>40</v>
      </c>
      <c r="F212" s="7" t="s">
        <v>93</v>
      </c>
      <c r="G212" s="7">
        <v>2020</v>
      </c>
      <c r="H212" s="7" t="str">
        <f>CONCATENATE("04210022705")</f>
        <v>04210022705</v>
      </c>
      <c r="I212" s="7" t="s">
        <v>30</v>
      </c>
      <c r="J212" s="7" t="s">
        <v>31</v>
      </c>
      <c r="K212" s="7" t="str">
        <f>CONCATENATE("")</f>
        <v/>
      </c>
      <c r="L212" s="7" t="str">
        <f>CONCATENATE("13 13.1 4a")</f>
        <v>13 13.1 4a</v>
      </c>
      <c r="M212" s="7" t="str">
        <f>CONCATENATE("RSSGNN56M13F467D")</f>
        <v>RSSGNN56M13F467D</v>
      </c>
      <c r="N212" s="7" t="s">
        <v>312</v>
      </c>
      <c r="O212" s="7" t="s">
        <v>87</v>
      </c>
      <c r="P212" s="8">
        <v>44299</v>
      </c>
      <c r="Q212" s="7" t="s">
        <v>32</v>
      </c>
      <c r="R212" s="7" t="s">
        <v>39</v>
      </c>
      <c r="S212" s="7" t="s">
        <v>34</v>
      </c>
      <c r="T212" s="7"/>
      <c r="U212" s="7" t="s">
        <v>35</v>
      </c>
      <c r="V212" s="9">
        <v>4716.92</v>
      </c>
      <c r="W212" s="9">
        <v>2033.94</v>
      </c>
      <c r="X212" s="9">
        <v>1878.28</v>
      </c>
      <c r="Y212" s="7">
        <v>0</v>
      </c>
      <c r="Z212" s="7">
        <v>804.7</v>
      </c>
    </row>
    <row r="213" spans="1:26" x14ac:dyDescent="0.35">
      <c r="A213" s="7" t="s">
        <v>27</v>
      </c>
      <c r="B213" s="7" t="s">
        <v>42</v>
      </c>
      <c r="C213" s="7" t="s">
        <v>48</v>
      </c>
      <c r="D213" s="7" t="s">
        <v>60</v>
      </c>
      <c r="E213" s="7" t="s">
        <v>46</v>
      </c>
      <c r="F213" s="7" t="s">
        <v>171</v>
      </c>
      <c r="G213" s="7">
        <v>2020</v>
      </c>
      <c r="H213" s="7" t="str">
        <f>CONCATENATE("04210033454")</f>
        <v>04210033454</v>
      </c>
      <c r="I213" s="7" t="s">
        <v>30</v>
      </c>
      <c r="J213" s="7" t="s">
        <v>31</v>
      </c>
      <c r="K213" s="7" t="str">
        <f>CONCATENATE("")</f>
        <v/>
      </c>
      <c r="L213" s="7" t="str">
        <f>CONCATENATE("13 13.1 4a")</f>
        <v>13 13.1 4a</v>
      </c>
      <c r="M213" s="7" t="str">
        <f>CONCATENATE("SCCNDR74D28F205Y")</f>
        <v>SCCNDR74D28F205Y</v>
      </c>
      <c r="N213" s="7" t="s">
        <v>313</v>
      </c>
      <c r="O213" s="7" t="s">
        <v>87</v>
      </c>
      <c r="P213" s="8">
        <v>44299</v>
      </c>
      <c r="Q213" s="7" t="s">
        <v>32</v>
      </c>
      <c r="R213" s="7" t="s">
        <v>39</v>
      </c>
      <c r="S213" s="7" t="s">
        <v>34</v>
      </c>
      <c r="T213" s="7"/>
      <c r="U213" s="7" t="s">
        <v>35</v>
      </c>
      <c r="V213" s="7">
        <v>428.78</v>
      </c>
      <c r="W213" s="7">
        <v>184.89</v>
      </c>
      <c r="X213" s="7">
        <v>170.74</v>
      </c>
      <c r="Y213" s="7">
        <v>0</v>
      </c>
      <c r="Z213" s="7">
        <v>73.150000000000006</v>
      </c>
    </row>
    <row r="214" spans="1:26" x14ac:dyDescent="0.35">
      <c r="A214" s="7" t="s">
        <v>27</v>
      </c>
      <c r="B214" s="7" t="s">
        <v>42</v>
      </c>
      <c r="C214" s="7" t="s">
        <v>48</v>
      </c>
      <c r="D214" s="7" t="s">
        <v>60</v>
      </c>
      <c r="E214" s="7" t="s">
        <v>40</v>
      </c>
      <c r="F214" s="7" t="s">
        <v>113</v>
      </c>
      <c r="G214" s="7">
        <v>2020</v>
      </c>
      <c r="H214" s="7" t="str">
        <f>CONCATENATE("04210651255")</f>
        <v>04210651255</v>
      </c>
      <c r="I214" s="7" t="s">
        <v>30</v>
      </c>
      <c r="J214" s="7" t="s">
        <v>31</v>
      </c>
      <c r="K214" s="7" t="str">
        <f>CONCATENATE("")</f>
        <v/>
      </c>
      <c r="L214" s="7" t="str">
        <f>CONCATENATE("13 13.1 4a")</f>
        <v>13 13.1 4a</v>
      </c>
      <c r="M214" s="7" t="str">
        <f>CONCATENATE("CHPCLS78P15Z603Y")</f>
        <v>CHPCLS78P15Z603Y</v>
      </c>
      <c r="N214" s="7" t="s">
        <v>314</v>
      </c>
      <c r="O214" s="7" t="s">
        <v>87</v>
      </c>
      <c r="P214" s="8">
        <v>44299</v>
      </c>
      <c r="Q214" s="7" t="s">
        <v>32</v>
      </c>
      <c r="R214" s="7" t="s">
        <v>39</v>
      </c>
      <c r="S214" s="7" t="s">
        <v>34</v>
      </c>
      <c r="T214" s="7"/>
      <c r="U214" s="7" t="s">
        <v>35</v>
      </c>
      <c r="V214" s="9">
        <v>5938.3</v>
      </c>
      <c r="W214" s="9">
        <v>2560.59</v>
      </c>
      <c r="X214" s="9">
        <v>2364.63</v>
      </c>
      <c r="Y214" s="7">
        <v>0</v>
      </c>
      <c r="Z214" s="9">
        <v>1013.08</v>
      </c>
    </row>
    <row r="215" spans="1:26" x14ac:dyDescent="0.35">
      <c r="A215" s="7" t="s">
        <v>27</v>
      </c>
      <c r="B215" s="7" t="s">
        <v>42</v>
      </c>
      <c r="C215" s="7" t="s">
        <v>48</v>
      </c>
      <c r="D215" s="7" t="s">
        <v>60</v>
      </c>
      <c r="E215" s="7" t="s">
        <v>46</v>
      </c>
      <c r="F215" s="7" t="s">
        <v>171</v>
      </c>
      <c r="G215" s="7">
        <v>2020</v>
      </c>
      <c r="H215" s="7" t="str">
        <f>CONCATENATE("04210034726")</f>
        <v>04210034726</v>
      </c>
      <c r="I215" s="7" t="s">
        <v>30</v>
      </c>
      <c r="J215" s="7" t="s">
        <v>31</v>
      </c>
      <c r="K215" s="7" t="str">
        <f>CONCATENATE("")</f>
        <v/>
      </c>
      <c r="L215" s="7" t="str">
        <f>CONCATENATE("13 13.1 4a")</f>
        <v>13 13.1 4a</v>
      </c>
      <c r="M215" s="7" t="str">
        <f>CONCATENATE("02347150415")</f>
        <v>02347150415</v>
      </c>
      <c r="N215" s="7" t="s">
        <v>315</v>
      </c>
      <c r="O215" s="7" t="s">
        <v>87</v>
      </c>
      <c r="P215" s="8">
        <v>44299</v>
      </c>
      <c r="Q215" s="7" t="s">
        <v>32</v>
      </c>
      <c r="R215" s="7" t="s">
        <v>39</v>
      </c>
      <c r="S215" s="7" t="s">
        <v>34</v>
      </c>
      <c r="T215" s="7"/>
      <c r="U215" s="7" t="s">
        <v>35</v>
      </c>
      <c r="V215" s="9">
        <v>1184.75</v>
      </c>
      <c r="W215" s="7">
        <v>510.86</v>
      </c>
      <c r="X215" s="7">
        <v>471.77</v>
      </c>
      <c r="Y215" s="7">
        <v>0</v>
      </c>
      <c r="Z215" s="7">
        <v>202.12</v>
      </c>
    </row>
    <row r="216" spans="1:26" x14ac:dyDescent="0.35">
      <c r="A216" s="7" t="s">
        <v>27</v>
      </c>
      <c r="B216" s="7" t="s">
        <v>42</v>
      </c>
      <c r="C216" s="7" t="s">
        <v>48</v>
      </c>
      <c r="D216" s="7" t="s">
        <v>55</v>
      </c>
      <c r="E216" s="7" t="s">
        <v>38</v>
      </c>
      <c r="F216" s="7" t="s">
        <v>316</v>
      </c>
      <c r="G216" s="7">
        <v>2020</v>
      </c>
      <c r="H216" s="7" t="str">
        <f>CONCATENATE("04210462034")</f>
        <v>04210462034</v>
      </c>
      <c r="I216" s="7" t="s">
        <v>30</v>
      </c>
      <c r="J216" s="7" t="s">
        <v>31</v>
      </c>
      <c r="K216" s="7" t="str">
        <f>CONCATENATE("")</f>
        <v/>
      </c>
      <c r="L216" s="7" t="str">
        <f>CONCATENATE("13 13.1 4a")</f>
        <v>13 13.1 4a</v>
      </c>
      <c r="M216" s="7" t="str">
        <f>CONCATENATE("03598600546")</f>
        <v>03598600546</v>
      </c>
      <c r="N216" s="7" t="s">
        <v>317</v>
      </c>
      <c r="O216" s="7" t="s">
        <v>87</v>
      </c>
      <c r="P216" s="8">
        <v>44299</v>
      </c>
      <c r="Q216" s="7" t="s">
        <v>32</v>
      </c>
      <c r="R216" s="7" t="s">
        <v>39</v>
      </c>
      <c r="S216" s="7" t="s">
        <v>34</v>
      </c>
      <c r="T216" s="7"/>
      <c r="U216" s="7" t="s">
        <v>35</v>
      </c>
      <c r="V216" s="9">
        <v>1597.08</v>
      </c>
      <c r="W216" s="7">
        <v>688.66</v>
      </c>
      <c r="X216" s="7">
        <v>635.96</v>
      </c>
      <c r="Y216" s="7">
        <v>0</v>
      </c>
      <c r="Z216" s="7">
        <v>272.45999999999998</v>
      </c>
    </row>
    <row r="217" spans="1:26" x14ac:dyDescent="0.35">
      <c r="A217" s="7" t="s">
        <v>27</v>
      </c>
      <c r="B217" s="7" t="s">
        <v>42</v>
      </c>
      <c r="C217" s="7" t="s">
        <v>48</v>
      </c>
      <c r="D217" s="7" t="s">
        <v>49</v>
      </c>
      <c r="E217" s="7" t="s">
        <v>47</v>
      </c>
      <c r="F217" s="7" t="s">
        <v>217</v>
      </c>
      <c r="G217" s="7">
        <v>2020</v>
      </c>
      <c r="H217" s="7" t="str">
        <f>CONCATENATE("04210784502")</f>
        <v>04210784502</v>
      </c>
      <c r="I217" s="7" t="s">
        <v>30</v>
      </c>
      <c r="J217" s="7" t="s">
        <v>31</v>
      </c>
      <c r="K217" s="7" t="str">
        <f>CONCATENATE("")</f>
        <v/>
      </c>
      <c r="L217" s="7" t="str">
        <f>CONCATENATE("13 13.1 4a")</f>
        <v>13 13.1 4a</v>
      </c>
      <c r="M217" s="7" t="str">
        <f>CONCATENATE("RSNRRT77S25D007G")</f>
        <v>RSNRRT77S25D007G</v>
      </c>
      <c r="N217" s="7" t="s">
        <v>318</v>
      </c>
      <c r="O217" s="7" t="s">
        <v>87</v>
      </c>
      <c r="P217" s="8">
        <v>44299</v>
      </c>
      <c r="Q217" s="7" t="s">
        <v>32</v>
      </c>
      <c r="R217" s="7" t="s">
        <v>39</v>
      </c>
      <c r="S217" s="7" t="s">
        <v>34</v>
      </c>
      <c r="T217" s="7"/>
      <c r="U217" s="7" t="s">
        <v>35</v>
      </c>
      <c r="V217" s="9">
        <v>1876.26</v>
      </c>
      <c r="W217" s="7">
        <v>809.04</v>
      </c>
      <c r="X217" s="7">
        <v>747.13</v>
      </c>
      <c r="Y217" s="7">
        <v>0</v>
      </c>
      <c r="Z217" s="7">
        <v>320.08999999999997</v>
      </c>
    </row>
    <row r="218" spans="1:26" x14ac:dyDescent="0.35">
      <c r="A218" s="7" t="s">
        <v>27</v>
      </c>
      <c r="B218" s="7" t="s">
        <v>42</v>
      </c>
      <c r="C218" s="7" t="s">
        <v>48</v>
      </c>
      <c r="D218" s="7" t="s">
        <v>60</v>
      </c>
      <c r="E218" s="7" t="s">
        <v>43</v>
      </c>
      <c r="F218" s="7" t="s">
        <v>88</v>
      </c>
      <c r="G218" s="7">
        <v>2020</v>
      </c>
      <c r="H218" s="7" t="str">
        <f>CONCATENATE("04210650885")</f>
        <v>04210650885</v>
      </c>
      <c r="I218" s="7" t="s">
        <v>30</v>
      </c>
      <c r="J218" s="7" t="s">
        <v>31</v>
      </c>
      <c r="K218" s="7" t="str">
        <f>CONCATENATE("")</f>
        <v/>
      </c>
      <c r="L218" s="7" t="str">
        <f>CONCATENATE("13 13.1 4a")</f>
        <v>13 13.1 4a</v>
      </c>
      <c r="M218" s="7" t="str">
        <f>CONCATENATE("01334220413")</f>
        <v>01334220413</v>
      </c>
      <c r="N218" s="7" t="s">
        <v>319</v>
      </c>
      <c r="O218" s="7" t="s">
        <v>87</v>
      </c>
      <c r="P218" s="8">
        <v>44299</v>
      </c>
      <c r="Q218" s="7" t="s">
        <v>32</v>
      </c>
      <c r="R218" s="7" t="s">
        <v>39</v>
      </c>
      <c r="S218" s="7" t="s">
        <v>34</v>
      </c>
      <c r="T218" s="7"/>
      <c r="U218" s="7" t="s">
        <v>35</v>
      </c>
      <c r="V218" s="9">
        <v>5768.26</v>
      </c>
      <c r="W218" s="9">
        <v>2487.27</v>
      </c>
      <c r="X218" s="9">
        <v>2296.92</v>
      </c>
      <c r="Y218" s="7">
        <v>0</v>
      </c>
      <c r="Z218" s="7">
        <v>984.07</v>
      </c>
    </row>
    <row r="219" spans="1:26" x14ac:dyDescent="0.35">
      <c r="A219" s="7" t="s">
        <v>27</v>
      </c>
      <c r="B219" s="7" t="s">
        <v>42</v>
      </c>
      <c r="C219" s="7" t="s">
        <v>48</v>
      </c>
      <c r="D219" s="7" t="s">
        <v>60</v>
      </c>
      <c r="E219" s="7" t="s">
        <v>40</v>
      </c>
      <c r="F219" s="7" t="s">
        <v>90</v>
      </c>
      <c r="G219" s="7">
        <v>2020</v>
      </c>
      <c r="H219" s="7" t="str">
        <f>CONCATENATE("04210352888")</f>
        <v>04210352888</v>
      </c>
      <c r="I219" s="7" t="s">
        <v>30</v>
      </c>
      <c r="J219" s="7" t="s">
        <v>31</v>
      </c>
      <c r="K219" s="7" t="str">
        <f>CONCATENATE("")</f>
        <v/>
      </c>
      <c r="L219" s="7" t="str">
        <f>CONCATENATE("13 13.1 4a")</f>
        <v>13 13.1 4a</v>
      </c>
      <c r="M219" s="7" t="str">
        <f>CONCATENATE("RBNRRT70L29C745X")</f>
        <v>RBNRRT70L29C745X</v>
      </c>
      <c r="N219" s="7" t="s">
        <v>320</v>
      </c>
      <c r="O219" s="7" t="s">
        <v>87</v>
      </c>
      <c r="P219" s="8">
        <v>44299</v>
      </c>
      <c r="Q219" s="7" t="s">
        <v>32</v>
      </c>
      <c r="R219" s="7" t="s">
        <v>39</v>
      </c>
      <c r="S219" s="7" t="s">
        <v>34</v>
      </c>
      <c r="T219" s="7"/>
      <c r="U219" s="7" t="s">
        <v>35</v>
      </c>
      <c r="V219" s="9">
        <v>1769.84</v>
      </c>
      <c r="W219" s="7">
        <v>763.16</v>
      </c>
      <c r="X219" s="7">
        <v>704.75</v>
      </c>
      <c r="Y219" s="7">
        <v>0</v>
      </c>
      <c r="Z219" s="7">
        <v>301.93</v>
      </c>
    </row>
    <row r="220" spans="1:26" x14ac:dyDescent="0.35">
      <c r="A220" s="7" t="s">
        <v>27</v>
      </c>
      <c r="B220" s="7" t="s">
        <v>42</v>
      </c>
      <c r="C220" s="7" t="s">
        <v>48</v>
      </c>
      <c r="D220" s="7" t="s">
        <v>60</v>
      </c>
      <c r="E220" s="7" t="s">
        <v>40</v>
      </c>
      <c r="F220" s="7" t="s">
        <v>93</v>
      </c>
      <c r="G220" s="7">
        <v>2020</v>
      </c>
      <c r="H220" s="7" t="str">
        <f>CONCATENATE("04210295434")</f>
        <v>04210295434</v>
      </c>
      <c r="I220" s="7" t="s">
        <v>30</v>
      </c>
      <c r="J220" s="7" t="s">
        <v>31</v>
      </c>
      <c r="K220" s="7" t="str">
        <f>CONCATENATE("")</f>
        <v/>
      </c>
      <c r="L220" s="7" t="str">
        <f>CONCATENATE("13 13.1 4a")</f>
        <v>13 13.1 4a</v>
      </c>
      <c r="M220" s="7" t="str">
        <f>CONCATENATE("LVNGBR66B04I459L")</f>
        <v>LVNGBR66B04I459L</v>
      </c>
      <c r="N220" s="7" t="s">
        <v>321</v>
      </c>
      <c r="O220" s="7" t="s">
        <v>87</v>
      </c>
      <c r="P220" s="8">
        <v>44299</v>
      </c>
      <c r="Q220" s="7" t="s">
        <v>32</v>
      </c>
      <c r="R220" s="7" t="s">
        <v>39</v>
      </c>
      <c r="S220" s="7" t="s">
        <v>34</v>
      </c>
      <c r="T220" s="7"/>
      <c r="U220" s="7" t="s">
        <v>35</v>
      </c>
      <c r="V220" s="9">
        <v>8035</v>
      </c>
      <c r="W220" s="9">
        <v>3464.69</v>
      </c>
      <c r="X220" s="9">
        <v>3199.54</v>
      </c>
      <c r="Y220" s="7">
        <v>0</v>
      </c>
      <c r="Z220" s="9">
        <v>1370.77</v>
      </c>
    </row>
    <row r="221" spans="1:26" x14ac:dyDescent="0.35">
      <c r="A221" s="7" t="s">
        <v>27</v>
      </c>
      <c r="B221" s="7" t="s">
        <v>42</v>
      </c>
      <c r="C221" s="7" t="s">
        <v>48</v>
      </c>
      <c r="D221" s="7" t="s">
        <v>49</v>
      </c>
      <c r="E221" s="7" t="s">
        <v>38</v>
      </c>
      <c r="F221" s="7" t="s">
        <v>102</v>
      </c>
      <c r="G221" s="7">
        <v>2020</v>
      </c>
      <c r="H221" s="7" t="str">
        <f>CONCATENATE("04210016392")</f>
        <v>04210016392</v>
      </c>
      <c r="I221" s="7" t="s">
        <v>30</v>
      </c>
      <c r="J221" s="7" t="s">
        <v>31</v>
      </c>
      <c r="K221" s="7" t="str">
        <f>CONCATENATE("")</f>
        <v/>
      </c>
      <c r="L221" s="7" t="str">
        <f>CONCATENATE("13 13.1 4a")</f>
        <v>13 13.1 4a</v>
      </c>
      <c r="M221" s="7" t="str">
        <f>CONCATENATE("RTGMRS48M44I461V")</f>
        <v>RTGMRS48M44I461V</v>
      </c>
      <c r="N221" s="7" t="s">
        <v>322</v>
      </c>
      <c r="O221" s="7" t="s">
        <v>87</v>
      </c>
      <c r="P221" s="8">
        <v>44299</v>
      </c>
      <c r="Q221" s="7" t="s">
        <v>32</v>
      </c>
      <c r="R221" s="7" t="s">
        <v>39</v>
      </c>
      <c r="S221" s="7" t="s">
        <v>34</v>
      </c>
      <c r="T221" s="7"/>
      <c r="U221" s="7" t="s">
        <v>35</v>
      </c>
      <c r="V221" s="9">
        <v>1699.3</v>
      </c>
      <c r="W221" s="7">
        <v>732.74</v>
      </c>
      <c r="X221" s="7">
        <v>676.66</v>
      </c>
      <c r="Y221" s="7">
        <v>0</v>
      </c>
      <c r="Z221" s="7">
        <v>289.89999999999998</v>
      </c>
    </row>
    <row r="222" spans="1:26" x14ac:dyDescent="0.35">
      <c r="A222" s="7" t="s">
        <v>27</v>
      </c>
      <c r="B222" s="7" t="s">
        <v>42</v>
      </c>
      <c r="C222" s="7" t="s">
        <v>48</v>
      </c>
      <c r="D222" s="7" t="s">
        <v>55</v>
      </c>
      <c r="E222" s="7" t="s">
        <v>38</v>
      </c>
      <c r="F222" s="7" t="s">
        <v>143</v>
      </c>
      <c r="G222" s="7">
        <v>2020</v>
      </c>
      <c r="H222" s="7" t="str">
        <f>CONCATENATE("04210719987")</f>
        <v>04210719987</v>
      </c>
      <c r="I222" s="7" t="s">
        <v>30</v>
      </c>
      <c r="J222" s="7" t="s">
        <v>31</v>
      </c>
      <c r="K222" s="7" t="str">
        <f>CONCATENATE("")</f>
        <v/>
      </c>
      <c r="L222" s="7" t="str">
        <f>CONCATENATE("13 13.1 4a")</f>
        <v>13 13.1 4a</v>
      </c>
      <c r="M222" s="7" t="str">
        <f>CONCATENATE("01141480432")</f>
        <v>01141480432</v>
      </c>
      <c r="N222" s="7" t="s">
        <v>59</v>
      </c>
      <c r="O222" s="7" t="s">
        <v>87</v>
      </c>
      <c r="P222" s="8">
        <v>44299</v>
      </c>
      <c r="Q222" s="7" t="s">
        <v>32</v>
      </c>
      <c r="R222" s="7" t="s">
        <v>39</v>
      </c>
      <c r="S222" s="7" t="s">
        <v>34</v>
      </c>
      <c r="T222" s="7"/>
      <c r="U222" s="7" t="s">
        <v>35</v>
      </c>
      <c r="V222" s="7">
        <v>371.74</v>
      </c>
      <c r="W222" s="7">
        <v>160.29</v>
      </c>
      <c r="X222" s="7">
        <v>148.03</v>
      </c>
      <c r="Y222" s="7">
        <v>0</v>
      </c>
      <c r="Z222" s="7">
        <v>63.42</v>
      </c>
    </row>
    <row r="223" spans="1:26" x14ac:dyDescent="0.35">
      <c r="A223" s="7" t="s">
        <v>27</v>
      </c>
      <c r="B223" s="7" t="s">
        <v>42</v>
      </c>
      <c r="C223" s="7" t="s">
        <v>48</v>
      </c>
      <c r="D223" s="7" t="s">
        <v>55</v>
      </c>
      <c r="E223" s="7" t="s">
        <v>38</v>
      </c>
      <c r="F223" s="7" t="s">
        <v>111</v>
      </c>
      <c r="G223" s="7">
        <v>2020</v>
      </c>
      <c r="H223" s="7" t="str">
        <f>CONCATENATE("04210146249")</f>
        <v>04210146249</v>
      </c>
      <c r="I223" s="7" t="s">
        <v>30</v>
      </c>
      <c r="J223" s="7" t="s">
        <v>31</v>
      </c>
      <c r="K223" s="7" t="str">
        <f>CONCATENATE("")</f>
        <v/>
      </c>
      <c r="L223" s="7" t="str">
        <f>CONCATENATE("13 13.1 4a")</f>
        <v>13 13.1 4a</v>
      </c>
      <c r="M223" s="7" t="str">
        <f>CONCATENATE("GNTRMN51T29I436U")</f>
        <v>GNTRMN51T29I436U</v>
      </c>
      <c r="N223" s="7" t="s">
        <v>323</v>
      </c>
      <c r="O223" s="7" t="s">
        <v>87</v>
      </c>
      <c r="P223" s="8">
        <v>44299</v>
      </c>
      <c r="Q223" s="7" t="s">
        <v>32</v>
      </c>
      <c r="R223" s="7" t="s">
        <v>39</v>
      </c>
      <c r="S223" s="7" t="s">
        <v>34</v>
      </c>
      <c r="T223" s="7"/>
      <c r="U223" s="7" t="s">
        <v>35</v>
      </c>
      <c r="V223" s="7">
        <v>134.28</v>
      </c>
      <c r="W223" s="7">
        <v>57.9</v>
      </c>
      <c r="X223" s="7">
        <v>53.47</v>
      </c>
      <c r="Y223" s="7">
        <v>0</v>
      </c>
      <c r="Z223" s="7">
        <v>22.91</v>
      </c>
    </row>
    <row r="224" spans="1:26" x14ac:dyDescent="0.35">
      <c r="A224" s="7" t="s">
        <v>27</v>
      </c>
      <c r="B224" s="7" t="s">
        <v>42</v>
      </c>
      <c r="C224" s="7" t="s">
        <v>48</v>
      </c>
      <c r="D224" s="7" t="s">
        <v>60</v>
      </c>
      <c r="E224" s="7" t="s">
        <v>40</v>
      </c>
      <c r="F224" s="7" t="s">
        <v>93</v>
      </c>
      <c r="G224" s="7">
        <v>2020</v>
      </c>
      <c r="H224" s="7" t="str">
        <f>CONCATENATE("04210380939")</f>
        <v>04210380939</v>
      </c>
      <c r="I224" s="7" t="s">
        <v>30</v>
      </c>
      <c r="J224" s="7" t="s">
        <v>31</v>
      </c>
      <c r="K224" s="7" t="str">
        <f>CONCATENATE("")</f>
        <v/>
      </c>
      <c r="L224" s="7" t="str">
        <f>CONCATENATE("13 13.1 4a")</f>
        <v>13 13.1 4a</v>
      </c>
      <c r="M224" s="7" t="str">
        <f>CONCATENATE("SVRVTT67S67E785M")</f>
        <v>SVRVTT67S67E785M</v>
      </c>
      <c r="N224" s="7" t="s">
        <v>324</v>
      </c>
      <c r="O224" s="7" t="s">
        <v>87</v>
      </c>
      <c r="P224" s="8">
        <v>44299</v>
      </c>
      <c r="Q224" s="7" t="s">
        <v>32</v>
      </c>
      <c r="R224" s="7" t="s">
        <v>39</v>
      </c>
      <c r="S224" s="7" t="s">
        <v>34</v>
      </c>
      <c r="T224" s="7"/>
      <c r="U224" s="7" t="s">
        <v>35</v>
      </c>
      <c r="V224" s="9">
        <v>2300.34</v>
      </c>
      <c r="W224" s="7">
        <v>991.91</v>
      </c>
      <c r="X224" s="7">
        <v>916</v>
      </c>
      <c r="Y224" s="7">
        <v>0</v>
      </c>
      <c r="Z224" s="7">
        <v>392.43</v>
      </c>
    </row>
    <row r="225" spans="1:26" x14ac:dyDescent="0.35">
      <c r="A225" s="7" t="s">
        <v>27</v>
      </c>
      <c r="B225" s="7" t="s">
        <v>42</v>
      </c>
      <c r="C225" s="7" t="s">
        <v>48</v>
      </c>
      <c r="D225" s="7" t="s">
        <v>60</v>
      </c>
      <c r="E225" s="7" t="s">
        <v>40</v>
      </c>
      <c r="F225" s="7" t="s">
        <v>113</v>
      </c>
      <c r="G225" s="7">
        <v>2020</v>
      </c>
      <c r="H225" s="7" t="str">
        <f>CONCATENATE("04210216059")</f>
        <v>04210216059</v>
      </c>
      <c r="I225" s="7" t="s">
        <v>30</v>
      </c>
      <c r="J225" s="7" t="s">
        <v>31</v>
      </c>
      <c r="K225" s="7" t="str">
        <f>CONCATENATE("")</f>
        <v/>
      </c>
      <c r="L225" s="7" t="str">
        <f>CONCATENATE("13 13.1 4a")</f>
        <v>13 13.1 4a</v>
      </c>
      <c r="M225" s="7" t="str">
        <f>CONCATENATE("FRTMRC75E10D749O")</f>
        <v>FRTMRC75E10D749O</v>
      </c>
      <c r="N225" s="7" t="s">
        <v>325</v>
      </c>
      <c r="O225" s="7" t="s">
        <v>87</v>
      </c>
      <c r="P225" s="8">
        <v>44299</v>
      </c>
      <c r="Q225" s="7" t="s">
        <v>32</v>
      </c>
      <c r="R225" s="7" t="s">
        <v>39</v>
      </c>
      <c r="S225" s="7" t="s">
        <v>34</v>
      </c>
      <c r="T225" s="7"/>
      <c r="U225" s="7" t="s">
        <v>35</v>
      </c>
      <c r="V225" s="9">
        <v>2466.81</v>
      </c>
      <c r="W225" s="9">
        <v>1063.69</v>
      </c>
      <c r="X225" s="7">
        <v>982.28</v>
      </c>
      <c r="Y225" s="7">
        <v>0</v>
      </c>
      <c r="Z225" s="7">
        <v>420.84</v>
      </c>
    </row>
    <row r="226" spans="1:26" x14ac:dyDescent="0.35">
      <c r="A226" s="7" t="s">
        <v>27</v>
      </c>
      <c r="B226" s="7" t="s">
        <v>42</v>
      </c>
      <c r="C226" s="7" t="s">
        <v>48</v>
      </c>
      <c r="D226" s="7" t="s">
        <v>63</v>
      </c>
      <c r="E226" s="7" t="s">
        <v>38</v>
      </c>
      <c r="F226" s="7" t="s">
        <v>64</v>
      </c>
      <c r="G226" s="7">
        <v>2020</v>
      </c>
      <c r="H226" s="7" t="str">
        <f>CONCATENATE("04210638138")</f>
        <v>04210638138</v>
      </c>
      <c r="I226" s="7" t="s">
        <v>30</v>
      </c>
      <c r="J226" s="7" t="s">
        <v>31</v>
      </c>
      <c r="K226" s="7" t="str">
        <f>CONCATENATE("")</f>
        <v/>
      </c>
      <c r="L226" s="7" t="str">
        <f>CONCATENATE("13 13.1 4a")</f>
        <v>13 13.1 4a</v>
      </c>
      <c r="M226" s="7" t="str">
        <f>CONCATENATE("01124420447")</f>
        <v>01124420447</v>
      </c>
      <c r="N226" s="7" t="s">
        <v>326</v>
      </c>
      <c r="O226" s="7" t="s">
        <v>87</v>
      </c>
      <c r="P226" s="8">
        <v>44299</v>
      </c>
      <c r="Q226" s="7" t="s">
        <v>32</v>
      </c>
      <c r="R226" s="7" t="s">
        <v>39</v>
      </c>
      <c r="S226" s="7" t="s">
        <v>34</v>
      </c>
      <c r="T226" s="7"/>
      <c r="U226" s="7" t="s">
        <v>35</v>
      </c>
      <c r="V226" s="9">
        <v>4437.0200000000004</v>
      </c>
      <c r="W226" s="9">
        <v>1913.24</v>
      </c>
      <c r="X226" s="9">
        <v>1766.82</v>
      </c>
      <c r="Y226" s="7">
        <v>0</v>
      </c>
      <c r="Z226" s="7">
        <v>756.96</v>
      </c>
    </row>
    <row r="227" spans="1:26" x14ac:dyDescent="0.35">
      <c r="A227" s="7" t="s">
        <v>27</v>
      </c>
      <c r="B227" s="7" t="s">
        <v>42</v>
      </c>
      <c r="C227" s="7" t="s">
        <v>48</v>
      </c>
      <c r="D227" s="7" t="s">
        <v>55</v>
      </c>
      <c r="E227" s="7" t="s">
        <v>38</v>
      </c>
      <c r="F227" s="7" t="s">
        <v>143</v>
      </c>
      <c r="G227" s="7">
        <v>2020</v>
      </c>
      <c r="H227" s="7" t="str">
        <f>CONCATENATE("04210088243")</f>
        <v>04210088243</v>
      </c>
      <c r="I227" s="7" t="s">
        <v>30</v>
      </c>
      <c r="J227" s="7" t="s">
        <v>31</v>
      </c>
      <c r="K227" s="7" t="str">
        <f>CONCATENATE("")</f>
        <v/>
      </c>
      <c r="L227" s="7" t="str">
        <f>CONCATENATE("13 13.1 4a")</f>
        <v>13 13.1 4a</v>
      </c>
      <c r="M227" s="7" t="str">
        <f>CONCATENATE("SBRLBR49L31B474W")</f>
        <v>SBRLBR49L31B474W</v>
      </c>
      <c r="N227" s="7" t="s">
        <v>327</v>
      </c>
      <c r="O227" s="7" t="s">
        <v>87</v>
      </c>
      <c r="P227" s="8">
        <v>44299</v>
      </c>
      <c r="Q227" s="7" t="s">
        <v>32</v>
      </c>
      <c r="R227" s="7" t="s">
        <v>39</v>
      </c>
      <c r="S227" s="7" t="s">
        <v>34</v>
      </c>
      <c r="T227" s="7"/>
      <c r="U227" s="7" t="s">
        <v>35</v>
      </c>
      <c r="V227" s="9">
        <v>1338.72</v>
      </c>
      <c r="W227" s="7">
        <v>577.26</v>
      </c>
      <c r="X227" s="7">
        <v>533.08000000000004</v>
      </c>
      <c r="Y227" s="7">
        <v>0</v>
      </c>
      <c r="Z227" s="7">
        <v>228.38</v>
      </c>
    </row>
    <row r="228" spans="1:26" x14ac:dyDescent="0.35">
      <c r="A228" s="7" t="s">
        <v>27</v>
      </c>
      <c r="B228" s="7" t="s">
        <v>42</v>
      </c>
      <c r="C228" s="7" t="s">
        <v>48</v>
      </c>
      <c r="D228" s="7" t="s">
        <v>60</v>
      </c>
      <c r="E228" s="7" t="s">
        <v>40</v>
      </c>
      <c r="F228" s="7" t="s">
        <v>90</v>
      </c>
      <c r="G228" s="7">
        <v>2020</v>
      </c>
      <c r="H228" s="7" t="str">
        <f>CONCATENATE("04210449502")</f>
        <v>04210449502</v>
      </c>
      <c r="I228" s="7" t="s">
        <v>30</v>
      </c>
      <c r="J228" s="7" t="s">
        <v>31</v>
      </c>
      <c r="K228" s="7" t="str">
        <f>CONCATENATE("")</f>
        <v/>
      </c>
      <c r="L228" s="7" t="str">
        <f>CONCATENATE("13 13.1 4a")</f>
        <v>13 13.1 4a</v>
      </c>
      <c r="M228" s="7" t="str">
        <f>CONCATENATE("SCNMSM59H19D808Q")</f>
        <v>SCNMSM59H19D808Q</v>
      </c>
      <c r="N228" s="7" t="s">
        <v>328</v>
      </c>
      <c r="O228" s="7" t="s">
        <v>87</v>
      </c>
      <c r="P228" s="8">
        <v>44299</v>
      </c>
      <c r="Q228" s="7" t="s">
        <v>32</v>
      </c>
      <c r="R228" s="7" t="s">
        <v>39</v>
      </c>
      <c r="S228" s="7" t="s">
        <v>34</v>
      </c>
      <c r="T228" s="7"/>
      <c r="U228" s="7" t="s">
        <v>35</v>
      </c>
      <c r="V228" s="9">
        <v>2762.75</v>
      </c>
      <c r="W228" s="9">
        <v>1191.3</v>
      </c>
      <c r="X228" s="9">
        <v>1100.1300000000001</v>
      </c>
      <c r="Y228" s="7">
        <v>0</v>
      </c>
      <c r="Z228" s="7">
        <v>471.32</v>
      </c>
    </row>
    <row r="229" spans="1:26" x14ac:dyDescent="0.35">
      <c r="A229" s="7" t="s">
        <v>27</v>
      </c>
      <c r="B229" s="7" t="s">
        <v>42</v>
      </c>
      <c r="C229" s="7" t="s">
        <v>48</v>
      </c>
      <c r="D229" s="7" t="s">
        <v>60</v>
      </c>
      <c r="E229" s="7" t="s">
        <v>40</v>
      </c>
      <c r="F229" s="7" t="s">
        <v>90</v>
      </c>
      <c r="G229" s="7">
        <v>2020</v>
      </c>
      <c r="H229" s="7" t="str">
        <f>CONCATENATE("04210310613")</f>
        <v>04210310613</v>
      </c>
      <c r="I229" s="7" t="s">
        <v>30</v>
      </c>
      <c r="J229" s="7" t="s">
        <v>31</v>
      </c>
      <c r="K229" s="7" t="str">
        <f>CONCATENATE("")</f>
        <v/>
      </c>
      <c r="L229" s="7" t="str">
        <f>CONCATENATE("13 13.1 4a")</f>
        <v>13 13.1 4a</v>
      </c>
      <c r="M229" s="7" t="str">
        <f>CONCATENATE("MNTLNI47R17A327W")</f>
        <v>MNTLNI47R17A327W</v>
      </c>
      <c r="N229" s="7" t="s">
        <v>329</v>
      </c>
      <c r="O229" s="7" t="s">
        <v>87</v>
      </c>
      <c r="P229" s="8">
        <v>44299</v>
      </c>
      <c r="Q229" s="7" t="s">
        <v>32</v>
      </c>
      <c r="R229" s="7" t="s">
        <v>39</v>
      </c>
      <c r="S229" s="7" t="s">
        <v>34</v>
      </c>
      <c r="T229" s="7"/>
      <c r="U229" s="7" t="s">
        <v>35</v>
      </c>
      <c r="V229" s="9">
        <v>3357.02</v>
      </c>
      <c r="W229" s="9">
        <v>1447.55</v>
      </c>
      <c r="X229" s="9">
        <v>1336.77</v>
      </c>
      <c r="Y229" s="7">
        <v>0</v>
      </c>
      <c r="Z229" s="7">
        <v>572.70000000000005</v>
      </c>
    </row>
    <row r="230" spans="1:26" x14ac:dyDescent="0.35">
      <c r="A230" s="7" t="s">
        <v>27</v>
      </c>
      <c r="B230" s="7" t="s">
        <v>42</v>
      </c>
      <c r="C230" s="7" t="s">
        <v>48</v>
      </c>
      <c r="D230" s="7" t="s">
        <v>55</v>
      </c>
      <c r="E230" s="7" t="s">
        <v>38</v>
      </c>
      <c r="F230" s="7" t="s">
        <v>143</v>
      </c>
      <c r="G230" s="7">
        <v>2020</v>
      </c>
      <c r="H230" s="7" t="str">
        <f>CONCATENATE("04210082345")</f>
        <v>04210082345</v>
      </c>
      <c r="I230" s="7" t="s">
        <v>30</v>
      </c>
      <c r="J230" s="7" t="s">
        <v>31</v>
      </c>
      <c r="K230" s="7" t="str">
        <f>CONCATENATE("")</f>
        <v/>
      </c>
      <c r="L230" s="7" t="str">
        <f>CONCATENATE("13 13.1 4a")</f>
        <v>13 13.1 4a</v>
      </c>
      <c r="M230" s="7" t="str">
        <f>CONCATENATE("RCTGCR61M28B474D")</f>
        <v>RCTGCR61M28B474D</v>
      </c>
      <c r="N230" s="7" t="s">
        <v>330</v>
      </c>
      <c r="O230" s="7" t="s">
        <v>87</v>
      </c>
      <c r="P230" s="8">
        <v>44299</v>
      </c>
      <c r="Q230" s="7" t="s">
        <v>32</v>
      </c>
      <c r="R230" s="7" t="s">
        <v>39</v>
      </c>
      <c r="S230" s="7" t="s">
        <v>34</v>
      </c>
      <c r="T230" s="7"/>
      <c r="U230" s="7" t="s">
        <v>35</v>
      </c>
      <c r="V230" s="9">
        <v>1167.05</v>
      </c>
      <c r="W230" s="7">
        <v>503.23</v>
      </c>
      <c r="X230" s="7">
        <v>464.72</v>
      </c>
      <c r="Y230" s="7">
        <v>0</v>
      </c>
      <c r="Z230" s="7">
        <v>199.1</v>
      </c>
    </row>
    <row r="231" spans="1:26" x14ac:dyDescent="0.35">
      <c r="A231" s="7" t="s">
        <v>27</v>
      </c>
      <c r="B231" s="7" t="s">
        <v>42</v>
      </c>
      <c r="C231" s="7" t="s">
        <v>48</v>
      </c>
      <c r="D231" s="7" t="s">
        <v>60</v>
      </c>
      <c r="E231" s="7" t="s">
        <v>46</v>
      </c>
      <c r="F231" s="7" t="s">
        <v>198</v>
      </c>
      <c r="G231" s="7">
        <v>2020</v>
      </c>
      <c r="H231" s="7" t="str">
        <f>CONCATENATE("04210340735")</f>
        <v>04210340735</v>
      </c>
      <c r="I231" s="7" t="s">
        <v>30</v>
      </c>
      <c r="J231" s="7" t="s">
        <v>31</v>
      </c>
      <c r="K231" s="7" t="str">
        <f>CONCATENATE("")</f>
        <v/>
      </c>
      <c r="L231" s="7" t="str">
        <f>CONCATENATE("13 13.1 4a")</f>
        <v>13 13.1 4a</v>
      </c>
      <c r="M231" s="7" t="str">
        <f>CONCATENATE("CHRPFR67M24F979O")</f>
        <v>CHRPFR67M24F979O</v>
      </c>
      <c r="N231" s="7" t="s">
        <v>331</v>
      </c>
      <c r="O231" s="7" t="s">
        <v>87</v>
      </c>
      <c r="P231" s="8">
        <v>44299</v>
      </c>
      <c r="Q231" s="7" t="s">
        <v>32</v>
      </c>
      <c r="R231" s="7" t="s">
        <v>39</v>
      </c>
      <c r="S231" s="7" t="s">
        <v>34</v>
      </c>
      <c r="T231" s="7"/>
      <c r="U231" s="7" t="s">
        <v>35</v>
      </c>
      <c r="V231" s="9">
        <v>7704.23</v>
      </c>
      <c r="W231" s="9">
        <v>3322.06</v>
      </c>
      <c r="X231" s="9">
        <v>3067.82</v>
      </c>
      <c r="Y231" s="7">
        <v>0</v>
      </c>
      <c r="Z231" s="9">
        <v>1314.35</v>
      </c>
    </row>
    <row r="232" spans="1:26" x14ac:dyDescent="0.35">
      <c r="A232" s="7" t="s">
        <v>27</v>
      </c>
      <c r="B232" s="7" t="s">
        <v>42</v>
      </c>
      <c r="C232" s="7" t="s">
        <v>48</v>
      </c>
      <c r="D232" s="7" t="s">
        <v>60</v>
      </c>
      <c r="E232" s="7" t="s">
        <v>40</v>
      </c>
      <c r="F232" s="7" t="s">
        <v>90</v>
      </c>
      <c r="G232" s="7">
        <v>2020</v>
      </c>
      <c r="H232" s="7" t="str">
        <f>CONCATENATE("04210280774")</f>
        <v>04210280774</v>
      </c>
      <c r="I232" s="7" t="s">
        <v>30</v>
      </c>
      <c r="J232" s="7" t="s">
        <v>31</v>
      </c>
      <c r="K232" s="7" t="str">
        <f>CONCATENATE("")</f>
        <v/>
      </c>
      <c r="L232" s="7" t="str">
        <f>CONCATENATE("13 13.1 4a")</f>
        <v>13 13.1 4a</v>
      </c>
      <c r="M232" s="7" t="str">
        <f>CONCATENATE("CMBMRT77M60B352T")</f>
        <v>CMBMRT77M60B352T</v>
      </c>
      <c r="N232" s="7" t="s">
        <v>332</v>
      </c>
      <c r="O232" s="7" t="s">
        <v>87</v>
      </c>
      <c r="P232" s="8">
        <v>44299</v>
      </c>
      <c r="Q232" s="7" t="s">
        <v>32</v>
      </c>
      <c r="R232" s="7" t="s">
        <v>39</v>
      </c>
      <c r="S232" s="7" t="s">
        <v>34</v>
      </c>
      <c r="T232" s="7"/>
      <c r="U232" s="7" t="s">
        <v>35</v>
      </c>
      <c r="V232" s="9">
        <v>7263.43</v>
      </c>
      <c r="W232" s="9">
        <v>3131.99</v>
      </c>
      <c r="X232" s="9">
        <v>2892.3</v>
      </c>
      <c r="Y232" s="7">
        <v>0</v>
      </c>
      <c r="Z232" s="9">
        <v>1239.1400000000001</v>
      </c>
    </row>
    <row r="233" spans="1:26" x14ac:dyDescent="0.35">
      <c r="A233" s="7" t="s">
        <v>27</v>
      </c>
      <c r="B233" s="7" t="s">
        <v>42</v>
      </c>
      <c r="C233" s="7" t="s">
        <v>48</v>
      </c>
      <c r="D233" s="7" t="s">
        <v>49</v>
      </c>
      <c r="E233" s="7" t="s">
        <v>200</v>
      </c>
      <c r="F233" s="7" t="s">
        <v>201</v>
      </c>
      <c r="G233" s="7">
        <v>2020</v>
      </c>
      <c r="H233" s="7" t="str">
        <f>CONCATENATE("04210867885")</f>
        <v>04210867885</v>
      </c>
      <c r="I233" s="7" t="s">
        <v>30</v>
      </c>
      <c r="J233" s="7" t="s">
        <v>31</v>
      </c>
      <c r="K233" s="7" t="str">
        <f>CONCATENATE("")</f>
        <v/>
      </c>
      <c r="L233" s="7" t="str">
        <f>CONCATENATE("13 13.1 4a")</f>
        <v>13 13.1 4a</v>
      </c>
      <c r="M233" s="7" t="str">
        <f>CONCATENATE("RBNMLR55P50B352D")</f>
        <v>RBNMLR55P50B352D</v>
      </c>
      <c r="N233" s="7" t="s">
        <v>333</v>
      </c>
      <c r="O233" s="7" t="s">
        <v>87</v>
      </c>
      <c r="P233" s="8">
        <v>44299</v>
      </c>
      <c r="Q233" s="7" t="s">
        <v>32</v>
      </c>
      <c r="R233" s="7" t="s">
        <v>39</v>
      </c>
      <c r="S233" s="7" t="s">
        <v>34</v>
      </c>
      <c r="T233" s="7"/>
      <c r="U233" s="7" t="s">
        <v>35</v>
      </c>
      <c r="V233" s="9">
        <v>7535.4</v>
      </c>
      <c r="W233" s="9">
        <v>3249.26</v>
      </c>
      <c r="X233" s="9">
        <v>3000.6</v>
      </c>
      <c r="Y233" s="7">
        <v>0</v>
      </c>
      <c r="Z233" s="9">
        <v>1285.54</v>
      </c>
    </row>
    <row r="234" spans="1:26" x14ac:dyDescent="0.35">
      <c r="A234" s="7" t="s">
        <v>27</v>
      </c>
      <c r="B234" s="7" t="s">
        <v>42</v>
      </c>
      <c r="C234" s="7" t="s">
        <v>48</v>
      </c>
      <c r="D234" s="7" t="s">
        <v>55</v>
      </c>
      <c r="E234" s="7" t="s">
        <v>38</v>
      </c>
      <c r="F234" s="7" t="s">
        <v>143</v>
      </c>
      <c r="G234" s="7">
        <v>2020</v>
      </c>
      <c r="H234" s="7" t="str">
        <f>CONCATENATE("04210552578")</f>
        <v>04210552578</v>
      </c>
      <c r="I234" s="7" t="s">
        <v>30</v>
      </c>
      <c r="J234" s="7" t="s">
        <v>31</v>
      </c>
      <c r="K234" s="7" t="str">
        <f>CONCATENATE("")</f>
        <v/>
      </c>
      <c r="L234" s="7" t="str">
        <f>CONCATENATE("13 13.1 4a")</f>
        <v>13 13.1 4a</v>
      </c>
      <c r="M234" s="7" t="str">
        <f>CONCATENATE("01915750432")</f>
        <v>01915750432</v>
      </c>
      <c r="N234" s="7" t="s">
        <v>334</v>
      </c>
      <c r="O234" s="7" t="s">
        <v>87</v>
      </c>
      <c r="P234" s="8">
        <v>44299</v>
      </c>
      <c r="Q234" s="7" t="s">
        <v>32</v>
      </c>
      <c r="R234" s="7" t="s">
        <v>39</v>
      </c>
      <c r="S234" s="7" t="s">
        <v>34</v>
      </c>
      <c r="T234" s="7"/>
      <c r="U234" s="7" t="s">
        <v>35</v>
      </c>
      <c r="V234" s="9">
        <v>1917.11</v>
      </c>
      <c r="W234" s="7">
        <v>826.66</v>
      </c>
      <c r="X234" s="7">
        <v>763.39</v>
      </c>
      <c r="Y234" s="7">
        <v>0</v>
      </c>
      <c r="Z234" s="7">
        <v>327.06</v>
      </c>
    </row>
    <row r="235" spans="1:26" x14ac:dyDescent="0.35">
      <c r="A235" s="7" t="s">
        <v>27</v>
      </c>
      <c r="B235" s="7" t="s">
        <v>42</v>
      </c>
      <c r="C235" s="7" t="s">
        <v>48</v>
      </c>
      <c r="D235" s="7" t="s">
        <v>55</v>
      </c>
      <c r="E235" s="7" t="s">
        <v>38</v>
      </c>
      <c r="F235" s="7" t="s">
        <v>143</v>
      </c>
      <c r="G235" s="7">
        <v>2020</v>
      </c>
      <c r="H235" s="7" t="str">
        <f>CONCATENATE("04210813251")</f>
        <v>04210813251</v>
      </c>
      <c r="I235" s="7" t="s">
        <v>30</v>
      </c>
      <c r="J235" s="7" t="s">
        <v>31</v>
      </c>
      <c r="K235" s="7" t="str">
        <f>CONCATENATE("")</f>
        <v/>
      </c>
      <c r="L235" s="7" t="str">
        <f>CONCATENATE("13 13.1 4a")</f>
        <v>13 13.1 4a</v>
      </c>
      <c r="M235" s="7" t="str">
        <f>CONCATENATE("00607050432")</f>
        <v>00607050432</v>
      </c>
      <c r="N235" s="7" t="s">
        <v>335</v>
      </c>
      <c r="O235" s="7" t="s">
        <v>87</v>
      </c>
      <c r="P235" s="8">
        <v>44299</v>
      </c>
      <c r="Q235" s="7" t="s">
        <v>32</v>
      </c>
      <c r="R235" s="7" t="s">
        <v>39</v>
      </c>
      <c r="S235" s="7" t="s">
        <v>34</v>
      </c>
      <c r="T235" s="7"/>
      <c r="U235" s="7" t="s">
        <v>35</v>
      </c>
      <c r="V235" s="9">
        <v>1108.5899999999999</v>
      </c>
      <c r="W235" s="7">
        <v>478.02</v>
      </c>
      <c r="X235" s="7">
        <v>441.44</v>
      </c>
      <c r="Y235" s="7">
        <v>0</v>
      </c>
      <c r="Z235" s="7">
        <v>189.13</v>
      </c>
    </row>
    <row r="236" spans="1:26" x14ac:dyDescent="0.35">
      <c r="A236" s="7" t="s">
        <v>27</v>
      </c>
      <c r="B236" s="7" t="s">
        <v>42</v>
      </c>
      <c r="C236" s="7" t="s">
        <v>48</v>
      </c>
      <c r="D236" s="7" t="s">
        <v>49</v>
      </c>
      <c r="E236" s="7" t="s">
        <v>47</v>
      </c>
      <c r="F236" s="7" t="s">
        <v>217</v>
      </c>
      <c r="G236" s="7">
        <v>2020</v>
      </c>
      <c r="H236" s="7" t="str">
        <f>CONCATENATE("04210785400")</f>
        <v>04210785400</v>
      </c>
      <c r="I236" s="7" t="s">
        <v>30</v>
      </c>
      <c r="J236" s="7" t="s">
        <v>31</v>
      </c>
      <c r="K236" s="7" t="str">
        <f>CONCATENATE("")</f>
        <v/>
      </c>
      <c r="L236" s="7" t="str">
        <f>CONCATENATE("13 13.1 4a")</f>
        <v>13 13.1 4a</v>
      </c>
      <c r="M236" s="7" t="str">
        <f>CONCATENATE("NGLNDR81S30D451Q")</f>
        <v>NGLNDR81S30D451Q</v>
      </c>
      <c r="N236" s="7" t="s">
        <v>336</v>
      </c>
      <c r="O236" s="7" t="s">
        <v>87</v>
      </c>
      <c r="P236" s="8">
        <v>44299</v>
      </c>
      <c r="Q236" s="7" t="s">
        <v>32</v>
      </c>
      <c r="R236" s="7" t="s">
        <v>39</v>
      </c>
      <c r="S236" s="7" t="s">
        <v>34</v>
      </c>
      <c r="T236" s="7"/>
      <c r="U236" s="7" t="s">
        <v>35</v>
      </c>
      <c r="V236" s="9">
        <v>5369.79</v>
      </c>
      <c r="W236" s="9">
        <v>2315.4499999999998</v>
      </c>
      <c r="X236" s="9">
        <v>2138.25</v>
      </c>
      <c r="Y236" s="7">
        <v>0</v>
      </c>
      <c r="Z236" s="7">
        <v>916.09</v>
      </c>
    </row>
    <row r="237" spans="1:26" x14ac:dyDescent="0.35">
      <c r="A237" s="7" t="s">
        <v>27</v>
      </c>
      <c r="B237" s="7" t="s">
        <v>42</v>
      </c>
      <c r="C237" s="7" t="s">
        <v>48</v>
      </c>
      <c r="D237" s="7" t="s">
        <v>55</v>
      </c>
      <c r="E237" s="7" t="s">
        <v>38</v>
      </c>
      <c r="F237" s="7" t="s">
        <v>143</v>
      </c>
      <c r="G237" s="7">
        <v>2020</v>
      </c>
      <c r="H237" s="7" t="str">
        <f>CONCATENATE("04210553501")</f>
        <v>04210553501</v>
      </c>
      <c r="I237" s="7" t="s">
        <v>30</v>
      </c>
      <c r="J237" s="7" t="s">
        <v>31</v>
      </c>
      <c r="K237" s="7" t="str">
        <f>CONCATENATE("")</f>
        <v/>
      </c>
      <c r="L237" s="7" t="str">
        <f>CONCATENATE("13 13.1 4a")</f>
        <v>13 13.1 4a</v>
      </c>
      <c r="M237" s="7" t="str">
        <f>CONCATENATE("01094640438")</f>
        <v>01094640438</v>
      </c>
      <c r="N237" s="7" t="s">
        <v>337</v>
      </c>
      <c r="O237" s="7" t="s">
        <v>87</v>
      </c>
      <c r="P237" s="8">
        <v>44299</v>
      </c>
      <c r="Q237" s="7" t="s">
        <v>32</v>
      </c>
      <c r="R237" s="7" t="s">
        <v>39</v>
      </c>
      <c r="S237" s="7" t="s">
        <v>34</v>
      </c>
      <c r="T237" s="7"/>
      <c r="U237" s="7" t="s">
        <v>35</v>
      </c>
      <c r="V237" s="7">
        <v>592.71</v>
      </c>
      <c r="W237" s="7">
        <v>255.58</v>
      </c>
      <c r="X237" s="7">
        <v>236.02</v>
      </c>
      <c r="Y237" s="7">
        <v>0</v>
      </c>
      <c r="Z237" s="7">
        <v>101.11</v>
      </c>
    </row>
    <row r="238" spans="1:26" x14ac:dyDescent="0.35">
      <c r="A238" s="7" t="s">
        <v>27</v>
      </c>
      <c r="B238" s="7" t="s">
        <v>42</v>
      </c>
      <c r="C238" s="7" t="s">
        <v>48</v>
      </c>
      <c r="D238" s="7" t="s">
        <v>49</v>
      </c>
      <c r="E238" s="7" t="s">
        <v>38</v>
      </c>
      <c r="F238" s="7" t="s">
        <v>102</v>
      </c>
      <c r="G238" s="7">
        <v>2020</v>
      </c>
      <c r="H238" s="7" t="str">
        <f>CONCATENATE("04210364248")</f>
        <v>04210364248</v>
      </c>
      <c r="I238" s="7" t="s">
        <v>30</v>
      </c>
      <c r="J238" s="7" t="s">
        <v>31</v>
      </c>
      <c r="K238" s="7" t="str">
        <f>CONCATENATE("")</f>
        <v/>
      </c>
      <c r="L238" s="7" t="str">
        <f>CONCATENATE("13 13.1 4a")</f>
        <v>13 13.1 4a</v>
      </c>
      <c r="M238" s="7" t="str">
        <f>CONCATENATE("BLSRNO63E19I461Q")</f>
        <v>BLSRNO63E19I461Q</v>
      </c>
      <c r="N238" s="7" t="s">
        <v>338</v>
      </c>
      <c r="O238" s="7" t="s">
        <v>87</v>
      </c>
      <c r="P238" s="8">
        <v>44299</v>
      </c>
      <c r="Q238" s="7" t="s">
        <v>32</v>
      </c>
      <c r="R238" s="7" t="s">
        <v>39</v>
      </c>
      <c r="S238" s="7" t="s">
        <v>34</v>
      </c>
      <c r="T238" s="7"/>
      <c r="U238" s="7" t="s">
        <v>35</v>
      </c>
      <c r="V238" s="9">
        <v>3253.22</v>
      </c>
      <c r="W238" s="9">
        <v>1402.79</v>
      </c>
      <c r="X238" s="9">
        <v>1295.43</v>
      </c>
      <c r="Y238" s="7">
        <v>0</v>
      </c>
      <c r="Z238" s="7">
        <v>555</v>
      </c>
    </row>
    <row r="239" spans="1:26" x14ac:dyDescent="0.35">
      <c r="A239" s="7" t="s">
        <v>27</v>
      </c>
      <c r="B239" s="7" t="s">
        <v>42</v>
      </c>
      <c r="C239" s="7" t="s">
        <v>48</v>
      </c>
      <c r="D239" s="7" t="s">
        <v>63</v>
      </c>
      <c r="E239" s="7" t="s">
        <v>38</v>
      </c>
      <c r="F239" s="7" t="s">
        <v>106</v>
      </c>
      <c r="G239" s="7">
        <v>2020</v>
      </c>
      <c r="H239" s="7" t="str">
        <f>CONCATENATE("04210567212")</f>
        <v>04210567212</v>
      </c>
      <c r="I239" s="7" t="s">
        <v>30</v>
      </c>
      <c r="J239" s="7" t="s">
        <v>31</v>
      </c>
      <c r="K239" s="7" t="str">
        <f>CONCATENATE("")</f>
        <v/>
      </c>
      <c r="L239" s="7" t="str">
        <f>CONCATENATE("13 13.1 4a")</f>
        <v>13 13.1 4a</v>
      </c>
      <c r="M239" s="7" t="str">
        <f>CONCATENATE("FBNNZR64M16H588F")</f>
        <v>FBNNZR64M16H588F</v>
      </c>
      <c r="N239" s="7" t="s">
        <v>339</v>
      </c>
      <c r="O239" s="7" t="s">
        <v>87</v>
      </c>
      <c r="P239" s="8">
        <v>44299</v>
      </c>
      <c r="Q239" s="7" t="s">
        <v>32</v>
      </c>
      <c r="R239" s="7" t="s">
        <v>39</v>
      </c>
      <c r="S239" s="7" t="s">
        <v>34</v>
      </c>
      <c r="T239" s="7"/>
      <c r="U239" s="7" t="s">
        <v>35</v>
      </c>
      <c r="V239" s="9">
        <v>2416.84</v>
      </c>
      <c r="W239" s="9">
        <v>1042.1400000000001</v>
      </c>
      <c r="X239" s="7">
        <v>962.39</v>
      </c>
      <c r="Y239" s="7">
        <v>0</v>
      </c>
      <c r="Z239" s="7">
        <v>412.31</v>
      </c>
    </row>
  </sheetData>
  <mergeCells count="2">
    <mergeCell ref="A1:Y1"/>
    <mergeCell ref="A2:Y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9B0352-D640-4172-874A-DA5F046A4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1FB8D1-B6E1-4A5B-B534-51817A10A7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80803-3ABE-4D6E-97C6-BD8150D72BDC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61285</vt:lpwstr>
  </property>
  <property fmtid="{D5CDD505-2E9C-101B-9397-08002B2CF9AE}" pid="4" name="OptimizationTime">
    <vt:lpwstr>20210420_1100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2021-04-19T08:46:51Z</dcterms:created>
  <dcterms:modified xsi:type="dcterms:W3CDTF">2021-04-19T08:47:43Z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