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18\"/>
    </mc:Choice>
  </mc:AlternateContent>
  <xr:revisionPtr revIDLastSave="0" documentId="8_{BC2D961A-C0BE-41C7-BA03-B405ED07F052}" xr6:coauthVersionLast="45" xr6:coauthVersionMax="45" xr10:uidLastSave="{00000000-0000-0000-0000-000000000000}"/>
  <bookViews>
    <workbookView xWindow="-120" yWindow="-120" windowWidth="20730" windowHeight="11160" xr2:uid="{1AFE2C1B-68C7-4F2E-8A80-77A2AE2F077A}"/>
  </bookViews>
  <sheets>
    <sheet name="Dettaglio_Domande_Pagabili_AGEA" sheetId="1" r:id="rId1"/>
  </sheets>
  <definedNames>
    <definedName name="_xlnm._FilterDatabase" localSheetId="0" hidden="1">Dettaglio_Domande_Pagabili_AGEA!$A$3:$Y$124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4" i="1" l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<sst xmlns="http://schemas.openxmlformats.org/spreadsheetml/2006/main" count="1599" uniqueCount="230">
  <si>
    <t>Dettaglio Domande Pagabili Decreto 418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</si>
  <si>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</si>
  <si>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</si>
  <si>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</si>
  <si>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</si>
  <si>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</si>
  <si>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</si>
  <si>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</si>
  <si>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</si>
  <si>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</si>
  <si>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</si>
  <si>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</si>
  <si>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</si>
  <si>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</si>
  <si>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</si>
  <si>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</si>
  <si>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</si>
  <si>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</si>
  <si>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</si>
  <si>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</si>
  <si>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</si>
  <si>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</si>
  <si>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</si>
  <si>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</si>
  <si>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</si>
  <si>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</si>
  <si>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</si>
  <si>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</si>
  <si>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CIA srl</t>
  </si>
  <si>
    <t>NO</t>
  </si>
  <si>
    <t>Nuova Programmazione</t>
  </si>
  <si>
    <t>In Liquidazione</t>
  </si>
  <si>
    <t>Anticipo</t>
  </si>
  <si>
    <t>Co-Finanziato</t>
  </si>
  <si>
    <t>Saldo</t>
  </si>
  <si>
    <t>IN PROPRIO</t>
  </si>
  <si>
    <t>SAL</t>
  </si>
  <si>
    <t>CAA UNICAA srl</t>
  </si>
  <si>
    <t>CAA-CAF AGRI S.R.L.</t>
  </si>
  <si>
    <t>CAA Confagricoltura srl</t>
  </si>
  <si>
    <t>CAA Coldiretti srl</t>
  </si>
  <si>
    <t>SI</t>
  </si>
  <si>
    <t>CAA LiberiAgricoltori srl già CAA AGCI srl</t>
  </si>
  <si>
    <t>Misure a Superficie</t>
  </si>
  <si>
    <t>CAA degli Agricoltori Srl</t>
  </si>
  <si>
    <t>CAA AGRISERVIZI s.r.l.</t>
  </si>
  <si>
    <t>CAA Liberi Professionisti srl</t>
  </si>
  <si>
    <t>Trascinamenti</t>
  </si>
  <si>
    <t>MARCHE</t>
  </si>
  <si>
    <t>SERV. DEC. AGRICOLTURA E ALIM. - MACERATA</t>
  </si>
  <si>
    <t>CAA LiberiAgricoltori - MACERATA - 001</t>
  </si>
  <si>
    <t>BRANCHESI ROSA</t>
  </si>
  <si>
    <t>AGEA.ASR.2020.0663030</t>
  </si>
  <si>
    <t>SERV. DEC. AGRICOLTURA E ALIMENTAZIONE - PESARO</t>
  </si>
  <si>
    <t>IMPRESA VERDE MARCHE SRL</t>
  </si>
  <si>
    <t>AGEA.ASR.2020.1659716</t>
  </si>
  <si>
    <t>SOCIETA' AGRICOLA IL FRUTTETO S.S.</t>
  </si>
  <si>
    <t>AGEA.ASR.2020.1431209</t>
  </si>
  <si>
    <t>SERV. DEC. AGRICOLTURA E ALIM. -ASCOLI PICENO</t>
  </si>
  <si>
    <t>BIANCUCCI MICHELE</t>
  </si>
  <si>
    <t>AGEA.ASR.2020.1589513</t>
  </si>
  <si>
    <t>AGEA.ASR.2020.1579654</t>
  </si>
  <si>
    <t>COMUNE DI APPIGNANO DEL TRONTO</t>
  </si>
  <si>
    <t>AGEA.ASR.2020.1589536</t>
  </si>
  <si>
    <t>SERV. DEC. AGRICOLTURA E ALIMENTAZIONE - ANCONA</t>
  </si>
  <si>
    <t>CAA CIA - ANCONA - 006</t>
  </si>
  <si>
    <t>COMUNE DI CUPRAMONTANA</t>
  </si>
  <si>
    <t>COMUNE DI FRONTINO</t>
  </si>
  <si>
    <t>COMUNE DI LORETO</t>
  </si>
  <si>
    <t>COMUNE DI MONTALTO DELLE MARCHE</t>
  </si>
  <si>
    <t>COMUNE DI MONTECAROTTO</t>
  </si>
  <si>
    <t>COMUNE DI RECANATI</t>
  </si>
  <si>
    <t>COMUNE DI SANTA MARIA NUOVA</t>
  </si>
  <si>
    <t>CAA Coldiretti - PESARO E URBINO - 004</t>
  </si>
  <si>
    <t>COMUNE DI SASSOCORVARO AUDITORE</t>
  </si>
  <si>
    <t>CAA UNICAA - ASCOLI PICENO - 004</t>
  </si>
  <si>
    <t>VINEA SOCIETA' COOPERATIVA AGRICOLA</t>
  </si>
  <si>
    <t>AGEA.ASR.2020.1589511</t>
  </si>
  <si>
    <t>COMUNE DI LUNANO</t>
  </si>
  <si>
    <t>AGEA.ASR.2020.1579666</t>
  </si>
  <si>
    <t>CAA CIA - ASCOLI PICENO - 006</t>
  </si>
  <si>
    <t>TASSOTTI LUIGI</t>
  </si>
  <si>
    <t>AGEA.ASR.2020.1654488</t>
  </si>
  <si>
    <t>CAA Coldiretti - PESARO E URBINO - 013</t>
  </si>
  <si>
    <t>DI CARO CLAUDIO</t>
  </si>
  <si>
    <t>AGEA.ASR.2020.1594178</t>
  </si>
  <si>
    <t>CAA CIA - ANCONA - 002</t>
  </si>
  <si>
    <t>GERMOGLI SAS DI NICOLAI GIULIA SOCIETA' AGRICOLA</t>
  </si>
  <si>
    <t>FEDELI NICOLA</t>
  </si>
  <si>
    <t>CAA CIA - PESARO E URBINO - 002</t>
  </si>
  <si>
    <t>PIERUCCI ENZO</t>
  </si>
  <si>
    <t>AGEA.ASR.2020.1578348</t>
  </si>
  <si>
    <t>PRETE SILVIA</t>
  </si>
  <si>
    <t>AGEA.ASR.2020.1597768</t>
  </si>
  <si>
    <t>CAA Coldiretti - ASCOLI PICENO - 010</t>
  </si>
  <si>
    <t>GALLI STEFANO</t>
  </si>
  <si>
    <t>GASPARI LORIS</t>
  </si>
  <si>
    <t>CAA Coldiretti - PESARO E URBINO - 008</t>
  </si>
  <si>
    <t>SOCIETA' AGRICOLA TIBERI SECONDO E GIANLUCA S.S.</t>
  </si>
  <si>
    <t>CALINI PAOLA</t>
  </si>
  <si>
    <t>PALAFERRI GIOVANNI</t>
  </si>
  <si>
    <t>CAA CIA - ASCOLI PICENO - 004</t>
  </si>
  <si>
    <t>DI LORENZO ALESSANDRO</t>
  </si>
  <si>
    <t>CAA AGRISERVIZI - LATINA - 001</t>
  </si>
  <si>
    <t>BRANDIMARTI MAGDA</t>
  </si>
  <si>
    <t>RICCIOTTI ANTONIO</t>
  </si>
  <si>
    <t>SAN LAZZARO SOCIETA' AGR. SEMPLICE</t>
  </si>
  <si>
    <t>DESIDERI SAMUELE</t>
  </si>
  <si>
    <t>CAA Liberi Prof.- PESARO E URBINO - 001</t>
  </si>
  <si>
    <t>AIA VECCHIA SOCIETA' AGRICOLA S.S. DI MANDRELLI CHIARA &amp; C.</t>
  </si>
  <si>
    <t>CAA CIA - PESARO E URBINO - 003</t>
  </si>
  <si>
    <t>BRANCHINI ORIANA</t>
  </si>
  <si>
    <t>CECCARELLI GUIDO</t>
  </si>
  <si>
    <t>CAA CAF AGRI - PESARO E URBINO - 221</t>
  </si>
  <si>
    <t>MARIOTTI CESARINI ROMALDI GIUSEPPE</t>
  </si>
  <si>
    <t>CAA Coldiretti - PESARO E URBINO - 006</t>
  </si>
  <si>
    <t>MEROLLI MAURO</t>
  </si>
  <si>
    <t>CAA Coldiretti - RIMINI - 002</t>
  </si>
  <si>
    <t>VERGARI DANIELE</t>
  </si>
  <si>
    <t>ALESSANDRINI DANIELE</t>
  </si>
  <si>
    <t>BACCHIOCCHI MAICOL</t>
  </si>
  <si>
    <t>CAA Coldiretti - FERMO - 001</t>
  </si>
  <si>
    <t>CAA Coldiretti - MACERATA - 017</t>
  </si>
  <si>
    <t>FIECCHI LUDOVICO</t>
  </si>
  <si>
    <t>CAA CIA - PESARO E URBINO - 005</t>
  </si>
  <si>
    <t>GIUNGI FRANCESCO</t>
  </si>
  <si>
    <t>CAA LiberiAgricoltori - MACERATA - 002</t>
  </si>
  <si>
    <t>MAGGI NAZZARENO</t>
  </si>
  <si>
    <t>MENCARINI DANIELE</t>
  </si>
  <si>
    <t>CAA CIA - PESARO E URBINO - 007</t>
  </si>
  <si>
    <t>PARLANI PAOLO</t>
  </si>
  <si>
    <t>CAA Confagricoltura - PESARO E URBINO - 001</t>
  </si>
  <si>
    <t>SALTARELLI GIUSEPPE &amp; MIGIANI PASQUALE SOCIETA' AGRICOLA S.S.</t>
  </si>
  <si>
    <t>CAA Coldiretti - ANCONA - 005</t>
  </si>
  <si>
    <t>SCUPPA MARIANO</t>
  </si>
  <si>
    <t>CAA CIA - PESARO E URBINO - 006</t>
  </si>
  <si>
    <t>SOCIETA' AGRICOLA BRUSCIA S.S</t>
  </si>
  <si>
    <t>CAA Coldiretti - MACERATA - 007</t>
  </si>
  <si>
    <t>VICERE' PIETRO</t>
  </si>
  <si>
    <t>COMUNE DI CASTELPLANIO</t>
  </si>
  <si>
    <t>AGEA.ASR.2020.1589532</t>
  </si>
  <si>
    <t>COMUNE DI JESI</t>
  </si>
  <si>
    <t>COMUNE DI SAN GINESIO</t>
  </si>
  <si>
    <t>CINGOLANI GIOVANNI</t>
  </si>
  <si>
    <t>CAA CIA - ANCONA - 003</t>
  </si>
  <si>
    <t>TUMINI LAURA</t>
  </si>
  <si>
    <t>AGEA.ASR.2020.1266396</t>
  </si>
  <si>
    <t>BIAGETTI LORENA</t>
  </si>
  <si>
    <t>AZ. AGR. DI SANTE SOCIETA' AGRICOLA S.S.</t>
  </si>
  <si>
    <t>CAPITANI GIORGIO</t>
  </si>
  <si>
    <t>ANIBALLI FRANCO</t>
  </si>
  <si>
    <t>POLVERARI NELLO</t>
  </si>
  <si>
    <t>CAA CIA - PESARO E URBINO - 001</t>
  </si>
  <si>
    <t>MARIOTTI SERENA</t>
  </si>
  <si>
    <t>CAA Coldiretti - PESARO E URBINO - 010</t>
  </si>
  <si>
    <t>AZ. AGR. LUZI GIANNALBERTO - ALESSANDRO &amp; C. SOCIETA'AGRICOLA S.S.</t>
  </si>
  <si>
    <t>PERUGINI GIOVANNI</t>
  </si>
  <si>
    <t>BRUNETTI MARCO</t>
  </si>
  <si>
    <t>CARLONI ANTONELLO</t>
  </si>
  <si>
    <t>BRUNETTI MASSIMO</t>
  </si>
  <si>
    <t>CESARINI ROSANNA</t>
  </si>
  <si>
    <t>DE SANCTIS PASQUALINA</t>
  </si>
  <si>
    <t>FOSSI DAVIDE</t>
  </si>
  <si>
    <t>LAZZARI DAVIDE</t>
  </si>
  <si>
    <t>CAA UNICAA - ANCONA - 003</t>
  </si>
  <si>
    <t>CICCOLINI GIANLUIGI</t>
  </si>
  <si>
    <t>WOLF SRL</t>
  </si>
  <si>
    <t>CAA Confagricoltura - ANCONA - 001</t>
  </si>
  <si>
    <t>CONRIERI ALBERTO</t>
  </si>
  <si>
    <t>CAA Coldiretti - PESARO E URBINO - 001</t>
  </si>
  <si>
    <t>ROMITELLI FAUSTO</t>
  </si>
  <si>
    <t>SOCIETA' AGRICOLA IL RAGGIO DI SOLE DI ORPELLO S.S.</t>
  </si>
  <si>
    <t>CASALE DA' RO' SOCIETA' SEMPLICE AGRICOLA DI PACCUSSE ROBERTA E MARCHE</t>
  </si>
  <si>
    <t>AGEA.ASR.2020.1435004</t>
  </si>
  <si>
    <t>CAMAIANI PIETRO PAOLO</t>
  </si>
  <si>
    <t>AGEA.ASR.2020.1588950</t>
  </si>
  <si>
    <t>CAA Degli Agricoltori - ANCONA - 102</t>
  </si>
  <si>
    <t>REFI FABIO</t>
  </si>
  <si>
    <t>AGEA.ASR.2020.1266377</t>
  </si>
  <si>
    <t>COMUNE DI APIRO</t>
  </si>
  <si>
    <t>AGEA.ASR.2020.1637223</t>
  </si>
  <si>
    <t>COMUNE DI CORINALDO</t>
  </si>
  <si>
    <t>COMUNE DI OFFAGNA</t>
  </si>
  <si>
    <t>COMUNE DI OSTRA</t>
  </si>
  <si>
    <t>COMUNE PETRIOLO</t>
  </si>
  <si>
    <t>LUCIANI EMANUELE</t>
  </si>
  <si>
    <t>AGEA.ASR.2020.1433916</t>
  </si>
  <si>
    <t>CALAMANTE GIORGIO</t>
  </si>
  <si>
    <t>CONSORZIO MARCHE BIOLOGICHE SOC.COOP AGR</t>
  </si>
  <si>
    <t>AGEA.ASR.2020.1430916</t>
  </si>
  <si>
    <t>CONSORZIO MARCHE VERDI SOC.COOP.AGRICOLA E FORESTALE</t>
  </si>
  <si>
    <t>AGEA.ASR.2020.1637247</t>
  </si>
  <si>
    <t>COMUNE DI MONTEMONACO</t>
  </si>
  <si>
    <t>AGEA.ASR.2020.1599079</t>
  </si>
  <si>
    <t>CAA CIA - ANCONA - 005</t>
  </si>
  <si>
    <t>PATERNIANI DOMENICO</t>
  </si>
  <si>
    <t>CAA CAF AGRI - ANCONA - 221</t>
  </si>
  <si>
    <t>FORTUNATI DAVIDE</t>
  </si>
  <si>
    <t>CAA Coldiretti - ANCONA - 006</t>
  </si>
  <si>
    <t>VITALI MORENO</t>
  </si>
  <si>
    <t>CERIONI CRISTINA</t>
  </si>
  <si>
    <t>AGEA.ASR.2020.1594165</t>
  </si>
  <si>
    <t>CAA Coldiretti - ANCONA - 003</t>
  </si>
  <si>
    <t>BEFANUCCI EMANUELE</t>
  </si>
  <si>
    <t>FILIPPONI GIORGIO</t>
  </si>
  <si>
    <t>CAA Coldiretti - ANCONA - 001</t>
  </si>
  <si>
    <t>MARINI PAOLO</t>
  </si>
  <si>
    <t>AGEA.ASR.2020.1579676</t>
  </si>
  <si>
    <t>SOCIETA' AGRICOLA COLLE CASINI CORTESI DI DIGNANI MATTEO &amp; C. S.S.</t>
  </si>
  <si>
    <t>AGEA.ASR.2020.1430456</t>
  </si>
  <si>
    <t>SOCIETA AGRICOLA LA.CRI.MA. VERDE S.S.</t>
  </si>
  <si>
    <t>GRESTA SILENO</t>
  </si>
  <si>
    <t>AGEA.ASR.2020.1589529</t>
  </si>
  <si>
    <t>AGENZIA SERVIZI SETTORE AGROALIMENTARE MARCHE (ASSAM)</t>
  </si>
  <si>
    <t>AGEA.ASR.2020.1602879</t>
  </si>
  <si>
    <t>IACOZZI MASSIMO</t>
  </si>
  <si>
    <t>AGEA.ASR.2020.1431180</t>
  </si>
  <si>
    <t>AGEA.ASR.2020.1435007</t>
  </si>
  <si>
    <t>CAA Coldiretti - ASCOLI PICENO - 040</t>
  </si>
  <si>
    <t>AURELI MORENO</t>
  </si>
  <si>
    <t>AGEA.ASR.2020.1616309</t>
  </si>
  <si>
    <t>GEMINIANI PIO</t>
  </si>
  <si>
    <t>OTTAVIANI MIRCO</t>
  </si>
  <si>
    <t>PETRACCI PAOLO</t>
  </si>
  <si>
    <t>PIGNOTTI MANUELA</t>
  </si>
  <si>
    <t>VAGNONI ELVIO</t>
  </si>
  <si>
    <t>VICARI SOCIETA' SEMPLICE AGRICOLA DI VICARI NAZZARENO, VICO E VALENTIN</t>
  </si>
  <si>
    <t>MANNOCCHI GABRIELE &amp; MATTIOLI GIULIANA</t>
  </si>
  <si>
    <t>LE VIGNE DI CLEMENTINA FABI SOCIETA' AGRICOLA A R. L.</t>
  </si>
  <si>
    <t>SOCIETA' AGRICOLA IERVICELLA ALESSANDRO ED ELIO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</si>
</sst>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B442-D4CF-4D35-B6DE-9754F986D224}">
  <dimension ref="A1:Y124"/>
  <sheetViews>
    <sheetView showGridLines="0" tabSelected="1" workbookViewId="0">
      <selection activeCell="E131" sqref="E131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5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5.855468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43</v>
      </c>
      <c r="C4" s="5" t="s">
        <v>48</v>
      </c>
      <c r="D4" s="5" t="s">
        <v>49</v>
      </c>
      <c r="E4" s="5" t="s">
        <v>42</v>
      </c>
      <c r="F4" s="5" t="s">
        <v>50</v>
      </c>
      <c r="G4" s="5">
        <v>2019</v>
      </c>
      <c r="H4" s="5" t="str">
        <f>CONCATENATE("94240588890")</f>
        <v>94240588890</v>
      </c>
      <c r="I4" s="5" t="s">
        <v>29</v>
      </c>
      <c r="J4" s="5" t="s">
        <v>30</v>
      </c>
      <c r="K4" s="5" t="str">
        <f>CONCATENATE("")</f>
        <v/>
      </c>
      <c r="L4" s="5" t="str">
        <f>CONCATENATE("11 11.2 4b")</f>
        <v>11 11.2 4b</v>
      </c>
      <c r="M4" s="5" t="str">
        <f>CONCATENATE("BRNRSO52E55C704U")</f>
        <v>BRNRSO52E55C704U</v>
      </c>
      <c r="N4" s="5" t="s">
        <v>51</v>
      </c>
      <c r="O4" s="5" t="s">
        <v>52</v>
      </c>
      <c r="P4" s="6">
        <v>44000</v>
      </c>
      <c r="Q4" s="5" t="s">
        <v>31</v>
      </c>
      <c r="R4" s="5" t="s">
        <v>34</v>
      </c>
      <c r="S4" s="5" t="s">
        <v>33</v>
      </c>
      <c r="T4" s="5"/>
      <c r="U4" s="7">
        <v>1814.26</v>
      </c>
      <c r="V4" s="5">
        <v>782.31</v>
      </c>
      <c r="W4" s="5">
        <v>722.44</v>
      </c>
      <c r="X4" s="5">
        <v>0</v>
      </c>
      <c r="Y4" s="5">
        <v>309.51</v>
      </c>
    </row>
    <row r="5" spans="1:25" ht="24.75" x14ac:dyDescent="0.25">
      <c r="A5" s="5" t="s">
        <v>26</v>
      </c>
      <c r="B5" s="5" t="s">
        <v>43</v>
      </c>
      <c r="C5" s="5" t="s">
        <v>48</v>
      </c>
      <c r="D5" s="5" t="s">
        <v>49</v>
      </c>
      <c r="E5" s="5" t="s">
        <v>42</v>
      </c>
      <c r="F5" s="5" t="s">
        <v>50</v>
      </c>
      <c r="G5" s="5">
        <v>2018</v>
      </c>
      <c r="H5" s="5" t="str">
        <f>CONCATENATE("84240797104")</f>
        <v>84240797104</v>
      </c>
      <c r="I5" s="5" t="s">
        <v>29</v>
      </c>
      <c r="J5" s="5" t="s">
        <v>30</v>
      </c>
      <c r="K5" s="5" t="str">
        <f>CONCATENATE("")</f>
        <v/>
      </c>
      <c r="L5" s="5" t="str">
        <f>CONCATENATE("11 11.2 4b")</f>
        <v>11 11.2 4b</v>
      </c>
      <c r="M5" s="5" t="str">
        <f>CONCATENATE("BRNRSO52E55C704U")</f>
        <v>BRNRSO52E55C704U</v>
      </c>
      <c r="N5" s="5" t="s">
        <v>51</v>
      </c>
      <c r="O5" s="5" t="s">
        <v>52</v>
      </c>
      <c r="P5" s="6">
        <v>44000</v>
      </c>
      <c r="Q5" s="5" t="s">
        <v>31</v>
      </c>
      <c r="R5" s="5" t="s">
        <v>34</v>
      </c>
      <c r="S5" s="5" t="s">
        <v>33</v>
      </c>
      <c r="T5" s="5"/>
      <c r="U5" s="7">
        <v>1560.5</v>
      </c>
      <c r="V5" s="5">
        <v>672.89</v>
      </c>
      <c r="W5" s="5">
        <v>621.39</v>
      </c>
      <c r="X5" s="5">
        <v>0</v>
      </c>
      <c r="Y5" s="5">
        <v>266.22000000000003</v>
      </c>
    </row>
    <row r="6" spans="1:25" ht="24.75" x14ac:dyDescent="0.25">
      <c r="A6" s="5" t="s">
        <v>26</v>
      </c>
      <c r="B6" s="5" t="s">
        <v>27</v>
      </c>
      <c r="C6" s="5" t="s">
        <v>48</v>
      </c>
      <c r="D6" s="5" t="s">
        <v>53</v>
      </c>
      <c r="E6" s="5" t="s">
        <v>35</v>
      </c>
      <c r="F6" s="5" t="s">
        <v>35</v>
      </c>
      <c r="G6" s="5">
        <v>2017</v>
      </c>
      <c r="H6" s="5" t="str">
        <f>CONCATENATE("04270163092")</f>
        <v>04270163092</v>
      </c>
      <c r="I6" s="5" t="s">
        <v>29</v>
      </c>
      <c r="J6" s="5" t="s">
        <v>30</v>
      </c>
      <c r="K6" s="5" t="str">
        <f>CONCATENATE("")</f>
        <v/>
      </c>
      <c r="L6" s="5" t="str">
        <f>CONCATENATE("1 1.1 2a")</f>
        <v>1 1.1 2a</v>
      </c>
      <c r="M6" s="5" t="str">
        <f>CONCATENATE("02051370423")</f>
        <v>02051370423</v>
      </c>
      <c r="N6" s="5" t="s">
        <v>54</v>
      </c>
      <c r="O6" s="5" t="s">
        <v>55</v>
      </c>
      <c r="P6" s="6">
        <v>44159</v>
      </c>
      <c r="Q6" s="5" t="s">
        <v>31</v>
      </c>
      <c r="R6" s="5" t="s">
        <v>34</v>
      </c>
      <c r="S6" s="5" t="s">
        <v>33</v>
      </c>
      <c r="T6" s="5"/>
      <c r="U6" s="7">
        <v>1524.6</v>
      </c>
      <c r="V6" s="5">
        <v>657.41</v>
      </c>
      <c r="W6" s="5">
        <v>607.1</v>
      </c>
      <c r="X6" s="5">
        <v>0</v>
      </c>
      <c r="Y6" s="5">
        <v>260.08999999999997</v>
      </c>
    </row>
    <row r="7" spans="1:25" ht="24.75" x14ac:dyDescent="0.25">
      <c r="A7" s="5" t="s">
        <v>26</v>
      </c>
      <c r="B7" s="5" t="s">
        <v>27</v>
      </c>
      <c r="C7" s="5" t="s">
        <v>48</v>
      </c>
      <c r="D7" s="5" t="s">
        <v>53</v>
      </c>
      <c r="E7" s="5" t="s">
        <v>35</v>
      </c>
      <c r="F7" s="5" t="s">
        <v>35</v>
      </c>
      <c r="G7" s="5">
        <v>2017</v>
      </c>
      <c r="H7" s="5" t="str">
        <f>CONCATENATE("04270150313")</f>
        <v>04270150313</v>
      </c>
      <c r="I7" s="5" t="s">
        <v>29</v>
      </c>
      <c r="J7" s="5" t="s">
        <v>30</v>
      </c>
      <c r="K7" s="5" t="str">
        <f>CONCATENATE("")</f>
        <v/>
      </c>
      <c r="L7" s="5" t="str">
        <f>CONCATENATE("4 4.1 2a")</f>
        <v>4 4.1 2a</v>
      </c>
      <c r="M7" s="5" t="str">
        <f>CONCATENATE("01988060438")</f>
        <v>01988060438</v>
      </c>
      <c r="N7" s="5" t="s">
        <v>56</v>
      </c>
      <c r="O7" s="5" t="s">
        <v>57</v>
      </c>
      <c r="P7" s="6">
        <v>44147</v>
      </c>
      <c r="Q7" s="5" t="s">
        <v>31</v>
      </c>
      <c r="R7" s="5" t="s">
        <v>32</v>
      </c>
      <c r="S7" s="5" t="s">
        <v>33</v>
      </c>
      <c r="T7" s="5"/>
      <c r="U7" s="7">
        <v>32044.720000000001</v>
      </c>
      <c r="V7" s="7">
        <v>13817.68</v>
      </c>
      <c r="W7" s="7">
        <v>12760.21</v>
      </c>
      <c r="X7" s="5">
        <v>0</v>
      </c>
      <c r="Y7" s="7">
        <v>5466.83</v>
      </c>
    </row>
    <row r="8" spans="1:25" ht="24.75" x14ac:dyDescent="0.25">
      <c r="A8" s="5" t="s">
        <v>26</v>
      </c>
      <c r="B8" s="5" t="s">
        <v>27</v>
      </c>
      <c r="C8" s="5" t="s">
        <v>48</v>
      </c>
      <c r="D8" s="5" t="s">
        <v>58</v>
      </c>
      <c r="E8" s="5" t="s">
        <v>35</v>
      </c>
      <c r="F8" s="5" t="s">
        <v>35</v>
      </c>
      <c r="G8" s="5">
        <v>2017</v>
      </c>
      <c r="H8" s="5" t="str">
        <f>CONCATENATE("04270150164")</f>
        <v>04270150164</v>
      </c>
      <c r="I8" s="5" t="s">
        <v>29</v>
      </c>
      <c r="J8" s="5" t="s">
        <v>30</v>
      </c>
      <c r="K8" s="5" t="str">
        <f>CONCATENATE("")</f>
        <v/>
      </c>
      <c r="L8" s="5" t="str">
        <f>CONCATENATE("3 3.1 3a")</f>
        <v>3 3.1 3a</v>
      </c>
      <c r="M8" s="5" t="str">
        <f>CONCATENATE("BNCMHL91E10D542M")</f>
        <v>BNCMHL91E10D542M</v>
      </c>
      <c r="N8" s="5" t="s">
        <v>59</v>
      </c>
      <c r="O8" s="5" t="s">
        <v>60</v>
      </c>
      <c r="P8" s="6">
        <v>44152</v>
      </c>
      <c r="Q8" s="5" t="s">
        <v>31</v>
      </c>
      <c r="R8" s="5" t="s">
        <v>36</v>
      </c>
      <c r="S8" s="5" t="s">
        <v>33</v>
      </c>
      <c r="T8" s="5"/>
      <c r="U8" s="7">
        <v>1160.8499999999999</v>
      </c>
      <c r="V8" s="5">
        <v>500.56</v>
      </c>
      <c r="W8" s="5">
        <v>462.25</v>
      </c>
      <c r="X8" s="5">
        <v>0</v>
      </c>
      <c r="Y8" s="5">
        <v>198.04</v>
      </c>
    </row>
    <row r="9" spans="1:25" x14ac:dyDescent="0.25">
      <c r="A9" s="5" t="s">
        <v>26</v>
      </c>
      <c r="B9" s="5" t="s">
        <v>27</v>
      </c>
      <c r="C9" s="5" t="s">
        <v>48</v>
      </c>
      <c r="D9" s="5" t="s">
        <v>49</v>
      </c>
      <c r="E9" s="5" t="s">
        <v>35</v>
      </c>
      <c r="F9" s="5" t="s">
        <v>35</v>
      </c>
      <c r="G9" s="5">
        <v>2017</v>
      </c>
      <c r="H9" s="5" t="str">
        <f>CONCATENATE("04270149299")</f>
        <v>04270149299</v>
      </c>
      <c r="I9" s="5" t="s">
        <v>29</v>
      </c>
      <c r="J9" s="5" t="s">
        <v>30</v>
      </c>
      <c r="K9" s="5" t="str">
        <f>CONCATENATE("")</f>
        <v/>
      </c>
      <c r="L9" s="5" t="str">
        <f>CONCATENATE("1 1.1 2a")</f>
        <v>1 1.1 2a</v>
      </c>
      <c r="M9" s="5" t="str">
        <f>CONCATENATE("02051370423")</f>
        <v>02051370423</v>
      </c>
      <c r="N9" s="5" t="s">
        <v>54</v>
      </c>
      <c r="O9" s="5" t="s">
        <v>61</v>
      </c>
      <c r="P9" s="6">
        <v>44147</v>
      </c>
      <c r="Q9" s="5" t="s">
        <v>31</v>
      </c>
      <c r="R9" s="5" t="s">
        <v>34</v>
      </c>
      <c r="S9" s="5" t="s">
        <v>33</v>
      </c>
      <c r="T9" s="5"/>
      <c r="U9" s="7">
        <v>1980</v>
      </c>
      <c r="V9" s="5">
        <v>853.78</v>
      </c>
      <c r="W9" s="5">
        <v>788.44</v>
      </c>
      <c r="X9" s="5">
        <v>0</v>
      </c>
      <c r="Y9" s="5">
        <v>337.78</v>
      </c>
    </row>
    <row r="10" spans="1:25" ht="24.75" x14ac:dyDescent="0.25">
      <c r="A10" s="5" t="s">
        <v>26</v>
      </c>
      <c r="B10" s="5" t="s">
        <v>27</v>
      </c>
      <c r="C10" s="5" t="s">
        <v>48</v>
      </c>
      <c r="D10" s="5" t="s">
        <v>58</v>
      </c>
      <c r="E10" s="5" t="s">
        <v>35</v>
      </c>
      <c r="F10" s="5" t="s">
        <v>35</v>
      </c>
      <c r="G10" s="5">
        <v>2017</v>
      </c>
      <c r="H10" s="5" t="str">
        <f>CONCATENATE("04270154653")</f>
        <v>04270154653</v>
      </c>
      <c r="I10" s="5" t="s">
        <v>29</v>
      </c>
      <c r="J10" s="5" t="s">
        <v>30</v>
      </c>
      <c r="K10" s="5" t="str">
        <f>CONCATENATE("")</f>
        <v/>
      </c>
      <c r="L10" s="5" t="str">
        <f>CONCATENATE("16 16.5 4c")</f>
        <v>16 16.5 4c</v>
      </c>
      <c r="M10" s="5" t="str">
        <f>CONCATENATE("00363500448")</f>
        <v>00363500448</v>
      </c>
      <c r="N10" s="5" t="s">
        <v>62</v>
      </c>
      <c r="O10" s="5" t="s">
        <v>63</v>
      </c>
      <c r="P10" s="6">
        <v>44151</v>
      </c>
      <c r="Q10" s="5" t="s">
        <v>31</v>
      </c>
      <c r="R10" s="5" t="s">
        <v>34</v>
      </c>
      <c r="S10" s="5" t="s">
        <v>33</v>
      </c>
      <c r="T10" s="5"/>
      <c r="U10" s="7">
        <v>19910.400000000001</v>
      </c>
      <c r="V10" s="7">
        <v>8585.36</v>
      </c>
      <c r="W10" s="7">
        <v>7928.32</v>
      </c>
      <c r="X10" s="5">
        <v>0</v>
      </c>
      <c r="Y10" s="7">
        <v>3396.72</v>
      </c>
    </row>
    <row r="11" spans="1:25" ht="24.75" x14ac:dyDescent="0.25">
      <c r="A11" s="5" t="s">
        <v>26</v>
      </c>
      <c r="B11" s="5" t="s">
        <v>27</v>
      </c>
      <c r="C11" s="5" t="s">
        <v>48</v>
      </c>
      <c r="D11" s="5" t="s">
        <v>64</v>
      </c>
      <c r="E11" s="5" t="s">
        <v>28</v>
      </c>
      <c r="F11" s="5" t="s">
        <v>65</v>
      </c>
      <c r="G11" s="5">
        <v>2017</v>
      </c>
      <c r="H11" s="5" t="str">
        <f>CONCATENATE("04270154620")</f>
        <v>04270154620</v>
      </c>
      <c r="I11" s="5" t="s">
        <v>29</v>
      </c>
      <c r="J11" s="5" t="s">
        <v>30</v>
      </c>
      <c r="K11" s="5" t="str">
        <f>CONCATENATE("")</f>
        <v/>
      </c>
      <c r="L11" s="5" t="str">
        <f>CONCATENATE("16 16.5 4c")</f>
        <v>16 16.5 4c</v>
      </c>
      <c r="M11" s="5" t="str">
        <f>CONCATENATE("00208390427")</f>
        <v>00208390427</v>
      </c>
      <c r="N11" s="5" t="s">
        <v>66</v>
      </c>
      <c r="O11" s="5" t="s">
        <v>63</v>
      </c>
      <c r="P11" s="6">
        <v>44151</v>
      </c>
      <c r="Q11" s="5" t="s">
        <v>31</v>
      </c>
      <c r="R11" s="5" t="s">
        <v>34</v>
      </c>
      <c r="S11" s="5" t="s">
        <v>33</v>
      </c>
      <c r="T11" s="5"/>
      <c r="U11" s="7">
        <v>20000</v>
      </c>
      <c r="V11" s="7">
        <v>8624</v>
      </c>
      <c r="W11" s="7">
        <v>7964</v>
      </c>
      <c r="X11" s="5">
        <v>0</v>
      </c>
      <c r="Y11" s="7">
        <v>3412</v>
      </c>
    </row>
    <row r="12" spans="1:25" ht="24.75" x14ac:dyDescent="0.25">
      <c r="A12" s="5" t="s">
        <v>26</v>
      </c>
      <c r="B12" s="5" t="s">
        <v>27</v>
      </c>
      <c r="C12" s="5" t="s">
        <v>48</v>
      </c>
      <c r="D12" s="5" t="s">
        <v>53</v>
      </c>
      <c r="E12" s="5" t="s">
        <v>35</v>
      </c>
      <c r="F12" s="5" t="s">
        <v>35</v>
      </c>
      <c r="G12" s="5">
        <v>2017</v>
      </c>
      <c r="H12" s="5" t="str">
        <f>CONCATENATE("04270154612")</f>
        <v>04270154612</v>
      </c>
      <c r="I12" s="5" t="s">
        <v>29</v>
      </c>
      <c r="J12" s="5" t="s">
        <v>30</v>
      </c>
      <c r="K12" s="5" t="str">
        <f>CONCATENATE("")</f>
        <v/>
      </c>
      <c r="L12" s="5" t="str">
        <f>CONCATENATE("16 16.5 4c")</f>
        <v>16 16.5 4c</v>
      </c>
      <c r="M12" s="5" t="str">
        <f>CONCATENATE("00360580419")</f>
        <v>00360580419</v>
      </c>
      <c r="N12" s="5" t="s">
        <v>67</v>
      </c>
      <c r="O12" s="5" t="s">
        <v>63</v>
      </c>
      <c r="P12" s="6">
        <v>44151</v>
      </c>
      <c r="Q12" s="5" t="s">
        <v>31</v>
      </c>
      <c r="R12" s="5" t="s">
        <v>34</v>
      </c>
      <c r="S12" s="5" t="s">
        <v>33</v>
      </c>
      <c r="T12" s="5"/>
      <c r="U12" s="7">
        <v>20000</v>
      </c>
      <c r="V12" s="7">
        <v>8624</v>
      </c>
      <c r="W12" s="7">
        <v>7964</v>
      </c>
      <c r="X12" s="5">
        <v>0</v>
      </c>
      <c r="Y12" s="7">
        <v>3412</v>
      </c>
    </row>
    <row r="13" spans="1:25" ht="24.75" x14ac:dyDescent="0.25">
      <c r="A13" s="5" t="s">
        <v>26</v>
      </c>
      <c r="B13" s="5" t="s">
        <v>27</v>
      </c>
      <c r="C13" s="5" t="s">
        <v>48</v>
      </c>
      <c r="D13" s="5" t="s">
        <v>64</v>
      </c>
      <c r="E13" s="5" t="s">
        <v>28</v>
      </c>
      <c r="F13" s="5" t="s">
        <v>65</v>
      </c>
      <c r="G13" s="5">
        <v>2017</v>
      </c>
      <c r="H13" s="5" t="str">
        <f>CONCATENATE("04270154638")</f>
        <v>04270154638</v>
      </c>
      <c r="I13" s="5" t="s">
        <v>29</v>
      </c>
      <c r="J13" s="5" t="s">
        <v>30</v>
      </c>
      <c r="K13" s="5" t="str">
        <f>CONCATENATE("")</f>
        <v/>
      </c>
      <c r="L13" s="5" t="str">
        <f>CONCATENATE("16 16.5 4c")</f>
        <v>16 16.5 4c</v>
      </c>
      <c r="M13" s="5" t="str">
        <f>CONCATENATE("00319830428")</f>
        <v>00319830428</v>
      </c>
      <c r="N13" s="5" t="s">
        <v>68</v>
      </c>
      <c r="O13" s="5" t="s">
        <v>63</v>
      </c>
      <c r="P13" s="6">
        <v>44151</v>
      </c>
      <c r="Q13" s="5" t="s">
        <v>31</v>
      </c>
      <c r="R13" s="5" t="s">
        <v>34</v>
      </c>
      <c r="S13" s="5" t="s">
        <v>33</v>
      </c>
      <c r="T13" s="5"/>
      <c r="U13" s="7">
        <v>20000</v>
      </c>
      <c r="V13" s="7">
        <v>8624</v>
      </c>
      <c r="W13" s="7">
        <v>7964</v>
      </c>
      <c r="X13" s="5">
        <v>0</v>
      </c>
      <c r="Y13" s="7">
        <v>3412</v>
      </c>
    </row>
    <row r="14" spans="1:25" ht="24.75" x14ac:dyDescent="0.25">
      <c r="A14" s="5" t="s">
        <v>26</v>
      </c>
      <c r="B14" s="5" t="s">
        <v>27</v>
      </c>
      <c r="C14" s="5" t="s">
        <v>48</v>
      </c>
      <c r="D14" s="5" t="s">
        <v>58</v>
      </c>
      <c r="E14" s="5" t="s">
        <v>35</v>
      </c>
      <c r="F14" s="5" t="s">
        <v>35</v>
      </c>
      <c r="G14" s="5">
        <v>2017</v>
      </c>
      <c r="H14" s="5" t="str">
        <f>CONCATENATE("04270154562")</f>
        <v>04270154562</v>
      </c>
      <c r="I14" s="5" t="s">
        <v>29</v>
      </c>
      <c r="J14" s="5" t="s">
        <v>30</v>
      </c>
      <c r="K14" s="5" t="str">
        <f>CONCATENATE("")</f>
        <v/>
      </c>
      <c r="L14" s="5" t="str">
        <f>CONCATENATE("16 16.5 4c")</f>
        <v>16 16.5 4c</v>
      </c>
      <c r="M14" s="5" t="str">
        <f>CONCATENATE("80000490443")</f>
        <v>80000490443</v>
      </c>
      <c r="N14" s="5" t="s">
        <v>69</v>
      </c>
      <c r="O14" s="5" t="s">
        <v>63</v>
      </c>
      <c r="P14" s="6">
        <v>44151</v>
      </c>
      <c r="Q14" s="5" t="s">
        <v>31</v>
      </c>
      <c r="R14" s="5" t="s">
        <v>34</v>
      </c>
      <c r="S14" s="5" t="s">
        <v>33</v>
      </c>
      <c r="T14" s="5"/>
      <c r="U14" s="7">
        <v>20000</v>
      </c>
      <c r="V14" s="7">
        <v>8624</v>
      </c>
      <c r="W14" s="7">
        <v>7964</v>
      </c>
      <c r="X14" s="5">
        <v>0</v>
      </c>
      <c r="Y14" s="7">
        <v>3412</v>
      </c>
    </row>
    <row r="15" spans="1:25" ht="24.75" x14ac:dyDescent="0.25">
      <c r="A15" s="5" t="s">
        <v>26</v>
      </c>
      <c r="B15" s="5" t="s">
        <v>27</v>
      </c>
      <c r="C15" s="5" t="s">
        <v>48</v>
      </c>
      <c r="D15" s="5" t="s">
        <v>64</v>
      </c>
      <c r="E15" s="5" t="s">
        <v>28</v>
      </c>
      <c r="F15" s="5" t="s">
        <v>65</v>
      </c>
      <c r="G15" s="5">
        <v>2017</v>
      </c>
      <c r="H15" s="5" t="str">
        <f>CONCATENATE("04270154646")</f>
        <v>04270154646</v>
      </c>
      <c r="I15" s="5" t="s">
        <v>29</v>
      </c>
      <c r="J15" s="5" t="s">
        <v>30</v>
      </c>
      <c r="K15" s="5" t="str">
        <f>CONCATENATE("")</f>
        <v/>
      </c>
      <c r="L15" s="5" t="str">
        <f>CONCATENATE("16 16.5 4c")</f>
        <v>16 16.5 4c</v>
      </c>
      <c r="M15" s="5" t="str">
        <f>CONCATENATE("00114600422")</f>
        <v>00114600422</v>
      </c>
      <c r="N15" s="5" t="s">
        <v>70</v>
      </c>
      <c r="O15" s="5" t="s">
        <v>63</v>
      </c>
      <c r="P15" s="6">
        <v>44151</v>
      </c>
      <c r="Q15" s="5" t="s">
        <v>31</v>
      </c>
      <c r="R15" s="5" t="s">
        <v>34</v>
      </c>
      <c r="S15" s="5" t="s">
        <v>33</v>
      </c>
      <c r="T15" s="5"/>
      <c r="U15" s="7">
        <v>19973.599999999999</v>
      </c>
      <c r="V15" s="7">
        <v>8612.6200000000008</v>
      </c>
      <c r="W15" s="7">
        <v>7953.49</v>
      </c>
      <c r="X15" s="5">
        <v>0</v>
      </c>
      <c r="Y15" s="7">
        <v>3407.49</v>
      </c>
    </row>
    <row r="16" spans="1:25" x14ac:dyDescent="0.25">
      <c r="A16" s="5" t="s">
        <v>26</v>
      </c>
      <c r="B16" s="5" t="s">
        <v>27</v>
      </c>
      <c r="C16" s="5" t="s">
        <v>48</v>
      </c>
      <c r="D16" s="5" t="s">
        <v>49</v>
      </c>
      <c r="E16" s="5" t="s">
        <v>28</v>
      </c>
      <c r="F16" s="5" t="s">
        <v>65</v>
      </c>
      <c r="G16" s="5">
        <v>2017</v>
      </c>
      <c r="H16" s="5" t="str">
        <f>CONCATENATE("04270154604")</f>
        <v>04270154604</v>
      </c>
      <c r="I16" s="5" t="s">
        <v>29</v>
      </c>
      <c r="J16" s="5" t="s">
        <v>30</v>
      </c>
      <c r="K16" s="5" t="str">
        <f>CONCATENATE("")</f>
        <v/>
      </c>
      <c r="L16" s="5" t="str">
        <f>CONCATENATE("16 16.5 4c")</f>
        <v>16 16.5 4c</v>
      </c>
      <c r="M16" s="5" t="str">
        <f>CONCATENATE("00284570439")</f>
        <v>00284570439</v>
      </c>
      <c r="N16" s="5" t="s">
        <v>71</v>
      </c>
      <c r="O16" s="5" t="s">
        <v>63</v>
      </c>
      <c r="P16" s="6">
        <v>44151</v>
      </c>
      <c r="Q16" s="5" t="s">
        <v>31</v>
      </c>
      <c r="R16" s="5" t="s">
        <v>34</v>
      </c>
      <c r="S16" s="5" t="s">
        <v>33</v>
      </c>
      <c r="T16" s="5"/>
      <c r="U16" s="7">
        <v>20000</v>
      </c>
      <c r="V16" s="7">
        <v>8624</v>
      </c>
      <c r="W16" s="7">
        <v>7964</v>
      </c>
      <c r="X16" s="5">
        <v>0</v>
      </c>
      <c r="Y16" s="7">
        <v>3412</v>
      </c>
    </row>
    <row r="17" spans="1:25" ht="24.75" x14ac:dyDescent="0.25">
      <c r="A17" s="5" t="s">
        <v>26</v>
      </c>
      <c r="B17" s="5" t="s">
        <v>27</v>
      </c>
      <c r="C17" s="5" t="s">
        <v>48</v>
      </c>
      <c r="D17" s="5" t="s">
        <v>64</v>
      </c>
      <c r="E17" s="5" t="s">
        <v>28</v>
      </c>
      <c r="F17" s="5" t="s">
        <v>65</v>
      </c>
      <c r="G17" s="5">
        <v>2017</v>
      </c>
      <c r="H17" s="5" t="str">
        <f>CONCATENATE("04270154596")</f>
        <v>04270154596</v>
      </c>
      <c r="I17" s="5" t="s">
        <v>29</v>
      </c>
      <c r="J17" s="5" t="s">
        <v>30</v>
      </c>
      <c r="K17" s="5" t="str">
        <f>CONCATENATE("")</f>
        <v/>
      </c>
      <c r="L17" s="5" t="str">
        <f>CONCATENATE("16 16.5 4c")</f>
        <v>16 16.5 4c</v>
      </c>
      <c r="M17" s="5" t="str">
        <f>CONCATENATE("00130350424")</f>
        <v>00130350424</v>
      </c>
      <c r="N17" s="5" t="s">
        <v>72</v>
      </c>
      <c r="O17" s="5" t="s">
        <v>63</v>
      </c>
      <c r="P17" s="6">
        <v>44151</v>
      </c>
      <c r="Q17" s="5" t="s">
        <v>31</v>
      </c>
      <c r="R17" s="5" t="s">
        <v>34</v>
      </c>
      <c r="S17" s="5" t="s">
        <v>33</v>
      </c>
      <c r="T17" s="5"/>
      <c r="U17" s="7">
        <v>20000</v>
      </c>
      <c r="V17" s="7">
        <v>8624</v>
      </c>
      <c r="W17" s="7">
        <v>7964</v>
      </c>
      <c r="X17" s="5">
        <v>0</v>
      </c>
      <c r="Y17" s="7">
        <v>3412</v>
      </c>
    </row>
    <row r="18" spans="1:25" ht="24.75" x14ac:dyDescent="0.25">
      <c r="A18" s="5" t="s">
        <v>26</v>
      </c>
      <c r="B18" s="5" t="s">
        <v>27</v>
      </c>
      <c r="C18" s="5" t="s">
        <v>48</v>
      </c>
      <c r="D18" s="5" t="s">
        <v>53</v>
      </c>
      <c r="E18" s="5" t="s">
        <v>40</v>
      </c>
      <c r="F18" s="5" t="s">
        <v>73</v>
      </c>
      <c r="G18" s="5">
        <v>2017</v>
      </c>
      <c r="H18" s="5" t="str">
        <f>CONCATENATE("04270154570")</f>
        <v>04270154570</v>
      </c>
      <c r="I18" s="5" t="s">
        <v>29</v>
      </c>
      <c r="J18" s="5" t="s">
        <v>30</v>
      </c>
      <c r="K18" s="5" t="str">
        <f>CONCATENATE("")</f>
        <v/>
      </c>
      <c r="L18" s="5" t="str">
        <f>CONCATENATE("16 16.5 4c")</f>
        <v>16 16.5 4c</v>
      </c>
      <c r="M18" s="5" t="str">
        <f>CONCATENATE("02681080418")</f>
        <v>02681080418</v>
      </c>
      <c r="N18" s="5" t="s">
        <v>74</v>
      </c>
      <c r="O18" s="5" t="s">
        <v>63</v>
      </c>
      <c r="P18" s="6">
        <v>44151</v>
      </c>
      <c r="Q18" s="5" t="s">
        <v>31</v>
      </c>
      <c r="R18" s="5" t="s">
        <v>34</v>
      </c>
      <c r="S18" s="5" t="s">
        <v>33</v>
      </c>
      <c r="T18" s="5"/>
      <c r="U18" s="7">
        <v>20000</v>
      </c>
      <c r="V18" s="7">
        <v>8624</v>
      </c>
      <c r="W18" s="7">
        <v>7964</v>
      </c>
      <c r="X18" s="5">
        <v>0</v>
      </c>
      <c r="Y18" s="7">
        <v>3412</v>
      </c>
    </row>
    <row r="19" spans="1:25" ht="24.75" x14ac:dyDescent="0.25">
      <c r="A19" s="5" t="s">
        <v>26</v>
      </c>
      <c r="B19" s="5" t="s">
        <v>27</v>
      </c>
      <c r="C19" s="5" t="s">
        <v>48</v>
      </c>
      <c r="D19" s="5" t="s">
        <v>58</v>
      </c>
      <c r="E19" s="5" t="s">
        <v>37</v>
      </c>
      <c r="F19" s="5" t="s">
        <v>75</v>
      </c>
      <c r="G19" s="5">
        <v>2017</v>
      </c>
      <c r="H19" s="5" t="str">
        <f>CONCATENATE("04270150297")</f>
        <v>04270150297</v>
      </c>
      <c r="I19" s="5" t="s">
        <v>29</v>
      </c>
      <c r="J19" s="5" t="s">
        <v>30</v>
      </c>
      <c r="K19" s="5" t="str">
        <f>CONCATENATE("")</f>
        <v/>
      </c>
      <c r="L19" s="5" t="str">
        <f>CONCATENATE("3 3.2 3a")</f>
        <v>3 3.2 3a</v>
      </c>
      <c r="M19" s="5" t="str">
        <f>CONCATENATE("92000660446")</f>
        <v>92000660446</v>
      </c>
      <c r="N19" s="5" t="s">
        <v>76</v>
      </c>
      <c r="O19" s="5" t="s">
        <v>77</v>
      </c>
      <c r="P19" s="6">
        <v>44151</v>
      </c>
      <c r="Q19" s="5" t="s">
        <v>31</v>
      </c>
      <c r="R19" s="5" t="s">
        <v>34</v>
      </c>
      <c r="S19" s="5" t="s">
        <v>33</v>
      </c>
      <c r="T19" s="5"/>
      <c r="U19" s="7">
        <v>151128.03</v>
      </c>
      <c r="V19" s="7">
        <v>65166.41</v>
      </c>
      <c r="W19" s="7">
        <v>60179.18</v>
      </c>
      <c r="X19" s="5">
        <v>0</v>
      </c>
      <c r="Y19" s="7">
        <v>25782.44</v>
      </c>
    </row>
    <row r="20" spans="1:25" ht="24.75" x14ac:dyDescent="0.25">
      <c r="A20" s="5" t="s">
        <v>26</v>
      </c>
      <c r="B20" s="5" t="s">
        <v>27</v>
      </c>
      <c r="C20" s="5" t="s">
        <v>48</v>
      </c>
      <c r="D20" s="5" t="s">
        <v>53</v>
      </c>
      <c r="E20" s="5" t="s">
        <v>35</v>
      </c>
      <c r="F20" s="5" t="s">
        <v>35</v>
      </c>
      <c r="G20" s="5">
        <v>2017</v>
      </c>
      <c r="H20" s="5" t="str">
        <f>CONCATENATE("04270154588")</f>
        <v>04270154588</v>
      </c>
      <c r="I20" s="5" t="s">
        <v>29</v>
      </c>
      <c r="J20" s="5" t="s">
        <v>30</v>
      </c>
      <c r="K20" s="5" t="str">
        <f>CONCATENATE("")</f>
        <v/>
      </c>
      <c r="L20" s="5" t="str">
        <f>CONCATENATE("16 16.5 4c")</f>
        <v>16 16.5 4c</v>
      </c>
      <c r="M20" s="5" t="str">
        <f>CONCATENATE("82001930419")</f>
        <v>82001930419</v>
      </c>
      <c r="N20" s="5" t="s">
        <v>78</v>
      </c>
      <c r="O20" s="5" t="s">
        <v>63</v>
      </c>
      <c r="P20" s="6">
        <v>44151</v>
      </c>
      <c r="Q20" s="5" t="s">
        <v>31</v>
      </c>
      <c r="R20" s="5" t="s">
        <v>34</v>
      </c>
      <c r="S20" s="5" t="s">
        <v>33</v>
      </c>
      <c r="T20" s="5"/>
      <c r="U20" s="7">
        <v>20000</v>
      </c>
      <c r="V20" s="7">
        <v>8624</v>
      </c>
      <c r="W20" s="7">
        <v>7964</v>
      </c>
      <c r="X20" s="5">
        <v>0</v>
      </c>
      <c r="Y20" s="7">
        <v>3412</v>
      </c>
    </row>
    <row r="21" spans="1:25" x14ac:dyDescent="0.25">
      <c r="A21" s="5" t="s">
        <v>26</v>
      </c>
      <c r="B21" s="5" t="s">
        <v>27</v>
      </c>
      <c r="C21" s="5" t="s">
        <v>48</v>
      </c>
      <c r="D21" s="5" t="s">
        <v>49</v>
      </c>
      <c r="E21" s="5" t="s">
        <v>35</v>
      </c>
      <c r="F21" s="5" t="s">
        <v>35</v>
      </c>
      <c r="G21" s="5">
        <v>2017</v>
      </c>
      <c r="H21" s="5" t="str">
        <f>CONCATENATE("04270150263")</f>
        <v>04270150263</v>
      </c>
      <c r="I21" s="5" t="s">
        <v>41</v>
      </c>
      <c r="J21" s="5" t="s">
        <v>30</v>
      </c>
      <c r="K21" s="5" t="str">
        <f>CONCATENATE("")</f>
        <v/>
      </c>
      <c r="L21" s="5" t="str">
        <f>CONCATENATE("1 1.1 2a")</f>
        <v>1 1.1 2a</v>
      </c>
      <c r="M21" s="5" t="str">
        <f>CONCATENATE("02051370423")</f>
        <v>02051370423</v>
      </c>
      <c r="N21" s="5" t="s">
        <v>54</v>
      </c>
      <c r="O21" s="5" t="s">
        <v>79</v>
      </c>
      <c r="P21" s="6">
        <v>44147</v>
      </c>
      <c r="Q21" s="5" t="s">
        <v>31</v>
      </c>
      <c r="R21" s="5" t="s">
        <v>34</v>
      </c>
      <c r="S21" s="5" t="s">
        <v>33</v>
      </c>
      <c r="T21" s="5"/>
      <c r="U21" s="7">
        <v>5016</v>
      </c>
      <c r="V21" s="7">
        <v>2162.9</v>
      </c>
      <c r="W21" s="7">
        <v>1997.37</v>
      </c>
      <c r="X21" s="5">
        <v>0</v>
      </c>
      <c r="Y21" s="5">
        <v>855.73</v>
      </c>
    </row>
    <row r="22" spans="1:25" ht="24.75" x14ac:dyDescent="0.25">
      <c r="A22" s="5" t="s">
        <v>26</v>
      </c>
      <c r="B22" s="5" t="s">
        <v>43</v>
      </c>
      <c r="C22" s="5" t="s">
        <v>48</v>
      </c>
      <c r="D22" s="5" t="s">
        <v>58</v>
      </c>
      <c r="E22" s="5" t="s">
        <v>28</v>
      </c>
      <c r="F22" s="5" t="s">
        <v>80</v>
      </c>
      <c r="G22" s="5">
        <v>2019</v>
      </c>
      <c r="H22" s="5" t="str">
        <f>CONCATENATE("94241122988")</f>
        <v>94241122988</v>
      </c>
      <c r="I22" s="5" t="s">
        <v>29</v>
      </c>
      <c r="J22" s="5" t="s">
        <v>30</v>
      </c>
      <c r="K22" s="5" t="str">
        <f>CONCATENATE("")</f>
        <v/>
      </c>
      <c r="L22" s="5" t="str">
        <f>CONCATENATE("10 10.1 4b")</f>
        <v>10 10.1 4b</v>
      </c>
      <c r="M22" s="5" t="str">
        <f>CONCATENATE("TSSLGU67R25G137F")</f>
        <v>TSSLGU67R25G137F</v>
      </c>
      <c r="N22" s="5" t="s">
        <v>81</v>
      </c>
      <c r="O22" s="5" t="s">
        <v>82</v>
      </c>
      <c r="P22" s="6">
        <v>44159</v>
      </c>
      <c r="Q22" s="5" t="s">
        <v>31</v>
      </c>
      <c r="R22" s="5" t="s">
        <v>34</v>
      </c>
      <c r="S22" s="5" t="s">
        <v>33</v>
      </c>
      <c r="T22" s="5"/>
      <c r="U22" s="7">
        <v>2284.2399999999998</v>
      </c>
      <c r="V22" s="5">
        <v>984.96</v>
      </c>
      <c r="W22" s="5">
        <v>909.58</v>
      </c>
      <c r="X22" s="5">
        <v>0</v>
      </c>
      <c r="Y22" s="5">
        <v>389.7</v>
      </c>
    </row>
    <row r="23" spans="1:25" ht="24.75" x14ac:dyDescent="0.25">
      <c r="A23" s="5" t="s">
        <v>26</v>
      </c>
      <c r="B23" s="5" t="s">
        <v>43</v>
      </c>
      <c r="C23" s="5" t="s">
        <v>48</v>
      </c>
      <c r="D23" s="5" t="s">
        <v>53</v>
      </c>
      <c r="E23" s="5" t="s">
        <v>40</v>
      </c>
      <c r="F23" s="5" t="s">
        <v>83</v>
      </c>
      <c r="G23" s="5">
        <v>2018</v>
      </c>
      <c r="H23" s="5" t="str">
        <f>CONCATENATE("84241678907")</f>
        <v>84241678907</v>
      </c>
      <c r="I23" s="5" t="s">
        <v>29</v>
      </c>
      <c r="J23" s="5" t="s">
        <v>30</v>
      </c>
      <c r="K23" s="5" t="str">
        <f>CONCATENATE("")</f>
        <v/>
      </c>
      <c r="L23" s="5" t="str">
        <f>CONCATENATE("11 11.2 4b")</f>
        <v>11 11.2 4b</v>
      </c>
      <c r="M23" s="5" t="str">
        <f>CONCATENATE("DCRCLD83C12D488U")</f>
        <v>DCRCLD83C12D488U</v>
      </c>
      <c r="N23" s="5" t="s">
        <v>84</v>
      </c>
      <c r="O23" s="5" t="s">
        <v>85</v>
      </c>
      <c r="P23" s="6">
        <v>44152</v>
      </c>
      <c r="Q23" s="5" t="s">
        <v>31</v>
      </c>
      <c r="R23" s="5" t="s">
        <v>34</v>
      </c>
      <c r="S23" s="5" t="s">
        <v>33</v>
      </c>
      <c r="T23" s="5"/>
      <c r="U23" s="7">
        <v>5134.71</v>
      </c>
      <c r="V23" s="7">
        <v>2214.09</v>
      </c>
      <c r="W23" s="7">
        <v>2044.64</v>
      </c>
      <c r="X23" s="5">
        <v>0</v>
      </c>
      <c r="Y23" s="5">
        <v>875.98</v>
      </c>
    </row>
    <row r="24" spans="1:25" ht="24.75" x14ac:dyDescent="0.25">
      <c r="A24" s="5" t="s">
        <v>26</v>
      </c>
      <c r="B24" s="5" t="s">
        <v>43</v>
      </c>
      <c r="C24" s="5" t="s">
        <v>48</v>
      </c>
      <c r="D24" s="5" t="s">
        <v>64</v>
      </c>
      <c r="E24" s="5" t="s">
        <v>28</v>
      </c>
      <c r="F24" s="5" t="s">
        <v>86</v>
      </c>
      <c r="G24" s="5">
        <v>2019</v>
      </c>
      <c r="H24" s="5" t="str">
        <f>CONCATENATE("94240225717")</f>
        <v>94240225717</v>
      </c>
      <c r="I24" s="5" t="s">
        <v>29</v>
      </c>
      <c r="J24" s="5" t="s">
        <v>30</v>
      </c>
      <c r="K24" s="5" t="str">
        <f>CONCATENATE("")</f>
        <v/>
      </c>
      <c r="L24" s="5" t="str">
        <f>CONCATENATE("11 11.1 4b")</f>
        <v>11 11.1 4b</v>
      </c>
      <c r="M24" s="5" t="str">
        <f>CONCATENATE("02699870420")</f>
        <v>02699870420</v>
      </c>
      <c r="N24" s="5" t="s">
        <v>87</v>
      </c>
      <c r="O24" s="5" t="s">
        <v>85</v>
      </c>
      <c r="P24" s="6">
        <v>44152</v>
      </c>
      <c r="Q24" s="5" t="s">
        <v>31</v>
      </c>
      <c r="R24" s="5" t="s">
        <v>34</v>
      </c>
      <c r="S24" s="5" t="s">
        <v>33</v>
      </c>
      <c r="T24" s="5"/>
      <c r="U24" s="5">
        <v>238.7</v>
      </c>
      <c r="V24" s="5">
        <v>102.93</v>
      </c>
      <c r="W24" s="5">
        <v>95.05</v>
      </c>
      <c r="X24" s="5">
        <v>0</v>
      </c>
      <c r="Y24" s="5">
        <v>40.72</v>
      </c>
    </row>
    <row r="25" spans="1:25" ht="24.75" x14ac:dyDescent="0.25">
      <c r="A25" s="5" t="s">
        <v>26</v>
      </c>
      <c r="B25" s="5" t="s">
        <v>43</v>
      </c>
      <c r="C25" s="5" t="s">
        <v>48</v>
      </c>
      <c r="D25" s="5" t="s">
        <v>58</v>
      </c>
      <c r="E25" s="5" t="s">
        <v>35</v>
      </c>
      <c r="F25" s="5" t="s">
        <v>35</v>
      </c>
      <c r="G25" s="5">
        <v>2016</v>
      </c>
      <c r="H25" s="5" t="str">
        <f>CONCATENATE("64241558861")</f>
        <v>64241558861</v>
      </c>
      <c r="I25" s="5" t="s">
        <v>29</v>
      </c>
      <c r="J25" s="5" t="s">
        <v>30</v>
      </c>
      <c r="K25" s="5" t="str">
        <f>CONCATENATE("")</f>
        <v/>
      </c>
      <c r="L25" s="5" t="str">
        <f>CONCATENATE("11 11.2 4b")</f>
        <v>11 11.2 4b</v>
      </c>
      <c r="M25" s="5" t="str">
        <f>CONCATENATE("FDLNCL49M10H588E")</f>
        <v>FDLNCL49M10H588E</v>
      </c>
      <c r="N25" s="5" t="s">
        <v>88</v>
      </c>
      <c r="O25" s="5" t="s">
        <v>85</v>
      </c>
      <c r="P25" s="6">
        <v>44152</v>
      </c>
      <c r="Q25" s="5" t="s">
        <v>31</v>
      </c>
      <c r="R25" s="5" t="s">
        <v>34</v>
      </c>
      <c r="S25" s="5" t="s">
        <v>33</v>
      </c>
      <c r="T25" s="5"/>
      <c r="U25" s="7">
        <v>8354.07</v>
      </c>
      <c r="V25" s="7">
        <v>3602.27</v>
      </c>
      <c r="W25" s="7">
        <v>3326.59</v>
      </c>
      <c r="X25" s="5">
        <v>0</v>
      </c>
      <c r="Y25" s="7">
        <v>1425.21</v>
      </c>
    </row>
    <row r="26" spans="1:25" ht="24.75" x14ac:dyDescent="0.25">
      <c r="A26" s="5" t="s">
        <v>26</v>
      </c>
      <c r="B26" s="5" t="s">
        <v>43</v>
      </c>
      <c r="C26" s="5" t="s">
        <v>48</v>
      </c>
      <c r="D26" s="5" t="s">
        <v>53</v>
      </c>
      <c r="E26" s="5" t="s">
        <v>28</v>
      </c>
      <c r="F26" s="5" t="s">
        <v>89</v>
      </c>
      <c r="G26" s="5">
        <v>2018</v>
      </c>
      <c r="H26" s="5" t="str">
        <f>CONCATENATE("84210146126")</f>
        <v>84210146126</v>
      </c>
      <c r="I26" s="5" t="s">
        <v>29</v>
      </c>
      <c r="J26" s="5" t="s">
        <v>30</v>
      </c>
      <c r="K26" s="5" t="str">
        <f>CONCATENATE("")</f>
        <v/>
      </c>
      <c r="L26" s="5" t="str">
        <f>CONCATENATE("13 13.1 4a")</f>
        <v>13 13.1 4a</v>
      </c>
      <c r="M26" s="5" t="str">
        <f>CONCATENATE("PRCNZE35M12L500W")</f>
        <v>PRCNZE35M12L500W</v>
      </c>
      <c r="N26" s="5" t="s">
        <v>90</v>
      </c>
      <c r="O26" s="5" t="s">
        <v>91</v>
      </c>
      <c r="P26" s="6">
        <v>44147</v>
      </c>
      <c r="Q26" s="5" t="s">
        <v>31</v>
      </c>
      <c r="R26" s="5" t="s">
        <v>34</v>
      </c>
      <c r="S26" s="5" t="s">
        <v>33</v>
      </c>
      <c r="T26" s="5"/>
      <c r="U26" s="7">
        <v>2394.3200000000002</v>
      </c>
      <c r="V26" s="7">
        <v>1032.43</v>
      </c>
      <c r="W26" s="5">
        <v>953.42</v>
      </c>
      <c r="X26" s="5">
        <v>0</v>
      </c>
      <c r="Y26" s="5">
        <v>408.47</v>
      </c>
    </row>
    <row r="27" spans="1:25" ht="24.75" x14ac:dyDescent="0.25">
      <c r="A27" s="5" t="s">
        <v>26</v>
      </c>
      <c r="B27" s="5" t="s">
        <v>43</v>
      </c>
      <c r="C27" s="5" t="s">
        <v>48</v>
      </c>
      <c r="D27" s="5" t="s">
        <v>58</v>
      </c>
      <c r="E27" s="5" t="s">
        <v>28</v>
      </c>
      <c r="F27" s="5" t="s">
        <v>80</v>
      </c>
      <c r="G27" s="5">
        <v>2018</v>
      </c>
      <c r="H27" s="5" t="str">
        <f>CONCATENATE("84240375919")</f>
        <v>84240375919</v>
      </c>
      <c r="I27" s="5" t="s">
        <v>29</v>
      </c>
      <c r="J27" s="5" t="s">
        <v>30</v>
      </c>
      <c r="K27" s="5" t="str">
        <f>CONCATENATE("")</f>
        <v/>
      </c>
      <c r="L27" s="5" t="str">
        <f>CONCATENATE("10 10.1 4b")</f>
        <v>10 10.1 4b</v>
      </c>
      <c r="M27" s="5" t="str">
        <f>CONCATENATE("PRTSLV72M50H769P")</f>
        <v>PRTSLV72M50H769P</v>
      </c>
      <c r="N27" s="5" t="s">
        <v>92</v>
      </c>
      <c r="O27" s="5" t="s">
        <v>93</v>
      </c>
      <c r="P27" s="6">
        <v>44153</v>
      </c>
      <c r="Q27" s="5" t="s">
        <v>31</v>
      </c>
      <c r="R27" s="5" t="s">
        <v>34</v>
      </c>
      <c r="S27" s="5" t="s">
        <v>33</v>
      </c>
      <c r="T27" s="5"/>
      <c r="U27" s="7">
        <v>1322.48</v>
      </c>
      <c r="V27" s="5">
        <v>570.25</v>
      </c>
      <c r="W27" s="5">
        <v>526.61</v>
      </c>
      <c r="X27" s="5">
        <v>0</v>
      </c>
      <c r="Y27" s="5">
        <v>225.62</v>
      </c>
    </row>
    <row r="28" spans="1:25" ht="24.75" x14ac:dyDescent="0.25">
      <c r="A28" s="5" t="s">
        <v>26</v>
      </c>
      <c r="B28" s="5" t="s">
        <v>43</v>
      </c>
      <c r="C28" s="5" t="s">
        <v>48</v>
      </c>
      <c r="D28" s="5" t="s">
        <v>58</v>
      </c>
      <c r="E28" s="5" t="s">
        <v>40</v>
      </c>
      <c r="F28" s="5" t="s">
        <v>94</v>
      </c>
      <c r="G28" s="5">
        <v>2019</v>
      </c>
      <c r="H28" s="5" t="str">
        <f>CONCATENATE("94240997240")</f>
        <v>94240997240</v>
      </c>
      <c r="I28" s="5" t="s">
        <v>41</v>
      </c>
      <c r="J28" s="5" t="s">
        <v>30</v>
      </c>
      <c r="K28" s="5" t="str">
        <f>CONCATENATE("")</f>
        <v/>
      </c>
      <c r="L28" s="5" t="str">
        <f>CONCATENATE("10 10.1 4b")</f>
        <v>10 10.1 4b</v>
      </c>
      <c r="M28" s="5" t="str">
        <f>CONCATENATE("GLLSFN78C14A462E")</f>
        <v>GLLSFN78C14A462E</v>
      </c>
      <c r="N28" s="5" t="s">
        <v>95</v>
      </c>
      <c r="O28" s="5" t="s">
        <v>82</v>
      </c>
      <c r="P28" s="6">
        <v>44159</v>
      </c>
      <c r="Q28" s="5" t="s">
        <v>31</v>
      </c>
      <c r="R28" s="5" t="s">
        <v>34</v>
      </c>
      <c r="S28" s="5" t="s">
        <v>33</v>
      </c>
      <c r="T28" s="5"/>
      <c r="U28" s="7">
        <v>3650.19</v>
      </c>
      <c r="V28" s="7">
        <v>1573.96</v>
      </c>
      <c r="W28" s="7">
        <v>1453.51</v>
      </c>
      <c r="X28" s="5">
        <v>0</v>
      </c>
      <c r="Y28" s="5">
        <v>622.72</v>
      </c>
    </row>
    <row r="29" spans="1:25" ht="24.75" x14ac:dyDescent="0.25">
      <c r="A29" s="5" t="s">
        <v>26</v>
      </c>
      <c r="B29" s="5" t="s">
        <v>43</v>
      </c>
      <c r="C29" s="5" t="s">
        <v>48</v>
      </c>
      <c r="D29" s="5" t="s">
        <v>53</v>
      </c>
      <c r="E29" s="5" t="s">
        <v>28</v>
      </c>
      <c r="F29" s="5" t="s">
        <v>89</v>
      </c>
      <c r="G29" s="5">
        <v>2018</v>
      </c>
      <c r="H29" s="5" t="str">
        <f>CONCATENATE("84240678213")</f>
        <v>84240678213</v>
      </c>
      <c r="I29" s="5" t="s">
        <v>29</v>
      </c>
      <c r="J29" s="5" t="s">
        <v>30</v>
      </c>
      <c r="K29" s="5" t="str">
        <f>CONCATENATE("")</f>
        <v/>
      </c>
      <c r="L29" s="5" t="str">
        <f>CONCATENATE("11 11.2 4b")</f>
        <v>11 11.2 4b</v>
      </c>
      <c r="M29" s="5" t="str">
        <f>CONCATENATE("GSPLRS78C27L500R")</f>
        <v>GSPLRS78C27L500R</v>
      </c>
      <c r="N29" s="5" t="s">
        <v>96</v>
      </c>
      <c r="O29" s="5" t="s">
        <v>85</v>
      </c>
      <c r="P29" s="6">
        <v>44152</v>
      </c>
      <c r="Q29" s="5" t="s">
        <v>31</v>
      </c>
      <c r="R29" s="5" t="s">
        <v>34</v>
      </c>
      <c r="S29" s="5" t="s">
        <v>33</v>
      </c>
      <c r="T29" s="5"/>
      <c r="U29" s="7">
        <v>1035.6600000000001</v>
      </c>
      <c r="V29" s="5">
        <v>446.58</v>
      </c>
      <c r="W29" s="5">
        <v>412.4</v>
      </c>
      <c r="X29" s="5">
        <v>0</v>
      </c>
      <c r="Y29" s="5">
        <v>176.68</v>
      </c>
    </row>
    <row r="30" spans="1:25" ht="24.75" x14ac:dyDescent="0.25">
      <c r="A30" s="5" t="s">
        <v>26</v>
      </c>
      <c r="B30" s="5" t="s">
        <v>43</v>
      </c>
      <c r="C30" s="5" t="s">
        <v>48</v>
      </c>
      <c r="D30" s="5" t="s">
        <v>53</v>
      </c>
      <c r="E30" s="5" t="s">
        <v>40</v>
      </c>
      <c r="F30" s="5" t="s">
        <v>97</v>
      </c>
      <c r="G30" s="5">
        <v>2018</v>
      </c>
      <c r="H30" s="5" t="str">
        <f>CONCATENATE("84240782940")</f>
        <v>84240782940</v>
      </c>
      <c r="I30" s="5" t="s">
        <v>29</v>
      </c>
      <c r="J30" s="5" t="s">
        <v>30</v>
      </c>
      <c r="K30" s="5" t="str">
        <f>CONCATENATE("")</f>
        <v/>
      </c>
      <c r="L30" s="5" t="str">
        <f>CONCATENATE("11 11.2 4b")</f>
        <v>11 11.2 4b</v>
      </c>
      <c r="M30" s="5" t="str">
        <f>CONCATENATE("02334280415")</f>
        <v>02334280415</v>
      </c>
      <c r="N30" s="5" t="s">
        <v>98</v>
      </c>
      <c r="O30" s="5" t="s">
        <v>85</v>
      </c>
      <c r="P30" s="6">
        <v>44152</v>
      </c>
      <c r="Q30" s="5" t="s">
        <v>31</v>
      </c>
      <c r="R30" s="5" t="s">
        <v>34</v>
      </c>
      <c r="S30" s="5" t="s">
        <v>33</v>
      </c>
      <c r="T30" s="5"/>
      <c r="U30" s="5">
        <v>704.49</v>
      </c>
      <c r="V30" s="5">
        <v>303.77999999999997</v>
      </c>
      <c r="W30" s="5">
        <v>280.52999999999997</v>
      </c>
      <c r="X30" s="5">
        <v>0</v>
      </c>
      <c r="Y30" s="5">
        <v>120.18</v>
      </c>
    </row>
    <row r="31" spans="1:25" ht="24.75" x14ac:dyDescent="0.25">
      <c r="A31" s="5" t="s">
        <v>26</v>
      </c>
      <c r="B31" s="5" t="s">
        <v>43</v>
      </c>
      <c r="C31" s="5" t="s">
        <v>48</v>
      </c>
      <c r="D31" s="5" t="s">
        <v>58</v>
      </c>
      <c r="E31" s="5" t="s">
        <v>40</v>
      </c>
      <c r="F31" s="5" t="s">
        <v>94</v>
      </c>
      <c r="G31" s="5">
        <v>2018</v>
      </c>
      <c r="H31" s="5" t="str">
        <f>CONCATENATE("84240867774")</f>
        <v>84240867774</v>
      </c>
      <c r="I31" s="5" t="s">
        <v>29</v>
      </c>
      <c r="J31" s="5" t="s">
        <v>30</v>
      </c>
      <c r="K31" s="5" t="str">
        <f>CONCATENATE("")</f>
        <v/>
      </c>
      <c r="L31" s="5" t="str">
        <f>CONCATENATE("11 11.2 4b")</f>
        <v>11 11.2 4b</v>
      </c>
      <c r="M31" s="5" t="str">
        <f>CONCATENATE("CLNPLA48S51A044Z")</f>
        <v>CLNPLA48S51A044Z</v>
      </c>
      <c r="N31" s="5" t="s">
        <v>99</v>
      </c>
      <c r="O31" s="5" t="s">
        <v>85</v>
      </c>
      <c r="P31" s="6">
        <v>44152</v>
      </c>
      <c r="Q31" s="5" t="s">
        <v>31</v>
      </c>
      <c r="R31" s="5" t="s">
        <v>34</v>
      </c>
      <c r="S31" s="5" t="s">
        <v>33</v>
      </c>
      <c r="T31" s="5"/>
      <c r="U31" s="5">
        <v>726.27</v>
      </c>
      <c r="V31" s="5">
        <v>313.17</v>
      </c>
      <c r="W31" s="5">
        <v>289.2</v>
      </c>
      <c r="X31" s="5">
        <v>0</v>
      </c>
      <c r="Y31" s="5">
        <v>123.9</v>
      </c>
    </row>
    <row r="32" spans="1:25" ht="24.75" x14ac:dyDescent="0.25">
      <c r="A32" s="5" t="s">
        <v>26</v>
      </c>
      <c r="B32" s="5" t="s">
        <v>43</v>
      </c>
      <c r="C32" s="5" t="s">
        <v>48</v>
      </c>
      <c r="D32" s="5" t="s">
        <v>58</v>
      </c>
      <c r="E32" s="5" t="s">
        <v>40</v>
      </c>
      <c r="F32" s="5" t="s">
        <v>94</v>
      </c>
      <c r="G32" s="5">
        <v>2019</v>
      </c>
      <c r="H32" s="5" t="str">
        <f>CONCATENATE("94241060543")</f>
        <v>94241060543</v>
      </c>
      <c r="I32" s="5" t="s">
        <v>29</v>
      </c>
      <c r="J32" s="5" t="s">
        <v>30</v>
      </c>
      <c r="K32" s="5" t="str">
        <f>CONCATENATE("")</f>
        <v/>
      </c>
      <c r="L32" s="5" t="str">
        <f>CONCATENATE("11 11.2 4b")</f>
        <v>11 11.2 4b</v>
      </c>
      <c r="M32" s="5" t="str">
        <f>CONCATENATE("CLNPLA48S51A044Z")</f>
        <v>CLNPLA48S51A044Z</v>
      </c>
      <c r="N32" s="5" t="s">
        <v>99</v>
      </c>
      <c r="O32" s="5" t="s">
        <v>85</v>
      </c>
      <c r="P32" s="6">
        <v>44152</v>
      </c>
      <c r="Q32" s="5" t="s">
        <v>31</v>
      </c>
      <c r="R32" s="5" t="s">
        <v>34</v>
      </c>
      <c r="S32" s="5" t="s">
        <v>33</v>
      </c>
      <c r="T32" s="5"/>
      <c r="U32" s="5">
        <v>726.27</v>
      </c>
      <c r="V32" s="5">
        <v>313.17</v>
      </c>
      <c r="W32" s="5">
        <v>289.2</v>
      </c>
      <c r="X32" s="5">
        <v>0</v>
      </c>
      <c r="Y32" s="5">
        <v>123.9</v>
      </c>
    </row>
    <row r="33" spans="1:25" ht="24.75" x14ac:dyDescent="0.25">
      <c r="A33" s="5" t="s">
        <v>26</v>
      </c>
      <c r="B33" s="5" t="s">
        <v>43</v>
      </c>
      <c r="C33" s="5" t="s">
        <v>48</v>
      </c>
      <c r="D33" s="5" t="s">
        <v>58</v>
      </c>
      <c r="E33" s="5" t="s">
        <v>40</v>
      </c>
      <c r="F33" s="5" t="s">
        <v>94</v>
      </c>
      <c r="G33" s="5">
        <v>2018</v>
      </c>
      <c r="H33" s="5" t="str">
        <f>CONCATENATE("84241054851")</f>
        <v>84241054851</v>
      </c>
      <c r="I33" s="5" t="s">
        <v>29</v>
      </c>
      <c r="J33" s="5" t="s">
        <v>30</v>
      </c>
      <c r="K33" s="5" t="str">
        <f>CONCATENATE("")</f>
        <v/>
      </c>
      <c r="L33" s="5" t="str">
        <f>CONCATENATE("11 11.2 4b")</f>
        <v>11 11.2 4b</v>
      </c>
      <c r="M33" s="5" t="str">
        <f>CONCATENATE("PLFGNN82C19A462E")</f>
        <v>PLFGNN82C19A462E</v>
      </c>
      <c r="N33" s="5" t="s">
        <v>100</v>
      </c>
      <c r="O33" s="5" t="s">
        <v>85</v>
      </c>
      <c r="P33" s="6">
        <v>44152</v>
      </c>
      <c r="Q33" s="5" t="s">
        <v>31</v>
      </c>
      <c r="R33" s="5" t="s">
        <v>34</v>
      </c>
      <c r="S33" s="5" t="s">
        <v>33</v>
      </c>
      <c r="T33" s="5"/>
      <c r="U33" s="5">
        <v>382.94</v>
      </c>
      <c r="V33" s="5">
        <v>165.12</v>
      </c>
      <c r="W33" s="5">
        <v>152.49</v>
      </c>
      <c r="X33" s="5">
        <v>0</v>
      </c>
      <c r="Y33" s="5">
        <v>65.33</v>
      </c>
    </row>
    <row r="34" spans="1:25" ht="24.75" x14ac:dyDescent="0.25">
      <c r="A34" s="5" t="s">
        <v>26</v>
      </c>
      <c r="B34" s="5" t="s">
        <v>43</v>
      </c>
      <c r="C34" s="5" t="s">
        <v>48</v>
      </c>
      <c r="D34" s="5" t="s">
        <v>58</v>
      </c>
      <c r="E34" s="5" t="s">
        <v>28</v>
      </c>
      <c r="F34" s="5" t="s">
        <v>101</v>
      </c>
      <c r="G34" s="5">
        <v>2019</v>
      </c>
      <c r="H34" s="5" t="str">
        <f>CONCATENATE("94240648751")</f>
        <v>94240648751</v>
      </c>
      <c r="I34" s="5" t="s">
        <v>29</v>
      </c>
      <c r="J34" s="5" t="s">
        <v>30</v>
      </c>
      <c r="K34" s="5" t="str">
        <f>CONCATENATE("")</f>
        <v/>
      </c>
      <c r="L34" s="5" t="str">
        <f>CONCATENATE("11 11.2 4b")</f>
        <v>11 11.2 4b</v>
      </c>
      <c r="M34" s="5" t="str">
        <f>CONCATENATE("DLRLSN93A12A462J")</f>
        <v>DLRLSN93A12A462J</v>
      </c>
      <c r="N34" s="5" t="s">
        <v>102</v>
      </c>
      <c r="O34" s="5" t="s">
        <v>85</v>
      </c>
      <c r="P34" s="6">
        <v>44152</v>
      </c>
      <c r="Q34" s="5" t="s">
        <v>31</v>
      </c>
      <c r="R34" s="5" t="s">
        <v>34</v>
      </c>
      <c r="S34" s="5" t="s">
        <v>33</v>
      </c>
      <c r="T34" s="5"/>
      <c r="U34" s="5">
        <v>991.32</v>
      </c>
      <c r="V34" s="5">
        <v>427.46</v>
      </c>
      <c r="W34" s="5">
        <v>394.74</v>
      </c>
      <c r="X34" s="5">
        <v>0</v>
      </c>
      <c r="Y34" s="5">
        <v>169.12</v>
      </c>
    </row>
    <row r="35" spans="1:25" ht="24.75" x14ac:dyDescent="0.25">
      <c r="A35" s="5" t="s">
        <v>26</v>
      </c>
      <c r="B35" s="5" t="s">
        <v>43</v>
      </c>
      <c r="C35" s="5" t="s">
        <v>48</v>
      </c>
      <c r="D35" s="5" t="s">
        <v>58</v>
      </c>
      <c r="E35" s="5" t="s">
        <v>45</v>
      </c>
      <c r="F35" s="5" t="s">
        <v>103</v>
      </c>
      <c r="G35" s="5">
        <v>2018</v>
      </c>
      <c r="H35" s="5" t="str">
        <f>CONCATENATE("84240724009")</f>
        <v>84240724009</v>
      </c>
      <c r="I35" s="5" t="s">
        <v>41</v>
      </c>
      <c r="J35" s="5" t="s">
        <v>30</v>
      </c>
      <c r="K35" s="5" t="str">
        <f>CONCATENATE("")</f>
        <v/>
      </c>
      <c r="L35" s="5" t="str">
        <f>CONCATENATE("11 11.2 4b")</f>
        <v>11 11.2 4b</v>
      </c>
      <c r="M35" s="5" t="str">
        <f>CONCATENATE("BRNMGD69H56G005S")</f>
        <v>BRNMGD69H56G005S</v>
      </c>
      <c r="N35" s="5" t="s">
        <v>104</v>
      </c>
      <c r="O35" s="5" t="s">
        <v>85</v>
      </c>
      <c r="P35" s="6">
        <v>44152</v>
      </c>
      <c r="Q35" s="5" t="s">
        <v>31</v>
      </c>
      <c r="R35" s="5" t="s">
        <v>34</v>
      </c>
      <c r="S35" s="5" t="s">
        <v>33</v>
      </c>
      <c r="T35" s="5"/>
      <c r="U35" s="5">
        <v>287.12</v>
      </c>
      <c r="V35" s="5">
        <v>123.81</v>
      </c>
      <c r="W35" s="5">
        <v>114.33</v>
      </c>
      <c r="X35" s="5">
        <v>0</v>
      </c>
      <c r="Y35" s="5">
        <v>48.98</v>
      </c>
    </row>
    <row r="36" spans="1:25" ht="24.75" x14ac:dyDescent="0.25">
      <c r="A36" s="5" t="s">
        <v>26</v>
      </c>
      <c r="B36" s="5" t="s">
        <v>43</v>
      </c>
      <c r="C36" s="5" t="s">
        <v>48</v>
      </c>
      <c r="D36" s="5" t="s">
        <v>58</v>
      </c>
      <c r="E36" s="5" t="s">
        <v>40</v>
      </c>
      <c r="F36" s="5" t="s">
        <v>94</v>
      </c>
      <c r="G36" s="5">
        <v>2017</v>
      </c>
      <c r="H36" s="5" t="str">
        <f>CONCATENATE("74240849179")</f>
        <v>74240849179</v>
      </c>
      <c r="I36" s="5" t="s">
        <v>29</v>
      </c>
      <c r="J36" s="5" t="s">
        <v>30</v>
      </c>
      <c r="K36" s="5" t="str">
        <f>CONCATENATE("")</f>
        <v/>
      </c>
      <c r="L36" s="5" t="str">
        <f>CONCATENATE("11 11.2 4b")</f>
        <v>11 11.2 4b</v>
      </c>
      <c r="M36" s="5" t="str">
        <f>CONCATENATE("RCCNTN60H13L597P")</f>
        <v>RCCNTN60H13L597P</v>
      </c>
      <c r="N36" s="5" t="s">
        <v>105</v>
      </c>
      <c r="O36" s="5" t="s">
        <v>85</v>
      </c>
      <c r="P36" s="6">
        <v>44152</v>
      </c>
      <c r="Q36" s="5" t="s">
        <v>31</v>
      </c>
      <c r="R36" s="5" t="s">
        <v>34</v>
      </c>
      <c r="S36" s="5" t="s">
        <v>33</v>
      </c>
      <c r="T36" s="5"/>
      <c r="U36" s="7">
        <v>14766.16</v>
      </c>
      <c r="V36" s="7">
        <v>6367.17</v>
      </c>
      <c r="W36" s="7">
        <v>5879.88</v>
      </c>
      <c r="X36" s="5">
        <v>0</v>
      </c>
      <c r="Y36" s="7">
        <v>2519.11</v>
      </c>
    </row>
    <row r="37" spans="1:25" ht="24.75" x14ac:dyDescent="0.25">
      <c r="A37" s="5" t="s">
        <v>26</v>
      </c>
      <c r="B37" s="5" t="s">
        <v>43</v>
      </c>
      <c r="C37" s="5" t="s">
        <v>48</v>
      </c>
      <c r="D37" s="5" t="s">
        <v>58</v>
      </c>
      <c r="E37" s="5" t="s">
        <v>45</v>
      </c>
      <c r="F37" s="5" t="s">
        <v>103</v>
      </c>
      <c r="G37" s="5">
        <v>2019</v>
      </c>
      <c r="H37" s="5" t="str">
        <f>CONCATENATE("94240395478")</f>
        <v>94240395478</v>
      </c>
      <c r="I37" s="5" t="s">
        <v>29</v>
      </c>
      <c r="J37" s="5" t="s">
        <v>30</v>
      </c>
      <c r="K37" s="5" t="str">
        <f>CONCATENATE("")</f>
        <v/>
      </c>
      <c r="L37" s="5" t="str">
        <f>CONCATENATE("11 11.2 4b")</f>
        <v>11 11.2 4b</v>
      </c>
      <c r="M37" s="5" t="str">
        <f>CONCATENATE("01769990449")</f>
        <v>01769990449</v>
      </c>
      <c r="N37" s="5" t="s">
        <v>106</v>
      </c>
      <c r="O37" s="5" t="s">
        <v>85</v>
      </c>
      <c r="P37" s="6">
        <v>44152</v>
      </c>
      <c r="Q37" s="5" t="s">
        <v>31</v>
      </c>
      <c r="R37" s="5" t="s">
        <v>34</v>
      </c>
      <c r="S37" s="5" t="s">
        <v>33</v>
      </c>
      <c r="T37" s="5"/>
      <c r="U37" s="7">
        <v>2503.88</v>
      </c>
      <c r="V37" s="7">
        <v>1079.67</v>
      </c>
      <c r="W37" s="5">
        <v>997.05</v>
      </c>
      <c r="X37" s="5">
        <v>0</v>
      </c>
      <c r="Y37" s="5">
        <v>427.16</v>
      </c>
    </row>
    <row r="38" spans="1:25" ht="24.75" x14ac:dyDescent="0.25">
      <c r="A38" s="5" t="s">
        <v>26</v>
      </c>
      <c r="B38" s="5" t="s">
        <v>43</v>
      </c>
      <c r="C38" s="5" t="s">
        <v>48</v>
      </c>
      <c r="D38" s="5" t="s">
        <v>58</v>
      </c>
      <c r="E38" s="5" t="s">
        <v>37</v>
      </c>
      <c r="F38" s="5" t="s">
        <v>75</v>
      </c>
      <c r="G38" s="5">
        <v>2018</v>
      </c>
      <c r="H38" s="5" t="str">
        <f>CONCATENATE("84241675937")</f>
        <v>84241675937</v>
      </c>
      <c r="I38" s="5" t="s">
        <v>29</v>
      </c>
      <c r="J38" s="5" t="s">
        <v>30</v>
      </c>
      <c r="K38" s="5" t="str">
        <f>CONCATENATE("")</f>
        <v/>
      </c>
      <c r="L38" s="5" t="str">
        <f>CONCATENATE("11 11.1 4b")</f>
        <v>11 11.1 4b</v>
      </c>
      <c r="M38" s="5" t="str">
        <f>CONCATENATE("DSDSML89P21A462C")</f>
        <v>DSDSML89P21A462C</v>
      </c>
      <c r="N38" s="5" t="s">
        <v>107</v>
      </c>
      <c r="O38" s="5" t="s">
        <v>85</v>
      </c>
      <c r="P38" s="6">
        <v>44152</v>
      </c>
      <c r="Q38" s="5" t="s">
        <v>31</v>
      </c>
      <c r="R38" s="5" t="s">
        <v>34</v>
      </c>
      <c r="S38" s="5" t="s">
        <v>33</v>
      </c>
      <c r="T38" s="5"/>
      <c r="U38" s="7">
        <v>4582.26</v>
      </c>
      <c r="V38" s="7">
        <v>1975.87</v>
      </c>
      <c r="W38" s="7">
        <v>1824.66</v>
      </c>
      <c r="X38" s="5">
        <v>0</v>
      </c>
      <c r="Y38" s="5">
        <v>781.73</v>
      </c>
    </row>
    <row r="39" spans="1:25" ht="24.75" x14ac:dyDescent="0.25">
      <c r="A39" s="5" t="s">
        <v>26</v>
      </c>
      <c r="B39" s="5" t="s">
        <v>43</v>
      </c>
      <c r="C39" s="5" t="s">
        <v>48</v>
      </c>
      <c r="D39" s="5" t="s">
        <v>53</v>
      </c>
      <c r="E39" s="5" t="s">
        <v>46</v>
      </c>
      <c r="F39" s="5" t="s">
        <v>108</v>
      </c>
      <c r="G39" s="5">
        <v>2019</v>
      </c>
      <c r="H39" s="5" t="str">
        <f>CONCATENATE("94211373025")</f>
        <v>94211373025</v>
      </c>
      <c r="I39" s="5" t="s">
        <v>29</v>
      </c>
      <c r="J39" s="5" t="s">
        <v>30</v>
      </c>
      <c r="K39" s="5" t="str">
        <f>CONCATENATE("")</f>
        <v/>
      </c>
      <c r="L39" s="5" t="str">
        <f>CONCATENATE("13 13.1 4a")</f>
        <v>13 13.1 4a</v>
      </c>
      <c r="M39" s="5" t="str">
        <f>CONCATENATE("02681090417")</f>
        <v>02681090417</v>
      </c>
      <c r="N39" s="5" t="s">
        <v>109</v>
      </c>
      <c r="O39" s="5" t="s">
        <v>91</v>
      </c>
      <c r="P39" s="6">
        <v>44147</v>
      </c>
      <c r="Q39" s="5" t="s">
        <v>31</v>
      </c>
      <c r="R39" s="5" t="s">
        <v>34</v>
      </c>
      <c r="S39" s="5" t="s">
        <v>33</v>
      </c>
      <c r="T39" s="5"/>
      <c r="U39" s="7">
        <v>8398.67</v>
      </c>
      <c r="V39" s="7">
        <v>3621.51</v>
      </c>
      <c r="W39" s="7">
        <v>3344.35</v>
      </c>
      <c r="X39" s="5">
        <v>0</v>
      </c>
      <c r="Y39" s="7">
        <v>1432.81</v>
      </c>
    </row>
    <row r="40" spans="1:25" ht="24.75" x14ac:dyDescent="0.25">
      <c r="A40" s="5" t="s">
        <v>26</v>
      </c>
      <c r="B40" s="5" t="s">
        <v>43</v>
      </c>
      <c r="C40" s="5" t="s">
        <v>48</v>
      </c>
      <c r="D40" s="5" t="s">
        <v>53</v>
      </c>
      <c r="E40" s="5" t="s">
        <v>28</v>
      </c>
      <c r="F40" s="5" t="s">
        <v>110</v>
      </c>
      <c r="G40" s="5">
        <v>2018</v>
      </c>
      <c r="H40" s="5" t="str">
        <f>CONCATENATE("84211639327")</f>
        <v>84211639327</v>
      </c>
      <c r="I40" s="5" t="s">
        <v>29</v>
      </c>
      <c r="J40" s="5" t="s">
        <v>30</v>
      </c>
      <c r="K40" s="5" t="str">
        <f>CONCATENATE("")</f>
        <v/>
      </c>
      <c r="L40" s="5" t="str">
        <f>CONCATENATE("13 13.1 4a")</f>
        <v>13 13.1 4a</v>
      </c>
      <c r="M40" s="5" t="str">
        <f>CONCATENATE("BRNRNO50E48H886A")</f>
        <v>BRNRNO50E48H886A</v>
      </c>
      <c r="N40" s="5" t="s">
        <v>111</v>
      </c>
      <c r="O40" s="5" t="s">
        <v>91</v>
      </c>
      <c r="P40" s="6">
        <v>44147</v>
      </c>
      <c r="Q40" s="5" t="s">
        <v>31</v>
      </c>
      <c r="R40" s="5" t="s">
        <v>34</v>
      </c>
      <c r="S40" s="5" t="s">
        <v>33</v>
      </c>
      <c r="T40" s="5"/>
      <c r="U40" s="7">
        <v>1097.4000000000001</v>
      </c>
      <c r="V40" s="5">
        <v>473.2</v>
      </c>
      <c r="W40" s="5">
        <v>436.98</v>
      </c>
      <c r="X40" s="5">
        <v>0</v>
      </c>
      <c r="Y40" s="5">
        <v>187.22</v>
      </c>
    </row>
    <row r="41" spans="1:25" ht="24.75" x14ac:dyDescent="0.25">
      <c r="A41" s="5" t="s">
        <v>26</v>
      </c>
      <c r="B41" s="5" t="s">
        <v>43</v>
      </c>
      <c r="C41" s="5" t="s">
        <v>48</v>
      </c>
      <c r="D41" s="5" t="s">
        <v>53</v>
      </c>
      <c r="E41" s="5" t="s">
        <v>28</v>
      </c>
      <c r="F41" s="5" t="s">
        <v>110</v>
      </c>
      <c r="G41" s="5">
        <v>2018</v>
      </c>
      <c r="H41" s="5" t="str">
        <f>CONCATENATE("84211639459")</f>
        <v>84211639459</v>
      </c>
      <c r="I41" s="5" t="s">
        <v>29</v>
      </c>
      <c r="J41" s="5" t="s">
        <v>30</v>
      </c>
      <c r="K41" s="5" t="str">
        <f>CONCATENATE("")</f>
        <v/>
      </c>
      <c r="L41" s="5" t="str">
        <f>CONCATENATE("13 13.1 4a")</f>
        <v>13 13.1 4a</v>
      </c>
      <c r="M41" s="5" t="str">
        <f>CONCATENATE("CCCGDU43S05H886B")</f>
        <v>CCCGDU43S05H886B</v>
      </c>
      <c r="N41" s="5" t="s">
        <v>112</v>
      </c>
      <c r="O41" s="5" t="s">
        <v>91</v>
      </c>
      <c r="P41" s="6">
        <v>44147</v>
      </c>
      <c r="Q41" s="5" t="s">
        <v>31</v>
      </c>
      <c r="R41" s="5" t="s">
        <v>34</v>
      </c>
      <c r="S41" s="5" t="s">
        <v>33</v>
      </c>
      <c r="T41" s="5"/>
      <c r="U41" s="5">
        <v>633.94000000000005</v>
      </c>
      <c r="V41" s="5">
        <v>273.35000000000002</v>
      </c>
      <c r="W41" s="5">
        <v>252.43</v>
      </c>
      <c r="X41" s="5">
        <v>0</v>
      </c>
      <c r="Y41" s="5">
        <v>108.16</v>
      </c>
    </row>
    <row r="42" spans="1:25" ht="24.75" x14ac:dyDescent="0.25">
      <c r="A42" s="5" t="s">
        <v>26</v>
      </c>
      <c r="B42" s="5" t="s">
        <v>43</v>
      </c>
      <c r="C42" s="5" t="s">
        <v>48</v>
      </c>
      <c r="D42" s="5" t="s">
        <v>53</v>
      </c>
      <c r="E42" s="5" t="s">
        <v>38</v>
      </c>
      <c r="F42" s="5" t="s">
        <v>113</v>
      </c>
      <c r="G42" s="5">
        <v>2016</v>
      </c>
      <c r="H42" s="5" t="str">
        <f>CONCATENATE("64210763310")</f>
        <v>64210763310</v>
      </c>
      <c r="I42" s="5" t="s">
        <v>29</v>
      </c>
      <c r="J42" s="5" t="s">
        <v>30</v>
      </c>
      <c r="K42" s="5" t="str">
        <f>CONCATENATE("")</f>
        <v/>
      </c>
      <c r="L42" s="5" t="str">
        <f>CONCATENATE("13 13.1 4a")</f>
        <v>13 13.1 4a</v>
      </c>
      <c r="M42" s="5" t="str">
        <f>CONCATENATE("MRTGPP48P29G479D")</f>
        <v>MRTGPP48P29G479D</v>
      </c>
      <c r="N42" s="5" t="s">
        <v>114</v>
      </c>
      <c r="O42" s="5" t="s">
        <v>91</v>
      </c>
      <c r="P42" s="6">
        <v>44147</v>
      </c>
      <c r="Q42" s="5" t="s">
        <v>31</v>
      </c>
      <c r="R42" s="5" t="s">
        <v>34</v>
      </c>
      <c r="S42" s="5" t="s">
        <v>33</v>
      </c>
      <c r="T42" s="5"/>
      <c r="U42" s="5">
        <v>162</v>
      </c>
      <c r="V42" s="5">
        <v>69.849999999999994</v>
      </c>
      <c r="W42" s="5">
        <v>64.510000000000005</v>
      </c>
      <c r="X42" s="5">
        <v>0</v>
      </c>
      <c r="Y42" s="5">
        <v>27.64</v>
      </c>
    </row>
    <row r="43" spans="1:25" ht="24.75" x14ac:dyDescent="0.25">
      <c r="A43" s="5" t="s">
        <v>26</v>
      </c>
      <c r="B43" s="5" t="s">
        <v>43</v>
      </c>
      <c r="C43" s="5" t="s">
        <v>48</v>
      </c>
      <c r="D43" s="5" t="s">
        <v>53</v>
      </c>
      <c r="E43" s="5" t="s">
        <v>40</v>
      </c>
      <c r="F43" s="5" t="s">
        <v>115</v>
      </c>
      <c r="G43" s="5">
        <v>2018</v>
      </c>
      <c r="H43" s="5" t="str">
        <f>CONCATENATE("84211637727")</f>
        <v>84211637727</v>
      </c>
      <c r="I43" s="5" t="s">
        <v>29</v>
      </c>
      <c r="J43" s="5" t="s">
        <v>30</v>
      </c>
      <c r="K43" s="5" t="str">
        <f>CONCATENATE("")</f>
        <v/>
      </c>
      <c r="L43" s="5" t="str">
        <f>CONCATENATE("13 13.1 4a")</f>
        <v>13 13.1 4a</v>
      </c>
      <c r="M43" s="5" t="str">
        <f>CONCATENATE("MRLMRA45E16G453V")</f>
        <v>MRLMRA45E16G453V</v>
      </c>
      <c r="N43" s="5" t="s">
        <v>116</v>
      </c>
      <c r="O43" s="5" t="s">
        <v>91</v>
      </c>
      <c r="P43" s="6">
        <v>44147</v>
      </c>
      <c r="Q43" s="5" t="s">
        <v>31</v>
      </c>
      <c r="R43" s="5" t="s">
        <v>34</v>
      </c>
      <c r="S43" s="5" t="s">
        <v>33</v>
      </c>
      <c r="T43" s="5"/>
      <c r="U43" s="7">
        <v>3354.9</v>
      </c>
      <c r="V43" s="7">
        <v>1446.63</v>
      </c>
      <c r="W43" s="7">
        <v>1335.92</v>
      </c>
      <c r="X43" s="5">
        <v>0</v>
      </c>
      <c r="Y43" s="5">
        <v>572.35</v>
      </c>
    </row>
    <row r="44" spans="1:25" ht="24.75" x14ac:dyDescent="0.25">
      <c r="A44" s="5" t="s">
        <v>26</v>
      </c>
      <c r="B44" s="5" t="s">
        <v>43</v>
      </c>
      <c r="C44" s="5" t="s">
        <v>48</v>
      </c>
      <c r="D44" s="5" t="s">
        <v>53</v>
      </c>
      <c r="E44" s="5" t="s">
        <v>40</v>
      </c>
      <c r="F44" s="5" t="s">
        <v>117</v>
      </c>
      <c r="G44" s="5">
        <v>2019</v>
      </c>
      <c r="H44" s="5" t="str">
        <f>CONCATENATE("94210874098")</f>
        <v>94210874098</v>
      </c>
      <c r="I44" s="5" t="s">
        <v>29</v>
      </c>
      <c r="J44" s="5" t="s">
        <v>30</v>
      </c>
      <c r="K44" s="5" t="str">
        <f>CONCATENATE("")</f>
        <v/>
      </c>
      <c r="L44" s="5" t="str">
        <f>CONCATENATE("13 13.1 4a")</f>
        <v>13 13.1 4a</v>
      </c>
      <c r="M44" s="5" t="str">
        <f>CONCATENATE("VRGDNL76L29I459N")</f>
        <v>VRGDNL76L29I459N</v>
      </c>
      <c r="N44" s="5" t="s">
        <v>118</v>
      </c>
      <c r="O44" s="5" t="s">
        <v>91</v>
      </c>
      <c r="P44" s="6">
        <v>44147</v>
      </c>
      <c r="Q44" s="5" t="s">
        <v>31</v>
      </c>
      <c r="R44" s="5" t="s">
        <v>34</v>
      </c>
      <c r="S44" s="5" t="s">
        <v>33</v>
      </c>
      <c r="T44" s="5"/>
      <c r="U44" s="7">
        <v>3165.39</v>
      </c>
      <c r="V44" s="7">
        <v>1364.92</v>
      </c>
      <c r="W44" s="7">
        <v>1260.46</v>
      </c>
      <c r="X44" s="5">
        <v>0</v>
      </c>
      <c r="Y44" s="5">
        <v>540.01</v>
      </c>
    </row>
    <row r="45" spans="1:25" ht="24.75" x14ac:dyDescent="0.25">
      <c r="A45" s="5" t="s">
        <v>26</v>
      </c>
      <c r="B45" s="5" t="s">
        <v>43</v>
      </c>
      <c r="C45" s="5" t="s">
        <v>48</v>
      </c>
      <c r="D45" s="5" t="s">
        <v>53</v>
      </c>
      <c r="E45" s="5" t="s">
        <v>40</v>
      </c>
      <c r="F45" s="5" t="s">
        <v>83</v>
      </c>
      <c r="G45" s="5">
        <v>2018</v>
      </c>
      <c r="H45" s="5" t="str">
        <f>CONCATENATE("84211639145")</f>
        <v>84211639145</v>
      </c>
      <c r="I45" s="5" t="s">
        <v>29</v>
      </c>
      <c r="J45" s="5" t="s">
        <v>30</v>
      </c>
      <c r="K45" s="5" t="str">
        <f>CONCATENATE("")</f>
        <v/>
      </c>
      <c r="L45" s="5" t="str">
        <f>CONCATENATE("13 13.1 4a")</f>
        <v>13 13.1 4a</v>
      </c>
      <c r="M45" s="5" t="str">
        <f>CONCATENATE("LSSDNL73A03D488F")</f>
        <v>LSSDNL73A03D488F</v>
      </c>
      <c r="N45" s="5" t="s">
        <v>119</v>
      </c>
      <c r="O45" s="5" t="s">
        <v>91</v>
      </c>
      <c r="P45" s="6">
        <v>44147</v>
      </c>
      <c r="Q45" s="5" t="s">
        <v>31</v>
      </c>
      <c r="R45" s="5" t="s">
        <v>34</v>
      </c>
      <c r="S45" s="5" t="s">
        <v>33</v>
      </c>
      <c r="T45" s="5"/>
      <c r="U45" s="7">
        <v>7141.83</v>
      </c>
      <c r="V45" s="7">
        <v>3079.56</v>
      </c>
      <c r="W45" s="7">
        <v>2843.88</v>
      </c>
      <c r="X45" s="5">
        <v>0</v>
      </c>
      <c r="Y45" s="7">
        <v>1218.3900000000001</v>
      </c>
    </row>
    <row r="46" spans="1:25" ht="24.75" x14ac:dyDescent="0.25">
      <c r="A46" s="5" t="s">
        <v>26</v>
      </c>
      <c r="B46" s="5" t="s">
        <v>43</v>
      </c>
      <c r="C46" s="5" t="s">
        <v>48</v>
      </c>
      <c r="D46" s="5" t="s">
        <v>53</v>
      </c>
      <c r="E46" s="5" t="s">
        <v>40</v>
      </c>
      <c r="F46" s="5" t="s">
        <v>83</v>
      </c>
      <c r="G46" s="5">
        <v>2018</v>
      </c>
      <c r="H46" s="5" t="str">
        <f>CONCATENATE("84211639251")</f>
        <v>84211639251</v>
      </c>
      <c r="I46" s="5" t="s">
        <v>29</v>
      </c>
      <c r="J46" s="5" t="s">
        <v>30</v>
      </c>
      <c r="K46" s="5" t="str">
        <f>CONCATENATE("")</f>
        <v/>
      </c>
      <c r="L46" s="5" t="str">
        <f>CONCATENATE("13 13.1 4a")</f>
        <v>13 13.1 4a</v>
      </c>
      <c r="M46" s="5" t="str">
        <f>CONCATENATE("BCCMCL88C28D488X")</f>
        <v>BCCMCL88C28D488X</v>
      </c>
      <c r="N46" s="5" t="s">
        <v>120</v>
      </c>
      <c r="O46" s="5" t="s">
        <v>91</v>
      </c>
      <c r="P46" s="6">
        <v>44147</v>
      </c>
      <c r="Q46" s="5" t="s">
        <v>31</v>
      </c>
      <c r="R46" s="5" t="s">
        <v>34</v>
      </c>
      <c r="S46" s="5" t="s">
        <v>33</v>
      </c>
      <c r="T46" s="5"/>
      <c r="U46" s="7">
        <v>1250.32</v>
      </c>
      <c r="V46" s="5">
        <v>539.14</v>
      </c>
      <c r="W46" s="5">
        <v>497.88</v>
      </c>
      <c r="X46" s="5">
        <v>0</v>
      </c>
      <c r="Y46" s="5">
        <v>213.3</v>
      </c>
    </row>
    <row r="47" spans="1:25" ht="24.75" x14ac:dyDescent="0.25">
      <c r="A47" s="5" t="s">
        <v>26</v>
      </c>
      <c r="B47" s="5" t="s">
        <v>43</v>
      </c>
      <c r="C47" s="5" t="s">
        <v>48</v>
      </c>
      <c r="D47" s="5" t="s">
        <v>58</v>
      </c>
      <c r="E47" s="5" t="s">
        <v>40</v>
      </c>
      <c r="F47" s="5" t="s">
        <v>121</v>
      </c>
      <c r="G47" s="5">
        <v>2018</v>
      </c>
      <c r="H47" s="5" t="str">
        <f>CONCATENATE("84210844688")</f>
        <v>84210844688</v>
      </c>
      <c r="I47" s="5" t="s">
        <v>29</v>
      </c>
      <c r="J47" s="5" t="s">
        <v>30</v>
      </c>
      <c r="K47" s="5" t="str">
        <f>CONCATENATE("")</f>
        <v/>
      </c>
      <c r="L47" s="5" t="str">
        <f>CONCATENATE("13 13.1 4a")</f>
        <v>13 13.1 4a</v>
      </c>
      <c r="M47" s="5" t="str">
        <f>CONCATENATE("FDLNCL49M10H588E")</f>
        <v>FDLNCL49M10H588E</v>
      </c>
      <c r="N47" s="5" t="s">
        <v>88</v>
      </c>
      <c r="O47" s="5" t="s">
        <v>91</v>
      </c>
      <c r="P47" s="6">
        <v>44147</v>
      </c>
      <c r="Q47" s="5" t="s">
        <v>31</v>
      </c>
      <c r="R47" s="5" t="s">
        <v>34</v>
      </c>
      <c r="S47" s="5" t="s">
        <v>33</v>
      </c>
      <c r="T47" s="5"/>
      <c r="U47" s="7">
        <v>2357.46</v>
      </c>
      <c r="V47" s="7">
        <v>1016.54</v>
      </c>
      <c r="W47" s="5">
        <v>938.74</v>
      </c>
      <c r="X47" s="5">
        <v>0</v>
      </c>
      <c r="Y47" s="5">
        <v>402.18</v>
      </c>
    </row>
    <row r="48" spans="1:25" x14ac:dyDescent="0.25">
      <c r="A48" s="5" t="s">
        <v>26</v>
      </c>
      <c r="B48" s="5" t="s">
        <v>43</v>
      </c>
      <c r="C48" s="5" t="s">
        <v>48</v>
      </c>
      <c r="D48" s="5" t="s">
        <v>49</v>
      </c>
      <c r="E48" s="5" t="s">
        <v>40</v>
      </c>
      <c r="F48" s="5" t="s">
        <v>122</v>
      </c>
      <c r="G48" s="5">
        <v>2019</v>
      </c>
      <c r="H48" s="5" t="str">
        <f>CONCATENATE("94210038397")</f>
        <v>94210038397</v>
      </c>
      <c r="I48" s="5" t="s">
        <v>29</v>
      </c>
      <c r="J48" s="5" t="s">
        <v>30</v>
      </c>
      <c r="K48" s="5" t="str">
        <f>CONCATENATE("")</f>
        <v/>
      </c>
      <c r="L48" s="5" t="str">
        <f>CONCATENATE("13 13.1 4a")</f>
        <v>13 13.1 4a</v>
      </c>
      <c r="M48" s="5" t="str">
        <f>CONCATENATE("FCCLVC66M27F460S")</f>
        <v>FCCLVC66M27F460S</v>
      </c>
      <c r="N48" s="5" t="s">
        <v>123</v>
      </c>
      <c r="O48" s="5" t="s">
        <v>91</v>
      </c>
      <c r="P48" s="6">
        <v>44147</v>
      </c>
      <c r="Q48" s="5" t="s">
        <v>31</v>
      </c>
      <c r="R48" s="5" t="s">
        <v>34</v>
      </c>
      <c r="S48" s="5" t="s">
        <v>33</v>
      </c>
      <c r="T48" s="5"/>
      <c r="U48" s="5">
        <v>264.07</v>
      </c>
      <c r="V48" s="5">
        <v>113.87</v>
      </c>
      <c r="W48" s="5">
        <v>105.15</v>
      </c>
      <c r="X48" s="5">
        <v>0</v>
      </c>
      <c r="Y48" s="5">
        <v>45.05</v>
      </c>
    </row>
    <row r="49" spans="1:25" ht="24.75" x14ac:dyDescent="0.25">
      <c r="A49" s="5" t="s">
        <v>26</v>
      </c>
      <c r="B49" s="5" t="s">
        <v>43</v>
      </c>
      <c r="C49" s="5" t="s">
        <v>48</v>
      </c>
      <c r="D49" s="5" t="s">
        <v>53</v>
      </c>
      <c r="E49" s="5" t="s">
        <v>28</v>
      </c>
      <c r="F49" s="5" t="s">
        <v>124</v>
      </c>
      <c r="G49" s="5">
        <v>2016</v>
      </c>
      <c r="H49" s="5" t="str">
        <f>CONCATENATE("64210434847")</f>
        <v>64210434847</v>
      </c>
      <c r="I49" s="5" t="s">
        <v>29</v>
      </c>
      <c r="J49" s="5" t="s">
        <v>30</v>
      </c>
      <c r="K49" s="5" t="str">
        <f>CONCATENATE("")</f>
        <v/>
      </c>
      <c r="L49" s="5" t="str">
        <f>CONCATENATE("13 13.1 4a")</f>
        <v>13 13.1 4a</v>
      </c>
      <c r="M49" s="5" t="str">
        <f>CONCATENATE("GNGFNC28P13G453R")</f>
        <v>GNGFNC28P13G453R</v>
      </c>
      <c r="N49" s="5" t="s">
        <v>125</v>
      </c>
      <c r="O49" s="5" t="s">
        <v>91</v>
      </c>
      <c r="P49" s="6">
        <v>44147</v>
      </c>
      <c r="Q49" s="5" t="s">
        <v>31</v>
      </c>
      <c r="R49" s="5" t="s">
        <v>34</v>
      </c>
      <c r="S49" s="5" t="s">
        <v>33</v>
      </c>
      <c r="T49" s="5"/>
      <c r="U49" s="5">
        <v>204.36</v>
      </c>
      <c r="V49" s="5">
        <v>88.12</v>
      </c>
      <c r="W49" s="5">
        <v>81.38</v>
      </c>
      <c r="X49" s="5">
        <v>0</v>
      </c>
      <c r="Y49" s="5">
        <v>34.86</v>
      </c>
    </row>
    <row r="50" spans="1:25" ht="24.75" x14ac:dyDescent="0.25">
      <c r="A50" s="5" t="s">
        <v>26</v>
      </c>
      <c r="B50" s="5" t="s">
        <v>43</v>
      </c>
      <c r="C50" s="5" t="s">
        <v>48</v>
      </c>
      <c r="D50" s="5" t="s">
        <v>49</v>
      </c>
      <c r="E50" s="5" t="s">
        <v>42</v>
      </c>
      <c r="F50" s="5" t="s">
        <v>126</v>
      </c>
      <c r="G50" s="5">
        <v>2019</v>
      </c>
      <c r="H50" s="5" t="str">
        <f>CONCATENATE("94210308196")</f>
        <v>94210308196</v>
      </c>
      <c r="I50" s="5" t="s">
        <v>29</v>
      </c>
      <c r="J50" s="5" t="s">
        <v>30</v>
      </c>
      <c r="K50" s="5" t="str">
        <f>CONCATENATE("")</f>
        <v/>
      </c>
      <c r="L50" s="5" t="str">
        <f>CONCATENATE("13 13.1 4a")</f>
        <v>13 13.1 4a</v>
      </c>
      <c r="M50" s="5" t="str">
        <f>CONCATENATE("MGGNZR49E24I661D")</f>
        <v>MGGNZR49E24I661D</v>
      </c>
      <c r="N50" s="5" t="s">
        <v>127</v>
      </c>
      <c r="O50" s="5" t="s">
        <v>91</v>
      </c>
      <c r="P50" s="6">
        <v>44147</v>
      </c>
      <c r="Q50" s="5" t="s">
        <v>31</v>
      </c>
      <c r="R50" s="5" t="s">
        <v>34</v>
      </c>
      <c r="S50" s="5" t="s">
        <v>33</v>
      </c>
      <c r="T50" s="5"/>
      <c r="U50" s="5">
        <v>377.28</v>
      </c>
      <c r="V50" s="5">
        <v>162.68</v>
      </c>
      <c r="W50" s="5">
        <v>150.22999999999999</v>
      </c>
      <c r="X50" s="5">
        <v>0</v>
      </c>
      <c r="Y50" s="5">
        <v>64.37</v>
      </c>
    </row>
    <row r="51" spans="1:25" ht="24.75" x14ac:dyDescent="0.25">
      <c r="A51" s="5" t="s">
        <v>26</v>
      </c>
      <c r="B51" s="5" t="s">
        <v>43</v>
      </c>
      <c r="C51" s="5" t="s">
        <v>48</v>
      </c>
      <c r="D51" s="5" t="s">
        <v>53</v>
      </c>
      <c r="E51" s="5" t="s">
        <v>40</v>
      </c>
      <c r="F51" s="5" t="s">
        <v>83</v>
      </c>
      <c r="G51" s="5">
        <v>2018</v>
      </c>
      <c r="H51" s="5" t="str">
        <f>CONCATENATE("84211639137")</f>
        <v>84211639137</v>
      </c>
      <c r="I51" s="5" t="s">
        <v>29</v>
      </c>
      <c r="J51" s="5" t="s">
        <v>30</v>
      </c>
      <c r="K51" s="5" t="str">
        <f>CONCATENATE("")</f>
        <v/>
      </c>
      <c r="L51" s="5" t="str">
        <f>CONCATENATE("13 13.1 4a")</f>
        <v>13 13.1 4a</v>
      </c>
      <c r="M51" s="5" t="str">
        <f>CONCATENATE("MNCDNL83R15D749D")</f>
        <v>MNCDNL83R15D749D</v>
      </c>
      <c r="N51" s="5" t="s">
        <v>128</v>
      </c>
      <c r="O51" s="5" t="s">
        <v>91</v>
      </c>
      <c r="P51" s="6">
        <v>44147</v>
      </c>
      <c r="Q51" s="5" t="s">
        <v>31</v>
      </c>
      <c r="R51" s="5" t="s">
        <v>34</v>
      </c>
      <c r="S51" s="5" t="s">
        <v>33</v>
      </c>
      <c r="T51" s="5"/>
      <c r="U51" s="7">
        <v>1753.7</v>
      </c>
      <c r="V51" s="5">
        <v>756.2</v>
      </c>
      <c r="W51" s="5">
        <v>698.32</v>
      </c>
      <c r="X51" s="5">
        <v>0</v>
      </c>
      <c r="Y51" s="5">
        <v>299.18</v>
      </c>
    </row>
    <row r="52" spans="1:25" ht="24.75" x14ac:dyDescent="0.25">
      <c r="A52" s="5" t="s">
        <v>26</v>
      </c>
      <c r="B52" s="5" t="s">
        <v>43</v>
      </c>
      <c r="C52" s="5" t="s">
        <v>48</v>
      </c>
      <c r="D52" s="5" t="s">
        <v>53</v>
      </c>
      <c r="E52" s="5" t="s">
        <v>28</v>
      </c>
      <c r="F52" s="5" t="s">
        <v>129</v>
      </c>
      <c r="G52" s="5">
        <v>2019</v>
      </c>
      <c r="H52" s="5" t="str">
        <f>CONCATENATE("94210174127")</f>
        <v>94210174127</v>
      </c>
      <c r="I52" s="5" t="s">
        <v>29</v>
      </c>
      <c r="J52" s="5" t="s">
        <v>30</v>
      </c>
      <c r="K52" s="5" t="str">
        <f>CONCATENATE("")</f>
        <v/>
      </c>
      <c r="L52" s="5" t="str">
        <f>CONCATENATE("13 13.1 4a")</f>
        <v>13 13.1 4a</v>
      </c>
      <c r="M52" s="5" t="str">
        <f>CONCATENATE("PRLPLA68D09C745A")</f>
        <v>PRLPLA68D09C745A</v>
      </c>
      <c r="N52" s="5" t="s">
        <v>130</v>
      </c>
      <c r="O52" s="5" t="s">
        <v>91</v>
      </c>
      <c r="P52" s="6">
        <v>44147</v>
      </c>
      <c r="Q52" s="5" t="s">
        <v>31</v>
      </c>
      <c r="R52" s="5" t="s">
        <v>34</v>
      </c>
      <c r="S52" s="5" t="s">
        <v>33</v>
      </c>
      <c r="T52" s="5"/>
      <c r="U52" s="7">
        <v>1380.05</v>
      </c>
      <c r="V52" s="5">
        <v>595.08000000000004</v>
      </c>
      <c r="W52" s="5">
        <v>549.54</v>
      </c>
      <c r="X52" s="5">
        <v>0</v>
      </c>
      <c r="Y52" s="5">
        <v>235.43</v>
      </c>
    </row>
    <row r="53" spans="1:25" ht="24.75" x14ac:dyDescent="0.25">
      <c r="A53" s="5" t="s">
        <v>26</v>
      </c>
      <c r="B53" s="5" t="s">
        <v>43</v>
      </c>
      <c r="C53" s="5" t="s">
        <v>48</v>
      </c>
      <c r="D53" s="5" t="s">
        <v>53</v>
      </c>
      <c r="E53" s="5" t="s">
        <v>39</v>
      </c>
      <c r="F53" s="5" t="s">
        <v>131</v>
      </c>
      <c r="G53" s="5">
        <v>2019</v>
      </c>
      <c r="H53" s="5" t="str">
        <f>CONCATENATE("94211374361")</f>
        <v>94211374361</v>
      </c>
      <c r="I53" s="5" t="s">
        <v>29</v>
      </c>
      <c r="J53" s="5" t="s">
        <v>30</v>
      </c>
      <c r="K53" s="5" t="str">
        <f>CONCATENATE("")</f>
        <v/>
      </c>
      <c r="L53" s="5" t="str">
        <f>CONCATENATE("13 13.1 4a")</f>
        <v>13 13.1 4a</v>
      </c>
      <c r="M53" s="5" t="str">
        <f>CONCATENATE("00100850411")</f>
        <v>00100850411</v>
      </c>
      <c r="N53" s="5" t="s">
        <v>132</v>
      </c>
      <c r="O53" s="5" t="s">
        <v>91</v>
      </c>
      <c r="P53" s="6">
        <v>44147</v>
      </c>
      <c r="Q53" s="5" t="s">
        <v>31</v>
      </c>
      <c r="R53" s="5" t="s">
        <v>34</v>
      </c>
      <c r="S53" s="5" t="s">
        <v>33</v>
      </c>
      <c r="T53" s="5"/>
      <c r="U53" s="7">
        <v>9000</v>
      </c>
      <c r="V53" s="7">
        <v>3880.8</v>
      </c>
      <c r="W53" s="7">
        <v>3583.8</v>
      </c>
      <c r="X53" s="5">
        <v>0</v>
      </c>
      <c r="Y53" s="7">
        <v>1535.4</v>
      </c>
    </row>
    <row r="54" spans="1:25" ht="24.75" x14ac:dyDescent="0.25">
      <c r="A54" s="5" t="s">
        <v>26</v>
      </c>
      <c r="B54" s="5" t="s">
        <v>43</v>
      </c>
      <c r="C54" s="5" t="s">
        <v>48</v>
      </c>
      <c r="D54" s="5" t="s">
        <v>64</v>
      </c>
      <c r="E54" s="5" t="s">
        <v>40</v>
      </c>
      <c r="F54" s="5" t="s">
        <v>133</v>
      </c>
      <c r="G54" s="5">
        <v>2018</v>
      </c>
      <c r="H54" s="5" t="str">
        <f>CONCATENATE("84210426601")</f>
        <v>84210426601</v>
      </c>
      <c r="I54" s="5" t="s">
        <v>29</v>
      </c>
      <c r="J54" s="5" t="s">
        <v>30</v>
      </c>
      <c r="K54" s="5" t="str">
        <f>CONCATENATE("")</f>
        <v/>
      </c>
      <c r="L54" s="5" t="str">
        <f>CONCATENATE("13 13.1 4a")</f>
        <v>13 13.1 4a</v>
      </c>
      <c r="M54" s="5" t="str">
        <f>CONCATENATE("SCPMRN29E01A329Z")</f>
        <v>SCPMRN29E01A329Z</v>
      </c>
      <c r="N54" s="5" t="s">
        <v>134</v>
      </c>
      <c r="O54" s="5" t="s">
        <v>91</v>
      </c>
      <c r="P54" s="6">
        <v>44147</v>
      </c>
      <c r="Q54" s="5" t="s">
        <v>31</v>
      </c>
      <c r="R54" s="5" t="s">
        <v>34</v>
      </c>
      <c r="S54" s="5" t="s">
        <v>33</v>
      </c>
      <c r="T54" s="5"/>
      <c r="U54" s="7">
        <v>9000</v>
      </c>
      <c r="V54" s="7">
        <v>3880.8</v>
      </c>
      <c r="W54" s="7">
        <v>3583.8</v>
      </c>
      <c r="X54" s="5">
        <v>0</v>
      </c>
      <c r="Y54" s="7">
        <v>1535.4</v>
      </c>
    </row>
    <row r="55" spans="1:25" ht="24.75" x14ac:dyDescent="0.25">
      <c r="A55" s="5" t="s">
        <v>26</v>
      </c>
      <c r="B55" s="5" t="s">
        <v>43</v>
      </c>
      <c r="C55" s="5" t="s">
        <v>48</v>
      </c>
      <c r="D55" s="5" t="s">
        <v>53</v>
      </c>
      <c r="E55" s="5" t="s">
        <v>28</v>
      </c>
      <c r="F55" s="5" t="s">
        <v>135</v>
      </c>
      <c r="G55" s="5">
        <v>2018</v>
      </c>
      <c r="H55" s="5" t="str">
        <f>CONCATENATE("84211639434")</f>
        <v>84211639434</v>
      </c>
      <c r="I55" s="5" t="s">
        <v>29</v>
      </c>
      <c r="J55" s="5" t="s">
        <v>30</v>
      </c>
      <c r="K55" s="5" t="str">
        <f>CONCATENATE("")</f>
        <v/>
      </c>
      <c r="L55" s="5" t="str">
        <f>CONCATENATE("13 13.1 4a")</f>
        <v>13 13.1 4a</v>
      </c>
      <c r="M55" s="5" t="str">
        <f>CONCATENATE("01057570416")</f>
        <v>01057570416</v>
      </c>
      <c r="N55" s="5" t="s">
        <v>136</v>
      </c>
      <c r="O55" s="5" t="s">
        <v>91</v>
      </c>
      <c r="P55" s="6">
        <v>44147</v>
      </c>
      <c r="Q55" s="5" t="s">
        <v>31</v>
      </c>
      <c r="R55" s="5" t="s">
        <v>34</v>
      </c>
      <c r="S55" s="5" t="s">
        <v>33</v>
      </c>
      <c r="T55" s="5"/>
      <c r="U55" s="7">
        <v>6196.41</v>
      </c>
      <c r="V55" s="7">
        <v>2671.89</v>
      </c>
      <c r="W55" s="7">
        <v>2467.41</v>
      </c>
      <c r="X55" s="5">
        <v>0</v>
      </c>
      <c r="Y55" s="7">
        <v>1057.1099999999999</v>
      </c>
    </row>
    <row r="56" spans="1:25" x14ac:dyDescent="0.25">
      <c r="A56" s="5" t="s">
        <v>26</v>
      </c>
      <c r="B56" s="5" t="s">
        <v>43</v>
      </c>
      <c r="C56" s="5" t="s">
        <v>48</v>
      </c>
      <c r="D56" s="5" t="s">
        <v>49</v>
      </c>
      <c r="E56" s="5" t="s">
        <v>40</v>
      </c>
      <c r="F56" s="5" t="s">
        <v>137</v>
      </c>
      <c r="G56" s="5">
        <v>2019</v>
      </c>
      <c r="H56" s="5" t="str">
        <f>CONCATENATE("94210057777")</f>
        <v>94210057777</v>
      </c>
      <c r="I56" s="5" t="s">
        <v>29</v>
      </c>
      <c r="J56" s="5" t="s">
        <v>30</v>
      </c>
      <c r="K56" s="5" t="str">
        <f>CONCATENATE("")</f>
        <v/>
      </c>
      <c r="L56" s="5" t="str">
        <f>CONCATENATE("13 13.1 4a")</f>
        <v>13 13.1 4a</v>
      </c>
      <c r="M56" s="5" t="str">
        <f>CONCATENATE("VCRPTR50A21I436N")</f>
        <v>VCRPTR50A21I436N</v>
      </c>
      <c r="N56" s="5" t="s">
        <v>138</v>
      </c>
      <c r="O56" s="5" t="s">
        <v>91</v>
      </c>
      <c r="P56" s="6">
        <v>44147</v>
      </c>
      <c r="Q56" s="5" t="s">
        <v>31</v>
      </c>
      <c r="R56" s="5" t="s">
        <v>34</v>
      </c>
      <c r="S56" s="5" t="s">
        <v>33</v>
      </c>
      <c r="T56" s="5"/>
      <c r="U56" s="7">
        <v>3715.42</v>
      </c>
      <c r="V56" s="7">
        <v>1602.09</v>
      </c>
      <c r="W56" s="7">
        <v>1479.48</v>
      </c>
      <c r="X56" s="5">
        <v>0</v>
      </c>
      <c r="Y56" s="5">
        <v>633.85</v>
      </c>
    </row>
    <row r="57" spans="1:25" ht="24.75" x14ac:dyDescent="0.25">
      <c r="A57" s="5" t="s">
        <v>26</v>
      </c>
      <c r="B57" s="5" t="s">
        <v>27</v>
      </c>
      <c r="C57" s="5" t="s">
        <v>48</v>
      </c>
      <c r="D57" s="5" t="s">
        <v>64</v>
      </c>
      <c r="E57" s="5" t="s">
        <v>35</v>
      </c>
      <c r="F57" s="5" t="s">
        <v>35</v>
      </c>
      <c r="G57" s="5">
        <v>2017</v>
      </c>
      <c r="H57" s="5" t="str">
        <f>CONCATENATE("04270155148")</f>
        <v>04270155148</v>
      </c>
      <c r="I57" s="5" t="s">
        <v>29</v>
      </c>
      <c r="J57" s="5" t="s">
        <v>30</v>
      </c>
      <c r="K57" s="5" t="str">
        <f>CONCATENATE("")</f>
        <v/>
      </c>
      <c r="L57" s="5" t="str">
        <f>CONCATENATE("16 16.5 4c")</f>
        <v>16 16.5 4c</v>
      </c>
      <c r="M57" s="5" t="str">
        <f>CONCATENATE("00336080429")</f>
        <v>00336080429</v>
      </c>
      <c r="N57" s="5" t="s">
        <v>139</v>
      </c>
      <c r="O57" s="5" t="s">
        <v>140</v>
      </c>
      <c r="P57" s="6">
        <v>44151</v>
      </c>
      <c r="Q57" s="5" t="s">
        <v>31</v>
      </c>
      <c r="R57" s="5" t="s">
        <v>34</v>
      </c>
      <c r="S57" s="5" t="s">
        <v>33</v>
      </c>
      <c r="T57" s="5"/>
      <c r="U57" s="7">
        <v>20000</v>
      </c>
      <c r="V57" s="7">
        <v>8624</v>
      </c>
      <c r="W57" s="7">
        <v>7964</v>
      </c>
      <c r="X57" s="5">
        <v>0</v>
      </c>
      <c r="Y57" s="7">
        <v>3412</v>
      </c>
    </row>
    <row r="58" spans="1:25" ht="24.75" x14ac:dyDescent="0.25">
      <c r="A58" s="5" t="s">
        <v>26</v>
      </c>
      <c r="B58" s="5" t="s">
        <v>27</v>
      </c>
      <c r="C58" s="5" t="s">
        <v>48</v>
      </c>
      <c r="D58" s="5" t="s">
        <v>64</v>
      </c>
      <c r="E58" s="5" t="s">
        <v>35</v>
      </c>
      <c r="F58" s="5" t="s">
        <v>35</v>
      </c>
      <c r="G58" s="5">
        <v>2017</v>
      </c>
      <c r="H58" s="5" t="str">
        <f>CONCATENATE("04270155700")</f>
        <v>04270155700</v>
      </c>
      <c r="I58" s="5" t="s">
        <v>29</v>
      </c>
      <c r="J58" s="5" t="s">
        <v>30</v>
      </c>
      <c r="K58" s="5" t="str">
        <f>CONCATENATE("")</f>
        <v/>
      </c>
      <c r="L58" s="5" t="str">
        <f>CONCATENATE("16 16.5 4c")</f>
        <v>16 16.5 4c</v>
      </c>
      <c r="M58" s="5" t="str">
        <f>CONCATENATE("00135880425")</f>
        <v>00135880425</v>
      </c>
      <c r="N58" s="5" t="s">
        <v>141</v>
      </c>
      <c r="O58" s="5" t="s">
        <v>140</v>
      </c>
      <c r="P58" s="6">
        <v>44151</v>
      </c>
      <c r="Q58" s="5" t="s">
        <v>31</v>
      </c>
      <c r="R58" s="5" t="s">
        <v>34</v>
      </c>
      <c r="S58" s="5" t="s">
        <v>33</v>
      </c>
      <c r="T58" s="5"/>
      <c r="U58" s="7">
        <v>16393.439999999999</v>
      </c>
      <c r="V58" s="7">
        <v>7068.85</v>
      </c>
      <c r="W58" s="7">
        <v>6527.87</v>
      </c>
      <c r="X58" s="5">
        <v>0</v>
      </c>
      <c r="Y58" s="7">
        <v>2796.72</v>
      </c>
    </row>
    <row r="59" spans="1:25" x14ac:dyDescent="0.25">
      <c r="A59" s="5" t="s">
        <v>26</v>
      </c>
      <c r="B59" s="5" t="s">
        <v>27</v>
      </c>
      <c r="C59" s="5" t="s">
        <v>48</v>
      </c>
      <c r="D59" s="5" t="s">
        <v>49</v>
      </c>
      <c r="E59" s="5" t="s">
        <v>35</v>
      </c>
      <c r="F59" s="5" t="s">
        <v>35</v>
      </c>
      <c r="G59" s="5">
        <v>2017</v>
      </c>
      <c r="H59" s="5" t="str">
        <f>CONCATENATE("04270155155")</f>
        <v>04270155155</v>
      </c>
      <c r="I59" s="5" t="s">
        <v>29</v>
      </c>
      <c r="J59" s="5" t="s">
        <v>30</v>
      </c>
      <c r="K59" s="5" t="str">
        <f>CONCATENATE("")</f>
        <v/>
      </c>
      <c r="L59" s="5" t="str">
        <f>CONCATENATE("16 16.5 4c")</f>
        <v>16 16.5 4c</v>
      </c>
      <c r="M59" s="5" t="str">
        <f>CONCATENATE("00215270430")</f>
        <v>00215270430</v>
      </c>
      <c r="N59" s="5" t="s">
        <v>142</v>
      </c>
      <c r="O59" s="5" t="s">
        <v>140</v>
      </c>
      <c r="P59" s="6">
        <v>44151</v>
      </c>
      <c r="Q59" s="5" t="s">
        <v>31</v>
      </c>
      <c r="R59" s="5" t="s">
        <v>34</v>
      </c>
      <c r="S59" s="5" t="s">
        <v>33</v>
      </c>
      <c r="T59" s="5"/>
      <c r="U59" s="7">
        <v>13000</v>
      </c>
      <c r="V59" s="7">
        <v>5605.6</v>
      </c>
      <c r="W59" s="7">
        <v>5176.6000000000004</v>
      </c>
      <c r="X59" s="5">
        <v>0</v>
      </c>
      <c r="Y59" s="7">
        <v>2217.8000000000002</v>
      </c>
    </row>
    <row r="60" spans="1:25" ht="24.75" x14ac:dyDescent="0.25">
      <c r="A60" s="5" t="s">
        <v>26</v>
      </c>
      <c r="B60" s="5" t="s">
        <v>43</v>
      </c>
      <c r="C60" s="5" t="s">
        <v>48</v>
      </c>
      <c r="D60" s="5" t="s">
        <v>53</v>
      </c>
      <c r="E60" s="5" t="s">
        <v>40</v>
      </c>
      <c r="F60" s="5" t="s">
        <v>83</v>
      </c>
      <c r="G60" s="5">
        <v>2019</v>
      </c>
      <c r="H60" s="5" t="str">
        <f>CONCATENATE("94240838998")</f>
        <v>94240838998</v>
      </c>
      <c r="I60" s="5" t="s">
        <v>29</v>
      </c>
      <c r="J60" s="5" t="s">
        <v>30</v>
      </c>
      <c r="K60" s="5" t="str">
        <f>CONCATENATE("")</f>
        <v/>
      </c>
      <c r="L60" s="5" t="str">
        <f>CONCATENATE("11 11.1 4b")</f>
        <v>11 11.1 4b</v>
      </c>
      <c r="M60" s="5" t="str">
        <f>CONCATENATE("CNGGNN89D22I608A")</f>
        <v>CNGGNN89D22I608A</v>
      </c>
      <c r="N60" s="5" t="s">
        <v>143</v>
      </c>
      <c r="O60" s="5" t="s">
        <v>85</v>
      </c>
      <c r="P60" s="6">
        <v>44152</v>
      </c>
      <c r="Q60" s="5" t="s">
        <v>31</v>
      </c>
      <c r="R60" s="5" t="s">
        <v>34</v>
      </c>
      <c r="S60" s="5" t="s">
        <v>33</v>
      </c>
      <c r="T60" s="5"/>
      <c r="U60" s="5">
        <v>45.77</v>
      </c>
      <c r="V60" s="5">
        <v>19.739999999999998</v>
      </c>
      <c r="W60" s="5">
        <v>18.23</v>
      </c>
      <c r="X60" s="5">
        <v>0</v>
      </c>
      <c r="Y60" s="5">
        <v>7.8</v>
      </c>
    </row>
    <row r="61" spans="1:25" ht="24.75" x14ac:dyDescent="0.25">
      <c r="A61" s="5" t="s">
        <v>26</v>
      </c>
      <c r="B61" s="5" t="s">
        <v>43</v>
      </c>
      <c r="C61" s="5" t="s">
        <v>48</v>
      </c>
      <c r="D61" s="5" t="s">
        <v>58</v>
      </c>
      <c r="E61" s="5" t="s">
        <v>37</v>
      </c>
      <c r="F61" s="5" t="s">
        <v>75</v>
      </c>
      <c r="G61" s="5">
        <v>2019</v>
      </c>
      <c r="H61" s="5" t="str">
        <f>CONCATENATE("94241694721")</f>
        <v>94241694721</v>
      </c>
      <c r="I61" s="5" t="s">
        <v>29</v>
      </c>
      <c r="J61" s="5" t="s">
        <v>30</v>
      </c>
      <c r="K61" s="5" t="str">
        <f>CONCATENATE("")</f>
        <v/>
      </c>
      <c r="L61" s="5" t="str">
        <f>CONCATENATE("11 11.1 4b")</f>
        <v>11 11.1 4b</v>
      </c>
      <c r="M61" s="5" t="str">
        <f>CONCATENATE("DSDSML89P21A462C")</f>
        <v>DSDSML89P21A462C</v>
      </c>
      <c r="N61" s="5" t="s">
        <v>107</v>
      </c>
      <c r="O61" s="5" t="s">
        <v>85</v>
      </c>
      <c r="P61" s="6">
        <v>44152</v>
      </c>
      <c r="Q61" s="5" t="s">
        <v>31</v>
      </c>
      <c r="R61" s="5" t="s">
        <v>34</v>
      </c>
      <c r="S61" s="5" t="s">
        <v>33</v>
      </c>
      <c r="T61" s="5"/>
      <c r="U61" s="7">
        <v>1047.42</v>
      </c>
      <c r="V61" s="5">
        <v>451.65</v>
      </c>
      <c r="W61" s="5">
        <v>417.08</v>
      </c>
      <c r="X61" s="5">
        <v>0</v>
      </c>
      <c r="Y61" s="5">
        <v>178.69</v>
      </c>
    </row>
    <row r="62" spans="1:25" ht="24.75" x14ac:dyDescent="0.25">
      <c r="A62" s="5" t="s">
        <v>26</v>
      </c>
      <c r="B62" s="5" t="s">
        <v>43</v>
      </c>
      <c r="C62" s="5" t="s">
        <v>48</v>
      </c>
      <c r="D62" s="5" t="s">
        <v>64</v>
      </c>
      <c r="E62" s="5" t="s">
        <v>28</v>
      </c>
      <c r="F62" s="5" t="s">
        <v>144</v>
      </c>
      <c r="G62" s="5">
        <v>2017</v>
      </c>
      <c r="H62" s="5" t="str">
        <f>CONCATENATE("74780039686")</f>
        <v>74780039686</v>
      </c>
      <c r="I62" s="5" t="s">
        <v>29</v>
      </c>
      <c r="J62" s="5" t="s">
        <v>47</v>
      </c>
      <c r="K62" s="5" t="str">
        <f>CONCATENATE("221")</f>
        <v>221</v>
      </c>
      <c r="L62" s="5" t="str">
        <f>CONCATENATE("8 8.1 5e")</f>
        <v>8 8.1 5e</v>
      </c>
      <c r="M62" s="5" t="str">
        <f>CONCATENATE("TMNLRA75P67A271V")</f>
        <v>TMNLRA75P67A271V</v>
      </c>
      <c r="N62" s="5" t="s">
        <v>145</v>
      </c>
      <c r="O62" s="5" t="s">
        <v>146</v>
      </c>
      <c r="P62" s="6">
        <v>44162</v>
      </c>
      <c r="Q62" s="5" t="s">
        <v>31</v>
      </c>
      <c r="R62" s="5" t="s">
        <v>34</v>
      </c>
      <c r="S62" s="5" t="s">
        <v>33</v>
      </c>
      <c r="T62" s="5"/>
      <c r="U62" s="7">
        <v>3267</v>
      </c>
      <c r="V62" s="7">
        <v>1408.73</v>
      </c>
      <c r="W62" s="7">
        <v>1300.92</v>
      </c>
      <c r="X62" s="5">
        <v>0</v>
      </c>
      <c r="Y62" s="5">
        <v>557.35</v>
      </c>
    </row>
    <row r="63" spans="1:25" ht="24.75" x14ac:dyDescent="0.25">
      <c r="A63" s="5" t="s">
        <v>26</v>
      </c>
      <c r="B63" s="5" t="s">
        <v>43</v>
      </c>
      <c r="C63" s="5" t="s">
        <v>48</v>
      </c>
      <c r="D63" s="5" t="s">
        <v>53</v>
      </c>
      <c r="E63" s="5" t="s">
        <v>40</v>
      </c>
      <c r="F63" s="5" t="s">
        <v>115</v>
      </c>
      <c r="G63" s="5">
        <v>2018</v>
      </c>
      <c r="H63" s="5" t="str">
        <f>CONCATENATE("84241678386")</f>
        <v>84241678386</v>
      </c>
      <c r="I63" s="5" t="s">
        <v>29</v>
      </c>
      <c r="J63" s="5" t="s">
        <v>30</v>
      </c>
      <c r="K63" s="5" t="str">
        <f>CONCATENATE("")</f>
        <v/>
      </c>
      <c r="L63" s="5" t="str">
        <f>CONCATENATE("11 11.1 4b")</f>
        <v>11 11.1 4b</v>
      </c>
      <c r="M63" s="5" t="str">
        <f>CONCATENATE("BGTLRN59D48G089K")</f>
        <v>BGTLRN59D48G089K</v>
      </c>
      <c r="N63" s="5" t="s">
        <v>147</v>
      </c>
      <c r="O63" s="5" t="s">
        <v>85</v>
      </c>
      <c r="P63" s="6">
        <v>44152</v>
      </c>
      <c r="Q63" s="5" t="s">
        <v>31</v>
      </c>
      <c r="R63" s="5" t="s">
        <v>34</v>
      </c>
      <c r="S63" s="5" t="s">
        <v>33</v>
      </c>
      <c r="T63" s="5"/>
      <c r="U63" s="7">
        <v>2151.2800000000002</v>
      </c>
      <c r="V63" s="5">
        <v>927.63</v>
      </c>
      <c r="W63" s="5">
        <v>856.64</v>
      </c>
      <c r="X63" s="5">
        <v>0</v>
      </c>
      <c r="Y63" s="5">
        <v>367.01</v>
      </c>
    </row>
    <row r="64" spans="1:25" ht="24.75" x14ac:dyDescent="0.25">
      <c r="A64" s="5" t="s">
        <v>26</v>
      </c>
      <c r="B64" s="5" t="s">
        <v>43</v>
      </c>
      <c r="C64" s="5" t="s">
        <v>48</v>
      </c>
      <c r="D64" s="5" t="s">
        <v>53</v>
      </c>
      <c r="E64" s="5" t="s">
        <v>40</v>
      </c>
      <c r="F64" s="5" t="s">
        <v>83</v>
      </c>
      <c r="G64" s="5">
        <v>2019</v>
      </c>
      <c r="H64" s="5" t="str">
        <f>CONCATENATE("94241730814")</f>
        <v>94241730814</v>
      </c>
      <c r="I64" s="5" t="s">
        <v>29</v>
      </c>
      <c r="J64" s="5" t="s">
        <v>30</v>
      </c>
      <c r="K64" s="5" t="str">
        <f>CONCATENATE("")</f>
        <v/>
      </c>
      <c r="L64" s="5" t="str">
        <f>CONCATENATE("11 11.2 4b")</f>
        <v>11 11.2 4b</v>
      </c>
      <c r="M64" s="5" t="str">
        <f>CONCATENATE("00647890417")</f>
        <v>00647890417</v>
      </c>
      <c r="N64" s="5" t="s">
        <v>148</v>
      </c>
      <c r="O64" s="5" t="s">
        <v>85</v>
      </c>
      <c r="P64" s="6">
        <v>44152</v>
      </c>
      <c r="Q64" s="5" t="s">
        <v>31</v>
      </c>
      <c r="R64" s="5" t="s">
        <v>34</v>
      </c>
      <c r="S64" s="5" t="s">
        <v>33</v>
      </c>
      <c r="T64" s="5"/>
      <c r="U64" s="7">
        <v>17719.189999999999</v>
      </c>
      <c r="V64" s="7">
        <v>7640.51</v>
      </c>
      <c r="W64" s="7">
        <v>7055.78</v>
      </c>
      <c r="X64" s="5">
        <v>0</v>
      </c>
      <c r="Y64" s="7">
        <v>3022.9</v>
      </c>
    </row>
    <row r="65" spans="1:25" ht="24.75" x14ac:dyDescent="0.25">
      <c r="A65" s="5" t="s">
        <v>26</v>
      </c>
      <c r="B65" s="5" t="s">
        <v>43</v>
      </c>
      <c r="C65" s="5" t="s">
        <v>48</v>
      </c>
      <c r="D65" s="5" t="s">
        <v>49</v>
      </c>
      <c r="E65" s="5" t="s">
        <v>40</v>
      </c>
      <c r="F65" s="5" t="s">
        <v>122</v>
      </c>
      <c r="G65" s="5">
        <v>2019</v>
      </c>
      <c r="H65" s="5" t="str">
        <f>CONCATENATE("94210028232")</f>
        <v>94210028232</v>
      </c>
      <c r="I65" s="5" t="s">
        <v>29</v>
      </c>
      <c r="J65" s="5" t="s">
        <v>30</v>
      </c>
      <c r="K65" s="5" t="str">
        <f>CONCATENATE("")</f>
        <v/>
      </c>
      <c r="L65" s="5" t="str">
        <f>CONCATENATE("13 13.1 4a")</f>
        <v>13 13.1 4a</v>
      </c>
      <c r="M65" s="5" t="str">
        <f>CONCATENATE("CPTGRG77S13B474U")</f>
        <v>CPTGRG77S13B474U</v>
      </c>
      <c r="N65" s="5" t="s">
        <v>149</v>
      </c>
      <c r="O65" s="5" t="s">
        <v>91</v>
      </c>
      <c r="P65" s="6">
        <v>44147</v>
      </c>
      <c r="Q65" s="5" t="s">
        <v>31</v>
      </c>
      <c r="R65" s="5" t="s">
        <v>34</v>
      </c>
      <c r="S65" s="5" t="s">
        <v>33</v>
      </c>
      <c r="T65" s="5"/>
      <c r="U65" s="5">
        <v>57.3</v>
      </c>
      <c r="V65" s="5">
        <v>24.71</v>
      </c>
      <c r="W65" s="5">
        <v>22.82</v>
      </c>
      <c r="X65" s="5">
        <v>0</v>
      </c>
      <c r="Y65" s="5">
        <v>9.77</v>
      </c>
    </row>
    <row r="66" spans="1:25" ht="24.75" x14ac:dyDescent="0.25">
      <c r="A66" s="5" t="s">
        <v>26</v>
      </c>
      <c r="B66" s="5" t="s">
        <v>43</v>
      </c>
      <c r="C66" s="5" t="s">
        <v>48</v>
      </c>
      <c r="D66" s="5" t="s">
        <v>53</v>
      </c>
      <c r="E66" s="5" t="s">
        <v>28</v>
      </c>
      <c r="F66" s="5" t="s">
        <v>110</v>
      </c>
      <c r="G66" s="5">
        <v>2018</v>
      </c>
      <c r="H66" s="5" t="str">
        <f>CONCATENATE("84211639285")</f>
        <v>84211639285</v>
      </c>
      <c r="I66" s="5" t="s">
        <v>29</v>
      </c>
      <c r="J66" s="5" t="s">
        <v>30</v>
      </c>
      <c r="K66" s="5" t="str">
        <f>CONCATENATE("")</f>
        <v/>
      </c>
      <c r="L66" s="5" t="str">
        <f>CONCATENATE("13 13.1 4a")</f>
        <v>13 13.1 4a</v>
      </c>
      <c r="M66" s="5" t="str">
        <f>CONCATENATE("NBLFNC40P16H886Z")</f>
        <v>NBLFNC40P16H886Z</v>
      </c>
      <c r="N66" s="5" t="s">
        <v>150</v>
      </c>
      <c r="O66" s="5" t="s">
        <v>91</v>
      </c>
      <c r="P66" s="6">
        <v>44147</v>
      </c>
      <c r="Q66" s="5" t="s">
        <v>31</v>
      </c>
      <c r="R66" s="5" t="s">
        <v>34</v>
      </c>
      <c r="S66" s="5" t="s">
        <v>33</v>
      </c>
      <c r="T66" s="5"/>
      <c r="U66" s="5">
        <v>970.04</v>
      </c>
      <c r="V66" s="5">
        <v>418.28</v>
      </c>
      <c r="W66" s="5">
        <v>386.27</v>
      </c>
      <c r="X66" s="5">
        <v>0</v>
      </c>
      <c r="Y66" s="5">
        <v>165.49</v>
      </c>
    </row>
    <row r="67" spans="1:25" ht="24.75" x14ac:dyDescent="0.25">
      <c r="A67" s="5" t="s">
        <v>26</v>
      </c>
      <c r="B67" s="5" t="s">
        <v>43</v>
      </c>
      <c r="C67" s="5" t="s">
        <v>48</v>
      </c>
      <c r="D67" s="5" t="s">
        <v>53</v>
      </c>
      <c r="E67" s="5" t="s">
        <v>28</v>
      </c>
      <c r="F67" s="5" t="s">
        <v>110</v>
      </c>
      <c r="G67" s="5">
        <v>2018</v>
      </c>
      <c r="H67" s="5" t="str">
        <f>CONCATENATE("84211639335")</f>
        <v>84211639335</v>
      </c>
      <c r="I67" s="5" t="s">
        <v>29</v>
      </c>
      <c r="J67" s="5" t="s">
        <v>30</v>
      </c>
      <c r="K67" s="5" t="str">
        <f>CONCATENATE("")</f>
        <v/>
      </c>
      <c r="L67" s="5" t="str">
        <f>CONCATENATE("13 13.1 4a")</f>
        <v>13 13.1 4a</v>
      </c>
      <c r="M67" s="5" t="str">
        <f>CONCATENATE("PLVNLL49M04H886Q")</f>
        <v>PLVNLL49M04H886Q</v>
      </c>
      <c r="N67" s="5" t="s">
        <v>151</v>
      </c>
      <c r="O67" s="5" t="s">
        <v>91</v>
      </c>
      <c r="P67" s="6">
        <v>44147</v>
      </c>
      <c r="Q67" s="5" t="s">
        <v>31</v>
      </c>
      <c r="R67" s="5" t="s">
        <v>34</v>
      </c>
      <c r="S67" s="5" t="s">
        <v>33</v>
      </c>
      <c r="T67" s="5"/>
      <c r="U67" s="5">
        <v>749.52</v>
      </c>
      <c r="V67" s="5">
        <v>323.19</v>
      </c>
      <c r="W67" s="5">
        <v>298.45999999999998</v>
      </c>
      <c r="X67" s="5">
        <v>0</v>
      </c>
      <c r="Y67" s="5">
        <v>127.87</v>
      </c>
    </row>
    <row r="68" spans="1:25" ht="24.75" x14ac:dyDescent="0.25">
      <c r="A68" s="5" t="s">
        <v>26</v>
      </c>
      <c r="B68" s="5" t="s">
        <v>43</v>
      </c>
      <c r="C68" s="5" t="s">
        <v>48</v>
      </c>
      <c r="D68" s="5" t="s">
        <v>53</v>
      </c>
      <c r="E68" s="5" t="s">
        <v>28</v>
      </c>
      <c r="F68" s="5" t="s">
        <v>152</v>
      </c>
      <c r="G68" s="5">
        <v>2019</v>
      </c>
      <c r="H68" s="5" t="str">
        <f>CONCATENATE("94210259787")</f>
        <v>94210259787</v>
      </c>
      <c r="I68" s="5" t="s">
        <v>29</v>
      </c>
      <c r="J68" s="5" t="s">
        <v>30</v>
      </c>
      <c r="K68" s="5" t="str">
        <f>CONCATENATE("")</f>
        <v/>
      </c>
      <c r="L68" s="5" t="str">
        <f>CONCATENATE("13 13.1 4a")</f>
        <v>13 13.1 4a</v>
      </c>
      <c r="M68" s="5" t="str">
        <f>CONCATENATE("MRTSRN73L56G479T")</f>
        <v>MRTSRN73L56G479T</v>
      </c>
      <c r="N68" s="5" t="s">
        <v>153</v>
      </c>
      <c r="O68" s="5" t="s">
        <v>91</v>
      </c>
      <c r="P68" s="6">
        <v>44147</v>
      </c>
      <c r="Q68" s="5" t="s">
        <v>31</v>
      </c>
      <c r="R68" s="5" t="s">
        <v>34</v>
      </c>
      <c r="S68" s="5" t="s">
        <v>33</v>
      </c>
      <c r="T68" s="5"/>
      <c r="U68" s="7">
        <v>1348.88</v>
      </c>
      <c r="V68" s="5">
        <v>581.64</v>
      </c>
      <c r="W68" s="5">
        <v>537.12</v>
      </c>
      <c r="X68" s="5">
        <v>0</v>
      </c>
      <c r="Y68" s="5">
        <v>230.12</v>
      </c>
    </row>
    <row r="69" spans="1:25" ht="24.75" x14ac:dyDescent="0.25">
      <c r="A69" s="5" t="s">
        <v>26</v>
      </c>
      <c r="B69" s="5" t="s">
        <v>43</v>
      </c>
      <c r="C69" s="5" t="s">
        <v>48</v>
      </c>
      <c r="D69" s="5" t="s">
        <v>53</v>
      </c>
      <c r="E69" s="5" t="s">
        <v>40</v>
      </c>
      <c r="F69" s="5" t="s">
        <v>154</v>
      </c>
      <c r="G69" s="5">
        <v>2018</v>
      </c>
      <c r="H69" s="5" t="str">
        <f>CONCATENATE("84211639236")</f>
        <v>84211639236</v>
      </c>
      <c r="I69" s="5" t="s">
        <v>29</v>
      </c>
      <c r="J69" s="5" t="s">
        <v>30</v>
      </c>
      <c r="K69" s="5" t="str">
        <f>CONCATENATE("")</f>
        <v/>
      </c>
      <c r="L69" s="5" t="str">
        <f>CONCATENATE("13 13.1 4a")</f>
        <v>13 13.1 4a</v>
      </c>
      <c r="M69" s="5" t="str">
        <f>CONCATENATE("01382630414")</f>
        <v>01382630414</v>
      </c>
      <c r="N69" s="5" t="s">
        <v>155</v>
      </c>
      <c r="O69" s="5" t="s">
        <v>91</v>
      </c>
      <c r="P69" s="6">
        <v>44147</v>
      </c>
      <c r="Q69" s="5" t="s">
        <v>31</v>
      </c>
      <c r="R69" s="5" t="s">
        <v>34</v>
      </c>
      <c r="S69" s="5" t="s">
        <v>33</v>
      </c>
      <c r="T69" s="5"/>
      <c r="U69" s="7">
        <v>9000</v>
      </c>
      <c r="V69" s="7">
        <v>3880.8</v>
      </c>
      <c r="W69" s="7">
        <v>3583.8</v>
      </c>
      <c r="X69" s="5">
        <v>0</v>
      </c>
      <c r="Y69" s="7">
        <v>1535.4</v>
      </c>
    </row>
    <row r="70" spans="1:25" ht="24.75" x14ac:dyDescent="0.25">
      <c r="A70" s="5" t="s">
        <v>26</v>
      </c>
      <c r="B70" s="5" t="s">
        <v>43</v>
      </c>
      <c r="C70" s="5" t="s">
        <v>48</v>
      </c>
      <c r="D70" s="5" t="s">
        <v>49</v>
      </c>
      <c r="E70" s="5" t="s">
        <v>40</v>
      </c>
      <c r="F70" s="5" t="s">
        <v>137</v>
      </c>
      <c r="G70" s="5">
        <v>2019</v>
      </c>
      <c r="H70" s="5" t="str">
        <f>CONCATENATE("94210251131")</f>
        <v>94210251131</v>
      </c>
      <c r="I70" s="5" t="s">
        <v>29</v>
      </c>
      <c r="J70" s="5" t="s">
        <v>30</v>
      </c>
      <c r="K70" s="5" t="str">
        <f>CONCATENATE("")</f>
        <v/>
      </c>
      <c r="L70" s="5" t="str">
        <f>CONCATENATE("13 13.1 4a")</f>
        <v>13 13.1 4a</v>
      </c>
      <c r="M70" s="5" t="str">
        <f>CONCATENATE("PRGGNN33R16I436N")</f>
        <v>PRGGNN33R16I436N</v>
      </c>
      <c r="N70" s="5" t="s">
        <v>156</v>
      </c>
      <c r="O70" s="5" t="s">
        <v>91</v>
      </c>
      <c r="P70" s="6">
        <v>44147</v>
      </c>
      <c r="Q70" s="5" t="s">
        <v>31</v>
      </c>
      <c r="R70" s="5" t="s">
        <v>34</v>
      </c>
      <c r="S70" s="5" t="s">
        <v>33</v>
      </c>
      <c r="T70" s="5"/>
      <c r="U70" s="5">
        <v>903.72</v>
      </c>
      <c r="V70" s="5">
        <v>389.68</v>
      </c>
      <c r="W70" s="5">
        <v>359.86</v>
      </c>
      <c r="X70" s="5">
        <v>0</v>
      </c>
      <c r="Y70" s="5">
        <v>154.18</v>
      </c>
    </row>
    <row r="71" spans="1:25" ht="24.75" x14ac:dyDescent="0.25">
      <c r="A71" s="5" t="s">
        <v>26</v>
      </c>
      <c r="B71" s="5" t="s">
        <v>43</v>
      </c>
      <c r="C71" s="5" t="s">
        <v>48</v>
      </c>
      <c r="D71" s="5" t="s">
        <v>53</v>
      </c>
      <c r="E71" s="5" t="s">
        <v>28</v>
      </c>
      <c r="F71" s="5" t="s">
        <v>110</v>
      </c>
      <c r="G71" s="5">
        <v>2018</v>
      </c>
      <c r="H71" s="5" t="str">
        <f>CONCATENATE("84211639426")</f>
        <v>84211639426</v>
      </c>
      <c r="I71" s="5" t="s">
        <v>29</v>
      </c>
      <c r="J71" s="5" t="s">
        <v>30</v>
      </c>
      <c r="K71" s="5" t="str">
        <f>CONCATENATE("")</f>
        <v/>
      </c>
      <c r="L71" s="5" t="str">
        <f>CONCATENATE("13 13.1 4a")</f>
        <v>13 13.1 4a</v>
      </c>
      <c r="M71" s="5" t="str">
        <f>CONCATENATE("BRNMRC71P12F347P")</f>
        <v>BRNMRC71P12F347P</v>
      </c>
      <c r="N71" s="5" t="s">
        <v>157</v>
      </c>
      <c r="O71" s="5" t="s">
        <v>91</v>
      </c>
      <c r="P71" s="6">
        <v>44147</v>
      </c>
      <c r="Q71" s="5" t="s">
        <v>31</v>
      </c>
      <c r="R71" s="5" t="s">
        <v>34</v>
      </c>
      <c r="S71" s="5" t="s">
        <v>33</v>
      </c>
      <c r="T71" s="5"/>
      <c r="U71" s="7">
        <v>2766.86</v>
      </c>
      <c r="V71" s="7">
        <v>1193.07</v>
      </c>
      <c r="W71" s="7">
        <v>1101.76</v>
      </c>
      <c r="X71" s="5">
        <v>0</v>
      </c>
      <c r="Y71" s="5">
        <v>472.03</v>
      </c>
    </row>
    <row r="72" spans="1:25" ht="24.75" x14ac:dyDescent="0.25">
      <c r="A72" s="5" t="s">
        <v>26</v>
      </c>
      <c r="B72" s="5" t="s">
        <v>43</v>
      </c>
      <c r="C72" s="5" t="s">
        <v>48</v>
      </c>
      <c r="D72" s="5" t="s">
        <v>53</v>
      </c>
      <c r="E72" s="5" t="s">
        <v>28</v>
      </c>
      <c r="F72" s="5" t="s">
        <v>110</v>
      </c>
      <c r="G72" s="5">
        <v>2018</v>
      </c>
      <c r="H72" s="5" t="str">
        <f>CONCATENATE("84211639384")</f>
        <v>84211639384</v>
      </c>
      <c r="I72" s="5" t="s">
        <v>29</v>
      </c>
      <c r="J72" s="5" t="s">
        <v>30</v>
      </c>
      <c r="K72" s="5" t="str">
        <f>CONCATENATE("")</f>
        <v/>
      </c>
      <c r="L72" s="5" t="str">
        <f>CONCATENATE("13 13.1 4a")</f>
        <v>13 13.1 4a</v>
      </c>
      <c r="M72" s="5" t="str">
        <f>CONCATENATE("CRLNNL56C31H886Q")</f>
        <v>CRLNNL56C31H886Q</v>
      </c>
      <c r="N72" s="5" t="s">
        <v>158</v>
      </c>
      <c r="O72" s="5" t="s">
        <v>91</v>
      </c>
      <c r="P72" s="6">
        <v>44147</v>
      </c>
      <c r="Q72" s="5" t="s">
        <v>31</v>
      </c>
      <c r="R72" s="5" t="s">
        <v>34</v>
      </c>
      <c r="S72" s="5" t="s">
        <v>33</v>
      </c>
      <c r="T72" s="5"/>
      <c r="U72" s="7">
        <v>1778.56</v>
      </c>
      <c r="V72" s="5">
        <v>766.92</v>
      </c>
      <c r="W72" s="5">
        <v>708.22</v>
      </c>
      <c r="X72" s="5">
        <v>0</v>
      </c>
      <c r="Y72" s="5">
        <v>303.42</v>
      </c>
    </row>
    <row r="73" spans="1:25" ht="24.75" x14ac:dyDescent="0.25">
      <c r="A73" s="5" t="s">
        <v>26</v>
      </c>
      <c r="B73" s="5" t="s">
        <v>43</v>
      </c>
      <c r="C73" s="5" t="s">
        <v>48</v>
      </c>
      <c r="D73" s="5" t="s">
        <v>53</v>
      </c>
      <c r="E73" s="5" t="s">
        <v>28</v>
      </c>
      <c r="F73" s="5" t="s">
        <v>110</v>
      </c>
      <c r="G73" s="5">
        <v>2018</v>
      </c>
      <c r="H73" s="5" t="str">
        <f>CONCATENATE("84211639301")</f>
        <v>84211639301</v>
      </c>
      <c r="I73" s="5" t="s">
        <v>29</v>
      </c>
      <c r="J73" s="5" t="s">
        <v>30</v>
      </c>
      <c r="K73" s="5" t="str">
        <f>CONCATENATE("")</f>
        <v/>
      </c>
      <c r="L73" s="5" t="str">
        <f>CONCATENATE("13 13.1 4a")</f>
        <v>13 13.1 4a</v>
      </c>
      <c r="M73" s="5" t="str">
        <f>CONCATENATE("BRNMSM69L27D007L")</f>
        <v>BRNMSM69L27D007L</v>
      </c>
      <c r="N73" s="5" t="s">
        <v>159</v>
      </c>
      <c r="O73" s="5" t="s">
        <v>91</v>
      </c>
      <c r="P73" s="6">
        <v>44147</v>
      </c>
      <c r="Q73" s="5" t="s">
        <v>31</v>
      </c>
      <c r="R73" s="5" t="s">
        <v>34</v>
      </c>
      <c r="S73" s="5" t="s">
        <v>33</v>
      </c>
      <c r="T73" s="5"/>
      <c r="U73" s="5">
        <v>996.5</v>
      </c>
      <c r="V73" s="5">
        <v>429.69</v>
      </c>
      <c r="W73" s="5">
        <v>396.81</v>
      </c>
      <c r="X73" s="5">
        <v>0</v>
      </c>
      <c r="Y73" s="5">
        <v>170</v>
      </c>
    </row>
    <row r="74" spans="1:25" ht="24.75" x14ac:dyDescent="0.25">
      <c r="A74" s="5" t="s">
        <v>26</v>
      </c>
      <c r="B74" s="5" t="s">
        <v>43</v>
      </c>
      <c r="C74" s="5" t="s">
        <v>48</v>
      </c>
      <c r="D74" s="5" t="s">
        <v>53</v>
      </c>
      <c r="E74" s="5" t="s">
        <v>28</v>
      </c>
      <c r="F74" s="5" t="s">
        <v>110</v>
      </c>
      <c r="G74" s="5">
        <v>2018</v>
      </c>
      <c r="H74" s="5" t="str">
        <f>CONCATENATE("84211639376")</f>
        <v>84211639376</v>
      </c>
      <c r="I74" s="5" t="s">
        <v>29</v>
      </c>
      <c r="J74" s="5" t="s">
        <v>30</v>
      </c>
      <c r="K74" s="5" t="str">
        <f>CONCATENATE("")</f>
        <v/>
      </c>
      <c r="L74" s="5" t="str">
        <f>CONCATENATE("13 13.1 4a")</f>
        <v>13 13.1 4a</v>
      </c>
      <c r="M74" s="5" t="str">
        <f>CONCATENATE("CSRRNN53B64A639V")</f>
        <v>CSRRNN53B64A639V</v>
      </c>
      <c r="N74" s="5" t="s">
        <v>160</v>
      </c>
      <c r="O74" s="5" t="s">
        <v>91</v>
      </c>
      <c r="P74" s="6">
        <v>44147</v>
      </c>
      <c r="Q74" s="5" t="s">
        <v>31</v>
      </c>
      <c r="R74" s="5" t="s">
        <v>34</v>
      </c>
      <c r="S74" s="5" t="s">
        <v>33</v>
      </c>
      <c r="T74" s="5"/>
      <c r="U74" s="7">
        <v>2069.52</v>
      </c>
      <c r="V74" s="5">
        <v>892.38</v>
      </c>
      <c r="W74" s="5">
        <v>824.08</v>
      </c>
      <c r="X74" s="5">
        <v>0</v>
      </c>
      <c r="Y74" s="5">
        <v>353.06</v>
      </c>
    </row>
    <row r="75" spans="1:25" ht="24.75" x14ac:dyDescent="0.25">
      <c r="A75" s="5" t="s">
        <v>26</v>
      </c>
      <c r="B75" s="5" t="s">
        <v>43</v>
      </c>
      <c r="C75" s="5" t="s">
        <v>48</v>
      </c>
      <c r="D75" s="5" t="s">
        <v>53</v>
      </c>
      <c r="E75" s="5" t="s">
        <v>28</v>
      </c>
      <c r="F75" s="5" t="s">
        <v>110</v>
      </c>
      <c r="G75" s="5">
        <v>2018</v>
      </c>
      <c r="H75" s="5" t="str">
        <f>CONCATENATE("84211639343")</f>
        <v>84211639343</v>
      </c>
      <c r="I75" s="5" t="s">
        <v>29</v>
      </c>
      <c r="J75" s="5" t="s">
        <v>30</v>
      </c>
      <c r="K75" s="5" t="str">
        <f>CONCATENATE("")</f>
        <v/>
      </c>
      <c r="L75" s="5" t="str">
        <f>CONCATENATE("13 13.1 4a")</f>
        <v>13 13.1 4a</v>
      </c>
      <c r="M75" s="5" t="str">
        <f>CONCATENATE("DSNPQL53A55G089S")</f>
        <v>DSNPQL53A55G089S</v>
      </c>
      <c r="N75" s="5" t="s">
        <v>161</v>
      </c>
      <c r="O75" s="5" t="s">
        <v>91</v>
      </c>
      <c r="P75" s="6">
        <v>44147</v>
      </c>
      <c r="Q75" s="5" t="s">
        <v>31</v>
      </c>
      <c r="R75" s="5" t="s">
        <v>34</v>
      </c>
      <c r="S75" s="5" t="s">
        <v>33</v>
      </c>
      <c r="T75" s="5"/>
      <c r="U75" s="7">
        <v>1167.6199999999999</v>
      </c>
      <c r="V75" s="5">
        <v>503.48</v>
      </c>
      <c r="W75" s="5">
        <v>464.95</v>
      </c>
      <c r="X75" s="5">
        <v>0</v>
      </c>
      <c r="Y75" s="5">
        <v>199.19</v>
      </c>
    </row>
    <row r="76" spans="1:25" ht="24.75" x14ac:dyDescent="0.25">
      <c r="A76" s="5" t="s">
        <v>26</v>
      </c>
      <c r="B76" s="5" t="s">
        <v>43</v>
      </c>
      <c r="C76" s="5" t="s">
        <v>48</v>
      </c>
      <c r="D76" s="5" t="s">
        <v>53</v>
      </c>
      <c r="E76" s="5" t="s">
        <v>28</v>
      </c>
      <c r="F76" s="5" t="s">
        <v>110</v>
      </c>
      <c r="G76" s="5">
        <v>2018</v>
      </c>
      <c r="H76" s="5" t="str">
        <f>CONCATENATE("84211639392")</f>
        <v>84211639392</v>
      </c>
      <c r="I76" s="5" t="s">
        <v>29</v>
      </c>
      <c r="J76" s="5" t="s">
        <v>30</v>
      </c>
      <c r="K76" s="5" t="str">
        <f>CONCATENATE("")</f>
        <v/>
      </c>
      <c r="L76" s="5" t="str">
        <f>CONCATENATE("13 13.1 4a")</f>
        <v>13 13.1 4a</v>
      </c>
      <c r="M76" s="5" t="str">
        <f>CONCATENATE("FSSDVD63L05F347X")</f>
        <v>FSSDVD63L05F347X</v>
      </c>
      <c r="N76" s="5" t="s">
        <v>162</v>
      </c>
      <c r="O76" s="5" t="s">
        <v>91</v>
      </c>
      <c r="P76" s="6">
        <v>44147</v>
      </c>
      <c r="Q76" s="5" t="s">
        <v>31</v>
      </c>
      <c r="R76" s="5" t="s">
        <v>34</v>
      </c>
      <c r="S76" s="5" t="s">
        <v>33</v>
      </c>
      <c r="T76" s="5"/>
      <c r="U76" s="7">
        <v>3922.36</v>
      </c>
      <c r="V76" s="7">
        <v>1691.32</v>
      </c>
      <c r="W76" s="7">
        <v>1561.88</v>
      </c>
      <c r="X76" s="5">
        <v>0</v>
      </c>
      <c r="Y76" s="5">
        <v>669.16</v>
      </c>
    </row>
    <row r="77" spans="1:25" ht="24.75" x14ac:dyDescent="0.25">
      <c r="A77" s="5" t="s">
        <v>26</v>
      </c>
      <c r="B77" s="5" t="s">
        <v>43</v>
      </c>
      <c r="C77" s="5" t="s">
        <v>48</v>
      </c>
      <c r="D77" s="5" t="s">
        <v>53</v>
      </c>
      <c r="E77" s="5" t="s">
        <v>40</v>
      </c>
      <c r="F77" s="5" t="s">
        <v>83</v>
      </c>
      <c r="G77" s="5">
        <v>2018</v>
      </c>
      <c r="H77" s="5" t="str">
        <f>CONCATENATE("84211639178")</f>
        <v>84211639178</v>
      </c>
      <c r="I77" s="5" t="s">
        <v>29</v>
      </c>
      <c r="J77" s="5" t="s">
        <v>30</v>
      </c>
      <c r="K77" s="5" t="str">
        <f>CONCATENATE("")</f>
        <v/>
      </c>
      <c r="L77" s="5" t="str">
        <f>CONCATENATE("13 13.1 4a")</f>
        <v>13 13.1 4a</v>
      </c>
      <c r="M77" s="5" t="str">
        <f>CONCATENATE("LZZDVD73L05D488O")</f>
        <v>LZZDVD73L05D488O</v>
      </c>
      <c r="N77" s="5" t="s">
        <v>163</v>
      </c>
      <c r="O77" s="5" t="s">
        <v>91</v>
      </c>
      <c r="P77" s="6">
        <v>44147</v>
      </c>
      <c r="Q77" s="5" t="s">
        <v>31</v>
      </c>
      <c r="R77" s="5" t="s">
        <v>34</v>
      </c>
      <c r="S77" s="5" t="s">
        <v>33</v>
      </c>
      <c r="T77" s="5"/>
      <c r="U77" s="7">
        <v>1280.0999999999999</v>
      </c>
      <c r="V77" s="5">
        <v>551.98</v>
      </c>
      <c r="W77" s="5">
        <v>509.74</v>
      </c>
      <c r="X77" s="5">
        <v>0</v>
      </c>
      <c r="Y77" s="5">
        <v>218.38</v>
      </c>
    </row>
    <row r="78" spans="1:25" ht="24.75" x14ac:dyDescent="0.25">
      <c r="A78" s="5" t="s">
        <v>26</v>
      </c>
      <c r="B78" s="5" t="s">
        <v>43</v>
      </c>
      <c r="C78" s="5" t="s">
        <v>48</v>
      </c>
      <c r="D78" s="5" t="s">
        <v>64</v>
      </c>
      <c r="E78" s="5" t="s">
        <v>37</v>
      </c>
      <c r="F78" s="5" t="s">
        <v>164</v>
      </c>
      <c r="G78" s="5">
        <v>2019</v>
      </c>
      <c r="H78" s="5" t="str">
        <f>CONCATENATE("94210254333")</f>
        <v>94210254333</v>
      </c>
      <c r="I78" s="5" t="s">
        <v>29</v>
      </c>
      <c r="J78" s="5" t="s">
        <v>30</v>
      </c>
      <c r="K78" s="5" t="str">
        <f>CONCATENATE("")</f>
        <v/>
      </c>
      <c r="L78" s="5" t="str">
        <f>CONCATENATE("13 13.1 4a")</f>
        <v>13 13.1 4a</v>
      </c>
      <c r="M78" s="5" t="str">
        <f>CONCATENATE("CCCGLG75L20D451W")</f>
        <v>CCCGLG75L20D451W</v>
      </c>
      <c r="N78" s="5" t="s">
        <v>165</v>
      </c>
      <c r="O78" s="5" t="s">
        <v>91</v>
      </c>
      <c r="P78" s="6">
        <v>44147</v>
      </c>
      <c r="Q78" s="5" t="s">
        <v>31</v>
      </c>
      <c r="R78" s="5" t="s">
        <v>34</v>
      </c>
      <c r="S78" s="5" t="s">
        <v>33</v>
      </c>
      <c r="T78" s="5"/>
      <c r="U78" s="7">
        <v>7351.02</v>
      </c>
      <c r="V78" s="7">
        <v>3169.76</v>
      </c>
      <c r="W78" s="7">
        <v>2927.18</v>
      </c>
      <c r="X78" s="5">
        <v>0</v>
      </c>
      <c r="Y78" s="7">
        <v>1254.08</v>
      </c>
    </row>
    <row r="79" spans="1:25" ht="24.75" x14ac:dyDescent="0.25">
      <c r="A79" s="5" t="s">
        <v>26</v>
      </c>
      <c r="B79" s="5" t="s">
        <v>43</v>
      </c>
      <c r="C79" s="5" t="s">
        <v>48</v>
      </c>
      <c r="D79" s="5" t="s">
        <v>53</v>
      </c>
      <c r="E79" s="5" t="s">
        <v>39</v>
      </c>
      <c r="F79" s="5" t="s">
        <v>131</v>
      </c>
      <c r="G79" s="5">
        <v>2019</v>
      </c>
      <c r="H79" s="5" t="str">
        <f>CONCATENATE("94210551845")</f>
        <v>94210551845</v>
      </c>
      <c r="I79" s="5" t="s">
        <v>29</v>
      </c>
      <c r="J79" s="5" t="s">
        <v>30</v>
      </c>
      <c r="K79" s="5" t="str">
        <f>CONCATENATE("")</f>
        <v/>
      </c>
      <c r="L79" s="5" t="str">
        <f>CONCATENATE("13 13.1 4a")</f>
        <v>13 13.1 4a</v>
      </c>
      <c r="M79" s="5" t="str">
        <f>CONCATENATE("02462560414")</f>
        <v>02462560414</v>
      </c>
      <c r="N79" s="5" t="s">
        <v>166</v>
      </c>
      <c r="O79" s="5" t="s">
        <v>91</v>
      </c>
      <c r="P79" s="6">
        <v>44147</v>
      </c>
      <c r="Q79" s="5" t="s">
        <v>31</v>
      </c>
      <c r="R79" s="5" t="s">
        <v>34</v>
      </c>
      <c r="S79" s="5" t="s">
        <v>33</v>
      </c>
      <c r="T79" s="5"/>
      <c r="U79" s="5">
        <v>845.72</v>
      </c>
      <c r="V79" s="5">
        <v>364.67</v>
      </c>
      <c r="W79" s="5">
        <v>336.77</v>
      </c>
      <c r="X79" s="5">
        <v>0</v>
      </c>
      <c r="Y79" s="5">
        <v>144.28</v>
      </c>
    </row>
    <row r="80" spans="1:25" ht="24.75" x14ac:dyDescent="0.25">
      <c r="A80" s="5" t="s">
        <v>26</v>
      </c>
      <c r="B80" s="5" t="s">
        <v>43</v>
      </c>
      <c r="C80" s="5" t="s">
        <v>48</v>
      </c>
      <c r="D80" s="5" t="s">
        <v>64</v>
      </c>
      <c r="E80" s="5" t="s">
        <v>39</v>
      </c>
      <c r="F80" s="5" t="s">
        <v>167</v>
      </c>
      <c r="G80" s="5">
        <v>2019</v>
      </c>
      <c r="H80" s="5" t="str">
        <f>CONCATENATE("94211405900")</f>
        <v>94211405900</v>
      </c>
      <c r="I80" s="5" t="s">
        <v>29</v>
      </c>
      <c r="J80" s="5" t="s">
        <v>30</v>
      </c>
      <c r="K80" s="5" t="str">
        <f>CONCATENATE("")</f>
        <v/>
      </c>
      <c r="L80" s="5" t="str">
        <f>CONCATENATE("13 13.1 4a")</f>
        <v>13 13.1 4a</v>
      </c>
      <c r="M80" s="5" t="str">
        <f>CONCATENATE("CNRLRT64H07H501H")</f>
        <v>CNRLRT64H07H501H</v>
      </c>
      <c r="N80" s="5" t="s">
        <v>168</v>
      </c>
      <c r="O80" s="5" t="s">
        <v>91</v>
      </c>
      <c r="P80" s="6">
        <v>44147</v>
      </c>
      <c r="Q80" s="5" t="s">
        <v>31</v>
      </c>
      <c r="R80" s="5" t="s">
        <v>34</v>
      </c>
      <c r="S80" s="5" t="s">
        <v>33</v>
      </c>
      <c r="T80" s="5"/>
      <c r="U80" s="5">
        <v>739.22</v>
      </c>
      <c r="V80" s="5">
        <v>318.75</v>
      </c>
      <c r="W80" s="5">
        <v>294.36</v>
      </c>
      <c r="X80" s="5">
        <v>0</v>
      </c>
      <c r="Y80" s="5">
        <v>126.11</v>
      </c>
    </row>
    <row r="81" spans="1:25" ht="24.75" x14ac:dyDescent="0.25">
      <c r="A81" s="5" t="s">
        <v>26</v>
      </c>
      <c r="B81" s="5" t="s">
        <v>43</v>
      </c>
      <c r="C81" s="5" t="s">
        <v>48</v>
      </c>
      <c r="D81" s="5" t="s">
        <v>53</v>
      </c>
      <c r="E81" s="5" t="s">
        <v>40</v>
      </c>
      <c r="F81" s="5" t="s">
        <v>169</v>
      </c>
      <c r="G81" s="5">
        <v>2019</v>
      </c>
      <c r="H81" s="5" t="str">
        <f>CONCATENATE("94210213644")</f>
        <v>94210213644</v>
      </c>
      <c r="I81" s="5" t="s">
        <v>29</v>
      </c>
      <c r="J81" s="5" t="s">
        <v>30</v>
      </c>
      <c r="K81" s="5" t="str">
        <f>CONCATENATE("")</f>
        <v/>
      </c>
      <c r="L81" s="5" t="str">
        <f>CONCATENATE("13 13.1 4a")</f>
        <v>13 13.1 4a</v>
      </c>
      <c r="M81" s="5" t="str">
        <f>CONCATENATE("RMTFST55R10G478J")</f>
        <v>RMTFST55R10G478J</v>
      </c>
      <c r="N81" s="5" t="s">
        <v>170</v>
      </c>
      <c r="O81" s="5" t="s">
        <v>91</v>
      </c>
      <c r="P81" s="6">
        <v>44147</v>
      </c>
      <c r="Q81" s="5" t="s">
        <v>31</v>
      </c>
      <c r="R81" s="5" t="s">
        <v>34</v>
      </c>
      <c r="S81" s="5" t="s">
        <v>33</v>
      </c>
      <c r="T81" s="5"/>
      <c r="U81" s="7">
        <v>1736.83</v>
      </c>
      <c r="V81" s="5">
        <v>748.92</v>
      </c>
      <c r="W81" s="5">
        <v>691.61</v>
      </c>
      <c r="X81" s="5">
        <v>0</v>
      </c>
      <c r="Y81" s="5">
        <v>296.3</v>
      </c>
    </row>
    <row r="82" spans="1:25" ht="24.75" x14ac:dyDescent="0.25">
      <c r="A82" s="5" t="s">
        <v>26</v>
      </c>
      <c r="B82" s="5" t="s">
        <v>43</v>
      </c>
      <c r="C82" s="5" t="s">
        <v>48</v>
      </c>
      <c r="D82" s="5" t="s">
        <v>49</v>
      </c>
      <c r="E82" s="5" t="s">
        <v>40</v>
      </c>
      <c r="F82" s="5" t="s">
        <v>122</v>
      </c>
      <c r="G82" s="5">
        <v>2019</v>
      </c>
      <c r="H82" s="5" t="str">
        <f>CONCATENATE("94210371004")</f>
        <v>94210371004</v>
      </c>
      <c r="I82" s="5" t="s">
        <v>29</v>
      </c>
      <c r="J82" s="5" t="s">
        <v>30</v>
      </c>
      <c r="K82" s="5" t="str">
        <f>CONCATENATE("")</f>
        <v/>
      </c>
      <c r="L82" s="5" t="str">
        <f>CONCATENATE("13 13.1 4a")</f>
        <v>13 13.1 4a</v>
      </c>
      <c r="M82" s="5" t="str">
        <f>CONCATENATE("01990480434")</f>
        <v>01990480434</v>
      </c>
      <c r="N82" s="5" t="s">
        <v>171</v>
      </c>
      <c r="O82" s="5" t="s">
        <v>91</v>
      </c>
      <c r="P82" s="6">
        <v>44147</v>
      </c>
      <c r="Q82" s="5" t="s">
        <v>31</v>
      </c>
      <c r="R82" s="5" t="s">
        <v>34</v>
      </c>
      <c r="S82" s="5" t="s">
        <v>33</v>
      </c>
      <c r="T82" s="5"/>
      <c r="U82" s="5">
        <v>132.55000000000001</v>
      </c>
      <c r="V82" s="5">
        <v>57.16</v>
      </c>
      <c r="W82" s="5">
        <v>52.78</v>
      </c>
      <c r="X82" s="5">
        <v>0</v>
      </c>
      <c r="Y82" s="5">
        <v>22.61</v>
      </c>
    </row>
    <row r="83" spans="1:25" ht="24.75" x14ac:dyDescent="0.25">
      <c r="A83" s="5" t="s">
        <v>26</v>
      </c>
      <c r="B83" s="5" t="s">
        <v>27</v>
      </c>
      <c r="C83" s="5" t="s">
        <v>48</v>
      </c>
      <c r="D83" s="5" t="s">
        <v>64</v>
      </c>
      <c r="E83" s="5" t="s">
        <v>28</v>
      </c>
      <c r="F83" s="5" t="s">
        <v>65</v>
      </c>
      <c r="G83" s="5">
        <v>2017</v>
      </c>
      <c r="H83" s="5" t="str">
        <f>CONCATENATE("94270174629")</f>
        <v>94270174629</v>
      </c>
      <c r="I83" s="5" t="s">
        <v>29</v>
      </c>
      <c r="J83" s="5" t="s">
        <v>30</v>
      </c>
      <c r="K83" s="5" t="str">
        <f>CONCATENATE("")</f>
        <v/>
      </c>
      <c r="L83" s="5" t="str">
        <f>CONCATENATE("6 6.1 2b")</f>
        <v>6 6.1 2b</v>
      </c>
      <c r="M83" s="5" t="str">
        <f>CONCATENATE("02707770422")</f>
        <v>02707770422</v>
      </c>
      <c r="N83" s="5" t="s">
        <v>172</v>
      </c>
      <c r="O83" s="5" t="s">
        <v>173</v>
      </c>
      <c r="P83" s="6">
        <v>44147</v>
      </c>
      <c r="Q83" s="5" t="s">
        <v>31</v>
      </c>
      <c r="R83" s="5" t="s">
        <v>34</v>
      </c>
      <c r="S83" s="5" t="s">
        <v>33</v>
      </c>
      <c r="T83" s="5"/>
      <c r="U83" s="7">
        <v>21000</v>
      </c>
      <c r="V83" s="7">
        <v>9055.2000000000007</v>
      </c>
      <c r="W83" s="7">
        <v>8362.2000000000007</v>
      </c>
      <c r="X83" s="5">
        <v>0</v>
      </c>
      <c r="Y83" s="7">
        <v>3582.6</v>
      </c>
    </row>
    <row r="84" spans="1:25" ht="24.75" x14ac:dyDescent="0.25">
      <c r="A84" s="5" t="s">
        <v>26</v>
      </c>
      <c r="B84" s="5" t="s">
        <v>27</v>
      </c>
      <c r="C84" s="5" t="s">
        <v>48</v>
      </c>
      <c r="D84" s="5" t="s">
        <v>58</v>
      </c>
      <c r="E84" s="5" t="s">
        <v>35</v>
      </c>
      <c r="F84" s="5" t="s">
        <v>35</v>
      </c>
      <c r="G84" s="5">
        <v>2017</v>
      </c>
      <c r="H84" s="5" t="str">
        <f>CONCATENATE("04270156864")</f>
        <v>04270156864</v>
      </c>
      <c r="I84" s="5" t="s">
        <v>29</v>
      </c>
      <c r="J84" s="5" t="s">
        <v>30</v>
      </c>
      <c r="K84" s="5" t="str">
        <f>CONCATENATE("")</f>
        <v/>
      </c>
      <c r="L84" s="5" t="str">
        <f>CONCATENATE("4 4.1 2a")</f>
        <v>4 4.1 2a</v>
      </c>
      <c r="M84" s="5" t="str">
        <f>CONCATENATE("CMNPRP80M24A462N")</f>
        <v>CMNPRP80M24A462N</v>
      </c>
      <c r="N84" s="5" t="s">
        <v>174</v>
      </c>
      <c r="O84" s="5" t="s">
        <v>175</v>
      </c>
      <c r="P84" s="6">
        <v>44151</v>
      </c>
      <c r="Q84" s="5" t="s">
        <v>31</v>
      </c>
      <c r="R84" s="5" t="s">
        <v>36</v>
      </c>
      <c r="S84" s="5" t="s">
        <v>33</v>
      </c>
      <c r="T84" s="5"/>
      <c r="U84" s="7">
        <v>8601.58</v>
      </c>
      <c r="V84" s="7">
        <v>3709</v>
      </c>
      <c r="W84" s="7">
        <v>3425.15</v>
      </c>
      <c r="X84" s="5">
        <v>0</v>
      </c>
      <c r="Y84" s="7">
        <v>1467.43</v>
      </c>
    </row>
    <row r="85" spans="1:25" ht="24.75" x14ac:dyDescent="0.25">
      <c r="A85" s="5" t="s">
        <v>26</v>
      </c>
      <c r="B85" s="5" t="s">
        <v>43</v>
      </c>
      <c r="C85" s="5" t="s">
        <v>48</v>
      </c>
      <c r="D85" s="5" t="s">
        <v>64</v>
      </c>
      <c r="E85" s="5" t="s">
        <v>44</v>
      </c>
      <c r="F85" s="5" t="s">
        <v>176</v>
      </c>
      <c r="G85" s="5">
        <v>2019</v>
      </c>
      <c r="H85" s="5" t="str">
        <f>CONCATENATE("94780034180")</f>
        <v>94780034180</v>
      </c>
      <c r="I85" s="5" t="s">
        <v>41</v>
      </c>
      <c r="J85" s="5" t="s">
        <v>47</v>
      </c>
      <c r="K85" s="5" t="str">
        <f>CONCATENATE("221")</f>
        <v>221</v>
      </c>
      <c r="L85" s="5" t="str">
        <f>CONCATENATE("8 8.1 5e")</f>
        <v>8 8.1 5e</v>
      </c>
      <c r="M85" s="5" t="str">
        <f>CONCATENATE("RFEFBA60S28G157Z")</f>
        <v>RFEFBA60S28G157Z</v>
      </c>
      <c r="N85" s="5" t="s">
        <v>177</v>
      </c>
      <c r="O85" s="5" t="s">
        <v>178</v>
      </c>
      <c r="P85" s="6">
        <v>44162</v>
      </c>
      <c r="Q85" s="5" t="s">
        <v>31</v>
      </c>
      <c r="R85" s="5" t="s">
        <v>34</v>
      </c>
      <c r="S85" s="5" t="s">
        <v>33</v>
      </c>
      <c r="T85" s="5"/>
      <c r="U85" s="5">
        <v>409.6</v>
      </c>
      <c r="V85" s="5">
        <v>176.62</v>
      </c>
      <c r="W85" s="5">
        <v>163.1</v>
      </c>
      <c r="X85" s="5">
        <v>0</v>
      </c>
      <c r="Y85" s="5">
        <v>69.88</v>
      </c>
    </row>
    <row r="86" spans="1:25" x14ac:dyDescent="0.25">
      <c r="A86" s="5" t="s">
        <v>26</v>
      </c>
      <c r="B86" s="5" t="s">
        <v>27</v>
      </c>
      <c r="C86" s="5" t="s">
        <v>48</v>
      </c>
      <c r="D86" s="5" t="s">
        <v>49</v>
      </c>
      <c r="E86" s="5" t="s">
        <v>28</v>
      </c>
      <c r="F86" s="5" t="s">
        <v>65</v>
      </c>
      <c r="G86" s="5">
        <v>2017</v>
      </c>
      <c r="H86" s="5" t="str">
        <f>CONCATENATE("04270155213")</f>
        <v>04270155213</v>
      </c>
      <c r="I86" s="5" t="s">
        <v>29</v>
      </c>
      <c r="J86" s="5" t="s">
        <v>30</v>
      </c>
      <c r="K86" s="5" t="str">
        <f>CONCATENATE("")</f>
        <v/>
      </c>
      <c r="L86" s="5" t="str">
        <f>CONCATENATE("16 16.5 4c")</f>
        <v>16 16.5 4c</v>
      </c>
      <c r="M86" s="5" t="str">
        <f>CONCATENATE("00311510432")</f>
        <v>00311510432</v>
      </c>
      <c r="N86" s="5" t="s">
        <v>179</v>
      </c>
      <c r="O86" s="5" t="s">
        <v>180</v>
      </c>
      <c r="P86" s="6">
        <v>44159</v>
      </c>
      <c r="Q86" s="5" t="s">
        <v>31</v>
      </c>
      <c r="R86" s="5" t="s">
        <v>34</v>
      </c>
      <c r="S86" s="5" t="s">
        <v>33</v>
      </c>
      <c r="T86" s="5"/>
      <c r="U86" s="7">
        <v>20000</v>
      </c>
      <c r="V86" s="7">
        <v>8624</v>
      </c>
      <c r="W86" s="7">
        <v>7964</v>
      </c>
      <c r="X86" s="5">
        <v>0</v>
      </c>
      <c r="Y86" s="7">
        <v>3412</v>
      </c>
    </row>
    <row r="87" spans="1:25" ht="24.75" x14ac:dyDescent="0.25">
      <c r="A87" s="5" t="s">
        <v>26</v>
      </c>
      <c r="B87" s="5" t="s">
        <v>27</v>
      </c>
      <c r="C87" s="5" t="s">
        <v>48</v>
      </c>
      <c r="D87" s="5" t="s">
        <v>64</v>
      </c>
      <c r="E87" s="5" t="s">
        <v>35</v>
      </c>
      <c r="F87" s="5" t="s">
        <v>35</v>
      </c>
      <c r="G87" s="5">
        <v>2017</v>
      </c>
      <c r="H87" s="5" t="str">
        <f>CONCATENATE("04270155171")</f>
        <v>04270155171</v>
      </c>
      <c r="I87" s="5" t="s">
        <v>29</v>
      </c>
      <c r="J87" s="5" t="s">
        <v>30</v>
      </c>
      <c r="K87" s="5" t="str">
        <f>CONCATENATE("")</f>
        <v/>
      </c>
      <c r="L87" s="5" t="str">
        <f>CONCATENATE("16 16.5 4c")</f>
        <v>16 16.5 4c</v>
      </c>
      <c r="M87" s="5" t="str">
        <f>CONCATENATE("00106410426")</f>
        <v>00106410426</v>
      </c>
      <c r="N87" s="5" t="s">
        <v>181</v>
      </c>
      <c r="O87" s="5" t="s">
        <v>180</v>
      </c>
      <c r="P87" s="6">
        <v>44159</v>
      </c>
      <c r="Q87" s="5" t="s">
        <v>31</v>
      </c>
      <c r="R87" s="5" t="s">
        <v>34</v>
      </c>
      <c r="S87" s="5" t="s">
        <v>33</v>
      </c>
      <c r="T87" s="5"/>
      <c r="U87" s="7">
        <v>14526.78</v>
      </c>
      <c r="V87" s="7">
        <v>6263.95</v>
      </c>
      <c r="W87" s="7">
        <v>5784.56</v>
      </c>
      <c r="X87" s="5">
        <v>0</v>
      </c>
      <c r="Y87" s="7">
        <v>2478.27</v>
      </c>
    </row>
    <row r="88" spans="1:25" ht="24.75" x14ac:dyDescent="0.25">
      <c r="A88" s="5" t="s">
        <v>26</v>
      </c>
      <c r="B88" s="5" t="s">
        <v>27</v>
      </c>
      <c r="C88" s="5" t="s">
        <v>48</v>
      </c>
      <c r="D88" s="5" t="s">
        <v>64</v>
      </c>
      <c r="E88" s="5" t="s">
        <v>28</v>
      </c>
      <c r="F88" s="5" t="s">
        <v>65</v>
      </c>
      <c r="G88" s="5">
        <v>2017</v>
      </c>
      <c r="H88" s="5" t="str">
        <f>CONCATENATE("04270155718")</f>
        <v>04270155718</v>
      </c>
      <c r="I88" s="5" t="s">
        <v>29</v>
      </c>
      <c r="J88" s="5" t="s">
        <v>30</v>
      </c>
      <c r="K88" s="5" t="str">
        <f>CONCATENATE("")</f>
        <v/>
      </c>
      <c r="L88" s="5" t="str">
        <f>CONCATENATE("16 16.5 4c")</f>
        <v>16 16.5 4c</v>
      </c>
      <c r="M88" s="5" t="str">
        <f>CONCATENATE("80010010421")</f>
        <v>80010010421</v>
      </c>
      <c r="N88" s="5" t="s">
        <v>182</v>
      </c>
      <c r="O88" s="5" t="s">
        <v>180</v>
      </c>
      <c r="P88" s="6">
        <v>44159</v>
      </c>
      <c r="Q88" s="5" t="s">
        <v>31</v>
      </c>
      <c r="R88" s="5" t="s">
        <v>34</v>
      </c>
      <c r="S88" s="5" t="s">
        <v>33</v>
      </c>
      <c r="T88" s="5"/>
      <c r="U88" s="7">
        <v>20000</v>
      </c>
      <c r="V88" s="7">
        <v>8624</v>
      </c>
      <c r="W88" s="7">
        <v>7964</v>
      </c>
      <c r="X88" s="5">
        <v>0</v>
      </c>
      <c r="Y88" s="7">
        <v>3412</v>
      </c>
    </row>
    <row r="89" spans="1:25" ht="24.75" x14ac:dyDescent="0.25">
      <c r="A89" s="5" t="s">
        <v>26</v>
      </c>
      <c r="B89" s="5" t="s">
        <v>27</v>
      </c>
      <c r="C89" s="5" t="s">
        <v>48</v>
      </c>
      <c r="D89" s="5" t="s">
        <v>64</v>
      </c>
      <c r="E89" s="5" t="s">
        <v>28</v>
      </c>
      <c r="F89" s="5" t="s">
        <v>65</v>
      </c>
      <c r="G89" s="5">
        <v>2017</v>
      </c>
      <c r="H89" s="5" t="str">
        <f>CONCATENATE("04270160338")</f>
        <v>04270160338</v>
      </c>
      <c r="I89" s="5" t="s">
        <v>29</v>
      </c>
      <c r="J89" s="5" t="s">
        <v>30</v>
      </c>
      <c r="K89" s="5" t="str">
        <f>CONCATENATE("")</f>
        <v/>
      </c>
      <c r="L89" s="5" t="str">
        <f>CONCATENATE("16 16.5 4c")</f>
        <v>16 16.5 4c</v>
      </c>
      <c r="M89" s="5" t="str">
        <f>CONCATENATE("83001110424")</f>
        <v>83001110424</v>
      </c>
      <c r="N89" s="5" t="s">
        <v>183</v>
      </c>
      <c r="O89" s="5" t="s">
        <v>180</v>
      </c>
      <c r="P89" s="6">
        <v>44159</v>
      </c>
      <c r="Q89" s="5" t="s">
        <v>31</v>
      </c>
      <c r="R89" s="5" t="s">
        <v>34</v>
      </c>
      <c r="S89" s="5" t="s">
        <v>33</v>
      </c>
      <c r="T89" s="5"/>
      <c r="U89" s="7">
        <v>20000</v>
      </c>
      <c r="V89" s="7">
        <v>8624</v>
      </c>
      <c r="W89" s="7">
        <v>7964</v>
      </c>
      <c r="X89" s="5">
        <v>0</v>
      </c>
      <c r="Y89" s="7">
        <v>3412</v>
      </c>
    </row>
    <row r="90" spans="1:25" x14ac:dyDescent="0.25">
      <c r="A90" s="5" t="s">
        <v>26</v>
      </c>
      <c r="B90" s="5" t="s">
        <v>27</v>
      </c>
      <c r="C90" s="5" t="s">
        <v>48</v>
      </c>
      <c r="D90" s="5" t="s">
        <v>49</v>
      </c>
      <c r="E90" s="5" t="s">
        <v>35</v>
      </c>
      <c r="F90" s="5" t="s">
        <v>35</v>
      </c>
      <c r="G90" s="5">
        <v>2017</v>
      </c>
      <c r="H90" s="5" t="str">
        <f>CONCATENATE("04270155163")</f>
        <v>04270155163</v>
      </c>
      <c r="I90" s="5" t="s">
        <v>29</v>
      </c>
      <c r="J90" s="5" t="s">
        <v>30</v>
      </c>
      <c r="K90" s="5" t="str">
        <f>CONCATENATE("")</f>
        <v/>
      </c>
      <c r="L90" s="5" t="str">
        <f>CONCATENATE("16 16.5 4c")</f>
        <v>16 16.5 4c</v>
      </c>
      <c r="M90" s="5" t="str">
        <f>CONCATENATE("00286490438")</f>
        <v>00286490438</v>
      </c>
      <c r="N90" s="5" t="s">
        <v>184</v>
      </c>
      <c r="O90" s="5" t="s">
        <v>180</v>
      </c>
      <c r="P90" s="6">
        <v>44159</v>
      </c>
      <c r="Q90" s="5" t="s">
        <v>31</v>
      </c>
      <c r="R90" s="5" t="s">
        <v>34</v>
      </c>
      <c r="S90" s="5" t="s">
        <v>33</v>
      </c>
      <c r="T90" s="5"/>
      <c r="U90" s="7">
        <v>19992.53</v>
      </c>
      <c r="V90" s="7">
        <v>8620.7800000000007</v>
      </c>
      <c r="W90" s="7">
        <v>7961.03</v>
      </c>
      <c r="X90" s="5">
        <v>0</v>
      </c>
      <c r="Y90" s="7">
        <v>3410.72</v>
      </c>
    </row>
    <row r="91" spans="1:25" x14ac:dyDescent="0.25">
      <c r="A91" s="5" t="s">
        <v>26</v>
      </c>
      <c r="B91" s="5" t="s">
        <v>27</v>
      </c>
      <c r="C91" s="5" t="s">
        <v>48</v>
      </c>
      <c r="D91" s="5" t="s">
        <v>48</v>
      </c>
      <c r="E91" s="5" t="s">
        <v>35</v>
      </c>
      <c r="F91" s="5" t="s">
        <v>35</v>
      </c>
      <c r="G91" s="5">
        <v>2017</v>
      </c>
      <c r="H91" s="5" t="str">
        <f>CONCATENATE("04270151501")</f>
        <v>04270151501</v>
      </c>
      <c r="I91" s="5" t="s">
        <v>29</v>
      </c>
      <c r="J91" s="5" t="s">
        <v>30</v>
      </c>
      <c r="K91" s="5" t="str">
        <f>CONCATENATE("")</f>
        <v/>
      </c>
      <c r="L91" s="5" t="str">
        <f>CONCATENATE("19 19.2 6b")</f>
        <v>19 19.2 6b</v>
      </c>
      <c r="M91" s="5" t="str">
        <f>CONCATENATE("LCNMNL79S04A271Y")</f>
        <v>LCNMNL79S04A271Y</v>
      </c>
      <c r="N91" s="5" t="s">
        <v>185</v>
      </c>
      <c r="O91" s="5" t="s">
        <v>186</v>
      </c>
      <c r="P91" s="6">
        <v>44147</v>
      </c>
      <c r="Q91" s="5" t="s">
        <v>31</v>
      </c>
      <c r="R91" s="5" t="s">
        <v>36</v>
      </c>
      <c r="S91" s="5" t="s">
        <v>33</v>
      </c>
      <c r="T91" s="5"/>
      <c r="U91" s="7">
        <v>17000</v>
      </c>
      <c r="V91" s="7">
        <v>7330.4</v>
      </c>
      <c r="W91" s="7">
        <v>6769.4</v>
      </c>
      <c r="X91" s="5">
        <v>0</v>
      </c>
      <c r="Y91" s="7">
        <v>2900.2</v>
      </c>
    </row>
    <row r="92" spans="1:25" ht="24.75" x14ac:dyDescent="0.25">
      <c r="A92" s="5" t="s">
        <v>26</v>
      </c>
      <c r="B92" s="5" t="s">
        <v>27</v>
      </c>
      <c r="C92" s="5" t="s">
        <v>48</v>
      </c>
      <c r="D92" s="5" t="s">
        <v>64</v>
      </c>
      <c r="E92" s="5" t="s">
        <v>28</v>
      </c>
      <c r="F92" s="5" t="s">
        <v>65</v>
      </c>
      <c r="G92" s="5">
        <v>2017</v>
      </c>
      <c r="H92" s="5" t="str">
        <f>CONCATENATE("04270150859")</f>
        <v>04270150859</v>
      </c>
      <c r="I92" s="5" t="s">
        <v>29</v>
      </c>
      <c r="J92" s="5" t="s">
        <v>30</v>
      </c>
      <c r="K92" s="5" t="str">
        <f>CONCATENATE("")</f>
        <v/>
      </c>
      <c r="L92" s="5" t="str">
        <f>CONCATENATE("6 6.1 2b")</f>
        <v>6 6.1 2b</v>
      </c>
      <c r="M92" s="5" t="str">
        <f>CONCATENATE("CLMGRG83T18E388S")</f>
        <v>CLMGRG83T18E388S</v>
      </c>
      <c r="N92" s="5" t="s">
        <v>187</v>
      </c>
      <c r="O92" s="5" t="s">
        <v>173</v>
      </c>
      <c r="P92" s="6">
        <v>44147</v>
      </c>
      <c r="Q92" s="5" t="s">
        <v>31</v>
      </c>
      <c r="R92" s="5" t="s">
        <v>34</v>
      </c>
      <c r="S92" s="5" t="s">
        <v>33</v>
      </c>
      <c r="T92" s="5"/>
      <c r="U92" s="7">
        <v>20370</v>
      </c>
      <c r="V92" s="7">
        <v>8783.5400000000009</v>
      </c>
      <c r="W92" s="7">
        <v>8111.33</v>
      </c>
      <c r="X92" s="5">
        <v>0</v>
      </c>
      <c r="Y92" s="7">
        <v>3475.13</v>
      </c>
    </row>
    <row r="93" spans="1:25" ht="24.75" x14ac:dyDescent="0.25">
      <c r="A93" s="5" t="s">
        <v>26</v>
      </c>
      <c r="B93" s="5" t="s">
        <v>27</v>
      </c>
      <c r="C93" s="5" t="s">
        <v>48</v>
      </c>
      <c r="D93" s="5" t="s">
        <v>64</v>
      </c>
      <c r="E93" s="5" t="s">
        <v>35</v>
      </c>
      <c r="F93" s="5" t="s">
        <v>35</v>
      </c>
      <c r="G93" s="5">
        <v>2017</v>
      </c>
      <c r="H93" s="5" t="str">
        <f>CONCATENATE("04270150222")</f>
        <v>04270150222</v>
      </c>
      <c r="I93" s="5" t="s">
        <v>29</v>
      </c>
      <c r="J93" s="5" t="s">
        <v>30</v>
      </c>
      <c r="K93" s="5" t="str">
        <f>CONCATENATE("")</f>
        <v/>
      </c>
      <c r="L93" s="5" t="str">
        <f>CONCATENATE("3 3.1 3a")</f>
        <v>3 3.1 3a</v>
      </c>
      <c r="M93" s="5" t="str">
        <f>CONCATENATE("02464490420")</f>
        <v>02464490420</v>
      </c>
      <c r="N93" s="5" t="s">
        <v>188</v>
      </c>
      <c r="O93" s="5" t="s">
        <v>189</v>
      </c>
      <c r="P93" s="6">
        <v>44147</v>
      </c>
      <c r="Q93" s="5" t="s">
        <v>31</v>
      </c>
      <c r="R93" s="5" t="s">
        <v>36</v>
      </c>
      <c r="S93" s="5" t="s">
        <v>33</v>
      </c>
      <c r="T93" s="5"/>
      <c r="U93" s="7">
        <v>1650</v>
      </c>
      <c r="V93" s="5">
        <v>711.48</v>
      </c>
      <c r="W93" s="5">
        <v>657.03</v>
      </c>
      <c r="X93" s="5">
        <v>0</v>
      </c>
      <c r="Y93" s="5">
        <v>281.49</v>
      </c>
    </row>
    <row r="94" spans="1:25" ht="24.75" x14ac:dyDescent="0.25">
      <c r="A94" s="5" t="s">
        <v>26</v>
      </c>
      <c r="B94" s="5" t="s">
        <v>27</v>
      </c>
      <c r="C94" s="5" t="s">
        <v>48</v>
      </c>
      <c r="D94" s="5" t="s">
        <v>58</v>
      </c>
      <c r="E94" s="5" t="s">
        <v>28</v>
      </c>
      <c r="F94" s="5" t="s">
        <v>65</v>
      </c>
      <c r="G94" s="5">
        <v>2017</v>
      </c>
      <c r="H94" s="5" t="str">
        <f>CONCATENATE("04270163076")</f>
        <v>04270163076</v>
      </c>
      <c r="I94" s="5" t="s">
        <v>29</v>
      </c>
      <c r="J94" s="5" t="s">
        <v>30</v>
      </c>
      <c r="K94" s="5" t="str">
        <f>CONCATENATE("")</f>
        <v/>
      </c>
      <c r="L94" s="5" t="str">
        <f>CONCATENATE("8 8.3 5e")</f>
        <v>8 8.3 5e</v>
      </c>
      <c r="M94" s="5" t="str">
        <f>CONCATENATE("01300420427")</f>
        <v>01300420427</v>
      </c>
      <c r="N94" s="5" t="s">
        <v>190</v>
      </c>
      <c r="O94" s="5" t="s">
        <v>191</v>
      </c>
      <c r="P94" s="6">
        <v>44159</v>
      </c>
      <c r="Q94" s="5" t="s">
        <v>31</v>
      </c>
      <c r="R94" s="5" t="s">
        <v>34</v>
      </c>
      <c r="S94" s="5" t="s">
        <v>33</v>
      </c>
      <c r="T94" s="5"/>
      <c r="U94" s="7">
        <v>258852.05</v>
      </c>
      <c r="V94" s="7">
        <v>111617</v>
      </c>
      <c r="W94" s="7">
        <v>103074.89</v>
      </c>
      <c r="X94" s="5">
        <v>0</v>
      </c>
      <c r="Y94" s="7">
        <v>44160.160000000003</v>
      </c>
    </row>
    <row r="95" spans="1:25" ht="24.75" x14ac:dyDescent="0.25">
      <c r="A95" s="5" t="s">
        <v>26</v>
      </c>
      <c r="B95" s="5" t="s">
        <v>27</v>
      </c>
      <c r="C95" s="5" t="s">
        <v>48</v>
      </c>
      <c r="D95" s="5" t="s">
        <v>58</v>
      </c>
      <c r="E95" s="5" t="s">
        <v>28</v>
      </c>
      <c r="F95" s="5" t="s">
        <v>65</v>
      </c>
      <c r="G95" s="5">
        <v>2017</v>
      </c>
      <c r="H95" s="5" t="str">
        <f>CONCATENATE("04270163084")</f>
        <v>04270163084</v>
      </c>
      <c r="I95" s="5" t="s">
        <v>29</v>
      </c>
      <c r="J95" s="5" t="s">
        <v>30</v>
      </c>
      <c r="K95" s="5" t="str">
        <f>CONCATENATE("")</f>
        <v/>
      </c>
      <c r="L95" s="5" t="str">
        <f>CONCATENATE("8 8.3 5e")</f>
        <v>8 8.3 5e</v>
      </c>
      <c r="M95" s="5" t="str">
        <f>CONCATENATE("01300420427")</f>
        <v>01300420427</v>
      </c>
      <c r="N95" s="5" t="s">
        <v>190</v>
      </c>
      <c r="O95" s="5" t="s">
        <v>191</v>
      </c>
      <c r="P95" s="6">
        <v>44159</v>
      </c>
      <c r="Q95" s="5" t="s">
        <v>31</v>
      </c>
      <c r="R95" s="5" t="s">
        <v>34</v>
      </c>
      <c r="S95" s="5" t="s">
        <v>33</v>
      </c>
      <c r="T95" s="5"/>
      <c r="U95" s="7">
        <v>245325.75</v>
      </c>
      <c r="V95" s="7">
        <v>105784.46</v>
      </c>
      <c r="W95" s="7">
        <v>97688.71</v>
      </c>
      <c r="X95" s="5">
        <v>0</v>
      </c>
      <c r="Y95" s="7">
        <v>41852.58</v>
      </c>
    </row>
    <row r="96" spans="1:25" ht="24.75" x14ac:dyDescent="0.25">
      <c r="A96" s="5" t="s">
        <v>26</v>
      </c>
      <c r="B96" s="5" t="s">
        <v>27</v>
      </c>
      <c r="C96" s="5" t="s">
        <v>48</v>
      </c>
      <c r="D96" s="5" t="s">
        <v>58</v>
      </c>
      <c r="E96" s="5" t="s">
        <v>35</v>
      </c>
      <c r="F96" s="5" t="s">
        <v>35</v>
      </c>
      <c r="G96" s="5">
        <v>2018</v>
      </c>
      <c r="H96" s="5" t="str">
        <f>CONCATENATE("84758395739")</f>
        <v>84758395739</v>
      </c>
      <c r="I96" s="5" t="s">
        <v>29</v>
      </c>
      <c r="J96" s="5" t="s">
        <v>47</v>
      </c>
      <c r="K96" s="5" t="str">
        <f>CONCATENATE("323")</f>
        <v>323</v>
      </c>
      <c r="L96" s="5" t="str">
        <f>CONCATENATE("7 7.6 6a")</f>
        <v>7 7.6 6a</v>
      </c>
      <c r="M96" s="5" t="str">
        <f>CONCATENATE("00357080449")</f>
        <v>00357080449</v>
      </c>
      <c r="N96" s="5" t="s">
        <v>192</v>
      </c>
      <c r="O96" s="5" t="s">
        <v>193</v>
      </c>
      <c r="P96" s="6">
        <v>44159</v>
      </c>
      <c r="Q96" s="5" t="s">
        <v>31</v>
      </c>
      <c r="R96" s="5" t="s">
        <v>34</v>
      </c>
      <c r="S96" s="5" t="s">
        <v>33</v>
      </c>
      <c r="T96" s="5"/>
      <c r="U96" s="7">
        <v>50618.51</v>
      </c>
      <c r="V96" s="7">
        <v>21826.7</v>
      </c>
      <c r="W96" s="7">
        <v>20156.29</v>
      </c>
      <c r="X96" s="5">
        <v>0</v>
      </c>
      <c r="Y96" s="7">
        <v>8635.52</v>
      </c>
    </row>
    <row r="97" spans="1:25" ht="24.75" x14ac:dyDescent="0.25">
      <c r="A97" s="5" t="s">
        <v>26</v>
      </c>
      <c r="B97" s="5" t="s">
        <v>43</v>
      </c>
      <c r="C97" s="5" t="s">
        <v>48</v>
      </c>
      <c r="D97" s="5" t="s">
        <v>64</v>
      </c>
      <c r="E97" s="5" t="s">
        <v>28</v>
      </c>
      <c r="F97" s="5" t="s">
        <v>194</v>
      </c>
      <c r="G97" s="5">
        <v>2019</v>
      </c>
      <c r="H97" s="5" t="str">
        <f>CONCATENATE("94780007269")</f>
        <v>94780007269</v>
      </c>
      <c r="I97" s="5" t="s">
        <v>29</v>
      </c>
      <c r="J97" s="5" t="s">
        <v>47</v>
      </c>
      <c r="K97" s="5" t="str">
        <f>CONCATENATE("221")</f>
        <v>221</v>
      </c>
      <c r="L97" s="5" t="str">
        <f>CONCATENATE("8 8.1 5e")</f>
        <v>8 8.1 5e</v>
      </c>
      <c r="M97" s="5" t="str">
        <f>CONCATENATE("PTRDNC41A25I461A")</f>
        <v>PTRDNC41A25I461A</v>
      </c>
      <c r="N97" s="5" t="s">
        <v>195</v>
      </c>
      <c r="O97" s="5" t="s">
        <v>178</v>
      </c>
      <c r="P97" s="6">
        <v>44162</v>
      </c>
      <c r="Q97" s="5" t="s">
        <v>31</v>
      </c>
      <c r="R97" s="5" t="s">
        <v>34</v>
      </c>
      <c r="S97" s="5" t="s">
        <v>33</v>
      </c>
      <c r="T97" s="5"/>
      <c r="U97" s="5">
        <v>199</v>
      </c>
      <c r="V97" s="5">
        <v>85.81</v>
      </c>
      <c r="W97" s="5">
        <v>79.239999999999995</v>
      </c>
      <c r="X97" s="5">
        <v>0</v>
      </c>
      <c r="Y97" s="5">
        <v>33.950000000000003</v>
      </c>
    </row>
    <row r="98" spans="1:25" ht="24.75" x14ac:dyDescent="0.25">
      <c r="A98" s="5" t="s">
        <v>26</v>
      </c>
      <c r="B98" s="5" t="s">
        <v>43</v>
      </c>
      <c r="C98" s="5" t="s">
        <v>48</v>
      </c>
      <c r="D98" s="5" t="s">
        <v>64</v>
      </c>
      <c r="E98" s="5" t="s">
        <v>38</v>
      </c>
      <c r="F98" s="5" t="s">
        <v>196</v>
      </c>
      <c r="G98" s="5">
        <v>2019</v>
      </c>
      <c r="H98" s="5" t="str">
        <f>CONCATENATE("94780029859")</f>
        <v>94780029859</v>
      </c>
      <c r="I98" s="5" t="s">
        <v>29</v>
      </c>
      <c r="J98" s="5" t="s">
        <v>47</v>
      </c>
      <c r="K98" s="5" t="str">
        <f>CONCATENATE("221")</f>
        <v>221</v>
      </c>
      <c r="L98" s="5" t="str">
        <f>CONCATENATE("8 8.1 5e")</f>
        <v>8 8.1 5e</v>
      </c>
      <c r="M98" s="5" t="str">
        <f>CONCATENATE("FRTDVD67H15A271V")</f>
        <v>FRTDVD67H15A271V</v>
      </c>
      <c r="N98" s="5" t="s">
        <v>197</v>
      </c>
      <c r="O98" s="5" t="s">
        <v>178</v>
      </c>
      <c r="P98" s="6">
        <v>44162</v>
      </c>
      <c r="Q98" s="5" t="s">
        <v>31</v>
      </c>
      <c r="R98" s="5" t="s">
        <v>34</v>
      </c>
      <c r="S98" s="5" t="s">
        <v>33</v>
      </c>
      <c r="T98" s="5"/>
      <c r="U98" s="5">
        <v>181</v>
      </c>
      <c r="V98" s="5">
        <v>78.05</v>
      </c>
      <c r="W98" s="5">
        <v>72.069999999999993</v>
      </c>
      <c r="X98" s="5">
        <v>0</v>
      </c>
      <c r="Y98" s="5">
        <v>30.88</v>
      </c>
    </row>
    <row r="99" spans="1:25" ht="24.75" x14ac:dyDescent="0.25">
      <c r="A99" s="5" t="s">
        <v>26</v>
      </c>
      <c r="B99" s="5" t="s">
        <v>43</v>
      </c>
      <c r="C99" s="5" t="s">
        <v>48</v>
      </c>
      <c r="D99" s="5" t="s">
        <v>64</v>
      </c>
      <c r="E99" s="5" t="s">
        <v>40</v>
      </c>
      <c r="F99" s="5" t="s">
        <v>198</v>
      </c>
      <c r="G99" s="5">
        <v>2019</v>
      </c>
      <c r="H99" s="5" t="str">
        <f>CONCATENATE("94780023530")</f>
        <v>94780023530</v>
      </c>
      <c r="I99" s="5" t="s">
        <v>29</v>
      </c>
      <c r="J99" s="5" t="s">
        <v>47</v>
      </c>
      <c r="K99" s="5" t="str">
        <f>CONCATENATE("221")</f>
        <v>221</v>
      </c>
      <c r="L99" s="5" t="str">
        <f>CONCATENATE("8 8.1 5e")</f>
        <v>8 8.1 5e</v>
      </c>
      <c r="M99" s="5" t="str">
        <f>CONCATENATE("VTLMRN52D30D211X")</f>
        <v>VTLMRN52D30D211X</v>
      </c>
      <c r="N99" s="5" t="s">
        <v>199</v>
      </c>
      <c r="O99" s="5" t="s">
        <v>178</v>
      </c>
      <c r="P99" s="6">
        <v>44162</v>
      </c>
      <c r="Q99" s="5" t="s">
        <v>31</v>
      </c>
      <c r="R99" s="5" t="s">
        <v>34</v>
      </c>
      <c r="S99" s="5" t="s">
        <v>33</v>
      </c>
      <c r="T99" s="5"/>
      <c r="U99" s="5">
        <v>484</v>
      </c>
      <c r="V99" s="5">
        <v>208.7</v>
      </c>
      <c r="W99" s="5">
        <v>192.73</v>
      </c>
      <c r="X99" s="5">
        <v>0</v>
      </c>
      <c r="Y99" s="5">
        <v>82.57</v>
      </c>
    </row>
    <row r="100" spans="1:25" ht="24.75" x14ac:dyDescent="0.25">
      <c r="A100" s="5" t="s">
        <v>26</v>
      </c>
      <c r="B100" s="5" t="s">
        <v>43</v>
      </c>
      <c r="C100" s="5" t="s">
        <v>48</v>
      </c>
      <c r="D100" s="5" t="s">
        <v>64</v>
      </c>
      <c r="E100" s="5" t="s">
        <v>40</v>
      </c>
      <c r="F100" s="5" t="s">
        <v>198</v>
      </c>
      <c r="G100" s="5">
        <v>2017</v>
      </c>
      <c r="H100" s="5" t="str">
        <f>CONCATENATE("74240831524")</f>
        <v>74240831524</v>
      </c>
      <c r="I100" s="5" t="s">
        <v>29</v>
      </c>
      <c r="J100" s="5" t="s">
        <v>30</v>
      </c>
      <c r="K100" s="5" t="str">
        <f>CONCATENATE("")</f>
        <v/>
      </c>
      <c r="L100" s="5" t="str">
        <f>CONCATENATE("10 10.1 4a")</f>
        <v>10 10.1 4a</v>
      </c>
      <c r="M100" s="5" t="str">
        <f>CONCATENATE("CRNCST80P65E388Y")</f>
        <v>CRNCST80P65E388Y</v>
      </c>
      <c r="N100" s="5" t="s">
        <v>200</v>
      </c>
      <c r="O100" s="5" t="s">
        <v>201</v>
      </c>
      <c r="P100" s="6">
        <v>44152</v>
      </c>
      <c r="Q100" s="5" t="s">
        <v>31</v>
      </c>
      <c r="R100" s="5" t="s">
        <v>34</v>
      </c>
      <c r="S100" s="5" t="s">
        <v>33</v>
      </c>
      <c r="T100" s="5"/>
      <c r="U100" s="5">
        <v>503.5</v>
      </c>
      <c r="V100" s="5">
        <v>217.11</v>
      </c>
      <c r="W100" s="5">
        <v>200.49</v>
      </c>
      <c r="X100" s="5">
        <v>0</v>
      </c>
      <c r="Y100" s="5">
        <v>85.9</v>
      </c>
    </row>
    <row r="101" spans="1:25" ht="24.75" x14ac:dyDescent="0.25">
      <c r="A101" s="5" t="s">
        <v>26</v>
      </c>
      <c r="B101" s="5" t="s">
        <v>43</v>
      </c>
      <c r="C101" s="5" t="s">
        <v>48</v>
      </c>
      <c r="D101" s="5" t="s">
        <v>64</v>
      </c>
      <c r="E101" s="5" t="s">
        <v>40</v>
      </c>
      <c r="F101" s="5" t="s">
        <v>198</v>
      </c>
      <c r="G101" s="5">
        <v>2019</v>
      </c>
      <c r="H101" s="5" t="str">
        <f>CONCATENATE("94240353766")</f>
        <v>94240353766</v>
      </c>
      <c r="I101" s="5" t="s">
        <v>29</v>
      </c>
      <c r="J101" s="5" t="s">
        <v>30</v>
      </c>
      <c r="K101" s="5" t="str">
        <f>CONCATENATE("")</f>
        <v/>
      </c>
      <c r="L101" s="5" t="str">
        <f>CONCATENATE("10 10.1 4a")</f>
        <v>10 10.1 4a</v>
      </c>
      <c r="M101" s="5" t="str">
        <f>CONCATENATE("CRNCST80P65E388Y")</f>
        <v>CRNCST80P65E388Y</v>
      </c>
      <c r="N101" s="5" t="s">
        <v>200</v>
      </c>
      <c r="O101" s="5" t="s">
        <v>201</v>
      </c>
      <c r="P101" s="6">
        <v>44152</v>
      </c>
      <c r="Q101" s="5" t="s">
        <v>31</v>
      </c>
      <c r="R101" s="5" t="s">
        <v>34</v>
      </c>
      <c r="S101" s="5" t="s">
        <v>33</v>
      </c>
      <c r="T101" s="5"/>
      <c r="U101" s="5">
        <v>482.6</v>
      </c>
      <c r="V101" s="5">
        <v>208.1</v>
      </c>
      <c r="W101" s="5">
        <v>192.17</v>
      </c>
      <c r="X101" s="5">
        <v>0</v>
      </c>
      <c r="Y101" s="5">
        <v>82.33</v>
      </c>
    </row>
    <row r="102" spans="1:25" ht="24.75" x14ac:dyDescent="0.25">
      <c r="A102" s="5" t="s">
        <v>26</v>
      </c>
      <c r="B102" s="5" t="s">
        <v>43</v>
      </c>
      <c r="C102" s="5" t="s">
        <v>48</v>
      </c>
      <c r="D102" s="5" t="s">
        <v>64</v>
      </c>
      <c r="E102" s="5" t="s">
        <v>40</v>
      </c>
      <c r="F102" s="5" t="s">
        <v>198</v>
      </c>
      <c r="G102" s="5">
        <v>2018</v>
      </c>
      <c r="H102" s="5" t="str">
        <f>CONCATENATE("84240709661")</f>
        <v>84240709661</v>
      </c>
      <c r="I102" s="5" t="s">
        <v>29</v>
      </c>
      <c r="J102" s="5" t="s">
        <v>30</v>
      </c>
      <c r="K102" s="5" t="str">
        <f>CONCATENATE("")</f>
        <v/>
      </c>
      <c r="L102" s="5" t="str">
        <f>CONCATENATE("10 10.1 4a")</f>
        <v>10 10.1 4a</v>
      </c>
      <c r="M102" s="5" t="str">
        <f>CONCATENATE("CRNCST80P65E388Y")</f>
        <v>CRNCST80P65E388Y</v>
      </c>
      <c r="N102" s="5" t="s">
        <v>200</v>
      </c>
      <c r="O102" s="5" t="s">
        <v>201</v>
      </c>
      <c r="P102" s="6">
        <v>44152</v>
      </c>
      <c r="Q102" s="5" t="s">
        <v>31</v>
      </c>
      <c r="R102" s="5" t="s">
        <v>34</v>
      </c>
      <c r="S102" s="5" t="s">
        <v>33</v>
      </c>
      <c r="T102" s="5"/>
      <c r="U102" s="5">
        <v>482.6</v>
      </c>
      <c r="V102" s="5">
        <v>208.1</v>
      </c>
      <c r="W102" s="5">
        <v>192.17</v>
      </c>
      <c r="X102" s="5">
        <v>0</v>
      </c>
      <c r="Y102" s="5">
        <v>82.33</v>
      </c>
    </row>
    <row r="103" spans="1:25" ht="24.75" x14ac:dyDescent="0.25">
      <c r="A103" s="5" t="s">
        <v>26</v>
      </c>
      <c r="B103" s="5" t="s">
        <v>43</v>
      </c>
      <c r="C103" s="5" t="s">
        <v>48</v>
      </c>
      <c r="D103" s="5" t="s">
        <v>64</v>
      </c>
      <c r="E103" s="5" t="s">
        <v>40</v>
      </c>
      <c r="F103" s="5" t="s">
        <v>202</v>
      </c>
      <c r="G103" s="5">
        <v>2018</v>
      </c>
      <c r="H103" s="5" t="str">
        <f>CONCATENATE("84241165186")</f>
        <v>84241165186</v>
      </c>
      <c r="I103" s="5" t="s">
        <v>29</v>
      </c>
      <c r="J103" s="5" t="s">
        <v>30</v>
      </c>
      <c r="K103" s="5" t="str">
        <f>CONCATENATE("")</f>
        <v/>
      </c>
      <c r="L103" s="5" t="str">
        <f>CONCATENATE("10 10.1 4a")</f>
        <v>10 10.1 4a</v>
      </c>
      <c r="M103" s="5" t="str">
        <f>CONCATENATE("BFNMNL80S13E388P")</f>
        <v>BFNMNL80S13E388P</v>
      </c>
      <c r="N103" s="5" t="s">
        <v>203</v>
      </c>
      <c r="O103" s="5" t="s">
        <v>201</v>
      </c>
      <c r="P103" s="6">
        <v>44152</v>
      </c>
      <c r="Q103" s="5" t="s">
        <v>31</v>
      </c>
      <c r="R103" s="5" t="s">
        <v>34</v>
      </c>
      <c r="S103" s="5" t="s">
        <v>33</v>
      </c>
      <c r="T103" s="5"/>
      <c r="U103" s="5">
        <v>440</v>
      </c>
      <c r="V103" s="5">
        <v>189.73</v>
      </c>
      <c r="W103" s="5">
        <v>175.21</v>
      </c>
      <c r="X103" s="5">
        <v>0</v>
      </c>
      <c r="Y103" s="5">
        <v>75.06</v>
      </c>
    </row>
    <row r="104" spans="1:25" ht="24.75" x14ac:dyDescent="0.25">
      <c r="A104" s="5" t="s">
        <v>26</v>
      </c>
      <c r="B104" s="5" t="s">
        <v>43</v>
      </c>
      <c r="C104" s="5" t="s">
        <v>48</v>
      </c>
      <c r="D104" s="5" t="s">
        <v>64</v>
      </c>
      <c r="E104" s="5" t="s">
        <v>40</v>
      </c>
      <c r="F104" s="5" t="s">
        <v>202</v>
      </c>
      <c r="G104" s="5">
        <v>2018</v>
      </c>
      <c r="H104" s="5" t="str">
        <f>CONCATENATE("84240902068")</f>
        <v>84240902068</v>
      </c>
      <c r="I104" s="5" t="s">
        <v>29</v>
      </c>
      <c r="J104" s="5" t="s">
        <v>30</v>
      </c>
      <c r="K104" s="5" t="str">
        <f>CONCATENATE("")</f>
        <v/>
      </c>
      <c r="L104" s="5" t="str">
        <f>CONCATENATE("10 10.1 4a")</f>
        <v>10 10.1 4a</v>
      </c>
      <c r="M104" s="5" t="str">
        <f>CONCATENATE("FLPGRG52H08H979Y")</f>
        <v>FLPGRG52H08H979Y</v>
      </c>
      <c r="N104" s="5" t="s">
        <v>204</v>
      </c>
      <c r="O104" s="5" t="s">
        <v>201</v>
      </c>
      <c r="P104" s="6">
        <v>44152</v>
      </c>
      <c r="Q104" s="5" t="s">
        <v>31</v>
      </c>
      <c r="R104" s="5" t="s">
        <v>34</v>
      </c>
      <c r="S104" s="5" t="s">
        <v>33</v>
      </c>
      <c r="T104" s="5"/>
      <c r="U104" s="7">
        <v>2112.6799999999998</v>
      </c>
      <c r="V104" s="5">
        <v>910.99</v>
      </c>
      <c r="W104" s="5">
        <v>841.27</v>
      </c>
      <c r="X104" s="5">
        <v>0</v>
      </c>
      <c r="Y104" s="5">
        <v>360.42</v>
      </c>
    </row>
    <row r="105" spans="1:25" ht="24.75" x14ac:dyDescent="0.25">
      <c r="A105" s="5" t="s">
        <v>26</v>
      </c>
      <c r="B105" s="5" t="s">
        <v>43</v>
      </c>
      <c r="C105" s="5" t="s">
        <v>48</v>
      </c>
      <c r="D105" s="5" t="s">
        <v>64</v>
      </c>
      <c r="E105" s="5" t="s">
        <v>40</v>
      </c>
      <c r="F105" s="5" t="s">
        <v>205</v>
      </c>
      <c r="G105" s="5">
        <v>2018</v>
      </c>
      <c r="H105" s="5" t="str">
        <f>CONCATENATE("84240830970")</f>
        <v>84240830970</v>
      </c>
      <c r="I105" s="5" t="s">
        <v>29</v>
      </c>
      <c r="J105" s="5" t="s">
        <v>30</v>
      </c>
      <c r="K105" s="5" t="str">
        <f>CONCATENATE("")</f>
        <v/>
      </c>
      <c r="L105" s="5" t="str">
        <f>CONCATENATE("10 10.1 4a")</f>
        <v>10 10.1 4a</v>
      </c>
      <c r="M105" s="5" t="str">
        <f>CONCATENATE("MRNPLA75P30H211M")</f>
        <v>MRNPLA75P30H211M</v>
      </c>
      <c r="N105" s="5" t="s">
        <v>206</v>
      </c>
      <c r="O105" s="5" t="s">
        <v>201</v>
      </c>
      <c r="P105" s="6">
        <v>44152</v>
      </c>
      <c r="Q105" s="5" t="s">
        <v>31</v>
      </c>
      <c r="R105" s="5" t="s">
        <v>34</v>
      </c>
      <c r="S105" s="5" t="s">
        <v>33</v>
      </c>
      <c r="T105" s="5"/>
      <c r="U105" s="7">
        <v>1612.68</v>
      </c>
      <c r="V105" s="5">
        <v>695.39</v>
      </c>
      <c r="W105" s="5">
        <v>642.16999999999996</v>
      </c>
      <c r="X105" s="5">
        <v>0</v>
      </c>
      <c r="Y105" s="5">
        <v>275.12</v>
      </c>
    </row>
    <row r="106" spans="1:25" ht="24.75" x14ac:dyDescent="0.25">
      <c r="A106" s="5" t="s">
        <v>26</v>
      </c>
      <c r="B106" s="5" t="s">
        <v>27</v>
      </c>
      <c r="C106" s="5" t="s">
        <v>48</v>
      </c>
      <c r="D106" s="5" t="s">
        <v>64</v>
      </c>
      <c r="E106" s="5" t="s">
        <v>35</v>
      </c>
      <c r="F106" s="5" t="s">
        <v>35</v>
      </c>
      <c r="G106" s="5">
        <v>2017</v>
      </c>
      <c r="H106" s="5" t="str">
        <f>CONCATENATE("04270150271")</f>
        <v>04270150271</v>
      </c>
      <c r="I106" s="5" t="s">
        <v>29</v>
      </c>
      <c r="J106" s="5" t="s">
        <v>30</v>
      </c>
      <c r="K106" s="5" t="str">
        <f>CONCATENATE("")</f>
        <v/>
      </c>
      <c r="L106" s="5" t="str">
        <f>CONCATENATE("1 1.1 2a")</f>
        <v>1 1.1 2a</v>
      </c>
      <c r="M106" s="5" t="str">
        <f>CONCATENATE("02051370423")</f>
        <v>02051370423</v>
      </c>
      <c r="N106" s="5" t="s">
        <v>54</v>
      </c>
      <c r="O106" s="5" t="s">
        <v>207</v>
      </c>
      <c r="P106" s="6">
        <v>44147</v>
      </c>
      <c r="Q106" s="5" t="s">
        <v>31</v>
      </c>
      <c r="R106" s="5" t="s">
        <v>34</v>
      </c>
      <c r="S106" s="5" t="s">
        <v>33</v>
      </c>
      <c r="T106" s="5"/>
      <c r="U106" s="5">
        <v>919.6</v>
      </c>
      <c r="V106" s="5">
        <v>396.53</v>
      </c>
      <c r="W106" s="5">
        <v>366.18</v>
      </c>
      <c r="X106" s="5">
        <v>0</v>
      </c>
      <c r="Y106" s="5">
        <v>156.88999999999999</v>
      </c>
    </row>
    <row r="107" spans="1:25" ht="24.75" x14ac:dyDescent="0.25">
      <c r="A107" s="5" t="s">
        <v>26</v>
      </c>
      <c r="B107" s="5" t="s">
        <v>27</v>
      </c>
      <c r="C107" s="5" t="s">
        <v>48</v>
      </c>
      <c r="D107" s="5" t="s">
        <v>53</v>
      </c>
      <c r="E107" s="5" t="s">
        <v>35</v>
      </c>
      <c r="F107" s="5" t="s">
        <v>35</v>
      </c>
      <c r="G107" s="5">
        <v>2017</v>
      </c>
      <c r="H107" s="5" t="str">
        <f>CONCATENATE("04270150180")</f>
        <v>04270150180</v>
      </c>
      <c r="I107" s="5" t="s">
        <v>29</v>
      </c>
      <c r="J107" s="5" t="s">
        <v>30</v>
      </c>
      <c r="K107" s="5" t="str">
        <f>CONCATENATE("")</f>
        <v/>
      </c>
      <c r="L107" s="5" t="str">
        <f>CONCATENATE("4 4.1 2a")</f>
        <v>4 4.1 2a</v>
      </c>
      <c r="M107" s="5" t="str">
        <f>CONCATENATE("01709190431")</f>
        <v>01709190431</v>
      </c>
      <c r="N107" s="5" t="s">
        <v>208</v>
      </c>
      <c r="O107" s="5" t="s">
        <v>209</v>
      </c>
      <c r="P107" s="6">
        <v>44147</v>
      </c>
      <c r="Q107" s="5" t="s">
        <v>31</v>
      </c>
      <c r="R107" s="5" t="s">
        <v>36</v>
      </c>
      <c r="S107" s="5" t="s">
        <v>33</v>
      </c>
      <c r="T107" s="5"/>
      <c r="U107" s="7">
        <v>49095.67</v>
      </c>
      <c r="V107" s="7">
        <v>21170.05</v>
      </c>
      <c r="W107" s="7">
        <v>19549.900000000001</v>
      </c>
      <c r="X107" s="5">
        <v>0</v>
      </c>
      <c r="Y107" s="7">
        <v>8375.7199999999993</v>
      </c>
    </row>
    <row r="108" spans="1:25" ht="24.75" x14ac:dyDescent="0.25">
      <c r="A108" s="5" t="s">
        <v>26</v>
      </c>
      <c r="B108" s="5" t="s">
        <v>43</v>
      </c>
      <c r="C108" s="5" t="s">
        <v>48</v>
      </c>
      <c r="D108" s="5" t="s">
        <v>53</v>
      </c>
      <c r="E108" s="5" t="s">
        <v>40</v>
      </c>
      <c r="F108" s="5" t="s">
        <v>83</v>
      </c>
      <c r="G108" s="5">
        <v>2019</v>
      </c>
      <c r="H108" s="5" t="str">
        <f>CONCATENATE("94241730921")</f>
        <v>94241730921</v>
      </c>
      <c r="I108" s="5" t="s">
        <v>29</v>
      </c>
      <c r="J108" s="5" t="s">
        <v>30</v>
      </c>
      <c r="K108" s="5" t="str">
        <f>CONCATENATE("")</f>
        <v/>
      </c>
      <c r="L108" s="5" t="str">
        <f>CONCATENATE("10 10.1 4a")</f>
        <v>10 10.1 4a</v>
      </c>
      <c r="M108" s="5" t="str">
        <f>CONCATENATE("02632660417")</f>
        <v>02632660417</v>
      </c>
      <c r="N108" s="5" t="s">
        <v>210</v>
      </c>
      <c r="O108" s="5" t="s">
        <v>201</v>
      </c>
      <c r="P108" s="6">
        <v>44152</v>
      </c>
      <c r="Q108" s="5" t="s">
        <v>31</v>
      </c>
      <c r="R108" s="5" t="s">
        <v>34</v>
      </c>
      <c r="S108" s="5" t="s">
        <v>33</v>
      </c>
      <c r="T108" s="5"/>
      <c r="U108" s="7">
        <v>2054.6799999999998</v>
      </c>
      <c r="V108" s="5">
        <v>885.98</v>
      </c>
      <c r="W108" s="5">
        <v>818.17</v>
      </c>
      <c r="X108" s="5">
        <v>0</v>
      </c>
      <c r="Y108" s="5">
        <v>350.53</v>
      </c>
    </row>
    <row r="109" spans="1:25" ht="24.75" x14ac:dyDescent="0.25">
      <c r="A109" s="5" t="s">
        <v>26</v>
      </c>
      <c r="B109" s="5" t="s">
        <v>43</v>
      </c>
      <c r="C109" s="5" t="s">
        <v>48</v>
      </c>
      <c r="D109" s="5" t="s">
        <v>64</v>
      </c>
      <c r="E109" s="5" t="s">
        <v>40</v>
      </c>
      <c r="F109" s="5" t="s">
        <v>202</v>
      </c>
      <c r="G109" s="5">
        <v>2018</v>
      </c>
      <c r="H109" s="5" t="str">
        <f>CONCATENATE("84240800056")</f>
        <v>84240800056</v>
      </c>
      <c r="I109" s="5" t="s">
        <v>29</v>
      </c>
      <c r="J109" s="5" t="s">
        <v>30</v>
      </c>
      <c r="K109" s="5" t="str">
        <f>CONCATENATE("")</f>
        <v/>
      </c>
      <c r="L109" s="5" t="str">
        <f>CONCATENATE("10 10.1 4a")</f>
        <v>10 10.1 4a</v>
      </c>
      <c r="M109" s="5" t="str">
        <f>CONCATENATE("GRSSLN88M04E388P")</f>
        <v>GRSSLN88M04E388P</v>
      </c>
      <c r="N109" s="5" t="s">
        <v>211</v>
      </c>
      <c r="O109" s="5" t="s">
        <v>201</v>
      </c>
      <c r="P109" s="6">
        <v>44152</v>
      </c>
      <c r="Q109" s="5" t="s">
        <v>31</v>
      </c>
      <c r="R109" s="5" t="s">
        <v>34</v>
      </c>
      <c r="S109" s="5" t="s">
        <v>33</v>
      </c>
      <c r="T109" s="5"/>
      <c r="U109" s="5">
        <v>525.27</v>
      </c>
      <c r="V109" s="5">
        <v>226.5</v>
      </c>
      <c r="W109" s="5">
        <v>209.16</v>
      </c>
      <c r="X109" s="5">
        <v>0</v>
      </c>
      <c r="Y109" s="5">
        <v>89.61</v>
      </c>
    </row>
    <row r="110" spans="1:25" ht="24.75" x14ac:dyDescent="0.25">
      <c r="A110" s="5" t="s">
        <v>26</v>
      </c>
      <c r="B110" s="5" t="s">
        <v>27</v>
      </c>
      <c r="C110" s="5" t="s">
        <v>48</v>
      </c>
      <c r="D110" s="5" t="s">
        <v>58</v>
      </c>
      <c r="E110" s="5" t="s">
        <v>37</v>
      </c>
      <c r="F110" s="5" t="s">
        <v>75</v>
      </c>
      <c r="G110" s="5">
        <v>2017</v>
      </c>
      <c r="H110" s="5" t="str">
        <f>CONCATENATE("04270156815")</f>
        <v>04270156815</v>
      </c>
      <c r="I110" s="5" t="s">
        <v>29</v>
      </c>
      <c r="J110" s="5" t="s">
        <v>30</v>
      </c>
      <c r="K110" s="5" t="str">
        <f>CONCATENATE("")</f>
        <v/>
      </c>
      <c r="L110" s="5" t="str">
        <f>CONCATENATE("16 16.2 2a")</f>
        <v>16 16.2 2a</v>
      </c>
      <c r="M110" s="5" t="str">
        <f>CONCATENATE("92000660446")</f>
        <v>92000660446</v>
      </c>
      <c r="N110" s="5" t="s">
        <v>76</v>
      </c>
      <c r="O110" s="5" t="s">
        <v>212</v>
      </c>
      <c r="P110" s="6">
        <v>44151</v>
      </c>
      <c r="Q110" s="5" t="s">
        <v>31</v>
      </c>
      <c r="R110" s="5" t="s">
        <v>36</v>
      </c>
      <c r="S110" s="5" t="s">
        <v>33</v>
      </c>
      <c r="T110" s="5"/>
      <c r="U110" s="7">
        <v>86565.81</v>
      </c>
      <c r="V110" s="7">
        <v>37327.18</v>
      </c>
      <c r="W110" s="7">
        <v>34470.51</v>
      </c>
      <c r="X110" s="5">
        <v>0</v>
      </c>
      <c r="Y110" s="7">
        <v>14768.12</v>
      </c>
    </row>
    <row r="111" spans="1:25" ht="24.75" x14ac:dyDescent="0.25">
      <c r="A111" s="5" t="s">
        <v>26</v>
      </c>
      <c r="B111" s="5" t="s">
        <v>27</v>
      </c>
      <c r="C111" s="5" t="s">
        <v>48</v>
      </c>
      <c r="D111" s="5" t="s">
        <v>64</v>
      </c>
      <c r="E111" s="5" t="s">
        <v>35</v>
      </c>
      <c r="F111" s="5" t="s">
        <v>35</v>
      </c>
      <c r="G111" s="5">
        <v>2017</v>
      </c>
      <c r="H111" s="5" t="str">
        <f>CONCATENATE("04270160106")</f>
        <v>04270160106</v>
      </c>
      <c r="I111" s="5" t="s">
        <v>29</v>
      </c>
      <c r="J111" s="5" t="s">
        <v>30</v>
      </c>
      <c r="K111" s="5" t="str">
        <f>CONCATENATE("")</f>
        <v/>
      </c>
      <c r="L111" s="5" t="str">
        <f>CONCATENATE("1 1.2 4b")</f>
        <v>1 1.2 4b</v>
      </c>
      <c r="M111" s="5" t="str">
        <f>CONCATENATE("01491360424")</f>
        <v>01491360424</v>
      </c>
      <c r="N111" s="5" t="s">
        <v>213</v>
      </c>
      <c r="O111" s="5" t="s">
        <v>214</v>
      </c>
      <c r="P111" s="6">
        <v>44153</v>
      </c>
      <c r="Q111" s="5" t="s">
        <v>31</v>
      </c>
      <c r="R111" s="5" t="s">
        <v>36</v>
      </c>
      <c r="S111" s="5" t="s">
        <v>33</v>
      </c>
      <c r="T111" s="5"/>
      <c r="U111" s="7">
        <v>299309.57</v>
      </c>
      <c r="V111" s="7">
        <v>129062.29</v>
      </c>
      <c r="W111" s="7">
        <v>119185.07</v>
      </c>
      <c r="X111" s="5">
        <v>0</v>
      </c>
      <c r="Y111" s="7">
        <v>51062.21</v>
      </c>
    </row>
    <row r="112" spans="1:25" ht="24.75" x14ac:dyDescent="0.25">
      <c r="A112" s="5" t="s">
        <v>26</v>
      </c>
      <c r="B112" s="5" t="s">
        <v>27</v>
      </c>
      <c r="C112" s="5" t="s">
        <v>48</v>
      </c>
      <c r="D112" s="5" t="s">
        <v>53</v>
      </c>
      <c r="E112" s="5" t="s">
        <v>40</v>
      </c>
      <c r="F112" s="5" t="s">
        <v>137</v>
      </c>
      <c r="G112" s="5">
        <v>2017</v>
      </c>
      <c r="H112" s="5" t="str">
        <f>CONCATENATE("04270150305")</f>
        <v>04270150305</v>
      </c>
      <c r="I112" s="5" t="s">
        <v>29</v>
      </c>
      <c r="J112" s="5" t="s">
        <v>30</v>
      </c>
      <c r="K112" s="5" t="str">
        <f>CONCATENATE("")</f>
        <v/>
      </c>
      <c r="L112" s="5" t="str">
        <f>CONCATENATE("6 6.1 2b")</f>
        <v>6 6.1 2b</v>
      </c>
      <c r="M112" s="5" t="str">
        <f>CONCATENATE("CZZMSM96A04E783G")</f>
        <v>CZZMSM96A04E783G</v>
      </c>
      <c r="N112" s="5" t="s">
        <v>215</v>
      </c>
      <c r="O112" s="5" t="s">
        <v>216</v>
      </c>
      <c r="P112" s="6">
        <v>44147</v>
      </c>
      <c r="Q112" s="5" t="s">
        <v>31</v>
      </c>
      <c r="R112" s="5" t="s">
        <v>36</v>
      </c>
      <c r="S112" s="5" t="s">
        <v>33</v>
      </c>
      <c r="T112" s="5"/>
      <c r="U112" s="7">
        <v>28000</v>
      </c>
      <c r="V112" s="7">
        <v>12073.6</v>
      </c>
      <c r="W112" s="7">
        <v>11149.6</v>
      </c>
      <c r="X112" s="5">
        <v>0</v>
      </c>
      <c r="Y112" s="7">
        <v>4776.8</v>
      </c>
    </row>
    <row r="113" spans="1:25" ht="24.75" x14ac:dyDescent="0.25">
      <c r="A113" s="5" t="s">
        <v>26</v>
      </c>
      <c r="B113" s="5" t="s">
        <v>27</v>
      </c>
      <c r="C113" s="5" t="s">
        <v>48</v>
      </c>
      <c r="D113" s="5" t="s">
        <v>64</v>
      </c>
      <c r="E113" s="5" t="s">
        <v>28</v>
      </c>
      <c r="F113" s="5" t="s">
        <v>65</v>
      </c>
      <c r="G113" s="5">
        <v>2017</v>
      </c>
      <c r="H113" s="5" t="str">
        <f>CONCATENATE("04270150842")</f>
        <v>04270150842</v>
      </c>
      <c r="I113" s="5" t="s">
        <v>29</v>
      </c>
      <c r="J113" s="5" t="s">
        <v>30</v>
      </c>
      <c r="K113" s="5" t="str">
        <f>CONCATENATE("")</f>
        <v/>
      </c>
      <c r="L113" s="5" t="str">
        <f>CONCATENATE("4 4.1 2a")</f>
        <v>4 4.1 2a</v>
      </c>
      <c r="M113" s="5" t="str">
        <f>CONCATENATE("CLMGRG83T18E388S")</f>
        <v>CLMGRG83T18E388S</v>
      </c>
      <c r="N113" s="5" t="s">
        <v>187</v>
      </c>
      <c r="O113" s="5" t="s">
        <v>217</v>
      </c>
      <c r="P113" s="6">
        <v>44147</v>
      </c>
      <c r="Q113" s="5" t="s">
        <v>31</v>
      </c>
      <c r="R113" s="5" t="s">
        <v>34</v>
      </c>
      <c r="S113" s="5" t="s">
        <v>33</v>
      </c>
      <c r="T113" s="5"/>
      <c r="U113" s="7">
        <v>14874.92</v>
      </c>
      <c r="V113" s="7">
        <v>6414.07</v>
      </c>
      <c r="W113" s="7">
        <v>5923.19</v>
      </c>
      <c r="X113" s="5">
        <v>0</v>
      </c>
      <c r="Y113" s="7">
        <v>2537.66</v>
      </c>
    </row>
    <row r="114" spans="1:25" ht="24.75" x14ac:dyDescent="0.25">
      <c r="A114" s="5" t="s">
        <v>26</v>
      </c>
      <c r="B114" s="5" t="s">
        <v>27</v>
      </c>
      <c r="C114" s="5" t="s">
        <v>48</v>
      </c>
      <c r="D114" s="5" t="s">
        <v>64</v>
      </c>
      <c r="E114" s="5" t="s">
        <v>28</v>
      </c>
      <c r="F114" s="5" t="s">
        <v>65</v>
      </c>
      <c r="G114" s="5">
        <v>2017</v>
      </c>
      <c r="H114" s="5" t="str">
        <f>CONCATENATE("94270174637")</f>
        <v>94270174637</v>
      </c>
      <c r="I114" s="5" t="s">
        <v>29</v>
      </c>
      <c r="J114" s="5" t="s">
        <v>30</v>
      </c>
      <c r="K114" s="5" t="str">
        <f>CONCATENATE("")</f>
        <v/>
      </c>
      <c r="L114" s="5" t="str">
        <f>CONCATENATE("4 4.1 2a")</f>
        <v>4 4.1 2a</v>
      </c>
      <c r="M114" s="5" t="str">
        <f>CONCATENATE("02707770422")</f>
        <v>02707770422</v>
      </c>
      <c r="N114" s="5" t="s">
        <v>172</v>
      </c>
      <c r="O114" s="5" t="s">
        <v>217</v>
      </c>
      <c r="P114" s="6">
        <v>44147</v>
      </c>
      <c r="Q114" s="5" t="s">
        <v>31</v>
      </c>
      <c r="R114" s="5" t="s">
        <v>34</v>
      </c>
      <c r="S114" s="5" t="s">
        <v>33</v>
      </c>
      <c r="T114" s="5"/>
      <c r="U114" s="7">
        <v>14317.9</v>
      </c>
      <c r="V114" s="7">
        <v>6173.88</v>
      </c>
      <c r="W114" s="7">
        <v>5701.39</v>
      </c>
      <c r="X114" s="5">
        <v>0</v>
      </c>
      <c r="Y114" s="7">
        <v>2442.63</v>
      </c>
    </row>
    <row r="115" spans="1:25" ht="24.75" x14ac:dyDescent="0.25">
      <c r="A115" s="5" t="s">
        <v>26</v>
      </c>
      <c r="B115" s="5" t="s">
        <v>27</v>
      </c>
      <c r="C115" s="5" t="s">
        <v>48</v>
      </c>
      <c r="D115" s="5" t="s">
        <v>58</v>
      </c>
      <c r="E115" s="5" t="s">
        <v>40</v>
      </c>
      <c r="F115" s="5" t="s">
        <v>218</v>
      </c>
      <c r="G115" s="5">
        <v>2017</v>
      </c>
      <c r="H115" s="5" t="str">
        <f>CONCATENATE("94270174645")</f>
        <v>94270174645</v>
      </c>
      <c r="I115" s="5" t="s">
        <v>29</v>
      </c>
      <c r="J115" s="5" t="s">
        <v>30</v>
      </c>
      <c r="K115" s="5" t="str">
        <f>CONCATENATE("")</f>
        <v/>
      </c>
      <c r="L115" s="5" t="str">
        <f>CONCATENATE("4 4.1 2a")</f>
        <v>4 4.1 2a</v>
      </c>
      <c r="M115" s="5" t="str">
        <f>CONCATENATE("RLAMRN82M13A252L")</f>
        <v>RLAMRN82M13A252L</v>
      </c>
      <c r="N115" s="5" t="s">
        <v>219</v>
      </c>
      <c r="O115" s="5" t="s">
        <v>220</v>
      </c>
      <c r="P115" s="6">
        <v>44155</v>
      </c>
      <c r="Q115" s="5" t="s">
        <v>31</v>
      </c>
      <c r="R115" s="5" t="s">
        <v>34</v>
      </c>
      <c r="S115" s="5" t="s">
        <v>33</v>
      </c>
      <c r="T115" s="5"/>
      <c r="U115" s="7">
        <v>9641.94</v>
      </c>
      <c r="V115" s="7">
        <v>4157.6000000000004</v>
      </c>
      <c r="W115" s="7">
        <v>3839.42</v>
      </c>
      <c r="X115" s="5">
        <v>0</v>
      </c>
      <c r="Y115" s="7">
        <v>1644.92</v>
      </c>
    </row>
    <row r="116" spans="1:25" ht="24.75" x14ac:dyDescent="0.25">
      <c r="A116" s="5" t="s">
        <v>26</v>
      </c>
      <c r="B116" s="5" t="s">
        <v>27</v>
      </c>
      <c r="C116" s="5" t="s">
        <v>48</v>
      </c>
      <c r="D116" s="5" t="s">
        <v>58</v>
      </c>
      <c r="E116" s="5" t="s">
        <v>35</v>
      </c>
      <c r="F116" s="5" t="s">
        <v>35</v>
      </c>
      <c r="G116" s="5">
        <v>2017</v>
      </c>
      <c r="H116" s="5" t="str">
        <f>CONCATENATE("04270158449")</f>
        <v>04270158449</v>
      </c>
      <c r="I116" s="5" t="s">
        <v>41</v>
      </c>
      <c r="J116" s="5" t="s">
        <v>30</v>
      </c>
      <c r="K116" s="5" t="str">
        <f>CONCATENATE("")</f>
        <v/>
      </c>
      <c r="L116" s="5" t="str">
        <f>CONCATENATE("4 4.1 2a")</f>
        <v>4 4.1 2a</v>
      </c>
      <c r="M116" s="5" t="str">
        <f>CONCATENATE("GMNPIO62B27F415D")</f>
        <v>GMNPIO62B27F415D</v>
      </c>
      <c r="N116" s="5" t="s">
        <v>221</v>
      </c>
      <c r="O116" s="5" t="s">
        <v>220</v>
      </c>
      <c r="P116" s="6">
        <v>44155</v>
      </c>
      <c r="Q116" s="5" t="s">
        <v>31</v>
      </c>
      <c r="R116" s="5" t="s">
        <v>34</v>
      </c>
      <c r="S116" s="5" t="s">
        <v>33</v>
      </c>
      <c r="T116" s="5"/>
      <c r="U116" s="7">
        <v>31745.75</v>
      </c>
      <c r="V116" s="7">
        <v>13688.77</v>
      </c>
      <c r="W116" s="7">
        <v>12641.16</v>
      </c>
      <c r="X116" s="5">
        <v>0</v>
      </c>
      <c r="Y116" s="7">
        <v>5415.82</v>
      </c>
    </row>
    <row r="117" spans="1:25" ht="24.75" x14ac:dyDescent="0.25">
      <c r="A117" s="5" t="s">
        <v>26</v>
      </c>
      <c r="B117" s="5" t="s">
        <v>27</v>
      </c>
      <c r="C117" s="5" t="s">
        <v>48</v>
      </c>
      <c r="D117" s="5" t="s">
        <v>64</v>
      </c>
      <c r="E117" s="5" t="s">
        <v>35</v>
      </c>
      <c r="F117" s="5" t="s">
        <v>35</v>
      </c>
      <c r="G117" s="5">
        <v>2017</v>
      </c>
      <c r="H117" s="5" t="str">
        <f>CONCATENATE("04270158506")</f>
        <v>04270158506</v>
      </c>
      <c r="I117" s="5" t="s">
        <v>29</v>
      </c>
      <c r="J117" s="5" t="s">
        <v>30</v>
      </c>
      <c r="K117" s="5" t="str">
        <f>CONCATENATE("")</f>
        <v/>
      </c>
      <c r="L117" s="5" t="str">
        <f>CONCATENATE("4 4.1 2a")</f>
        <v>4 4.1 2a</v>
      </c>
      <c r="M117" s="5" t="str">
        <f>CONCATENATE("TTVMRC84S07D451E")</f>
        <v>TTVMRC84S07D451E</v>
      </c>
      <c r="N117" s="5" t="s">
        <v>222</v>
      </c>
      <c r="O117" s="5" t="s">
        <v>220</v>
      </c>
      <c r="P117" s="6">
        <v>44155</v>
      </c>
      <c r="Q117" s="5" t="s">
        <v>31</v>
      </c>
      <c r="R117" s="5" t="s">
        <v>34</v>
      </c>
      <c r="S117" s="5" t="s">
        <v>33</v>
      </c>
      <c r="T117" s="5"/>
      <c r="U117" s="7">
        <v>121549.92</v>
      </c>
      <c r="V117" s="7">
        <v>52412.33</v>
      </c>
      <c r="W117" s="7">
        <v>48401.18</v>
      </c>
      <c r="X117" s="5">
        <v>0</v>
      </c>
      <c r="Y117" s="7">
        <v>20736.41</v>
      </c>
    </row>
    <row r="118" spans="1:25" ht="24.75" x14ac:dyDescent="0.25">
      <c r="A118" s="5" t="s">
        <v>26</v>
      </c>
      <c r="B118" s="5" t="s">
        <v>27</v>
      </c>
      <c r="C118" s="5" t="s">
        <v>48</v>
      </c>
      <c r="D118" s="5" t="s">
        <v>58</v>
      </c>
      <c r="E118" s="5" t="s">
        <v>37</v>
      </c>
      <c r="F118" s="5" t="s">
        <v>75</v>
      </c>
      <c r="G118" s="5">
        <v>2017</v>
      </c>
      <c r="H118" s="5" t="str">
        <f>CONCATENATE("04270158514")</f>
        <v>04270158514</v>
      </c>
      <c r="I118" s="5" t="s">
        <v>29</v>
      </c>
      <c r="J118" s="5" t="s">
        <v>30</v>
      </c>
      <c r="K118" s="5" t="str">
        <f>CONCATENATE("")</f>
        <v/>
      </c>
      <c r="L118" s="5" t="str">
        <f>CONCATENATE("4 4.1 2a")</f>
        <v>4 4.1 2a</v>
      </c>
      <c r="M118" s="5" t="str">
        <f>CONCATENATE("PTRPLA57H30G920Q")</f>
        <v>PTRPLA57H30G920Q</v>
      </c>
      <c r="N118" s="5" t="s">
        <v>223</v>
      </c>
      <c r="O118" s="5" t="s">
        <v>220</v>
      </c>
      <c r="P118" s="6">
        <v>44155</v>
      </c>
      <c r="Q118" s="5" t="s">
        <v>31</v>
      </c>
      <c r="R118" s="5" t="s">
        <v>34</v>
      </c>
      <c r="S118" s="5" t="s">
        <v>33</v>
      </c>
      <c r="T118" s="5"/>
      <c r="U118" s="7">
        <v>15035.65</v>
      </c>
      <c r="V118" s="7">
        <v>6483.37</v>
      </c>
      <c r="W118" s="7">
        <v>5987.2</v>
      </c>
      <c r="X118" s="5">
        <v>0</v>
      </c>
      <c r="Y118" s="7">
        <v>2565.08</v>
      </c>
    </row>
    <row r="119" spans="1:25" ht="24.75" x14ac:dyDescent="0.25">
      <c r="A119" s="5" t="s">
        <v>26</v>
      </c>
      <c r="B119" s="5" t="s">
        <v>27</v>
      </c>
      <c r="C119" s="5" t="s">
        <v>48</v>
      </c>
      <c r="D119" s="5" t="s">
        <v>58</v>
      </c>
      <c r="E119" s="5" t="s">
        <v>37</v>
      </c>
      <c r="F119" s="5" t="s">
        <v>75</v>
      </c>
      <c r="G119" s="5">
        <v>2017</v>
      </c>
      <c r="H119" s="5" t="str">
        <f>CONCATENATE("04270158423")</f>
        <v>04270158423</v>
      </c>
      <c r="I119" s="5" t="s">
        <v>29</v>
      </c>
      <c r="J119" s="5" t="s">
        <v>30</v>
      </c>
      <c r="K119" s="5" t="str">
        <f>CONCATENATE("")</f>
        <v/>
      </c>
      <c r="L119" s="5" t="str">
        <f>CONCATENATE("4 4.1 2a")</f>
        <v>4 4.1 2a</v>
      </c>
      <c r="M119" s="5" t="str">
        <f>CONCATENATE("PGNMNL77M68H769I")</f>
        <v>PGNMNL77M68H769I</v>
      </c>
      <c r="N119" s="5" t="s">
        <v>224</v>
      </c>
      <c r="O119" s="5" t="s">
        <v>220</v>
      </c>
      <c r="P119" s="6">
        <v>44155</v>
      </c>
      <c r="Q119" s="5" t="s">
        <v>31</v>
      </c>
      <c r="R119" s="5" t="s">
        <v>34</v>
      </c>
      <c r="S119" s="5" t="s">
        <v>33</v>
      </c>
      <c r="T119" s="5"/>
      <c r="U119" s="7">
        <v>6225.46</v>
      </c>
      <c r="V119" s="7">
        <v>2684.42</v>
      </c>
      <c r="W119" s="7">
        <v>2478.98</v>
      </c>
      <c r="X119" s="5">
        <v>0</v>
      </c>
      <c r="Y119" s="7">
        <v>1062.06</v>
      </c>
    </row>
    <row r="120" spans="1:25" ht="24.75" x14ac:dyDescent="0.25">
      <c r="A120" s="5" t="s">
        <v>26</v>
      </c>
      <c r="B120" s="5" t="s">
        <v>27</v>
      </c>
      <c r="C120" s="5" t="s">
        <v>48</v>
      </c>
      <c r="D120" s="5" t="s">
        <v>58</v>
      </c>
      <c r="E120" s="5" t="s">
        <v>37</v>
      </c>
      <c r="F120" s="5" t="s">
        <v>75</v>
      </c>
      <c r="G120" s="5">
        <v>2017</v>
      </c>
      <c r="H120" s="5" t="str">
        <f>CONCATENATE("04270158431")</f>
        <v>04270158431</v>
      </c>
      <c r="I120" s="5" t="s">
        <v>29</v>
      </c>
      <c r="J120" s="5" t="s">
        <v>30</v>
      </c>
      <c r="K120" s="5" t="str">
        <f>CONCATENATE("")</f>
        <v/>
      </c>
      <c r="L120" s="5" t="str">
        <f>CONCATENATE("4 4.1 2a")</f>
        <v>4 4.1 2a</v>
      </c>
      <c r="M120" s="5" t="str">
        <f>CONCATENATE("VGNLVE64C30H321B")</f>
        <v>VGNLVE64C30H321B</v>
      </c>
      <c r="N120" s="5" t="s">
        <v>225</v>
      </c>
      <c r="O120" s="5" t="s">
        <v>220</v>
      </c>
      <c r="P120" s="6">
        <v>44155</v>
      </c>
      <c r="Q120" s="5" t="s">
        <v>31</v>
      </c>
      <c r="R120" s="5" t="s">
        <v>34</v>
      </c>
      <c r="S120" s="5" t="s">
        <v>33</v>
      </c>
      <c r="T120" s="5"/>
      <c r="U120" s="7">
        <v>7393.74</v>
      </c>
      <c r="V120" s="7">
        <v>3188.18</v>
      </c>
      <c r="W120" s="7">
        <v>2944.19</v>
      </c>
      <c r="X120" s="5">
        <v>0</v>
      </c>
      <c r="Y120" s="7">
        <v>1261.3699999999999</v>
      </c>
    </row>
    <row r="121" spans="1:25" ht="24.75" x14ac:dyDescent="0.25">
      <c r="A121" s="5" t="s">
        <v>26</v>
      </c>
      <c r="B121" s="5" t="s">
        <v>27</v>
      </c>
      <c r="C121" s="5" t="s">
        <v>48</v>
      </c>
      <c r="D121" s="5" t="s">
        <v>64</v>
      </c>
      <c r="E121" s="5" t="s">
        <v>28</v>
      </c>
      <c r="F121" s="5" t="s">
        <v>65</v>
      </c>
      <c r="G121" s="5">
        <v>2017</v>
      </c>
      <c r="H121" s="5" t="str">
        <f>CONCATENATE("04270160114")</f>
        <v>04270160114</v>
      </c>
      <c r="I121" s="5" t="s">
        <v>29</v>
      </c>
      <c r="J121" s="5" t="s">
        <v>30</v>
      </c>
      <c r="K121" s="5" t="str">
        <f>CONCATENATE("")</f>
        <v/>
      </c>
      <c r="L121" s="5" t="str">
        <f>CONCATENATE("4 4.1 2a")</f>
        <v>4 4.1 2a</v>
      </c>
      <c r="M121" s="5" t="str">
        <f>CONCATENATE("02018110425")</f>
        <v>02018110425</v>
      </c>
      <c r="N121" s="5" t="s">
        <v>226</v>
      </c>
      <c r="O121" s="5" t="s">
        <v>220</v>
      </c>
      <c r="P121" s="6">
        <v>44155</v>
      </c>
      <c r="Q121" s="5" t="s">
        <v>31</v>
      </c>
      <c r="R121" s="5" t="s">
        <v>36</v>
      </c>
      <c r="S121" s="5" t="s">
        <v>33</v>
      </c>
      <c r="T121" s="5"/>
      <c r="U121" s="7">
        <v>145070.69</v>
      </c>
      <c r="V121" s="7">
        <v>62554.48</v>
      </c>
      <c r="W121" s="7">
        <v>57767.15</v>
      </c>
      <c r="X121" s="5">
        <v>0</v>
      </c>
      <c r="Y121" s="7">
        <v>24749.06</v>
      </c>
    </row>
    <row r="122" spans="1:25" ht="24.75" x14ac:dyDescent="0.25">
      <c r="A122" s="5" t="s">
        <v>26</v>
      </c>
      <c r="B122" s="5" t="s">
        <v>27</v>
      </c>
      <c r="C122" s="5" t="s">
        <v>48</v>
      </c>
      <c r="D122" s="5" t="s">
        <v>58</v>
      </c>
      <c r="E122" s="5" t="s">
        <v>37</v>
      </c>
      <c r="F122" s="5" t="s">
        <v>75</v>
      </c>
      <c r="G122" s="5">
        <v>2017</v>
      </c>
      <c r="H122" s="5" t="str">
        <f>CONCATENATE("04270158415")</f>
        <v>04270158415</v>
      </c>
      <c r="I122" s="5" t="s">
        <v>29</v>
      </c>
      <c r="J122" s="5" t="s">
        <v>30</v>
      </c>
      <c r="K122" s="5" t="str">
        <f>CONCATENATE("")</f>
        <v/>
      </c>
      <c r="L122" s="5" t="str">
        <f>CONCATENATE("4 4.1 2a")</f>
        <v>4 4.1 2a</v>
      </c>
      <c r="M122" s="5" t="str">
        <f>CONCATENATE("01287570442")</f>
        <v>01287570442</v>
      </c>
      <c r="N122" s="5" t="s">
        <v>227</v>
      </c>
      <c r="O122" s="5" t="s">
        <v>220</v>
      </c>
      <c r="P122" s="6">
        <v>44155</v>
      </c>
      <c r="Q122" s="5" t="s">
        <v>31</v>
      </c>
      <c r="R122" s="5" t="s">
        <v>34</v>
      </c>
      <c r="S122" s="5" t="s">
        <v>33</v>
      </c>
      <c r="T122" s="5"/>
      <c r="U122" s="7">
        <v>37173.97</v>
      </c>
      <c r="V122" s="7">
        <v>16029.42</v>
      </c>
      <c r="W122" s="7">
        <v>14802.67</v>
      </c>
      <c r="X122" s="5">
        <v>0</v>
      </c>
      <c r="Y122" s="7">
        <v>6341.88</v>
      </c>
    </row>
    <row r="123" spans="1:25" ht="24.75" x14ac:dyDescent="0.25">
      <c r="A123" s="5" t="s">
        <v>26</v>
      </c>
      <c r="B123" s="5" t="s">
        <v>27</v>
      </c>
      <c r="C123" s="5" t="s">
        <v>48</v>
      </c>
      <c r="D123" s="5" t="s">
        <v>58</v>
      </c>
      <c r="E123" s="5" t="s">
        <v>37</v>
      </c>
      <c r="F123" s="5" t="s">
        <v>75</v>
      </c>
      <c r="G123" s="5">
        <v>2017</v>
      </c>
      <c r="H123" s="5" t="str">
        <f>CONCATENATE("04270158399")</f>
        <v>04270158399</v>
      </c>
      <c r="I123" s="5" t="s">
        <v>29</v>
      </c>
      <c r="J123" s="5" t="s">
        <v>30</v>
      </c>
      <c r="K123" s="5" t="str">
        <f>CONCATENATE("")</f>
        <v/>
      </c>
      <c r="L123" s="5" t="str">
        <f>CONCATENATE("4 4.1 2a")</f>
        <v>4 4.1 2a</v>
      </c>
      <c r="M123" s="5" t="str">
        <f>CONCATENATE("02132960440")</f>
        <v>02132960440</v>
      </c>
      <c r="N123" s="5" t="s">
        <v>228</v>
      </c>
      <c r="O123" s="5" t="s">
        <v>220</v>
      </c>
      <c r="P123" s="6">
        <v>44155</v>
      </c>
      <c r="Q123" s="5" t="s">
        <v>31</v>
      </c>
      <c r="R123" s="5" t="s">
        <v>34</v>
      </c>
      <c r="S123" s="5" t="s">
        <v>33</v>
      </c>
      <c r="T123" s="5"/>
      <c r="U123" s="7">
        <v>12390.94</v>
      </c>
      <c r="V123" s="7">
        <v>5342.97</v>
      </c>
      <c r="W123" s="7">
        <v>4934.07</v>
      </c>
      <c r="X123" s="5">
        <v>0</v>
      </c>
      <c r="Y123" s="7">
        <v>2113.9</v>
      </c>
    </row>
    <row r="124" spans="1:25" ht="24.75" x14ac:dyDescent="0.25">
      <c r="A124" s="5" t="s">
        <v>26</v>
      </c>
      <c r="B124" s="5" t="s">
        <v>27</v>
      </c>
      <c r="C124" s="5" t="s">
        <v>48</v>
      </c>
      <c r="D124" s="5" t="s">
        <v>58</v>
      </c>
      <c r="E124" s="5" t="s">
        <v>40</v>
      </c>
      <c r="F124" s="5" t="s">
        <v>121</v>
      </c>
      <c r="G124" s="5">
        <v>2017</v>
      </c>
      <c r="H124" s="5" t="str">
        <f>CONCATENATE("04270158407")</f>
        <v>04270158407</v>
      </c>
      <c r="I124" s="5" t="s">
        <v>29</v>
      </c>
      <c r="J124" s="5" t="s">
        <v>30</v>
      </c>
      <c r="K124" s="5" t="str">
        <f>CONCATENATE("")</f>
        <v/>
      </c>
      <c r="L124" s="5" t="str">
        <f>CONCATENATE("4 4.1 2a")</f>
        <v>4 4.1 2a</v>
      </c>
      <c r="M124" s="5" t="str">
        <f>CONCATENATE("01532790449")</f>
        <v>01532790449</v>
      </c>
      <c r="N124" s="5" t="s">
        <v>229</v>
      </c>
      <c r="O124" s="5" t="s">
        <v>220</v>
      </c>
      <c r="P124" s="6">
        <v>44155</v>
      </c>
      <c r="Q124" s="5" t="s">
        <v>31</v>
      </c>
      <c r="R124" s="5" t="s">
        <v>34</v>
      </c>
      <c r="S124" s="5" t="s">
        <v>33</v>
      </c>
      <c r="T124" s="5"/>
      <c r="U124" s="7">
        <v>11120</v>
      </c>
      <c r="V124" s="7">
        <v>4794.9399999999996</v>
      </c>
      <c r="W124" s="7">
        <v>4427.9799999999996</v>
      </c>
      <c r="X124" s="5">
        <v>0</v>
      </c>
      <c r="Y124" s="7">
        <v>1897.08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2020-12-01T15:13:27Z</dcterms:created>
  <dcterms:modified xsi:type="dcterms:W3CDTF">2020-12-01T15:14:16Z</dcterms:modified>
</cp:coreProperties>
</file>