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97\"/>
    </mc:Choice>
  </mc:AlternateContent>
  <xr:revisionPtr revIDLastSave="0" documentId="8_{19368C3E-53CF-4667-9CB2-09D930D3249A}" xr6:coauthVersionLast="45" xr6:coauthVersionMax="45" xr10:uidLastSave="{00000000-0000-0000-0000-000000000000}"/>
  <bookViews>
    <workbookView xWindow="-120" yWindow="-120" windowWidth="20730" windowHeight="11160" xr2:uid="{8B22F256-A9AB-4BF0-9606-D23845D3AA17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0" i="1" l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<sst xmlns="http://schemas.openxmlformats.org/spreadsheetml/2006/main" count="2067" uniqueCount="231">
  <si>
    <t>Dettaglio Domande Pagabili Decreto 397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</si>
  <si>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</si>
  <si>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</si>
  <si>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</si>
  <si>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</si>
  <si>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</si>
  <si>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</si>
  <si>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</si>
  <si>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</si>
  <si>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</si>
  <si>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</si>
  <si>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</si>
  <si>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</si>
  <si>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</si>
  <si>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</si>
  <si>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</si>
  <si>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</si>
  <si>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</si>
  <si>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</si>
  <si>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</si>
  <si>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</si>
  <si>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</si>
  <si>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</si>
  <si>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</si>
  <si>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</si>
  <si>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</si>
  <si>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</si>
  <si>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</si>
  <si>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Coldiretti srl</t>
  </si>
  <si>
    <t>NO</t>
  </si>
  <si>
    <t>Nuova Programmazione</t>
  </si>
  <si>
    <t>In Liquidazione</t>
  </si>
  <si>
    <t>Saldo</t>
  </si>
  <si>
    <t>Co-Finanziato</t>
  </si>
  <si>
    <t>Misure a Superficie</t>
  </si>
  <si>
    <t>CAA CIA srl</t>
  </si>
  <si>
    <t>SAL</t>
  </si>
  <si>
    <t>SI</t>
  </si>
  <si>
    <t>IN PROPRIO</t>
  </si>
  <si>
    <t>CAA UNSIC s.r.l.</t>
  </si>
  <si>
    <t>CAA-CAF AGRI S.R.L.</t>
  </si>
  <si>
    <t>CAA LiberiAgricoltori srl già CAA AGCI srl</t>
  </si>
  <si>
    <t>CAA AGRISERVIZI s.r.l.</t>
  </si>
  <si>
    <t>CAA UNICAA srl</t>
  </si>
  <si>
    <t>CAA Confagricoltura srl</t>
  </si>
  <si>
    <t>CAA Confagricoltura - ANCONA - 001</t>
  </si>
  <si>
    <t>MARCHE</t>
  </si>
  <si>
    <t>SERV. DEC. AGRICOLTURA E ALIM. -ASCOLI PICENO</t>
  </si>
  <si>
    <t>SOCIETA' AGRICOLA CONCA D'ORO EREDI CICCHI SERAFINO</t>
  </si>
  <si>
    <t>AGEA.ASR.2020.0501166</t>
  </si>
  <si>
    <t>SERV. DEC. AGRICOLTURA E ALIMENTAZIONE - PESARO</t>
  </si>
  <si>
    <t>SOCIETA' AGRICOLA POGGIO ROSSO S.S.</t>
  </si>
  <si>
    <t>AGEA.ASR.2020.1037823</t>
  </si>
  <si>
    <t>CAA Coldiretti - FERMO - 001</t>
  </si>
  <si>
    <t>CURTI VINCENZINA</t>
  </si>
  <si>
    <t>AGEA.ASR.2020.1132363</t>
  </si>
  <si>
    <t>CAA UNICAA - ASCOLI PICENO - 004</t>
  </si>
  <si>
    <t>SEMPRONI ELENA</t>
  </si>
  <si>
    <t>AGEA.ASR.2020.1034360</t>
  </si>
  <si>
    <t>CAA Coldiretti - ASCOLI PICENO - 025</t>
  </si>
  <si>
    <t>BERDUCCI ROSSANO</t>
  </si>
  <si>
    <t>DOMODIMONTI SRL SOC. AGRICOLA</t>
  </si>
  <si>
    <t>AGEA.ASR.2020.1127594</t>
  </si>
  <si>
    <t>CAA Coldiretti - PESARO E URBINO - 004</t>
  </si>
  <si>
    <t>SOCIETA' AGRICOLA SIMONCINI DI SIMONCINI PIERPAOLO E GIUNGI MANUELA SO</t>
  </si>
  <si>
    <t>CAA UNSIC - ASCOLI PICENO - 001</t>
  </si>
  <si>
    <t>GASPERI SANDRA</t>
  </si>
  <si>
    <t>CAA CIA - ASCOLI PICENO - 006</t>
  </si>
  <si>
    <t>LILLA SIMONE</t>
  </si>
  <si>
    <t>CAA Coldiretti - ASCOLI PICENO - 040</t>
  </si>
  <si>
    <t>VALLORANI VALERIANO</t>
  </si>
  <si>
    <t>CAA Coldiretti - PESARO E URBINO - 013</t>
  </si>
  <si>
    <t>RAFFEINER JACOB</t>
  </si>
  <si>
    <t>CAA CIA - PESARO E URBINO - 007</t>
  </si>
  <si>
    <t>SCOTTI MADDALENA</t>
  </si>
  <si>
    <t>CALIENDI FRANCESCO</t>
  </si>
  <si>
    <t>CAA CIA - PESARO E URBINO - 002</t>
  </si>
  <si>
    <t>FADDA STEFANO</t>
  </si>
  <si>
    <t>SOCIETA' AGR. IL CONVENTINO DI MONTECICCARDO SAS DI MARCANTO</t>
  </si>
  <si>
    <t>SERV. DEC. AGRICOLTURA E ALIMENTAZIONE - ANCONA</t>
  </si>
  <si>
    <t>CAA Coldiretti - ANCONA - 006</t>
  </si>
  <si>
    <t>VINCENZETTI MARIA LETIZIA</t>
  </si>
  <si>
    <t>CAA CAF AGRI - ANCONA - 225</t>
  </si>
  <si>
    <t>SOCIETA' AGRICOLA LE BRECCIOLE S.S.</t>
  </si>
  <si>
    <t>MADONNA DELLE API S.A.S. DI FIORENZI LORENZO &amp; C. SOCIETA' AGRICOLA</t>
  </si>
  <si>
    <t>CAA LiberiAgricoltori - MACERATA - 003</t>
  </si>
  <si>
    <t>CHERCHI PIERO FRANCO</t>
  </si>
  <si>
    <t>CAA CIA - PESARO E URBINO - 003</t>
  </si>
  <si>
    <t>FALCIONI ROBERTO</t>
  </si>
  <si>
    <t>AZ. AGR. FIORENIRE DI COCCI P. F. E COCCI C. S.S. SOC. AGRICOLA</t>
  </si>
  <si>
    <t>CAA AGRISERVIZI - LATINA - 001</t>
  </si>
  <si>
    <t>ANGELICI RENZO</t>
  </si>
  <si>
    <t>CAA CAF AGRI - PESARO E URBINO - 221</t>
  </si>
  <si>
    <t>SOCIETA' AGRICOLA EREDI DI PIEROTTI QUINTO S.S.</t>
  </si>
  <si>
    <t>CAA CAF AGRI - ANCONA - 224</t>
  </si>
  <si>
    <t>RINALDI ROBERTA</t>
  </si>
  <si>
    <t>GUERRO LOREDANA</t>
  </si>
  <si>
    <t>VECCHIOTTI MARIA TERESA</t>
  </si>
  <si>
    <t>CAA Coldiretti - ANCONA - 002</t>
  </si>
  <si>
    <t>STROPPA RENZO</t>
  </si>
  <si>
    <t>FULVI CARLO FELICE</t>
  </si>
  <si>
    <t>CAA Confagricoltura - FORLI' - CESENA - 001</t>
  </si>
  <si>
    <t>SPOCIETA' AGRICOLA CAMPI VERDI DI DELLA PASQUA ERIO E C. SAS</t>
  </si>
  <si>
    <t>CAA Coldiretti - ASCOLI PICENO - 010</t>
  </si>
  <si>
    <t>RICCIOTTI ANTONIO</t>
  </si>
  <si>
    <t>CAA Confagricoltura - ASCOLI PICENO - 001</t>
  </si>
  <si>
    <t>ACCIARRI SOCIETA' AGRICOLA S.R.L.</t>
  </si>
  <si>
    <t>AGEA.ASR.2020.1040878</t>
  </si>
  <si>
    <t>AZIENDA AGRICOLA CONCETTI BRUNO E SERGIO</t>
  </si>
  <si>
    <t>LUCANGELI VINCENZO</t>
  </si>
  <si>
    <t>VINCENZETTI CATERINA</t>
  </si>
  <si>
    <t>GIORGETTI SILVIA</t>
  </si>
  <si>
    <t>TROTTA DOMENICO PIO</t>
  </si>
  <si>
    <t>CAA Coldiretti - PESARO E URBINO - 001</t>
  </si>
  <si>
    <t>MARTINELLI LUCIO</t>
  </si>
  <si>
    <t>CALLI LUCIANA</t>
  </si>
  <si>
    <t>CAA CIA - ANCONA - 005</t>
  </si>
  <si>
    <t>ROHL WEYDEMANN KIRSTEN</t>
  </si>
  <si>
    <t>CAA LiberiAgricoltori - PESARO E URBINO - 002</t>
  </si>
  <si>
    <t>SOCIETA' AGRICOLA SB DI STAGNOZZI S.S.</t>
  </si>
  <si>
    <t>CAA CIA - PESARO E URBINO - 008</t>
  </si>
  <si>
    <t>F.LLI BIANCHI DI BIANCHI PAOLO E GIACOMO</t>
  </si>
  <si>
    <t>PRETE SILVIA</t>
  </si>
  <si>
    <t>GEMINIANI LETIZIA</t>
  </si>
  <si>
    <t>AGEA.ASR.2020.1047834</t>
  </si>
  <si>
    <t>GHIMIS DUMITRESCU MIRELA</t>
  </si>
  <si>
    <t>MATTIOLI ALESSANDRO</t>
  </si>
  <si>
    <t>BALDACCIONI GRAZIANO</t>
  </si>
  <si>
    <t>AGEA.ASR.2020.1062021</t>
  </si>
  <si>
    <t>FERRETTI DOMENICO</t>
  </si>
  <si>
    <t>SERV. DEC. AGRICOLTURA E ALIM. - MACERATA</t>
  </si>
  <si>
    <t>CAA Coldiretti - MACERATA - 002</t>
  </si>
  <si>
    <t>SALTAMARTINI CATERINA</t>
  </si>
  <si>
    <t>AGEA.ASR.2020.1048427</t>
  </si>
  <si>
    <t>CAA Confagricoltura - MACERATA - 001</t>
  </si>
  <si>
    <t>JORGENSEN SARAH</t>
  </si>
  <si>
    <t>AMICI MARIA GIUSEPPINA</t>
  </si>
  <si>
    <t>CAA Coldiretti - MACERATA - 008</t>
  </si>
  <si>
    <t>ANIBALDI CINZIA</t>
  </si>
  <si>
    <t>CAA Coldiretti - MACERATA - 007</t>
  </si>
  <si>
    <t>AGOSTINI GIOVANNI</t>
  </si>
  <si>
    <t>MOGLIANI PINA</t>
  </si>
  <si>
    <t>CAA CAF AGRI - ASCOLI PICENO - 222</t>
  </si>
  <si>
    <t>GIULIANI CHIARA</t>
  </si>
  <si>
    <t>AGEA.ASR.2020.1034362</t>
  </si>
  <si>
    <t>CAA Confagricoltura - PESARO E URBINO - 001</t>
  </si>
  <si>
    <t>AGRICOLA SAN LORENZO S.S. DI SALTARELLI MAURO &amp; C. - SOCIETA'</t>
  </si>
  <si>
    <t>CAA Coldiretti - MACERATA - 017</t>
  </si>
  <si>
    <t>ANGELI GIOVANNI</t>
  </si>
  <si>
    <t>BALDACCIONI GIUSEPPE</t>
  </si>
  <si>
    <t>DE ANGELI FAUSTO</t>
  </si>
  <si>
    <t>DILETTI GIOVANNI</t>
  </si>
  <si>
    <t>FILIPPONI LUIGI</t>
  </si>
  <si>
    <t>GIOVANNINI DOMENICO</t>
  </si>
  <si>
    <t>CAA Coldiretti - PERUGIA - 006</t>
  </si>
  <si>
    <t>PACIFICI ALBERTO</t>
  </si>
  <si>
    <t>ROSSI NICCOLA</t>
  </si>
  <si>
    <t>BIDUCCI MARCO</t>
  </si>
  <si>
    <t>DI MASI LEONARDO</t>
  </si>
  <si>
    <t>LALLI CARMINE</t>
  </si>
  <si>
    <t>LATINI FIORELLA</t>
  </si>
  <si>
    <t>MARCHIONNI DAVIDE</t>
  </si>
  <si>
    <t>MARINI NICOLA</t>
  </si>
  <si>
    <t>MARTONI PIETRO</t>
  </si>
  <si>
    <t>CAA CIA - ANCONA - 002</t>
  </si>
  <si>
    <t>TERRE D'ALBA BIO SOCIETA' SEMPLICE AGRICOLA DI PACENTI DEBORAH E PACEN</t>
  </si>
  <si>
    <t>AGEA.ASR.2020.1127592</t>
  </si>
  <si>
    <t>CAA CIA - PERUGIA - 007</t>
  </si>
  <si>
    <t>SANTONI ITALO</t>
  </si>
  <si>
    <t>SOCIETA' AGRICOLA LE COLLINE DEL VENTO S.S.</t>
  </si>
  <si>
    <t>CAA Coldiretti - ANCONA - 005</t>
  </si>
  <si>
    <t>ZOPPI RENATO</t>
  </si>
  <si>
    <t>CAA Coldiretti - MACERATA - 018</t>
  </si>
  <si>
    <t>SOCIETA' AGRICOLA MENATTA VITTORIO E GIANMARIO S.S.</t>
  </si>
  <si>
    <t>POLITI MATTEO</t>
  </si>
  <si>
    <t>AGEA.ASR.2020.1028835</t>
  </si>
  <si>
    <t>CAA CIA - PESARO E URBINO - 001</t>
  </si>
  <si>
    <t>CIARONI MASSIMO</t>
  </si>
  <si>
    <t>CANCELLIERI ANDREA</t>
  </si>
  <si>
    <t>GUERRA MARCO</t>
  </si>
  <si>
    <t>SANTINI CONCETTA</t>
  </si>
  <si>
    <t>ROSCIOLI BRUNO</t>
  </si>
  <si>
    <t>CAA CIA - ASCOLI PICENO - 005</t>
  </si>
  <si>
    <t>SENZACQUA GIACOMO</t>
  </si>
  <si>
    <t>FLORICOLTURA LONDEI DI LONDEI ELISEO E C. SOCIETA AGRICOLA S.S.</t>
  </si>
  <si>
    <t>AGEA.ASR.2020.1026602</t>
  </si>
  <si>
    <t>CIUCCI CARLO</t>
  </si>
  <si>
    <t>AGEA.ASR.2020.1047870</t>
  </si>
  <si>
    <t>FIORAVANTI VALENTINO</t>
  </si>
  <si>
    <t>ANGELETTI GIANCARLO</t>
  </si>
  <si>
    <t>CAMPETELLA ILARIA</t>
  </si>
  <si>
    <t>FICCADENTI FRANCESCO</t>
  </si>
  <si>
    <t>GROSSI ARMANDO</t>
  </si>
  <si>
    <t>CAA LiberiAgricoltori - MACERATA - 002</t>
  </si>
  <si>
    <t>MICHELI MARIO</t>
  </si>
  <si>
    <t>SILVERI LUCA</t>
  </si>
  <si>
    <t>MINNOZZI MARIA-LUISA</t>
  </si>
  <si>
    <t>PAGLIARI EUGENIO</t>
  </si>
  <si>
    <t>CAA Coldiretti - MACERATA - 009</t>
  </si>
  <si>
    <t>PUCCIARELLI MAURO</t>
  </si>
  <si>
    <t>COLA GIANNI</t>
  </si>
  <si>
    <t>BERTAZZO EMANUELE</t>
  </si>
  <si>
    <t>MARINI FRANCESCA</t>
  </si>
  <si>
    <t>CALAMANTE GIORGIO</t>
  </si>
  <si>
    <t>CAA CIA - PESARO E URBINO - 005</t>
  </si>
  <si>
    <t>SMACCHIA RINA</t>
  </si>
  <si>
    <t>AMICI ROSELLA</t>
  </si>
  <si>
    <t>CAA LiberiAgricoltori - MACERATA - 005</t>
  </si>
  <si>
    <t>SOCIETA' AGRICOLA MICHELE S.R.L.</t>
  </si>
  <si>
    <t>CAA CIA - ANCONA - 004</t>
  </si>
  <si>
    <t>PACENTI CRISTIAN</t>
  </si>
  <si>
    <t>CAA Coldiretti - ASCOLI PICENO - 030</t>
  </si>
  <si>
    <t>IONNI SILVERIO OTTAVIO</t>
  </si>
  <si>
    <t>AMABILI GINO</t>
  </si>
  <si>
    <t>FATTORIA ROSY - SOCIETA' SEMPLICE AGRICOLA DI MANOLO FUNARI</t>
  </si>
  <si>
    <t>FUNARI ANTONIO</t>
  </si>
  <si>
    <t>CAPECCI SIMONE</t>
  </si>
  <si>
    <t>SOC.AGRICOLA "ZUCCHERA" SOC.SEMPLICE</t>
  </si>
  <si>
    <t>CAA Coldiretti - ASCOLI PICENO - 015</t>
  </si>
  <si>
    <t>CICCHESE PAOLA</t>
  </si>
  <si>
    <t>MONTEBOVE SOCIETA SEMPLICE AGRICOLA</t>
  </si>
  <si>
    <t>FILIPPINI ERMENEGILDO</t>
  </si>
  <si>
    <t>AGEA.ASR.2020.1025724</t>
  </si>
  <si>
    <t>AGEA.ASR.2020.1037833</t>
  </si>
  <si>
    <t>GIONNI LUCA</t>
  </si>
  <si>
    <t>FARES ANGELA</t>
  </si>
  <si>
    <t>BARTOLUCCI LUCIA</t>
  </si>
  <si>
    <t>AGEA.ASR.2020.1026623</t>
  </si>
  <si>
    <t>AGEA.ASR.2020.1026613</t>
  </si>
  <si>
    <t>CAMBORATA MARTA</t>
  </si>
  <si>
    <t>AGEA.ASR.2020.1037836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</si>
</sst>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5CC6B-5B91-4959-81FD-183BF15AA199}">
  <dimension ref="A1:Y160"/>
  <sheetViews>
    <sheetView showGridLines="0" tabSelected="1" workbookViewId="0">
      <selection activeCell="F169" sqref="F169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1" width="17" bestFit="1" customWidth="1"/>
    <col min="12" max="12" width="17.5703125" bestFit="1" customWidth="1"/>
    <col min="13" max="13" width="18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34</v>
      </c>
      <c r="C4" s="5" t="s">
        <v>46</v>
      </c>
      <c r="D4" s="5" t="s">
        <v>47</v>
      </c>
      <c r="E4" s="5" t="s">
        <v>38</v>
      </c>
      <c r="F4" s="5" t="s">
        <v>38</v>
      </c>
      <c r="G4" s="5">
        <v>2019</v>
      </c>
      <c r="H4" s="5" t="str">
        <f>_xlfn.CONCAT("94241099053")</f>
        <v>94241099053</v>
      </c>
      <c r="I4" s="5" t="s">
        <v>29</v>
      </c>
      <c r="J4" s="5" t="s">
        <v>30</v>
      </c>
      <c r="K4" s="5" t="str">
        <f>_xlfn.CONCAT("")</f>
        <v/>
      </c>
      <c r="L4" s="5" t="str">
        <f>_xlfn.CONCAT("11 11.2 4b")</f>
        <v>11 11.2 4b</v>
      </c>
      <c r="M4" s="5" t="str">
        <f>_xlfn.CONCAT("01687620441")</f>
        <v>01687620441</v>
      </c>
      <c r="N4" s="5" t="s">
        <v>48</v>
      </c>
      <c r="O4" s="5" t="s">
        <v>49</v>
      </c>
      <c r="P4" s="6">
        <v>43987</v>
      </c>
      <c r="Q4" s="5" t="s">
        <v>31</v>
      </c>
      <c r="R4" s="5" t="s">
        <v>32</v>
      </c>
      <c r="S4" s="5" t="s">
        <v>33</v>
      </c>
      <c r="T4" s="5"/>
      <c r="U4" s="7">
        <v>1556.89</v>
      </c>
      <c r="V4" s="5">
        <v>671.33</v>
      </c>
      <c r="W4" s="5">
        <v>619.95000000000005</v>
      </c>
      <c r="X4" s="5">
        <v>0</v>
      </c>
      <c r="Y4" s="5">
        <v>265.61</v>
      </c>
    </row>
    <row r="5" spans="1:25" ht="24.75" x14ac:dyDescent="0.25">
      <c r="A5" s="5" t="s">
        <v>26</v>
      </c>
      <c r="B5" s="5" t="s">
        <v>27</v>
      </c>
      <c r="C5" s="5" t="s">
        <v>46</v>
      </c>
      <c r="D5" s="5" t="s">
        <v>50</v>
      </c>
      <c r="E5" s="5" t="s">
        <v>38</v>
      </c>
      <c r="F5" s="5" t="s">
        <v>38</v>
      </c>
      <c r="G5" s="5">
        <v>2017</v>
      </c>
      <c r="H5" s="5" t="str">
        <f>_xlfn.CONCAT("94270174504")</f>
        <v>94270174504</v>
      </c>
      <c r="I5" s="5" t="s">
        <v>37</v>
      </c>
      <c r="J5" s="5" t="s">
        <v>30</v>
      </c>
      <c r="K5" s="5" t="str">
        <f>_xlfn.CONCAT("")</f>
        <v/>
      </c>
      <c r="L5" s="5" t="str">
        <f>_xlfn.CONCAT("6 6.1 2b")</f>
        <v>6 6.1 2b</v>
      </c>
      <c r="M5" s="5" t="str">
        <f>_xlfn.CONCAT("02559760414")</f>
        <v>02559760414</v>
      </c>
      <c r="N5" s="5" t="s">
        <v>51</v>
      </c>
      <c r="O5" s="5" t="s">
        <v>52</v>
      </c>
      <c r="P5" s="6">
        <v>44096</v>
      </c>
      <c r="Q5" s="5" t="s">
        <v>31</v>
      </c>
      <c r="R5" s="5" t="s">
        <v>32</v>
      </c>
      <c r="S5" s="5" t="s">
        <v>33</v>
      </c>
      <c r="T5" s="5"/>
      <c r="U5" s="7">
        <v>21000</v>
      </c>
      <c r="V5" s="7">
        <v>9055.2000000000007</v>
      </c>
      <c r="W5" s="7">
        <v>8362.2000000000007</v>
      </c>
      <c r="X5" s="5">
        <v>0</v>
      </c>
      <c r="Y5" s="7">
        <v>3582.6</v>
      </c>
    </row>
    <row r="6" spans="1:25" ht="24.75" x14ac:dyDescent="0.25">
      <c r="A6" s="5" t="s">
        <v>26</v>
      </c>
      <c r="B6" s="5" t="s">
        <v>34</v>
      </c>
      <c r="C6" s="5" t="s">
        <v>46</v>
      </c>
      <c r="D6" s="5" t="s">
        <v>47</v>
      </c>
      <c r="E6" s="5" t="s">
        <v>28</v>
      </c>
      <c r="F6" s="5" t="s">
        <v>53</v>
      </c>
      <c r="G6" s="5">
        <v>2019</v>
      </c>
      <c r="H6" s="5" t="str">
        <f>_xlfn.CONCAT("94240705031")</f>
        <v>94240705031</v>
      </c>
      <c r="I6" s="5" t="s">
        <v>29</v>
      </c>
      <c r="J6" s="5" t="s">
        <v>30</v>
      </c>
      <c r="K6" s="5" t="str">
        <f>_xlfn.CONCAT("")</f>
        <v/>
      </c>
      <c r="L6" s="5" t="str">
        <f>_xlfn.CONCAT("10 10.1 4b")</f>
        <v>10 10.1 4b</v>
      </c>
      <c r="M6" s="5" t="str">
        <f>_xlfn.CONCAT("CRTVCN69D42F415N")</f>
        <v>CRTVCN69D42F415N</v>
      </c>
      <c r="N6" s="5" t="s">
        <v>54</v>
      </c>
      <c r="O6" s="5" t="s">
        <v>55</v>
      </c>
      <c r="P6" s="6">
        <v>44096</v>
      </c>
      <c r="Q6" s="5" t="s">
        <v>31</v>
      </c>
      <c r="R6" s="5" t="s">
        <v>32</v>
      </c>
      <c r="S6" s="5" t="s">
        <v>33</v>
      </c>
      <c r="T6" s="5"/>
      <c r="U6" s="7">
        <v>2460.2600000000002</v>
      </c>
      <c r="V6" s="7">
        <v>1060.8599999999999</v>
      </c>
      <c r="W6" s="5">
        <v>979.68</v>
      </c>
      <c r="X6" s="5">
        <v>0</v>
      </c>
      <c r="Y6" s="5">
        <v>419.72</v>
      </c>
    </row>
    <row r="7" spans="1:25" ht="24.75" x14ac:dyDescent="0.25">
      <c r="A7" s="5" t="s">
        <v>26</v>
      </c>
      <c r="B7" s="5" t="s">
        <v>34</v>
      </c>
      <c r="C7" s="5" t="s">
        <v>46</v>
      </c>
      <c r="D7" s="5" t="s">
        <v>47</v>
      </c>
      <c r="E7" s="5" t="s">
        <v>28</v>
      </c>
      <c r="F7" s="5" t="s">
        <v>53</v>
      </c>
      <c r="G7" s="5">
        <v>2017</v>
      </c>
      <c r="H7" s="5" t="str">
        <f>_xlfn.CONCAT("74240315593")</f>
        <v>74240315593</v>
      </c>
      <c r="I7" s="5" t="s">
        <v>29</v>
      </c>
      <c r="J7" s="5" t="s">
        <v>30</v>
      </c>
      <c r="K7" s="5" t="str">
        <f>_xlfn.CONCAT("")</f>
        <v/>
      </c>
      <c r="L7" s="5" t="str">
        <f>_xlfn.CONCAT("10 10.1 4b")</f>
        <v>10 10.1 4b</v>
      </c>
      <c r="M7" s="5" t="str">
        <f>_xlfn.CONCAT("CRTVCN69D42F415N")</f>
        <v>CRTVCN69D42F415N</v>
      </c>
      <c r="N7" s="5" t="s">
        <v>54</v>
      </c>
      <c r="O7" s="5" t="s">
        <v>55</v>
      </c>
      <c r="P7" s="6">
        <v>44096</v>
      </c>
      <c r="Q7" s="5" t="s">
        <v>31</v>
      </c>
      <c r="R7" s="5" t="s">
        <v>32</v>
      </c>
      <c r="S7" s="5" t="s">
        <v>33</v>
      </c>
      <c r="T7" s="5"/>
      <c r="U7" s="7">
        <v>2427.37</v>
      </c>
      <c r="V7" s="7">
        <v>1046.68</v>
      </c>
      <c r="W7" s="5">
        <v>966.58</v>
      </c>
      <c r="X7" s="5">
        <v>0</v>
      </c>
      <c r="Y7" s="5">
        <v>414.11</v>
      </c>
    </row>
    <row r="8" spans="1:25" ht="24.75" x14ac:dyDescent="0.25">
      <c r="A8" s="5" t="s">
        <v>26</v>
      </c>
      <c r="B8" s="5" t="s">
        <v>34</v>
      </c>
      <c r="C8" s="5" t="s">
        <v>46</v>
      </c>
      <c r="D8" s="5" t="s">
        <v>47</v>
      </c>
      <c r="E8" s="5" t="s">
        <v>43</v>
      </c>
      <c r="F8" s="5" t="s">
        <v>56</v>
      </c>
      <c r="G8" s="5">
        <v>2019</v>
      </c>
      <c r="H8" s="5" t="str">
        <f>_xlfn.CONCAT("94241013393")</f>
        <v>94241013393</v>
      </c>
      <c r="I8" s="5" t="s">
        <v>29</v>
      </c>
      <c r="J8" s="5" t="s">
        <v>30</v>
      </c>
      <c r="K8" s="5" t="str">
        <f>_xlfn.CONCAT("")</f>
        <v/>
      </c>
      <c r="L8" s="5" t="str">
        <f>_xlfn.CONCAT("10 10.1 4a")</f>
        <v>10 10.1 4a</v>
      </c>
      <c r="M8" s="5" t="str">
        <f>_xlfn.CONCAT("SMPLNE74M47H769R")</f>
        <v>SMPLNE74M47H769R</v>
      </c>
      <c r="N8" s="5" t="s">
        <v>57</v>
      </c>
      <c r="O8" s="5" t="s">
        <v>58</v>
      </c>
      <c r="P8" s="6">
        <v>44096</v>
      </c>
      <c r="Q8" s="5" t="s">
        <v>31</v>
      </c>
      <c r="R8" s="5" t="s">
        <v>32</v>
      </c>
      <c r="S8" s="5" t="s">
        <v>33</v>
      </c>
      <c r="T8" s="5"/>
      <c r="U8" s="7">
        <v>3538.25</v>
      </c>
      <c r="V8" s="7">
        <v>1525.69</v>
      </c>
      <c r="W8" s="7">
        <v>1408.93</v>
      </c>
      <c r="X8" s="5">
        <v>0</v>
      </c>
      <c r="Y8" s="5">
        <v>603.63</v>
      </c>
    </row>
    <row r="9" spans="1:25" ht="24.75" x14ac:dyDescent="0.25">
      <c r="A9" s="5" t="s">
        <v>26</v>
      </c>
      <c r="B9" s="5" t="s">
        <v>34</v>
      </c>
      <c r="C9" s="5" t="s">
        <v>46</v>
      </c>
      <c r="D9" s="5" t="s">
        <v>47</v>
      </c>
      <c r="E9" s="5" t="s">
        <v>28</v>
      </c>
      <c r="F9" s="5" t="s">
        <v>59</v>
      </c>
      <c r="G9" s="5">
        <v>2019</v>
      </c>
      <c r="H9" s="5" t="str">
        <f>_xlfn.CONCAT("94240361454")</f>
        <v>94240361454</v>
      </c>
      <c r="I9" s="5" t="s">
        <v>37</v>
      </c>
      <c r="J9" s="5" t="s">
        <v>30</v>
      </c>
      <c r="K9" s="5" t="str">
        <f>_xlfn.CONCAT("")</f>
        <v/>
      </c>
      <c r="L9" s="5" t="str">
        <f>_xlfn.CONCAT("10 10.1 4a")</f>
        <v>10 10.1 4a</v>
      </c>
      <c r="M9" s="5" t="str">
        <f>_xlfn.CONCAT("BRDRSN69E12D542A")</f>
        <v>BRDRSN69E12D542A</v>
      </c>
      <c r="N9" s="5" t="s">
        <v>60</v>
      </c>
      <c r="O9" s="5" t="s">
        <v>58</v>
      </c>
      <c r="P9" s="6">
        <v>44096</v>
      </c>
      <c r="Q9" s="5" t="s">
        <v>31</v>
      </c>
      <c r="R9" s="5" t="s">
        <v>32</v>
      </c>
      <c r="S9" s="5" t="s">
        <v>33</v>
      </c>
      <c r="T9" s="5"/>
      <c r="U9" s="5">
        <v>211.96</v>
      </c>
      <c r="V9" s="5">
        <v>91.4</v>
      </c>
      <c r="W9" s="5">
        <v>84.4</v>
      </c>
      <c r="X9" s="5">
        <v>0</v>
      </c>
      <c r="Y9" s="5">
        <v>36.159999999999997</v>
      </c>
    </row>
    <row r="10" spans="1:25" ht="24.75" x14ac:dyDescent="0.25">
      <c r="A10" s="5" t="s">
        <v>26</v>
      </c>
      <c r="B10" s="5" t="s">
        <v>34</v>
      </c>
      <c r="C10" s="5" t="s">
        <v>46</v>
      </c>
      <c r="D10" s="5" t="s">
        <v>47</v>
      </c>
      <c r="E10" s="5" t="s">
        <v>28</v>
      </c>
      <c r="F10" s="5" t="s">
        <v>53</v>
      </c>
      <c r="G10" s="5">
        <v>2018</v>
      </c>
      <c r="H10" s="5" t="str">
        <f>_xlfn.CONCAT("84240576797")</f>
        <v>84240576797</v>
      </c>
      <c r="I10" s="5" t="s">
        <v>29</v>
      </c>
      <c r="J10" s="5" t="s">
        <v>30</v>
      </c>
      <c r="K10" s="5" t="str">
        <f>_xlfn.CONCAT("")</f>
        <v/>
      </c>
      <c r="L10" s="5" t="str">
        <f>_xlfn.CONCAT("10 10.1 4b")</f>
        <v>10 10.1 4b</v>
      </c>
      <c r="M10" s="5" t="str">
        <f>_xlfn.CONCAT("CRTVCN69D42F415N")</f>
        <v>CRTVCN69D42F415N</v>
      </c>
      <c r="N10" s="5" t="s">
        <v>54</v>
      </c>
      <c r="O10" s="5" t="s">
        <v>55</v>
      </c>
      <c r="P10" s="6">
        <v>44096</v>
      </c>
      <c r="Q10" s="5" t="s">
        <v>31</v>
      </c>
      <c r="R10" s="5" t="s">
        <v>32</v>
      </c>
      <c r="S10" s="5" t="s">
        <v>33</v>
      </c>
      <c r="T10" s="5"/>
      <c r="U10" s="7">
        <v>2460.2600000000002</v>
      </c>
      <c r="V10" s="7">
        <v>1060.8599999999999</v>
      </c>
      <c r="W10" s="5">
        <v>979.68</v>
      </c>
      <c r="X10" s="5">
        <v>0</v>
      </c>
      <c r="Y10" s="5">
        <v>419.72</v>
      </c>
    </row>
    <row r="11" spans="1:25" ht="24.75" x14ac:dyDescent="0.25">
      <c r="A11" s="5" t="s">
        <v>26</v>
      </c>
      <c r="B11" s="5" t="s">
        <v>34</v>
      </c>
      <c r="C11" s="5" t="s">
        <v>46</v>
      </c>
      <c r="D11" s="5" t="s">
        <v>47</v>
      </c>
      <c r="E11" s="5" t="s">
        <v>43</v>
      </c>
      <c r="F11" s="5" t="s">
        <v>56</v>
      </c>
      <c r="G11" s="5">
        <v>2019</v>
      </c>
      <c r="H11" s="5" t="str">
        <f>_xlfn.CONCAT("94240342868")</f>
        <v>94240342868</v>
      </c>
      <c r="I11" s="5" t="s">
        <v>29</v>
      </c>
      <c r="J11" s="5" t="s">
        <v>30</v>
      </c>
      <c r="K11" s="5" t="str">
        <f>_xlfn.CONCAT("")</f>
        <v/>
      </c>
      <c r="L11" s="5" t="str">
        <f>_xlfn.CONCAT("11 11.2 4b")</f>
        <v>11 11.2 4b</v>
      </c>
      <c r="M11" s="5" t="str">
        <f>_xlfn.CONCAT("01793100445")</f>
        <v>01793100445</v>
      </c>
      <c r="N11" s="5" t="s">
        <v>61</v>
      </c>
      <c r="O11" s="5" t="s">
        <v>62</v>
      </c>
      <c r="P11" s="6">
        <v>44096</v>
      </c>
      <c r="Q11" s="5" t="s">
        <v>31</v>
      </c>
      <c r="R11" s="5" t="s">
        <v>32</v>
      </c>
      <c r="S11" s="5" t="s">
        <v>33</v>
      </c>
      <c r="T11" s="5"/>
      <c r="U11" s="7">
        <v>21184.82</v>
      </c>
      <c r="V11" s="7">
        <v>9134.89</v>
      </c>
      <c r="W11" s="7">
        <v>8435.7999999999993</v>
      </c>
      <c r="X11" s="5">
        <v>0</v>
      </c>
      <c r="Y11" s="7">
        <v>3614.13</v>
      </c>
    </row>
    <row r="12" spans="1:25" ht="24.75" x14ac:dyDescent="0.25">
      <c r="A12" s="5" t="s">
        <v>26</v>
      </c>
      <c r="B12" s="5" t="s">
        <v>34</v>
      </c>
      <c r="C12" s="5" t="s">
        <v>46</v>
      </c>
      <c r="D12" s="5" t="s">
        <v>50</v>
      </c>
      <c r="E12" s="5" t="s">
        <v>28</v>
      </c>
      <c r="F12" s="5" t="s">
        <v>63</v>
      </c>
      <c r="G12" s="5">
        <v>2018</v>
      </c>
      <c r="H12" s="5" t="str">
        <f>_xlfn.CONCAT("84240853667")</f>
        <v>84240853667</v>
      </c>
      <c r="I12" s="5" t="s">
        <v>29</v>
      </c>
      <c r="J12" s="5" t="s">
        <v>30</v>
      </c>
      <c r="K12" s="5" t="str">
        <f>_xlfn.CONCAT("")</f>
        <v/>
      </c>
      <c r="L12" s="5" t="str">
        <f>_xlfn.CONCAT("11 11.2 4b")</f>
        <v>11 11.2 4b</v>
      </c>
      <c r="M12" s="5" t="str">
        <f>_xlfn.CONCAT("01385210412")</f>
        <v>01385210412</v>
      </c>
      <c r="N12" s="5" t="s">
        <v>64</v>
      </c>
      <c r="O12" s="5" t="s">
        <v>62</v>
      </c>
      <c r="P12" s="6">
        <v>44096</v>
      </c>
      <c r="Q12" s="5" t="s">
        <v>31</v>
      </c>
      <c r="R12" s="5" t="s">
        <v>32</v>
      </c>
      <c r="S12" s="5" t="s">
        <v>33</v>
      </c>
      <c r="T12" s="5"/>
      <c r="U12" s="7">
        <v>2638.59</v>
      </c>
      <c r="V12" s="7">
        <v>1137.76</v>
      </c>
      <c r="W12" s="7">
        <v>1050.69</v>
      </c>
      <c r="X12" s="5">
        <v>0</v>
      </c>
      <c r="Y12" s="5">
        <v>450.14</v>
      </c>
    </row>
    <row r="13" spans="1:25" ht="24.75" x14ac:dyDescent="0.25">
      <c r="A13" s="5" t="s">
        <v>26</v>
      </c>
      <c r="B13" s="5" t="s">
        <v>34</v>
      </c>
      <c r="C13" s="5" t="s">
        <v>46</v>
      </c>
      <c r="D13" s="5" t="s">
        <v>47</v>
      </c>
      <c r="E13" s="5" t="s">
        <v>39</v>
      </c>
      <c r="F13" s="5" t="s">
        <v>65</v>
      </c>
      <c r="G13" s="5">
        <v>2016</v>
      </c>
      <c r="H13" s="5" t="str">
        <f>_xlfn.CONCAT("64240704680")</f>
        <v>64240704680</v>
      </c>
      <c r="I13" s="5" t="s">
        <v>29</v>
      </c>
      <c r="J13" s="5" t="s">
        <v>30</v>
      </c>
      <c r="K13" s="5" t="str">
        <f>_xlfn.CONCAT("")</f>
        <v/>
      </c>
      <c r="L13" s="5" t="str">
        <f>_xlfn.CONCAT("10 10.1 4a")</f>
        <v>10 10.1 4a</v>
      </c>
      <c r="M13" s="5" t="str">
        <f>_xlfn.CONCAT("GSPSDR73D46A462O")</f>
        <v>GSPSDR73D46A462O</v>
      </c>
      <c r="N13" s="5" t="s">
        <v>66</v>
      </c>
      <c r="O13" s="5" t="s">
        <v>58</v>
      </c>
      <c r="P13" s="6">
        <v>44096</v>
      </c>
      <c r="Q13" s="5" t="s">
        <v>31</v>
      </c>
      <c r="R13" s="5" t="s">
        <v>32</v>
      </c>
      <c r="S13" s="5" t="s">
        <v>33</v>
      </c>
      <c r="T13" s="5"/>
      <c r="U13" s="7">
        <v>2370</v>
      </c>
      <c r="V13" s="7">
        <v>1021.94</v>
      </c>
      <c r="W13" s="5">
        <v>943.73</v>
      </c>
      <c r="X13" s="5">
        <v>0</v>
      </c>
      <c r="Y13" s="5">
        <v>404.33</v>
      </c>
    </row>
    <row r="14" spans="1:25" ht="24.75" x14ac:dyDescent="0.25">
      <c r="A14" s="5" t="s">
        <v>26</v>
      </c>
      <c r="B14" s="5" t="s">
        <v>34</v>
      </c>
      <c r="C14" s="5" t="s">
        <v>46</v>
      </c>
      <c r="D14" s="5" t="s">
        <v>47</v>
      </c>
      <c r="E14" s="5" t="s">
        <v>39</v>
      </c>
      <c r="F14" s="5" t="s">
        <v>65</v>
      </c>
      <c r="G14" s="5">
        <v>2017</v>
      </c>
      <c r="H14" s="5" t="str">
        <f>_xlfn.CONCAT("74240810916")</f>
        <v>74240810916</v>
      </c>
      <c r="I14" s="5" t="s">
        <v>29</v>
      </c>
      <c r="J14" s="5" t="s">
        <v>30</v>
      </c>
      <c r="K14" s="5" t="str">
        <f>_xlfn.CONCAT("")</f>
        <v/>
      </c>
      <c r="L14" s="5" t="str">
        <f>_xlfn.CONCAT("10 10.1 4a")</f>
        <v>10 10.1 4a</v>
      </c>
      <c r="M14" s="5" t="str">
        <f>_xlfn.CONCAT("GSPSDR73D46A462O")</f>
        <v>GSPSDR73D46A462O</v>
      </c>
      <c r="N14" s="5" t="s">
        <v>66</v>
      </c>
      <c r="O14" s="5" t="s">
        <v>58</v>
      </c>
      <c r="P14" s="6">
        <v>44096</v>
      </c>
      <c r="Q14" s="5" t="s">
        <v>31</v>
      </c>
      <c r="R14" s="5" t="s">
        <v>32</v>
      </c>
      <c r="S14" s="5" t="s">
        <v>33</v>
      </c>
      <c r="T14" s="5"/>
      <c r="U14" s="7">
        <v>2910</v>
      </c>
      <c r="V14" s="7">
        <v>1254.79</v>
      </c>
      <c r="W14" s="7">
        <v>1158.76</v>
      </c>
      <c r="X14" s="5">
        <v>0</v>
      </c>
      <c r="Y14" s="5">
        <v>496.45</v>
      </c>
    </row>
    <row r="15" spans="1:25" ht="24.75" x14ac:dyDescent="0.25">
      <c r="A15" s="5" t="s">
        <v>26</v>
      </c>
      <c r="B15" s="5" t="s">
        <v>34</v>
      </c>
      <c r="C15" s="5" t="s">
        <v>46</v>
      </c>
      <c r="D15" s="5" t="s">
        <v>47</v>
      </c>
      <c r="E15" s="5" t="s">
        <v>35</v>
      </c>
      <c r="F15" s="5" t="s">
        <v>67</v>
      </c>
      <c r="G15" s="5">
        <v>2019</v>
      </c>
      <c r="H15" s="5" t="str">
        <f>_xlfn.CONCAT("94241155541")</f>
        <v>94241155541</v>
      </c>
      <c r="I15" s="5" t="s">
        <v>29</v>
      </c>
      <c r="J15" s="5" t="s">
        <v>30</v>
      </c>
      <c r="K15" s="5" t="str">
        <f>_xlfn.CONCAT("")</f>
        <v/>
      </c>
      <c r="L15" s="5" t="str">
        <f>_xlfn.CONCAT("10 10.1 4b")</f>
        <v>10 10.1 4b</v>
      </c>
      <c r="M15" s="5" t="str">
        <f>_xlfn.CONCAT("LLLSMN75S11D542Y")</f>
        <v>LLLSMN75S11D542Y</v>
      </c>
      <c r="N15" s="5" t="s">
        <v>68</v>
      </c>
      <c r="O15" s="5" t="s">
        <v>55</v>
      </c>
      <c r="P15" s="6">
        <v>44096</v>
      </c>
      <c r="Q15" s="5" t="s">
        <v>31</v>
      </c>
      <c r="R15" s="5" t="s">
        <v>32</v>
      </c>
      <c r="S15" s="5" t="s">
        <v>33</v>
      </c>
      <c r="T15" s="5"/>
      <c r="U15" s="5">
        <v>569.4</v>
      </c>
      <c r="V15" s="5">
        <v>245.53</v>
      </c>
      <c r="W15" s="5">
        <v>226.74</v>
      </c>
      <c r="X15" s="5">
        <v>0</v>
      </c>
      <c r="Y15" s="5">
        <v>97.13</v>
      </c>
    </row>
    <row r="16" spans="1:25" ht="24.75" x14ac:dyDescent="0.25">
      <c r="A16" s="5" t="s">
        <v>26</v>
      </c>
      <c r="B16" s="5" t="s">
        <v>34</v>
      </c>
      <c r="C16" s="5" t="s">
        <v>46</v>
      </c>
      <c r="D16" s="5" t="s">
        <v>47</v>
      </c>
      <c r="E16" s="5" t="s">
        <v>28</v>
      </c>
      <c r="F16" s="5" t="s">
        <v>69</v>
      </c>
      <c r="G16" s="5">
        <v>2018</v>
      </c>
      <c r="H16" s="5" t="str">
        <f>_xlfn.CONCAT("84241062011")</f>
        <v>84241062011</v>
      </c>
      <c r="I16" s="5" t="s">
        <v>37</v>
      </c>
      <c r="J16" s="5" t="s">
        <v>30</v>
      </c>
      <c r="K16" s="5" t="str">
        <f>_xlfn.CONCAT("")</f>
        <v/>
      </c>
      <c r="L16" s="5" t="str">
        <f>_xlfn.CONCAT("10 10.1 4b")</f>
        <v>10 10.1 4b</v>
      </c>
      <c r="M16" s="5" t="str">
        <f>_xlfn.CONCAT("VLLVRN55M19G873I")</f>
        <v>VLLVRN55M19G873I</v>
      </c>
      <c r="N16" s="5" t="s">
        <v>70</v>
      </c>
      <c r="O16" s="5" t="s">
        <v>55</v>
      </c>
      <c r="P16" s="6">
        <v>44096</v>
      </c>
      <c r="Q16" s="5" t="s">
        <v>31</v>
      </c>
      <c r="R16" s="5" t="s">
        <v>32</v>
      </c>
      <c r="S16" s="5" t="s">
        <v>33</v>
      </c>
      <c r="T16" s="5"/>
      <c r="U16" s="7">
        <v>3677.82</v>
      </c>
      <c r="V16" s="7">
        <v>1585.88</v>
      </c>
      <c r="W16" s="7">
        <v>1464.51</v>
      </c>
      <c r="X16" s="5">
        <v>0</v>
      </c>
      <c r="Y16" s="5">
        <v>627.42999999999995</v>
      </c>
    </row>
    <row r="17" spans="1:25" ht="24.75" x14ac:dyDescent="0.25">
      <c r="A17" s="5" t="s">
        <v>26</v>
      </c>
      <c r="B17" s="5" t="s">
        <v>34</v>
      </c>
      <c r="C17" s="5" t="s">
        <v>46</v>
      </c>
      <c r="D17" s="5" t="s">
        <v>50</v>
      </c>
      <c r="E17" s="5" t="s">
        <v>28</v>
      </c>
      <c r="F17" s="5" t="s">
        <v>71</v>
      </c>
      <c r="G17" s="5">
        <v>2017</v>
      </c>
      <c r="H17" s="5" t="str">
        <f>_xlfn.CONCAT("74241459861")</f>
        <v>74241459861</v>
      </c>
      <c r="I17" s="5" t="s">
        <v>29</v>
      </c>
      <c r="J17" s="5" t="s">
        <v>30</v>
      </c>
      <c r="K17" s="5" t="str">
        <f>_xlfn.CONCAT("")</f>
        <v/>
      </c>
      <c r="L17" s="5" t="str">
        <f>_xlfn.CONCAT("11 11.2 4b")</f>
        <v>11 11.2 4b</v>
      </c>
      <c r="M17" s="5" t="str">
        <f>_xlfn.CONCAT("RFFJCB96T25L500S")</f>
        <v>RFFJCB96T25L500S</v>
      </c>
      <c r="N17" s="5" t="s">
        <v>72</v>
      </c>
      <c r="O17" s="5" t="s">
        <v>62</v>
      </c>
      <c r="P17" s="6">
        <v>44096</v>
      </c>
      <c r="Q17" s="5" t="s">
        <v>31</v>
      </c>
      <c r="R17" s="5" t="s">
        <v>32</v>
      </c>
      <c r="S17" s="5" t="s">
        <v>33</v>
      </c>
      <c r="T17" s="5"/>
      <c r="U17" s="5">
        <v>932.52</v>
      </c>
      <c r="V17" s="5">
        <v>402.1</v>
      </c>
      <c r="W17" s="5">
        <v>371.33</v>
      </c>
      <c r="X17" s="5">
        <v>0</v>
      </c>
      <c r="Y17" s="5">
        <v>159.09</v>
      </c>
    </row>
    <row r="18" spans="1:25" ht="24.75" x14ac:dyDescent="0.25">
      <c r="A18" s="5" t="s">
        <v>26</v>
      </c>
      <c r="B18" s="5" t="s">
        <v>34</v>
      </c>
      <c r="C18" s="5" t="s">
        <v>46</v>
      </c>
      <c r="D18" s="5" t="s">
        <v>50</v>
      </c>
      <c r="E18" s="5" t="s">
        <v>28</v>
      </c>
      <c r="F18" s="5" t="s">
        <v>71</v>
      </c>
      <c r="G18" s="5">
        <v>2019</v>
      </c>
      <c r="H18" s="5" t="str">
        <f>_xlfn.CONCAT("94240430861")</f>
        <v>94240430861</v>
      </c>
      <c r="I18" s="5" t="s">
        <v>29</v>
      </c>
      <c r="J18" s="5" t="s">
        <v>30</v>
      </c>
      <c r="K18" s="5" t="str">
        <f>_xlfn.CONCAT("")</f>
        <v/>
      </c>
      <c r="L18" s="5" t="str">
        <f>_xlfn.CONCAT("11 11.2 4b")</f>
        <v>11 11.2 4b</v>
      </c>
      <c r="M18" s="5" t="str">
        <f>_xlfn.CONCAT("RFFJCB96T25L500S")</f>
        <v>RFFJCB96T25L500S</v>
      </c>
      <c r="N18" s="5" t="s">
        <v>72</v>
      </c>
      <c r="O18" s="5" t="s">
        <v>62</v>
      </c>
      <c r="P18" s="6">
        <v>44096</v>
      </c>
      <c r="Q18" s="5" t="s">
        <v>31</v>
      </c>
      <c r="R18" s="5" t="s">
        <v>32</v>
      </c>
      <c r="S18" s="5" t="s">
        <v>33</v>
      </c>
      <c r="T18" s="5"/>
      <c r="U18" s="7">
        <v>1180.31</v>
      </c>
      <c r="V18" s="5">
        <v>508.95</v>
      </c>
      <c r="W18" s="5">
        <v>470</v>
      </c>
      <c r="X18" s="5">
        <v>0</v>
      </c>
      <c r="Y18" s="5">
        <v>201.36</v>
      </c>
    </row>
    <row r="19" spans="1:25" ht="24.75" x14ac:dyDescent="0.25">
      <c r="A19" s="5" t="s">
        <v>26</v>
      </c>
      <c r="B19" s="5" t="s">
        <v>34</v>
      </c>
      <c r="C19" s="5" t="s">
        <v>46</v>
      </c>
      <c r="D19" s="5" t="s">
        <v>50</v>
      </c>
      <c r="E19" s="5" t="s">
        <v>35</v>
      </c>
      <c r="F19" s="5" t="s">
        <v>73</v>
      </c>
      <c r="G19" s="5">
        <v>2017</v>
      </c>
      <c r="H19" s="5" t="str">
        <f>_xlfn.CONCAT("74240451513")</f>
        <v>74240451513</v>
      </c>
      <c r="I19" s="5" t="s">
        <v>29</v>
      </c>
      <c r="J19" s="5" t="s">
        <v>30</v>
      </c>
      <c r="K19" s="5" t="str">
        <f>_xlfn.CONCAT("")</f>
        <v/>
      </c>
      <c r="L19" s="5" t="str">
        <f>_xlfn.CONCAT("11 11.1 4b")</f>
        <v>11 11.1 4b</v>
      </c>
      <c r="M19" s="5" t="str">
        <f>_xlfn.CONCAT("SCTMDL76L71F205L")</f>
        <v>SCTMDL76L71F205L</v>
      </c>
      <c r="N19" s="5" t="s">
        <v>74</v>
      </c>
      <c r="O19" s="5" t="s">
        <v>62</v>
      </c>
      <c r="P19" s="6">
        <v>44096</v>
      </c>
      <c r="Q19" s="5" t="s">
        <v>31</v>
      </c>
      <c r="R19" s="5" t="s">
        <v>32</v>
      </c>
      <c r="S19" s="5" t="s">
        <v>33</v>
      </c>
      <c r="T19" s="5"/>
      <c r="U19" s="5">
        <v>21.36</v>
      </c>
      <c r="V19" s="5">
        <v>9.2100000000000009</v>
      </c>
      <c r="W19" s="5">
        <v>8.51</v>
      </c>
      <c r="X19" s="5">
        <v>0</v>
      </c>
      <c r="Y19" s="5">
        <v>3.64</v>
      </c>
    </row>
    <row r="20" spans="1:25" ht="24.75" x14ac:dyDescent="0.25">
      <c r="A20" s="5" t="s">
        <v>26</v>
      </c>
      <c r="B20" s="5" t="s">
        <v>34</v>
      </c>
      <c r="C20" s="5" t="s">
        <v>46</v>
      </c>
      <c r="D20" s="5" t="s">
        <v>50</v>
      </c>
      <c r="E20" s="5" t="s">
        <v>35</v>
      </c>
      <c r="F20" s="5" t="s">
        <v>73</v>
      </c>
      <c r="G20" s="5">
        <v>2019</v>
      </c>
      <c r="H20" s="5" t="str">
        <f>_xlfn.CONCAT("94240130859")</f>
        <v>94240130859</v>
      </c>
      <c r="I20" s="5" t="s">
        <v>37</v>
      </c>
      <c r="J20" s="5" t="s">
        <v>30</v>
      </c>
      <c r="K20" s="5" t="str">
        <f>_xlfn.CONCAT("")</f>
        <v/>
      </c>
      <c r="L20" s="5" t="str">
        <f>_xlfn.CONCAT("11 11.1 4b")</f>
        <v>11 11.1 4b</v>
      </c>
      <c r="M20" s="5" t="str">
        <f>_xlfn.CONCAT("SCTMDL76L71F205L")</f>
        <v>SCTMDL76L71F205L</v>
      </c>
      <c r="N20" s="5" t="s">
        <v>74</v>
      </c>
      <c r="O20" s="5" t="s">
        <v>62</v>
      </c>
      <c r="P20" s="6">
        <v>44096</v>
      </c>
      <c r="Q20" s="5" t="s">
        <v>31</v>
      </c>
      <c r="R20" s="5" t="s">
        <v>32</v>
      </c>
      <c r="S20" s="5" t="s">
        <v>33</v>
      </c>
      <c r="T20" s="5"/>
      <c r="U20" s="5">
        <v>23.14</v>
      </c>
      <c r="V20" s="5">
        <v>9.98</v>
      </c>
      <c r="W20" s="5">
        <v>9.2100000000000009</v>
      </c>
      <c r="X20" s="5">
        <v>0</v>
      </c>
      <c r="Y20" s="5">
        <v>3.95</v>
      </c>
    </row>
    <row r="21" spans="1:25" ht="24.75" x14ac:dyDescent="0.25">
      <c r="A21" s="5" t="s">
        <v>26</v>
      </c>
      <c r="B21" s="5" t="s">
        <v>34</v>
      </c>
      <c r="C21" s="5" t="s">
        <v>46</v>
      </c>
      <c r="D21" s="5" t="s">
        <v>50</v>
      </c>
      <c r="E21" s="5" t="s">
        <v>35</v>
      </c>
      <c r="F21" s="5" t="s">
        <v>73</v>
      </c>
      <c r="G21" s="5">
        <v>2018</v>
      </c>
      <c r="H21" s="5" t="str">
        <f>_xlfn.CONCAT("84240041701")</f>
        <v>84240041701</v>
      </c>
      <c r="I21" s="5" t="s">
        <v>29</v>
      </c>
      <c r="J21" s="5" t="s">
        <v>30</v>
      </c>
      <c r="K21" s="5" t="str">
        <f>_xlfn.CONCAT("")</f>
        <v/>
      </c>
      <c r="L21" s="5" t="str">
        <f>_xlfn.CONCAT("11 11.1 4b")</f>
        <v>11 11.1 4b</v>
      </c>
      <c r="M21" s="5" t="str">
        <f>_xlfn.CONCAT("SCTMDL76L71F205L")</f>
        <v>SCTMDL76L71F205L</v>
      </c>
      <c r="N21" s="5" t="s">
        <v>74</v>
      </c>
      <c r="O21" s="5" t="s">
        <v>62</v>
      </c>
      <c r="P21" s="6">
        <v>44096</v>
      </c>
      <c r="Q21" s="5" t="s">
        <v>31</v>
      </c>
      <c r="R21" s="5" t="s">
        <v>32</v>
      </c>
      <c r="S21" s="5" t="s">
        <v>33</v>
      </c>
      <c r="T21" s="5"/>
      <c r="U21" s="5">
        <v>442.97</v>
      </c>
      <c r="V21" s="5">
        <v>191.01</v>
      </c>
      <c r="W21" s="5">
        <v>176.39</v>
      </c>
      <c r="X21" s="5">
        <v>0</v>
      </c>
      <c r="Y21" s="5">
        <v>75.569999999999993</v>
      </c>
    </row>
    <row r="22" spans="1:25" ht="24.75" x14ac:dyDescent="0.25">
      <c r="A22" s="5" t="s">
        <v>26</v>
      </c>
      <c r="B22" s="5" t="s">
        <v>34</v>
      </c>
      <c r="C22" s="5" t="s">
        <v>46</v>
      </c>
      <c r="D22" s="5" t="s">
        <v>50</v>
      </c>
      <c r="E22" s="5" t="s">
        <v>38</v>
      </c>
      <c r="F22" s="5" t="s">
        <v>38</v>
      </c>
      <c r="G22" s="5">
        <v>2017</v>
      </c>
      <c r="H22" s="5" t="str">
        <f>_xlfn.CONCAT("74240332549")</f>
        <v>74240332549</v>
      </c>
      <c r="I22" s="5" t="s">
        <v>29</v>
      </c>
      <c r="J22" s="5" t="s">
        <v>30</v>
      </c>
      <c r="K22" s="5" t="str">
        <f>_xlfn.CONCAT("")</f>
        <v/>
      </c>
      <c r="L22" s="5" t="str">
        <f>_xlfn.CONCAT("11 11.2 4b")</f>
        <v>11 11.2 4b</v>
      </c>
      <c r="M22" s="5" t="str">
        <f>_xlfn.CONCAT("CLNFNC53R07B816K")</f>
        <v>CLNFNC53R07B816K</v>
      </c>
      <c r="N22" s="5" t="s">
        <v>75</v>
      </c>
      <c r="O22" s="5" t="s">
        <v>62</v>
      </c>
      <c r="P22" s="6">
        <v>44096</v>
      </c>
      <c r="Q22" s="5" t="s">
        <v>31</v>
      </c>
      <c r="R22" s="5" t="s">
        <v>32</v>
      </c>
      <c r="S22" s="5" t="s">
        <v>33</v>
      </c>
      <c r="T22" s="5"/>
      <c r="U22" s="5">
        <v>159.28</v>
      </c>
      <c r="V22" s="5">
        <v>68.680000000000007</v>
      </c>
      <c r="W22" s="5">
        <v>63.43</v>
      </c>
      <c r="X22" s="5">
        <v>0</v>
      </c>
      <c r="Y22" s="5">
        <v>27.17</v>
      </c>
    </row>
    <row r="23" spans="1:25" ht="24.75" x14ac:dyDescent="0.25">
      <c r="A23" s="5" t="s">
        <v>26</v>
      </c>
      <c r="B23" s="5" t="s">
        <v>34</v>
      </c>
      <c r="C23" s="5" t="s">
        <v>46</v>
      </c>
      <c r="D23" s="5" t="s">
        <v>50</v>
      </c>
      <c r="E23" s="5" t="s">
        <v>38</v>
      </c>
      <c r="F23" s="5" t="s">
        <v>38</v>
      </c>
      <c r="G23" s="5">
        <v>2018</v>
      </c>
      <c r="H23" s="5" t="str">
        <f>_xlfn.CONCAT("84240402283")</f>
        <v>84240402283</v>
      </c>
      <c r="I23" s="5" t="s">
        <v>29</v>
      </c>
      <c r="J23" s="5" t="s">
        <v>30</v>
      </c>
      <c r="K23" s="5" t="str">
        <f>_xlfn.CONCAT("")</f>
        <v/>
      </c>
      <c r="L23" s="5" t="str">
        <f>_xlfn.CONCAT("11 11.2 4b")</f>
        <v>11 11.2 4b</v>
      </c>
      <c r="M23" s="5" t="str">
        <f>_xlfn.CONCAT("CLNFNC53R07B816K")</f>
        <v>CLNFNC53R07B816K</v>
      </c>
      <c r="N23" s="5" t="s">
        <v>75</v>
      </c>
      <c r="O23" s="5" t="s">
        <v>62</v>
      </c>
      <c r="P23" s="6">
        <v>44096</v>
      </c>
      <c r="Q23" s="5" t="s">
        <v>31</v>
      </c>
      <c r="R23" s="5" t="s">
        <v>32</v>
      </c>
      <c r="S23" s="5" t="s">
        <v>33</v>
      </c>
      <c r="T23" s="5"/>
      <c r="U23" s="5">
        <v>573.27</v>
      </c>
      <c r="V23" s="5">
        <v>247.19</v>
      </c>
      <c r="W23" s="5">
        <v>228.28</v>
      </c>
      <c r="X23" s="5">
        <v>0</v>
      </c>
      <c r="Y23" s="5">
        <v>97.8</v>
      </c>
    </row>
    <row r="24" spans="1:25" ht="24.75" x14ac:dyDescent="0.25">
      <c r="A24" s="5" t="s">
        <v>26</v>
      </c>
      <c r="B24" s="5" t="s">
        <v>34</v>
      </c>
      <c r="C24" s="5" t="s">
        <v>46</v>
      </c>
      <c r="D24" s="5" t="s">
        <v>50</v>
      </c>
      <c r="E24" s="5" t="s">
        <v>38</v>
      </c>
      <c r="F24" s="5" t="s">
        <v>38</v>
      </c>
      <c r="G24" s="5">
        <v>2019</v>
      </c>
      <c r="H24" s="5" t="str">
        <f>_xlfn.CONCAT("94240718778")</f>
        <v>94240718778</v>
      </c>
      <c r="I24" s="5" t="s">
        <v>29</v>
      </c>
      <c r="J24" s="5" t="s">
        <v>30</v>
      </c>
      <c r="K24" s="5" t="str">
        <f>_xlfn.CONCAT("")</f>
        <v/>
      </c>
      <c r="L24" s="5" t="str">
        <f>_xlfn.CONCAT("11 11.2 4b")</f>
        <v>11 11.2 4b</v>
      </c>
      <c r="M24" s="5" t="str">
        <f>_xlfn.CONCAT("CLNFNC53R07B816K")</f>
        <v>CLNFNC53R07B816K</v>
      </c>
      <c r="N24" s="5" t="s">
        <v>75</v>
      </c>
      <c r="O24" s="5" t="s">
        <v>62</v>
      </c>
      <c r="P24" s="6">
        <v>44096</v>
      </c>
      <c r="Q24" s="5" t="s">
        <v>31</v>
      </c>
      <c r="R24" s="5" t="s">
        <v>32</v>
      </c>
      <c r="S24" s="5" t="s">
        <v>33</v>
      </c>
      <c r="T24" s="5"/>
      <c r="U24" s="5">
        <v>810.96</v>
      </c>
      <c r="V24" s="5">
        <v>349.69</v>
      </c>
      <c r="W24" s="5">
        <v>322.92</v>
      </c>
      <c r="X24" s="5">
        <v>0</v>
      </c>
      <c r="Y24" s="5">
        <v>138.35</v>
      </c>
    </row>
    <row r="25" spans="1:25" ht="24.75" x14ac:dyDescent="0.25">
      <c r="A25" s="5" t="s">
        <v>26</v>
      </c>
      <c r="B25" s="5" t="s">
        <v>34</v>
      </c>
      <c r="C25" s="5" t="s">
        <v>46</v>
      </c>
      <c r="D25" s="5" t="s">
        <v>50</v>
      </c>
      <c r="E25" s="5" t="s">
        <v>35</v>
      </c>
      <c r="F25" s="5" t="s">
        <v>76</v>
      </c>
      <c r="G25" s="5">
        <v>2018</v>
      </c>
      <c r="H25" s="5" t="str">
        <f>_xlfn.CONCAT("84240740260")</f>
        <v>84240740260</v>
      </c>
      <c r="I25" s="5" t="s">
        <v>29</v>
      </c>
      <c r="J25" s="5" t="s">
        <v>30</v>
      </c>
      <c r="K25" s="5" t="str">
        <f>_xlfn.CONCAT("")</f>
        <v/>
      </c>
      <c r="L25" s="5" t="str">
        <f>_xlfn.CONCAT("11 11.2 4b")</f>
        <v>11 11.2 4b</v>
      </c>
      <c r="M25" s="5" t="str">
        <f>_xlfn.CONCAT("FDDSFN80R29L500M")</f>
        <v>FDDSFN80R29L500M</v>
      </c>
      <c r="N25" s="5" t="s">
        <v>77</v>
      </c>
      <c r="O25" s="5" t="s">
        <v>62</v>
      </c>
      <c r="P25" s="6">
        <v>44096</v>
      </c>
      <c r="Q25" s="5" t="s">
        <v>31</v>
      </c>
      <c r="R25" s="5" t="s">
        <v>32</v>
      </c>
      <c r="S25" s="5" t="s">
        <v>33</v>
      </c>
      <c r="T25" s="5"/>
      <c r="U25" s="7">
        <v>2775.75</v>
      </c>
      <c r="V25" s="7">
        <v>1196.9000000000001</v>
      </c>
      <c r="W25" s="7">
        <v>1105.3</v>
      </c>
      <c r="X25" s="5">
        <v>0</v>
      </c>
      <c r="Y25" s="5">
        <v>473.55</v>
      </c>
    </row>
    <row r="26" spans="1:25" ht="24.75" x14ac:dyDescent="0.25">
      <c r="A26" s="5" t="s">
        <v>26</v>
      </c>
      <c r="B26" s="5" t="s">
        <v>34</v>
      </c>
      <c r="C26" s="5" t="s">
        <v>46</v>
      </c>
      <c r="D26" s="5" t="s">
        <v>50</v>
      </c>
      <c r="E26" s="5" t="s">
        <v>38</v>
      </c>
      <c r="F26" s="5" t="s">
        <v>38</v>
      </c>
      <c r="G26" s="5">
        <v>2017</v>
      </c>
      <c r="H26" s="5" t="str">
        <f>_xlfn.CONCAT("74240814876")</f>
        <v>74240814876</v>
      </c>
      <c r="I26" s="5" t="s">
        <v>29</v>
      </c>
      <c r="J26" s="5" t="s">
        <v>30</v>
      </c>
      <c r="K26" s="5" t="str">
        <f>_xlfn.CONCAT("")</f>
        <v/>
      </c>
      <c r="L26" s="5" t="str">
        <f>_xlfn.CONCAT("11 11.2 4b")</f>
        <v>11 11.2 4b</v>
      </c>
      <c r="M26" s="5" t="str">
        <f>_xlfn.CONCAT("02342680416")</f>
        <v>02342680416</v>
      </c>
      <c r="N26" s="5" t="s">
        <v>78</v>
      </c>
      <c r="O26" s="5" t="s">
        <v>62</v>
      </c>
      <c r="P26" s="6">
        <v>44096</v>
      </c>
      <c r="Q26" s="5" t="s">
        <v>31</v>
      </c>
      <c r="R26" s="5" t="s">
        <v>32</v>
      </c>
      <c r="S26" s="5" t="s">
        <v>33</v>
      </c>
      <c r="T26" s="5"/>
      <c r="U26" s="7">
        <v>1356.1</v>
      </c>
      <c r="V26" s="5">
        <v>584.75</v>
      </c>
      <c r="W26" s="5">
        <v>540</v>
      </c>
      <c r="X26" s="5">
        <v>0</v>
      </c>
      <c r="Y26" s="5">
        <v>231.35</v>
      </c>
    </row>
    <row r="27" spans="1:25" ht="24.75" x14ac:dyDescent="0.25">
      <c r="A27" s="5" t="s">
        <v>26</v>
      </c>
      <c r="B27" s="5" t="s">
        <v>34</v>
      </c>
      <c r="C27" s="5" t="s">
        <v>46</v>
      </c>
      <c r="D27" s="5" t="s">
        <v>79</v>
      </c>
      <c r="E27" s="5" t="s">
        <v>28</v>
      </c>
      <c r="F27" s="5" t="s">
        <v>80</v>
      </c>
      <c r="G27" s="5">
        <v>2019</v>
      </c>
      <c r="H27" s="5" t="str">
        <f>_xlfn.CONCAT("94240174444")</f>
        <v>94240174444</v>
      </c>
      <c r="I27" s="5" t="s">
        <v>29</v>
      </c>
      <c r="J27" s="5" t="s">
        <v>30</v>
      </c>
      <c r="K27" s="5" t="str">
        <f>_xlfn.CONCAT("")</f>
        <v/>
      </c>
      <c r="L27" s="5" t="str">
        <f>_xlfn.CONCAT("11 11.2 4b")</f>
        <v>11 11.2 4b</v>
      </c>
      <c r="M27" s="5" t="str">
        <f>_xlfn.CONCAT("VNCMLT87T54E388Z")</f>
        <v>VNCMLT87T54E388Z</v>
      </c>
      <c r="N27" s="5" t="s">
        <v>81</v>
      </c>
      <c r="O27" s="5" t="s">
        <v>62</v>
      </c>
      <c r="P27" s="6">
        <v>44096</v>
      </c>
      <c r="Q27" s="5" t="s">
        <v>31</v>
      </c>
      <c r="R27" s="5" t="s">
        <v>32</v>
      </c>
      <c r="S27" s="5" t="s">
        <v>33</v>
      </c>
      <c r="T27" s="5"/>
      <c r="U27" s="7">
        <v>1012.7</v>
      </c>
      <c r="V27" s="5">
        <v>436.68</v>
      </c>
      <c r="W27" s="5">
        <v>403.26</v>
      </c>
      <c r="X27" s="5">
        <v>0</v>
      </c>
      <c r="Y27" s="5">
        <v>172.76</v>
      </c>
    </row>
    <row r="28" spans="1:25" ht="24.75" x14ac:dyDescent="0.25">
      <c r="A28" s="5" t="s">
        <v>26</v>
      </c>
      <c r="B28" s="5" t="s">
        <v>34</v>
      </c>
      <c r="C28" s="5" t="s">
        <v>46</v>
      </c>
      <c r="D28" s="5" t="s">
        <v>50</v>
      </c>
      <c r="E28" s="5" t="s">
        <v>38</v>
      </c>
      <c r="F28" s="5" t="s">
        <v>38</v>
      </c>
      <c r="G28" s="5">
        <v>2018</v>
      </c>
      <c r="H28" s="5" t="str">
        <f>_xlfn.CONCAT("84240344220")</f>
        <v>84240344220</v>
      </c>
      <c r="I28" s="5" t="s">
        <v>29</v>
      </c>
      <c r="J28" s="5" t="s">
        <v>30</v>
      </c>
      <c r="K28" s="5" t="str">
        <f>_xlfn.CONCAT("")</f>
        <v/>
      </c>
      <c r="L28" s="5" t="str">
        <f>_xlfn.CONCAT("11 11.2 4b")</f>
        <v>11 11.2 4b</v>
      </c>
      <c r="M28" s="5" t="str">
        <f>_xlfn.CONCAT("02342680416")</f>
        <v>02342680416</v>
      </c>
      <c r="N28" s="5" t="s">
        <v>78</v>
      </c>
      <c r="O28" s="5" t="s">
        <v>62</v>
      </c>
      <c r="P28" s="6">
        <v>44096</v>
      </c>
      <c r="Q28" s="5" t="s">
        <v>31</v>
      </c>
      <c r="R28" s="5" t="s">
        <v>32</v>
      </c>
      <c r="S28" s="5" t="s">
        <v>33</v>
      </c>
      <c r="T28" s="5"/>
      <c r="U28" s="5">
        <v>572.83000000000004</v>
      </c>
      <c r="V28" s="5">
        <v>247</v>
      </c>
      <c r="W28" s="5">
        <v>228.1</v>
      </c>
      <c r="X28" s="5">
        <v>0</v>
      </c>
      <c r="Y28" s="5">
        <v>97.73</v>
      </c>
    </row>
    <row r="29" spans="1:25" ht="24.75" x14ac:dyDescent="0.25">
      <c r="A29" s="5" t="s">
        <v>26</v>
      </c>
      <c r="B29" s="5" t="s">
        <v>34</v>
      </c>
      <c r="C29" s="5" t="s">
        <v>46</v>
      </c>
      <c r="D29" s="5" t="s">
        <v>50</v>
      </c>
      <c r="E29" s="5" t="s">
        <v>38</v>
      </c>
      <c r="F29" s="5" t="s">
        <v>38</v>
      </c>
      <c r="G29" s="5">
        <v>2019</v>
      </c>
      <c r="H29" s="5" t="str">
        <f>_xlfn.CONCAT("94240692411")</f>
        <v>94240692411</v>
      </c>
      <c r="I29" s="5" t="s">
        <v>29</v>
      </c>
      <c r="J29" s="5" t="s">
        <v>30</v>
      </c>
      <c r="K29" s="5" t="str">
        <f>_xlfn.CONCAT("")</f>
        <v/>
      </c>
      <c r="L29" s="5" t="str">
        <f>_xlfn.CONCAT("11 11.2 4b")</f>
        <v>11 11.2 4b</v>
      </c>
      <c r="M29" s="5" t="str">
        <f>_xlfn.CONCAT("02342680416")</f>
        <v>02342680416</v>
      </c>
      <c r="N29" s="5" t="s">
        <v>78</v>
      </c>
      <c r="O29" s="5" t="s">
        <v>62</v>
      </c>
      <c r="P29" s="6">
        <v>44096</v>
      </c>
      <c r="Q29" s="5" t="s">
        <v>31</v>
      </c>
      <c r="R29" s="5" t="s">
        <v>32</v>
      </c>
      <c r="S29" s="5" t="s">
        <v>33</v>
      </c>
      <c r="T29" s="5"/>
      <c r="U29" s="5">
        <v>559.89</v>
      </c>
      <c r="V29" s="5">
        <v>241.42</v>
      </c>
      <c r="W29" s="5">
        <v>222.95</v>
      </c>
      <c r="X29" s="5">
        <v>0</v>
      </c>
      <c r="Y29" s="5">
        <v>95.52</v>
      </c>
    </row>
    <row r="30" spans="1:25" ht="24.75" x14ac:dyDescent="0.25">
      <c r="A30" s="5" t="s">
        <v>26</v>
      </c>
      <c r="B30" s="5" t="s">
        <v>34</v>
      </c>
      <c r="C30" s="5" t="s">
        <v>46</v>
      </c>
      <c r="D30" s="5" t="s">
        <v>79</v>
      </c>
      <c r="E30" s="5" t="s">
        <v>40</v>
      </c>
      <c r="F30" s="5" t="s">
        <v>82</v>
      </c>
      <c r="G30" s="5">
        <v>2019</v>
      </c>
      <c r="H30" s="5" t="str">
        <f>_xlfn.CONCAT("94240430010")</f>
        <v>94240430010</v>
      </c>
      <c r="I30" s="5" t="s">
        <v>29</v>
      </c>
      <c r="J30" s="5" t="s">
        <v>30</v>
      </c>
      <c r="K30" s="5" t="str">
        <f>_xlfn.CONCAT("")</f>
        <v/>
      </c>
      <c r="L30" s="5" t="str">
        <f>_xlfn.CONCAT("11 11.1 4b")</f>
        <v>11 11.1 4b</v>
      </c>
      <c r="M30" s="5" t="str">
        <f>_xlfn.CONCAT("02575130428")</f>
        <v>02575130428</v>
      </c>
      <c r="N30" s="5" t="s">
        <v>83</v>
      </c>
      <c r="O30" s="5" t="s">
        <v>62</v>
      </c>
      <c r="P30" s="6">
        <v>44096</v>
      </c>
      <c r="Q30" s="5" t="s">
        <v>31</v>
      </c>
      <c r="R30" s="5" t="s">
        <v>32</v>
      </c>
      <c r="S30" s="5" t="s">
        <v>33</v>
      </c>
      <c r="T30" s="5"/>
      <c r="U30" s="7">
        <v>27222.01</v>
      </c>
      <c r="V30" s="7">
        <v>11738.13</v>
      </c>
      <c r="W30" s="7">
        <v>10839.8</v>
      </c>
      <c r="X30" s="5">
        <v>0</v>
      </c>
      <c r="Y30" s="7">
        <v>4644.08</v>
      </c>
    </row>
    <row r="31" spans="1:25" ht="24.75" x14ac:dyDescent="0.25">
      <c r="A31" s="5" t="s">
        <v>26</v>
      </c>
      <c r="B31" s="5" t="s">
        <v>34</v>
      </c>
      <c r="C31" s="5" t="s">
        <v>46</v>
      </c>
      <c r="D31" s="5" t="s">
        <v>79</v>
      </c>
      <c r="E31" s="5" t="s">
        <v>44</v>
      </c>
      <c r="F31" s="5" t="s">
        <v>45</v>
      </c>
      <c r="G31" s="5">
        <v>2019</v>
      </c>
      <c r="H31" s="5" t="str">
        <f>_xlfn.CONCAT("94240406317")</f>
        <v>94240406317</v>
      </c>
      <c r="I31" s="5" t="s">
        <v>37</v>
      </c>
      <c r="J31" s="5" t="s">
        <v>30</v>
      </c>
      <c r="K31" s="5" t="str">
        <f>_xlfn.CONCAT("")</f>
        <v/>
      </c>
      <c r="L31" s="5" t="str">
        <f>_xlfn.CONCAT("11 11.2 4b")</f>
        <v>11 11.2 4b</v>
      </c>
      <c r="M31" s="5" t="str">
        <f>_xlfn.CONCAT("02351550427")</f>
        <v>02351550427</v>
      </c>
      <c r="N31" s="5" t="s">
        <v>84</v>
      </c>
      <c r="O31" s="5" t="s">
        <v>62</v>
      </c>
      <c r="P31" s="6">
        <v>44096</v>
      </c>
      <c r="Q31" s="5" t="s">
        <v>31</v>
      </c>
      <c r="R31" s="5" t="s">
        <v>32</v>
      </c>
      <c r="S31" s="5" t="s">
        <v>33</v>
      </c>
      <c r="T31" s="5"/>
      <c r="U31" s="5">
        <v>870.46</v>
      </c>
      <c r="V31" s="5">
        <v>375.34</v>
      </c>
      <c r="W31" s="5">
        <v>346.62</v>
      </c>
      <c r="X31" s="5">
        <v>0</v>
      </c>
      <c r="Y31" s="5">
        <v>148.5</v>
      </c>
    </row>
    <row r="32" spans="1:25" ht="24.75" x14ac:dyDescent="0.25">
      <c r="A32" s="5" t="s">
        <v>26</v>
      </c>
      <c r="B32" s="5" t="s">
        <v>34</v>
      </c>
      <c r="C32" s="5" t="s">
        <v>46</v>
      </c>
      <c r="D32" s="5" t="s">
        <v>50</v>
      </c>
      <c r="E32" s="5" t="s">
        <v>41</v>
      </c>
      <c r="F32" s="5" t="s">
        <v>85</v>
      </c>
      <c r="G32" s="5">
        <v>2019</v>
      </c>
      <c r="H32" s="5" t="str">
        <f>_xlfn.CONCAT("94240642150")</f>
        <v>94240642150</v>
      </c>
      <c r="I32" s="5" t="s">
        <v>29</v>
      </c>
      <c r="J32" s="5" t="s">
        <v>30</v>
      </c>
      <c r="K32" s="5" t="str">
        <f>_xlfn.CONCAT("")</f>
        <v/>
      </c>
      <c r="L32" s="5" t="str">
        <f>_xlfn.CONCAT("11 11.2 4b")</f>
        <v>11 11.2 4b</v>
      </c>
      <c r="M32" s="5" t="str">
        <f>_xlfn.CONCAT("CHRPFR67M24F979O")</f>
        <v>CHRPFR67M24F979O</v>
      </c>
      <c r="N32" s="5" t="s">
        <v>86</v>
      </c>
      <c r="O32" s="5" t="s">
        <v>62</v>
      </c>
      <c r="P32" s="6">
        <v>44096</v>
      </c>
      <c r="Q32" s="5" t="s">
        <v>31</v>
      </c>
      <c r="R32" s="5" t="s">
        <v>32</v>
      </c>
      <c r="S32" s="5" t="s">
        <v>33</v>
      </c>
      <c r="T32" s="5"/>
      <c r="U32" s="5">
        <v>401.02</v>
      </c>
      <c r="V32" s="5">
        <v>172.92</v>
      </c>
      <c r="W32" s="5">
        <v>159.69</v>
      </c>
      <c r="X32" s="5">
        <v>0</v>
      </c>
      <c r="Y32" s="5">
        <v>68.41</v>
      </c>
    </row>
    <row r="33" spans="1:25" ht="24.75" x14ac:dyDescent="0.25">
      <c r="A33" s="5" t="s">
        <v>26</v>
      </c>
      <c r="B33" s="5" t="s">
        <v>34</v>
      </c>
      <c r="C33" s="5" t="s">
        <v>46</v>
      </c>
      <c r="D33" s="5" t="s">
        <v>50</v>
      </c>
      <c r="E33" s="5" t="s">
        <v>35</v>
      </c>
      <c r="F33" s="5" t="s">
        <v>87</v>
      </c>
      <c r="G33" s="5">
        <v>2019</v>
      </c>
      <c r="H33" s="5" t="str">
        <f>_xlfn.CONCAT("94240927734")</f>
        <v>94240927734</v>
      </c>
      <c r="I33" s="5" t="s">
        <v>29</v>
      </c>
      <c r="J33" s="5" t="s">
        <v>30</v>
      </c>
      <c r="K33" s="5" t="str">
        <f>_xlfn.CONCAT("")</f>
        <v/>
      </c>
      <c r="L33" s="5" t="str">
        <f>_xlfn.CONCAT("11 11.2 4b")</f>
        <v>11 11.2 4b</v>
      </c>
      <c r="M33" s="5" t="str">
        <f>_xlfn.CONCAT("FLCRRT52B24D488I")</f>
        <v>FLCRRT52B24D488I</v>
      </c>
      <c r="N33" s="5" t="s">
        <v>88</v>
      </c>
      <c r="O33" s="5" t="s">
        <v>62</v>
      </c>
      <c r="P33" s="6">
        <v>44096</v>
      </c>
      <c r="Q33" s="5" t="s">
        <v>31</v>
      </c>
      <c r="R33" s="5" t="s">
        <v>32</v>
      </c>
      <c r="S33" s="5" t="s">
        <v>33</v>
      </c>
      <c r="T33" s="5"/>
      <c r="U33" s="5">
        <v>528.78</v>
      </c>
      <c r="V33" s="5">
        <v>228.01</v>
      </c>
      <c r="W33" s="5">
        <v>210.56</v>
      </c>
      <c r="X33" s="5">
        <v>0</v>
      </c>
      <c r="Y33" s="5">
        <v>90.21</v>
      </c>
    </row>
    <row r="34" spans="1:25" ht="24.75" x14ac:dyDescent="0.25">
      <c r="A34" s="5" t="s">
        <v>26</v>
      </c>
      <c r="B34" s="5" t="s">
        <v>34</v>
      </c>
      <c r="C34" s="5" t="s">
        <v>46</v>
      </c>
      <c r="D34" s="5" t="s">
        <v>47</v>
      </c>
      <c r="E34" s="5" t="s">
        <v>38</v>
      </c>
      <c r="F34" s="5" t="s">
        <v>38</v>
      </c>
      <c r="G34" s="5">
        <v>2018</v>
      </c>
      <c r="H34" s="5" t="str">
        <f>_xlfn.CONCAT("84240747067")</f>
        <v>84240747067</v>
      </c>
      <c r="I34" s="5" t="s">
        <v>29</v>
      </c>
      <c r="J34" s="5" t="s">
        <v>30</v>
      </c>
      <c r="K34" s="5" t="str">
        <f>_xlfn.CONCAT("")</f>
        <v/>
      </c>
      <c r="L34" s="5" t="str">
        <f>_xlfn.CONCAT("11 11.2 4b")</f>
        <v>11 11.2 4b</v>
      </c>
      <c r="M34" s="5" t="str">
        <f>_xlfn.CONCAT("01496660448")</f>
        <v>01496660448</v>
      </c>
      <c r="N34" s="5" t="s">
        <v>89</v>
      </c>
      <c r="O34" s="5" t="s">
        <v>62</v>
      </c>
      <c r="P34" s="6">
        <v>44096</v>
      </c>
      <c r="Q34" s="5" t="s">
        <v>31</v>
      </c>
      <c r="R34" s="5" t="s">
        <v>32</v>
      </c>
      <c r="S34" s="5" t="s">
        <v>33</v>
      </c>
      <c r="T34" s="5"/>
      <c r="U34" s="7">
        <v>3305.96</v>
      </c>
      <c r="V34" s="7">
        <v>1425.53</v>
      </c>
      <c r="W34" s="7">
        <v>1316.43</v>
      </c>
      <c r="X34" s="5">
        <v>0</v>
      </c>
      <c r="Y34" s="5">
        <v>564</v>
      </c>
    </row>
    <row r="35" spans="1:25" ht="24.75" x14ac:dyDescent="0.25">
      <c r="A35" s="5" t="s">
        <v>26</v>
      </c>
      <c r="B35" s="5" t="s">
        <v>34</v>
      </c>
      <c r="C35" s="5" t="s">
        <v>46</v>
      </c>
      <c r="D35" s="5" t="s">
        <v>47</v>
      </c>
      <c r="E35" s="5" t="s">
        <v>38</v>
      </c>
      <c r="F35" s="5" t="s">
        <v>38</v>
      </c>
      <c r="G35" s="5">
        <v>2019</v>
      </c>
      <c r="H35" s="5" t="str">
        <f>_xlfn.CONCAT("94241473217")</f>
        <v>94241473217</v>
      </c>
      <c r="I35" s="5" t="s">
        <v>29</v>
      </c>
      <c r="J35" s="5" t="s">
        <v>30</v>
      </c>
      <c r="K35" s="5" t="str">
        <f>_xlfn.CONCAT("")</f>
        <v/>
      </c>
      <c r="L35" s="5" t="str">
        <f>_xlfn.CONCAT("11 11.2 4b")</f>
        <v>11 11.2 4b</v>
      </c>
      <c r="M35" s="5" t="str">
        <f>_xlfn.CONCAT("01496660448")</f>
        <v>01496660448</v>
      </c>
      <c r="N35" s="5" t="s">
        <v>89</v>
      </c>
      <c r="O35" s="5" t="s">
        <v>62</v>
      </c>
      <c r="P35" s="6">
        <v>44096</v>
      </c>
      <c r="Q35" s="5" t="s">
        <v>31</v>
      </c>
      <c r="R35" s="5" t="s">
        <v>32</v>
      </c>
      <c r="S35" s="5" t="s">
        <v>33</v>
      </c>
      <c r="T35" s="5"/>
      <c r="U35" s="7">
        <v>2239.96</v>
      </c>
      <c r="V35" s="5">
        <v>965.87</v>
      </c>
      <c r="W35" s="5">
        <v>891.95</v>
      </c>
      <c r="X35" s="5">
        <v>0</v>
      </c>
      <c r="Y35" s="5">
        <v>382.14</v>
      </c>
    </row>
    <row r="36" spans="1:25" ht="24.75" x14ac:dyDescent="0.25">
      <c r="A36" s="5" t="s">
        <v>26</v>
      </c>
      <c r="B36" s="5" t="s">
        <v>34</v>
      </c>
      <c r="C36" s="5" t="s">
        <v>46</v>
      </c>
      <c r="D36" s="5" t="s">
        <v>47</v>
      </c>
      <c r="E36" s="5" t="s">
        <v>42</v>
      </c>
      <c r="F36" s="5" t="s">
        <v>90</v>
      </c>
      <c r="G36" s="5">
        <v>2017</v>
      </c>
      <c r="H36" s="5" t="str">
        <f>_xlfn.CONCAT("74240037106")</f>
        <v>74240037106</v>
      </c>
      <c r="I36" s="5" t="s">
        <v>29</v>
      </c>
      <c r="J36" s="5" t="s">
        <v>30</v>
      </c>
      <c r="K36" s="5" t="str">
        <f>_xlfn.CONCAT("")</f>
        <v/>
      </c>
      <c r="L36" s="5" t="str">
        <f>_xlfn.CONCAT("11 11.2 4b")</f>
        <v>11 11.2 4b</v>
      </c>
      <c r="M36" s="5" t="str">
        <f>_xlfn.CONCAT("NGLRNZ68P26D096H")</f>
        <v>NGLRNZ68P26D096H</v>
      </c>
      <c r="N36" s="5" t="s">
        <v>91</v>
      </c>
      <c r="O36" s="5" t="s">
        <v>62</v>
      </c>
      <c r="P36" s="6">
        <v>44096</v>
      </c>
      <c r="Q36" s="5" t="s">
        <v>31</v>
      </c>
      <c r="R36" s="5" t="s">
        <v>32</v>
      </c>
      <c r="S36" s="5" t="s">
        <v>33</v>
      </c>
      <c r="T36" s="5"/>
      <c r="U36" s="7">
        <v>2914.81</v>
      </c>
      <c r="V36" s="7">
        <v>1256.8699999999999</v>
      </c>
      <c r="W36" s="7">
        <v>1160.68</v>
      </c>
      <c r="X36" s="5">
        <v>0</v>
      </c>
      <c r="Y36" s="5">
        <v>497.26</v>
      </c>
    </row>
    <row r="37" spans="1:25" ht="24.75" x14ac:dyDescent="0.25">
      <c r="A37" s="5" t="s">
        <v>26</v>
      </c>
      <c r="B37" s="5" t="s">
        <v>34</v>
      </c>
      <c r="C37" s="5" t="s">
        <v>46</v>
      </c>
      <c r="D37" s="5" t="s">
        <v>47</v>
      </c>
      <c r="E37" s="5" t="s">
        <v>42</v>
      </c>
      <c r="F37" s="5" t="s">
        <v>90</v>
      </c>
      <c r="G37" s="5">
        <v>2018</v>
      </c>
      <c r="H37" s="5" t="str">
        <f>_xlfn.CONCAT("84241056104")</f>
        <v>84241056104</v>
      </c>
      <c r="I37" s="5" t="s">
        <v>29</v>
      </c>
      <c r="J37" s="5" t="s">
        <v>30</v>
      </c>
      <c r="K37" s="5" t="str">
        <f>_xlfn.CONCAT("")</f>
        <v/>
      </c>
      <c r="L37" s="5" t="str">
        <f>_xlfn.CONCAT("11 11.2 4b")</f>
        <v>11 11.2 4b</v>
      </c>
      <c r="M37" s="5" t="str">
        <f>_xlfn.CONCAT("NGLRNZ68P26D096H")</f>
        <v>NGLRNZ68P26D096H</v>
      </c>
      <c r="N37" s="5" t="s">
        <v>91</v>
      </c>
      <c r="O37" s="5" t="s">
        <v>62</v>
      </c>
      <c r="P37" s="6">
        <v>44096</v>
      </c>
      <c r="Q37" s="5" t="s">
        <v>31</v>
      </c>
      <c r="R37" s="5" t="s">
        <v>32</v>
      </c>
      <c r="S37" s="5" t="s">
        <v>33</v>
      </c>
      <c r="T37" s="5"/>
      <c r="U37" s="7">
        <v>2662.66</v>
      </c>
      <c r="V37" s="7">
        <v>1148.1400000000001</v>
      </c>
      <c r="W37" s="7">
        <v>1060.27</v>
      </c>
      <c r="X37" s="5">
        <v>0</v>
      </c>
      <c r="Y37" s="5">
        <v>454.25</v>
      </c>
    </row>
    <row r="38" spans="1:25" ht="24.75" x14ac:dyDescent="0.25">
      <c r="A38" s="5" t="s">
        <v>26</v>
      </c>
      <c r="B38" s="5" t="s">
        <v>34</v>
      </c>
      <c r="C38" s="5" t="s">
        <v>46</v>
      </c>
      <c r="D38" s="5" t="s">
        <v>50</v>
      </c>
      <c r="E38" s="5" t="s">
        <v>40</v>
      </c>
      <c r="F38" s="5" t="s">
        <v>92</v>
      </c>
      <c r="G38" s="5">
        <v>2018</v>
      </c>
      <c r="H38" s="5" t="str">
        <f>_xlfn.CONCAT("84240492342")</f>
        <v>84240492342</v>
      </c>
      <c r="I38" s="5" t="s">
        <v>29</v>
      </c>
      <c r="J38" s="5" t="s">
        <v>30</v>
      </c>
      <c r="K38" s="5" t="str">
        <f>_xlfn.CONCAT("")</f>
        <v/>
      </c>
      <c r="L38" s="5" t="str">
        <f>_xlfn.CONCAT("11 11.2 4b")</f>
        <v>11 11.2 4b</v>
      </c>
      <c r="M38" s="5" t="str">
        <f>_xlfn.CONCAT("01330250414")</f>
        <v>01330250414</v>
      </c>
      <c r="N38" s="5" t="s">
        <v>93</v>
      </c>
      <c r="O38" s="5" t="s">
        <v>62</v>
      </c>
      <c r="P38" s="6">
        <v>44096</v>
      </c>
      <c r="Q38" s="5" t="s">
        <v>31</v>
      </c>
      <c r="R38" s="5" t="s">
        <v>32</v>
      </c>
      <c r="S38" s="5" t="s">
        <v>33</v>
      </c>
      <c r="T38" s="5"/>
      <c r="U38" s="7">
        <v>1137.6400000000001</v>
      </c>
      <c r="V38" s="5">
        <v>490.55</v>
      </c>
      <c r="W38" s="5">
        <v>453.01</v>
      </c>
      <c r="X38" s="5">
        <v>0</v>
      </c>
      <c r="Y38" s="5">
        <v>194.08</v>
      </c>
    </row>
    <row r="39" spans="1:25" ht="24.75" x14ac:dyDescent="0.25">
      <c r="A39" s="5" t="s">
        <v>26</v>
      </c>
      <c r="B39" s="5" t="s">
        <v>34</v>
      </c>
      <c r="C39" s="5" t="s">
        <v>46</v>
      </c>
      <c r="D39" s="5" t="s">
        <v>79</v>
      </c>
      <c r="E39" s="5" t="s">
        <v>40</v>
      </c>
      <c r="F39" s="5" t="s">
        <v>94</v>
      </c>
      <c r="G39" s="5">
        <v>2018</v>
      </c>
      <c r="H39" s="5" t="str">
        <f>_xlfn.CONCAT("84240201131")</f>
        <v>84240201131</v>
      </c>
      <c r="I39" s="5" t="s">
        <v>29</v>
      </c>
      <c r="J39" s="5" t="s">
        <v>30</v>
      </c>
      <c r="K39" s="5" t="str">
        <f>_xlfn.CONCAT("")</f>
        <v/>
      </c>
      <c r="L39" s="5" t="str">
        <f>_xlfn.CONCAT("11 11.2 4b")</f>
        <v>11 11.2 4b</v>
      </c>
      <c r="M39" s="5" t="str">
        <f>_xlfn.CONCAT("RNLRRT67S42C615N")</f>
        <v>RNLRRT67S42C615N</v>
      </c>
      <c r="N39" s="5" t="s">
        <v>95</v>
      </c>
      <c r="O39" s="5" t="s">
        <v>62</v>
      </c>
      <c r="P39" s="6">
        <v>44096</v>
      </c>
      <c r="Q39" s="5" t="s">
        <v>31</v>
      </c>
      <c r="R39" s="5" t="s">
        <v>32</v>
      </c>
      <c r="S39" s="5" t="s">
        <v>33</v>
      </c>
      <c r="T39" s="5"/>
      <c r="U39" s="7">
        <v>4793.25</v>
      </c>
      <c r="V39" s="7">
        <v>2066.85</v>
      </c>
      <c r="W39" s="7">
        <v>1908.67</v>
      </c>
      <c r="X39" s="5">
        <v>0</v>
      </c>
      <c r="Y39" s="5">
        <v>817.73</v>
      </c>
    </row>
    <row r="40" spans="1:25" ht="24.75" x14ac:dyDescent="0.25">
      <c r="A40" s="5" t="s">
        <v>26</v>
      </c>
      <c r="B40" s="5" t="s">
        <v>34</v>
      </c>
      <c r="C40" s="5" t="s">
        <v>46</v>
      </c>
      <c r="D40" s="5" t="s">
        <v>79</v>
      </c>
      <c r="E40" s="5" t="s">
        <v>28</v>
      </c>
      <c r="F40" s="5" t="s">
        <v>80</v>
      </c>
      <c r="G40" s="5">
        <v>2019</v>
      </c>
      <c r="H40" s="5" t="str">
        <f>_xlfn.CONCAT("94240915499")</f>
        <v>94240915499</v>
      </c>
      <c r="I40" s="5" t="s">
        <v>29</v>
      </c>
      <c r="J40" s="5" t="s">
        <v>30</v>
      </c>
      <c r="K40" s="5" t="str">
        <f>_xlfn.CONCAT("")</f>
        <v/>
      </c>
      <c r="L40" s="5" t="str">
        <f>_xlfn.CONCAT("11 11.2 4b")</f>
        <v>11 11.2 4b</v>
      </c>
      <c r="M40" s="5" t="str">
        <f>_xlfn.CONCAT("GRRLDN60C45E388Q")</f>
        <v>GRRLDN60C45E388Q</v>
      </c>
      <c r="N40" s="5" t="s">
        <v>96</v>
      </c>
      <c r="O40" s="5" t="s">
        <v>62</v>
      </c>
      <c r="P40" s="6">
        <v>44096</v>
      </c>
      <c r="Q40" s="5" t="s">
        <v>31</v>
      </c>
      <c r="R40" s="5" t="s">
        <v>32</v>
      </c>
      <c r="S40" s="5" t="s">
        <v>33</v>
      </c>
      <c r="T40" s="5"/>
      <c r="U40" s="5">
        <v>742.14</v>
      </c>
      <c r="V40" s="5">
        <v>320.01</v>
      </c>
      <c r="W40" s="5">
        <v>295.52</v>
      </c>
      <c r="X40" s="5">
        <v>0</v>
      </c>
      <c r="Y40" s="5">
        <v>126.61</v>
      </c>
    </row>
    <row r="41" spans="1:25" ht="24.75" x14ac:dyDescent="0.25">
      <c r="A41" s="5" t="s">
        <v>26</v>
      </c>
      <c r="B41" s="5" t="s">
        <v>34</v>
      </c>
      <c r="C41" s="5" t="s">
        <v>46</v>
      </c>
      <c r="D41" s="5" t="s">
        <v>47</v>
      </c>
      <c r="E41" s="5" t="s">
        <v>28</v>
      </c>
      <c r="F41" s="5" t="s">
        <v>59</v>
      </c>
      <c r="G41" s="5">
        <v>2017</v>
      </c>
      <c r="H41" s="5" t="str">
        <f>_xlfn.CONCAT("74240316708")</f>
        <v>74240316708</v>
      </c>
      <c r="I41" s="5" t="s">
        <v>29</v>
      </c>
      <c r="J41" s="5" t="s">
        <v>30</v>
      </c>
      <c r="K41" s="5" t="str">
        <f>_xlfn.CONCAT("")</f>
        <v/>
      </c>
      <c r="L41" s="5" t="str">
        <f>_xlfn.CONCAT("11 11.2 4b")</f>
        <v>11 11.2 4b</v>
      </c>
      <c r="M41" s="5" t="str">
        <f>_xlfn.CONCAT("VCCMTR22H58C070P")</f>
        <v>VCCMTR22H58C070P</v>
      </c>
      <c r="N41" s="5" t="s">
        <v>97</v>
      </c>
      <c r="O41" s="5" t="s">
        <v>62</v>
      </c>
      <c r="P41" s="6">
        <v>44096</v>
      </c>
      <c r="Q41" s="5" t="s">
        <v>31</v>
      </c>
      <c r="R41" s="5" t="s">
        <v>32</v>
      </c>
      <c r="S41" s="5" t="s">
        <v>33</v>
      </c>
      <c r="T41" s="5"/>
      <c r="U41" s="7">
        <v>16213.88</v>
      </c>
      <c r="V41" s="7">
        <v>6991.43</v>
      </c>
      <c r="W41" s="7">
        <v>6456.37</v>
      </c>
      <c r="X41" s="5">
        <v>0</v>
      </c>
      <c r="Y41" s="7">
        <v>2766.08</v>
      </c>
    </row>
    <row r="42" spans="1:25" ht="24.75" x14ac:dyDescent="0.25">
      <c r="A42" s="5" t="s">
        <v>26</v>
      </c>
      <c r="B42" s="5" t="s">
        <v>34</v>
      </c>
      <c r="C42" s="5" t="s">
        <v>46</v>
      </c>
      <c r="D42" s="5" t="s">
        <v>79</v>
      </c>
      <c r="E42" s="5" t="s">
        <v>28</v>
      </c>
      <c r="F42" s="5" t="s">
        <v>98</v>
      </c>
      <c r="G42" s="5">
        <v>2019</v>
      </c>
      <c r="H42" s="5" t="str">
        <f>_xlfn.CONCAT("94240262405")</f>
        <v>94240262405</v>
      </c>
      <c r="I42" s="5" t="s">
        <v>29</v>
      </c>
      <c r="J42" s="5" t="s">
        <v>30</v>
      </c>
      <c r="K42" s="5" t="str">
        <f>_xlfn.CONCAT("")</f>
        <v/>
      </c>
      <c r="L42" s="5" t="str">
        <f>_xlfn.CONCAT("11 11.2 4b")</f>
        <v>11 11.2 4b</v>
      </c>
      <c r="M42" s="5" t="str">
        <f>_xlfn.CONCAT("STRRNZ60S18D451J")</f>
        <v>STRRNZ60S18D451J</v>
      </c>
      <c r="N42" s="5" t="s">
        <v>99</v>
      </c>
      <c r="O42" s="5" t="s">
        <v>62</v>
      </c>
      <c r="P42" s="6">
        <v>44096</v>
      </c>
      <c r="Q42" s="5" t="s">
        <v>31</v>
      </c>
      <c r="R42" s="5" t="s">
        <v>32</v>
      </c>
      <c r="S42" s="5" t="s">
        <v>33</v>
      </c>
      <c r="T42" s="5"/>
      <c r="U42" s="7">
        <v>3076.59</v>
      </c>
      <c r="V42" s="7">
        <v>1326.63</v>
      </c>
      <c r="W42" s="7">
        <v>1225.0999999999999</v>
      </c>
      <c r="X42" s="5">
        <v>0</v>
      </c>
      <c r="Y42" s="5">
        <v>524.86</v>
      </c>
    </row>
    <row r="43" spans="1:25" ht="24.75" x14ac:dyDescent="0.25">
      <c r="A43" s="5" t="s">
        <v>26</v>
      </c>
      <c r="B43" s="5" t="s">
        <v>34</v>
      </c>
      <c r="C43" s="5" t="s">
        <v>46</v>
      </c>
      <c r="D43" s="5" t="s">
        <v>50</v>
      </c>
      <c r="E43" s="5" t="s">
        <v>35</v>
      </c>
      <c r="F43" s="5" t="s">
        <v>87</v>
      </c>
      <c r="G43" s="5">
        <v>2018</v>
      </c>
      <c r="H43" s="5" t="str">
        <f>_xlfn.CONCAT("84240563258")</f>
        <v>84240563258</v>
      </c>
      <c r="I43" s="5" t="s">
        <v>29</v>
      </c>
      <c r="J43" s="5" t="s">
        <v>30</v>
      </c>
      <c r="K43" s="5" t="str">
        <f>_xlfn.CONCAT("")</f>
        <v/>
      </c>
      <c r="L43" s="5" t="str">
        <f>_xlfn.CONCAT("11 11.1 4b")</f>
        <v>11 11.1 4b</v>
      </c>
      <c r="M43" s="5" t="str">
        <f>_xlfn.CONCAT("FLVCLF45H01G453Z")</f>
        <v>FLVCLF45H01G453Z</v>
      </c>
      <c r="N43" s="5" t="s">
        <v>100</v>
      </c>
      <c r="O43" s="5" t="s">
        <v>62</v>
      </c>
      <c r="P43" s="6">
        <v>44096</v>
      </c>
      <c r="Q43" s="5" t="s">
        <v>31</v>
      </c>
      <c r="R43" s="5" t="s">
        <v>32</v>
      </c>
      <c r="S43" s="5" t="s">
        <v>33</v>
      </c>
      <c r="T43" s="5"/>
      <c r="U43" s="5">
        <v>807.87</v>
      </c>
      <c r="V43" s="5">
        <v>348.35</v>
      </c>
      <c r="W43" s="5">
        <v>321.69</v>
      </c>
      <c r="X43" s="5">
        <v>0</v>
      </c>
      <c r="Y43" s="5">
        <v>137.83000000000001</v>
      </c>
    </row>
    <row r="44" spans="1:25" ht="24.75" x14ac:dyDescent="0.25">
      <c r="A44" s="5" t="s">
        <v>26</v>
      </c>
      <c r="B44" s="5" t="s">
        <v>34</v>
      </c>
      <c r="C44" s="5" t="s">
        <v>46</v>
      </c>
      <c r="D44" s="5" t="s">
        <v>50</v>
      </c>
      <c r="E44" s="5" t="s">
        <v>35</v>
      </c>
      <c r="F44" s="5" t="s">
        <v>87</v>
      </c>
      <c r="G44" s="5">
        <v>2019</v>
      </c>
      <c r="H44" s="5" t="str">
        <f>_xlfn.CONCAT("94241051674")</f>
        <v>94241051674</v>
      </c>
      <c r="I44" s="5" t="s">
        <v>29</v>
      </c>
      <c r="J44" s="5" t="s">
        <v>30</v>
      </c>
      <c r="K44" s="5" t="str">
        <f>_xlfn.CONCAT("")</f>
        <v/>
      </c>
      <c r="L44" s="5" t="str">
        <f>_xlfn.CONCAT("11 11.1 4b")</f>
        <v>11 11.1 4b</v>
      </c>
      <c r="M44" s="5" t="str">
        <f>_xlfn.CONCAT("FLVCLF45H01G453Z")</f>
        <v>FLVCLF45H01G453Z</v>
      </c>
      <c r="N44" s="5" t="s">
        <v>100</v>
      </c>
      <c r="O44" s="5" t="s">
        <v>62</v>
      </c>
      <c r="P44" s="6">
        <v>44096</v>
      </c>
      <c r="Q44" s="5" t="s">
        <v>31</v>
      </c>
      <c r="R44" s="5" t="s">
        <v>32</v>
      </c>
      <c r="S44" s="5" t="s">
        <v>33</v>
      </c>
      <c r="T44" s="5"/>
      <c r="U44" s="5">
        <v>816.62</v>
      </c>
      <c r="V44" s="5">
        <v>352.13</v>
      </c>
      <c r="W44" s="5">
        <v>325.18</v>
      </c>
      <c r="X44" s="5">
        <v>0</v>
      </c>
      <c r="Y44" s="5">
        <v>139.31</v>
      </c>
    </row>
    <row r="45" spans="1:25" ht="24.75" x14ac:dyDescent="0.25">
      <c r="A45" s="5" t="s">
        <v>26</v>
      </c>
      <c r="B45" s="5" t="s">
        <v>34</v>
      </c>
      <c r="C45" s="5" t="s">
        <v>46</v>
      </c>
      <c r="D45" s="5" t="s">
        <v>50</v>
      </c>
      <c r="E45" s="5" t="s">
        <v>28</v>
      </c>
      <c r="F45" s="5" t="s">
        <v>63</v>
      </c>
      <c r="G45" s="5">
        <v>2018</v>
      </c>
      <c r="H45" s="5" t="str">
        <f>_xlfn.CONCAT("84240851778")</f>
        <v>84240851778</v>
      </c>
      <c r="I45" s="5" t="s">
        <v>29</v>
      </c>
      <c r="J45" s="5" t="s">
        <v>30</v>
      </c>
      <c r="K45" s="5" t="str">
        <f>_xlfn.CONCAT("")</f>
        <v/>
      </c>
      <c r="L45" s="5" t="str">
        <f>_xlfn.CONCAT("11 11.2 4b")</f>
        <v>11 11.2 4b</v>
      </c>
      <c r="M45" s="5" t="str">
        <f>_xlfn.CONCAT("01385210412")</f>
        <v>01385210412</v>
      </c>
      <c r="N45" s="5" t="s">
        <v>64</v>
      </c>
      <c r="O45" s="5" t="s">
        <v>62</v>
      </c>
      <c r="P45" s="6">
        <v>44096</v>
      </c>
      <c r="Q45" s="5" t="s">
        <v>31</v>
      </c>
      <c r="R45" s="5" t="s">
        <v>32</v>
      </c>
      <c r="S45" s="5" t="s">
        <v>33</v>
      </c>
      <c r="T45" s="5"/>
      <c r="U45" s="7">
        <v>24267.61</v>
      </c>
      <c r="V45" s="7">
        <v>10464.19</v>
      </c>
      <c r="W45" s="7">
        <v>9663.36</v>
      </c>
      <c r="X45" s="5">
        <v>0</v>
      </c>
      <c r="Y45" s="7">
        <v>4140.0600000000004</v>
      </c>
    </row>
    <row r="46" spans="1:25" ht="24.75" x14ac:dyDescent="0.25">
      <c r="A46" s="5" t="s">
        <v>26</v>
      </c>
      <c r="B46" s="5" t="s">
        <v>34</v>
      </c>
      <c r="C46" s="5" t="s">
        <v>46</v>
      </c>
      <c r="D46" s="5" t="s">
        <v>50</v>
      </c>
      <c r="E46" s="5" t="s">
        <v>28</v>
      </c>
      <c r="F46" s="5" t="s">
        <v>63</v>
      </c>
      <c r="G46" s="5">
        <v>2019</v>
      </c>
      <c r="H46" s="5" t="str">
        <f>_xlfn.CONCAT("94240587355")</f>
        <v>94240587355</v>
      </c>
      <c r="I46" s="5" t="s">
        <v>29</v>
      </c>
      <c r="J46" s="5" t="s">
        <v>30</v>
      </c>
      <c r="K46" s="5" t="str">
        <f>_xlfn.CONCAT("")</f>
        <v/>
      </c>
      <c r="L46" s="5" t="str">
        <f>_xlfn.CONCAT("11 11.2 4b")</f>
        <v>11 11.2 4b</v>
      </c>
      <c r="M46" s="5" t="str">
        <f>_xlfn.CONCAT("01385210412")</f>
        <v>01385210412</v>
      </c>
      <c r="N46" s="5" t="s">
        <v>64</v>
      </c>
      <c r="O46" s="5" t="s">
        <v>62</v>
      </c>
      <c r="P46" s="6">
        <v>44096</v>
      </c>
      <c r="Q46" s="5" t="s">
        <v>31</v>
      </c>
      <c r="R46" s="5" t="s">
        <v>32</v>
      </c>
      <c r="S46" s="5" t="s">
        <v>33</v>
      </c>
      <c r="T46" s="5"/>
      <c r="U46" s="7">
        <v>28566</v>
      </c>
      <c r="V46" s="7">
        <v>12317.66</v>
      </c>
      <c r="W46" s="7">
        <v>11374.98</v>
      </c>
      <c r="X46" s="5">
        <v>0</v>
      </c>
      <c r="Y46" s="7">
        <v>4873.3599999999997</v>
      </c>
    </row>
    <row r="47" spans="1:25" ht="24.75" x14ac:dyDescent="0.25">
      <c r="A47" s="5" t="s">
        <v>26</v>
      </c>
      <c r="B47" s="5" t="s">
        <v>34</v>
      </c>
      <c r="C47" s="5" t="s">
        <v>46</v>
      </c>
      <c r="D47" s="5" t="s">
        <v>50</v>
      </c>
      <c r="E47" s="5" t="s">
        <v>28</v>
      </c>
      <c r="F47" s="5" t="s">
        <v>63</v>
      </c>
      <c r="G47" s="5">
        <v>2019</v>
      </c>
      <c r="H47" s="5" t="str">
        <f>_xlfn.CONCAT("94240436298")</f>
        <v>94240436298</v>
      </c>
      <c r="I47" s="5" t="s">
        <v>29</v>
      </c>
      <c r="J47" s="5" t="s">
        <v>30</v>
      </c>
      <c r="K47" s="5" t="str">
        <f>_xlfn.CONCAT("")</f>
        <v/>
      </c>
      <c r="L47" s="5" t="str">
        <f>_xlfn.CONCAT("11 11.2 4b")</f>
        <v>11 11.2 4b</v>
      </c>
      <c r="M47" s="5" t="str">
        <f>_xlfn.CONCAT("01385210412")</f>
        <v>01385210412</v>
      </c>
      <c r="N47" s="5" t="s">
        <v>64</v>
      </c>
      <c r="O47" s="5" t="s">
        <v>62</v>
      </c>
      <c r="P47" s="6">
        <v>44096</v>
      </c>
      <c r="Q47" s="5" t="s">
        <v>31</v>
      </c>
      <c r="R47" s="5" t="s">
        <v>32</v>
      </c>
      <c r="S47" s="5" t="s">
        <v>33</v>
      </c>
      <c r="T47" s="5"/>
      <c r="U47" s="7">
        <v>2663.71</v>
      </c>
      <c r="V47" s="7">
        <v>1148.5899999999999</v>
      </c>
      <c r="W47" s="7">
        <v>1060.69</v>
      </c>
      <c r="X47" s="5">
        <v>0</v>
      </c>
      <c r="Y47" s="5">
        <v>454.43</v>
      </c>
    </row>
    <row r="48" spans="1:25" ht="24.75" x14ac:dyDescent="0.25">
      <c r="A48" s="5" t="s">
        <v>26</v>
      </c>
      <c r="B48" s="5" t="s">
        <v>34</v>
      </c>
      <c r="C48" s="5" t="s">
        <v>46</v>
      </c>
      <c r="D48" s="5" t="s">
        <v>79</v>
      </c>
      <c r="E48" s="5" t="s">
        <v>44</v>
      </c>
      <c r="F48" s="5" t="s">
        <v>101</v>
      </c>
      <c r="G48" s="5">
        <v>2016</v>
      </c>
      <c r="H48" s="5" t="str">
        <f>_xlfn.CONCAT("64240569265")</f>
        <v>64240569265</v>
      </c>
      <c r="I48" s="5" t="s">
        <v>29</v>
      </c>
      <c r="J48" s="5" t="s">
        <v>30</v>
      </c>
      <c r="K48" s="5" t="str">
        <f>_xlfn.CONCAT("")</f>
        <v/>
      </c>
      <c r="L48" s="5" t="str">
        <f>_xlfn.CONCAT("11 11.2 4b")</f>
        <v>11 11.2 4b</v>
      </c>
      <c r="M48" s="5" t="str">
        <f>_xlfn.CONCAT("02394060400")</f>
        <v>02394060400</v>
      </c>
      <c r="N48" s="5" t="s">
        <v>102</v>
      </c>
      <c r="O48" s="5" t="s">
        <v>62</v>
      </c>
      <c r="P48" s="6">
        <v>44096</v>
      </c>
      <c r="Q48" s="5" t="s">
        <v>31</v>
      </c>
      <c r="R48" s="5" t="s">
        <v>32</v>
      </c>
      <c r="S48" s="5" t="s">
        <v>33</v>
      </c>
      <c r="T48" s="5"/>
      <c r="U48" s="7">
        <v>18049.669999999998</v>
      </c>
      <c r="V48" s="7">
        <v>7783.02</v>
      </c>
      <c r="W48" s="7">
        <v>7187.38</v>
      </c>
      <c r="X48" s="5">
        <v>0</v>
      </c>
      <c r="Y48" s="7">
        <v>3079.27</v>
      </c>
    </row>
    <row r="49" spans="1:25" ht="24.75" x14ac:dyDescent="0.25">
      <c r="A49" s="5" t="s">
        <v>26</v>
      </c>
      <c r="B49" s="5" t="s">
        <v>34</v>
      </c>
      <c r="C49" s="5" t="s">
        <v>46</v>
      </c>
      <c r="D49" s="5" t="s">
        <v>79</v>
      </c>
      <c r="E49" s="5" t="s">
        <v>44</v>
      </c>
      <c r="F49" s="5" t="s">
        <v>101</v>
      </c>
      <c r="G49" s="5">
        <v>2017</v>
      </c>
      <c r="H49" s="5" t="str">
        <f>_xlfn.CONCAT("74240341763")</f>
        <v>74240341763</v>
      </c>
      <c r="I49" s="5" t="s">
        <v>37</v>
      </c>
      <c r="J49" s="5" t="s">
        <v>30</v>
      </c>
      <c r="K49" s="5" t="str">
        <f>_xlfn.CONCAT("")</f>
        <v/>
      </c>
      <c r="L49" s="5" t="str">
        <f>_xlfn.CONCAT("11 11.2 4b")</f>
        <v>11 11.2 4b</v>
      </c>
      <c r="M49" s="5" t="str">
        <f>_xlfn.CONCAT("02394060400")</f>
        <v>02394060400</v>
      </c>
      <c r="N49" s="5" t="s">
        <v>102</v>
      </c>
      <c r="O49" s="5" t="s">
        <v>62</v>
      </c>
      <c r="P49" s="6">
        <v>44096</v>
      </c>
      <c r="Q49" s="5" t="s">
        <v>31</v>
      </c>
      <c r="R49" s="5" t="s">
        <v>32</v>
      </c>
      <c r="S49" s="5" t="s">
        <v>33</v>
      </c>
      <c r="T49" s="5"/>
      <c r="U49" s="7">
        <v>22730.43</v>
      </c>
      <c r="V49" s="7">
        <v>9801.36</v>
      </c>
      <c r="W49" s="7">
        <v>9051.26</v>
      </c>
      <c r="X49" s="5">
        <v>0</v>
      </c>
      <c r="Y49" s="7">
        <v>3877.81</v>
      </c>
    </row>
    <row r="50" spans="1:25" ht="24.75" x14ac:dyDescent="0.25">
      <c r="A50" s="5" t="s">
        <v>26</v>
      </c>
      <c r="B50" s="5" t="s">
        <v>34</v>
      </c>
      <c r="C50" s="5" t="s">
        <v>46</v>
      </c>
      <c r="D50" s="5" t="s">
        <v>47</v>
      </c>
      <c r="E50" s="5" t="s">
        <v>28</v>
      </c>
      <c r="F50" s="5" t="s">
        <v>103</v>
      </c>
      <c r="G50" s="5">
        <v>2018</v>
      </c>
      <c r="H50" s="5" t="str">
        <f>_xlfn.CONCAT("84241056427")</f>
        <v>84241056427</v>
      </c>
      <c r="I50" s="5" t="s">
        <v>29</v>
      </c>
      <c r="J50" s="5" t="s">
        <v>30</v>
      </c>
      <c r="K50" s="5" t="str">
        <f>_xlfn.CONCAT("")</f>
        <v/>
      </c>
      <c r="L50" s="5" t="str">
        <f>_xlfn.CONCAT("11 11.2 4b")</f>
        <v>11 11.2 4b</v>
      </c>
      <c r="M50" s="5" t="str">
        <f>_xlfn.CONCAT("RCCNTN60H13L597P")</f>
        <v>RCCNTN60H13L597P</v>
      </c>
      <c r="N50" s="5" t="s">
        <v>104</v>
      </c>
      <c r="O50" s="5" t="s">
        <v>62</v>
      </c>
      <c r="P50" s="6">
        <v>44096</v>
      </c>
      <c r="Q50" s="5" t="s">
        <v>31</v>
      </c>
      <c r="R50" s="5" t="s">
        <v>32</v>
      </c>
      <c r="S50" s="5" t="s">
        <v>33</v>
      </c>
      <c r="T50" s="5"/>
      <c r="U50" s="7">
        <v>20636.86</v>
      </c>
      <c r="V50" s="7">
        <v>8898.61</v>
      </c>
      <c r="W50" s="7">
        <v>8217.6</v>
      </c>
      <c r="X50" s="5">
        <v>0</v>
      </c>
      <c r="Y50" s="7">
        <v>3520.65</v>
      </c>
    </row>
    <row r="51" spans="1:25" ht="24.75" x14ac:dyDescent="0.25">
      <c r="A51" s="5" t="s">
        <v>26</v>
      </c>
      <c r="B51" s="5" t="s">
        <v>34</v>
      </c>
      <c r="C51" s="5" t="s">
        <v>46</v>
      </c>
      <c r="D51" s="5" t="s">
        <v>47</v>
      </c>
      <c r="E51" s="5" t="s">
        <v>44</v>
      </c>
      <c r="F51" s="5" t="s">
        <v>105</v>
      </c>
      <c r="G51" s="5">
        <v>2019</v>
      </c>
      <c r="H51" s="5" t="str">
        <f>_xlfn.CONCAT("94241693939")</f>
        <v>94241693939</v>
      </c>
      <c r="I51" s="5" t="s">
        <v>37</v>
      </c>
      <c r="J51" s="5" t="s">
        <v>30</v>
      </c>
      <c r="K51" s="5" t="str">
        <f>_xlfn.CONCAT("")</f>
        <v/>
      </c>
      <c r="L51" s="5" t="str">
        <f>_xlfn.CONCAT("10 10.1 4b")</f>
        <v>10 10.1 4b</v>
      </c>
      <c r="M51" s="5" t="str">
        <f>_xlfn.CONCAT("01891610444")</f>
        <v>01891610444</v>
      </c>
      <c r="N51" s="5" t="s">
        <v>106</v>
      </c>
      <c r="O51" s="5" t="s">
        <v>107</v>
      </c>
      <c r="P51" s="6">
        <v>44096</v>
      </c>
      <c r="Q51" s="5" t="s">
        <v>31</v>
      </c>
      <c r="R51" s="5" t="s">
        <v>32</v>
      </c>
      <c r="S51" s="5" t="s">
        <v>33</v>
      </c>
      <c r="T51" s="5"/>
      <c r="U51" s="7">
        <v>30221.4</v>
      </c>
      <c r="V51" s="7">
        <v>13031.47</v>
      </c>
      <c r="W51" s="7">
        <v>12034.16</v>
      </c>
      <c r="X51" s="5">
        <v>0</v>
      </c>
      <c r="Y51" s="7">
        <v>5155.7700000000004</v>
      </c>
    </row>
    <row r="52" spans="1:25" ht="24.75" x14ac:dyDescent="0.25">
      <c r="A52" s="5" t="s">
        <v>26</v>
      </c>
      <c r="B52" s="5" t="s">
        <v>34</v>
      </c>
      <c r="C52" s="5" t="s">
        <v>46</v>
      </c>
      <c r="D52" s="5" t="s">
        <v>47</v>
      </c>
      <c r="E52" s="5" t="s">
        <v>28</v>
      </c>
      <c r="F52" s="5" t="s">
        <v>53</v>
      </c>
      <c r="G52" s="5">
        <v>2019</v>
      </c>
      <c r="H52" s="5" t="str">
        <f>_xlfn.CONCAT("94240977507")</f>
        <v>94240977507</v>
      </c>
      <c r="I52" s="5" t="s">
        <v>29</v>
      </c>
      <c r="J52" s="5" t="s">
        <v>30</v>
      </c>
      <c r="K52" s="5" t="str">
        <f>_xlfn.CONCAT("")</f>
        <v/>
      </c>
      <c r="L52" s="5" t="str">
        <f>_xlfn.CONCAT("10 10.1 4b")</f>
        <v>10 10.1 4b</v>
      </c>
      <c r="M52" s="5" t="str">
        <f>_xlfn.CONCAT("01175890449")</f>
        <v>01175890449</v>
      </c>
      <c r="N52" s="5" t="s">
        <v>108</v>
      </c>
      <c r="O52" s="5" t="s">
        <v>107</v>
      </c>
      <c r="P52" s="6">
        <v>44096</v>
      </c>
      <c r="Q52" s="5" t="s">
        <v>31</v>
      </c>
      <c r="R52" s="5" t="s">
        <v>32</v>
      </c>
      <c r="S52" s="5" t="s">
        <v>33</v>
      </c>
      <c r="T52" s="5"/>
      <c r="U52" s="7">
        <v>5065.1099999999997</v>
      </c>
      <c r="V52" s="7">
        <v>2184.08</v>
      </c>
      <c r="W52" s="7">
        <v>2016.93</v>
      </c>
      <c r="X52" s="5">
        <v>0</v>
      </c>
      <c r="Y52" s="5">
        <v>864.1</v>
      </c>
    </row>
    <row r="53" spans="1:25" ht="24.75" x14ac:dyDescent="0.25">
      <c r="A53" s="5" t="s">
        <v>26</v>
      </c>
      <c r="B53" s="5" t="s">
        <v>34</v>
      </c>
      <c r="C53" s="5" t="s">
        <v>46</v>
      </c>
      <c r="D53" s="5" t="s">
        <v>47</v>
      </c>
      <c r="E53" s="5" t="s">
        <v>35</v>
      </c>
      <c r="F53" s="5" t="s">
        <v>67</v>
      </c>
      <c r="G53" s="5">
        <v>2018</v>
      </c>
      <c r="H53" s="5" t="str">
        <f>_xlfn.CONCAT("84240850275")</f>
        <v>84240850275</v>
      </c>
      <c r="I53" s="5" t="s">
        <v>29</v>
      </c>
      <c r="J53" s="5" t="s">
        <v>30</v>
      </c>
      <c r="K53" s="5" t="str">
        <f>_xlfn.CONCAT("")</f>
        <v/>
      </c>
      <c r="L53" s="5" t="str">
        <f>_xlfn.CONCAT("10 10.1 4a")</f>
        <v>10 10.1 4a</v>
      </c>
      <c r="M53" s="5" t="str">
        <f>_xlfn.CONCAT("LCNVCN75C03F241J")</f>
        <v>LCNVCN75C03F241J</v>
      </c>
      <c r="N53" s="5" t="s">
        <v>109</v>
      </c>
      <c r="O53" s="5" t="s">
        <v>58</v>
      </c>
      <c r="P53" s="6">
        <v>44096</v>
      </c>
      <c r="Q53" s="5" t="s">
        <v>31</v>
      </c>
      <c r="R53" s="5" t="s">
        <v>32</v>
      </c>
      <c r="S53" s="5" t="s">
        <v>33</v>
      </c>
      <c r="T53" s="5"/>
      <c r="U53" s="7">
        <v>1112.5999999999999</v>
      </c>
      <c r="V53" s="5">
        <v>479.75</v>
      </c>
      <c r="W53" s="5">
        <v>443.04</v>
      </c>
      <c r="X53" s="5">
        <v>0</v>
      </c>
      <c r="Y53" s="5">
        <v>189.81</v>
      </c>
    </row>
    <row r="54" spans="1:25" ht="24.75" x14ac:dyDescent="0.25">
      <c r="A54" s="5" t="s">
        <v>26</v>
      </c>
      <c r="B54" s="5" t="s">
        <v>34</v>
      </c>
      <c r="C54" s="5" t="s">
        <v>46</v>
      </c>
      <c r="D54" s="5" t="s">
        <v>47</v>
      </c>
      <c r="E54" s="5" t="s">
        <v>35</v>
      </c>
      <c r="F54" s="5" t="s">
        <v>67</v>
      </c>
      <c r="G54" s="5">
        <v>2019</v>
      </c>
      <c r="H54" s="5" t="str">
        <f>_xlfn.CONCAT("94240718059")</f>
        <v>94240718059</v>
      </c>
      <c r="I54" s="5" t="s">
        <v>37</v>
      </c>
      <c r="J54" s="5" t="s">
        <v>30</v>
      </c>
      <c r="K54" s="5" t="str">
        <f>_xlfn.CONCAT("")</f>
        <v/>
      </c>
      <c r="L54" s="5" t="str">
        <f>_xlfn.CONCAT("10 10.1 4a")</f>
        <v>10 10.1 4a</v>
      </c>
      <c r="M54" s="5" t="str">
        <f>_xlfn.CONCAT("LCNVCN75C03F241J")</f>
        <v>LCNVCN75C03F241J</v>
      </c>
      <c r="N54" s="5" t="s">
        <v>109</v>
      </c>
      <c r="O54" s="5" t="s">
        <v>58</v>
      </c>
      <c r="P54" s="6">
        <v>44096</v>
      </c>
      <c r="Q54" s="5" t="s">
        <v>31</v>
      </c>
      <c r="R54" s="5" t="s">
        <v>32</v>
      </c>
      <c r="S54" s="5" t="s">
        <v>33</v>
      </c>
      <c r="T54" s="5"/>
      <c r="U54" s="7">
        <v>1112.5999999999999</v>
      </c>
      <c r="V54" s="5">
        <v>479.75</v>
      </c>
      <c r="W54" s="5">
        <v>443.04</v>
      </c>
      <c r="X54" s="5">
        <v>0</v>
      </c>
      <c r="Y54" s="5">
        <v>189.81</v>
      </c>
    </row>
    <row r="55" spans="1:25" ht="24.75" x14ac:dyDescent="0.25">
      <c r="A55" s="5" t="s">
        <v>26</v>
      </c>
      <c r="B55" s="5" t="s">
        <v>34</v>
      </c>
      <c r="C55" s="5" t="s">
        <v>46</v>
      </c>
      <c r="D55" s="5" t="s">
        <v>79</v>
      </c>
      <c r="E55" s="5" t="s">
        <v>28</v>
      </c>
      <c r="F55" s="5" t="s">
        <v>80</v>
      </c>
      <c r="G55" s="5">
        <v>2018</v>
      </c>
      <c r="H55" s="5" t="str">
        <f>_xlfn.CONCAT("84240687156")</f>
        <v>84240687156</v>
      </c>
      <c r="I55" s="5" t="s">
        <v>29</v>
      </c>
      <c r="J55" s="5" t="s">
        <v>30</v>
      </c>
      <c r="K55" s="5" t="str">
        <f>_xlfn.CONCAT("")</f>
        <v/>
      </c>
      <c r="L55" s="5" t="str">
        <f>_xlfn.CONCAT("11 11.2 4b")</f>
        <v>11 11.2 4b</v>
      </c>
      <c r="M55" s="5" t="str">
        <f>_xlfn.CONCAT("VNCCRN82E45E388G")</f>
        <v>VNCCRN82E45E388G</v>
      </c>
      <c r="N55" s="5" t="s">
        <v>110</v>
      </c>
      <c r="O55" s="5" t="s">
        <v>62</v>
      </c>
      <c r="P55" s="6">
        <v>44096</v>
      </c>
      <c r="Q55" s="5" t="s">
        <v>31</v>
      </c>
      <c r="R55" s="5" t="s">
        <v>32</v>
      </c>
      <c r="S55" s="5" t="s">
        <v>33</v>
      </c>
      <c r="T55" s="5"/>
      <c r="U55" s="5">
        <v>709.06</v>
      </c>
      <c r="V55" s="5">
        <v>305.75</v>
      </c>
      <c r="W55" s="5">
        <v>282.35000000000002</v>
      </c>
      <c r="X55" s="5">
        <v>0</v>
      </c>
      <c r="Y55" s="5">
        <v>120.96</v>
      </c>
    </row>
    <row r="56" spans="1:25" ht="24.75" x14ac:dyDescent="0.25">
      <c r="A56" s="5" t="s">
        <v>26</v>
      </c>
      <c r="B56" s="5" t="s">
        <v>34</v>
      </c>
      <c r="C56" s="5" t="s">
        <v>46</v>
      </c>
      <c r="D56" s="5" t="s">
        <v>79</v>
      </c>
      <c r="E56" s="5" t="s">
        <v>28</v>
      </c>
      <c r="F56" s="5" t="s">
        <v>80</v>
      </c>
      <c r="G56" s="5">
        <v>2019</v>
      </c>
      <c r="H56" s="5" t="str">
        <f>_xlfn.CONCAT("94240099872")</f>
        <v>94240099872</v>
      </c>
      <c r="I56" s="5" t="s">
        <v>29</v>
      </c>
      <c r="J56" s="5" t="s">
        <v>30</v>
      </c>
      <c r="K56" s="5" t="str">
        <f>_xlfn.CONCAT("")</f>
        <v/>
      </c>
      <c r="L56" s="5" t="str">
        <f>_xlfn.CONCAT("11 11.2 4b")</f>
        <v>11 11.2 4b</v>
      </c>
      <c r="M56" s="5" t="str">
        <f>_xlfn.CONCAT("GRGSLV67A68A561B")</f>
        <v>GRGSLV67A68A561B</v>
      </c>
      <c r="N56" s="5" t="s">
        <v>111</v>
      </c>
      <c r="O56" s="5" t="s">
        <v>62</v>
      </c>
      <c r="P56" s="6">
        <v>44096</v>
      </c>
      <c r="Q56" s="5" t="s">
        <v>31</v>
      </c>
      <c r="R56" s="5" t="s">
        <v>32</v>
      </c>
      <c r="S56" s="5" t="s">
        <v>33</v>
      </c>
      <c r="T56" s="5"/>
      <c r="U56" s="7">
        <v>2842.87</v>
      </c>
      <c r="V56" s="7">
        <v>1225.8499999999999</v>
      </c>
      <c r="W56" s="7">
        <v>1132.03</v>
      </c>
      <c r="X56" s="5">
        <v>0</v>
      </c>
      <c r="Y56" s="5">
        <v>484.99</v>
      </c>
    </row>
    <row r="57" spans="1:25" ht="24.75" x14ac:dyDescent="0.25">
      <c r="A57" s="5" t="s">
        <v>26</v>
      </c>
      <c r="B57" s="5" t="s">
        <v>34</v>
      </c>
      <c r="C57" s="5" t="s">
        <v>46</v>
      </c>
      <c r="D57" s="5" t="s">
        <v>79</v>
      </c>
      <c r="E57" s="5" t="s">
        <v>38</v>
      </c>
      <c r="F57" s="5" t="s">
        <v>38</v>
      </c>
      <c r="G57" s="5">
        <v>2018</v>
      </c>
      <c r="H57" s="5" t="str">
        <f>_xlfn.CONCAT("84240980858")</f>
        <v>84240980858</v>
      </c>
      <c r="I57" s="5" t="s">
        <v>29</v>
      </c>
      <c r="J57" s="5" t="s">
        <v>30</v>
      </c>
      <c r="K57" s="5" t="str">
        <f>_xlfn.CONCAT("")</f>
        <v/>
      </c>
      <c r="L57" s="5" t="str">
        <f>_xlfn.CONCAT("11 11.1 4b")</f>
        <v>11 11.1 4b</v>
      </c>
      <c r="M57" s="5" t="str">
        <f>_xlfn.CONCAT("TRTDNC79E06H926J")</f>
        <v>TRTDNC79E06H926J</v>
      </c>
      <c r="N57" s="5" t="s">
        <v>112</v>
      </c>
      <c r="O57" s="5" t="s">
        <v>62</v>
      </c>
      <c r="P57" s="6">
        <v>44096</v>
      </c>
      <c r="Q57" s="5" t="s">
        <v>31</v>
      </c>
      <c r="R57" s="5" t="s">
        <v>32</v>
      </c>
      <c r="S57" s="5" t="s">
        <v>33</v>
      </c>
      <c r="T57" s="5"/>
      <c r="U57" s="5">
        <v>854.61</v>
      </c>
      <c r="V57" s="5">
        <v>368.51</v>
      </c>
      <c r="W57" s="5">
        <v>340.31</v>
      </c>
      <c r="X57" s="5">
        <v>0</v>
      </c>
      <c r="Y57" s="5">
        <v>145.79</v>
      </c>
    </row>
    <row r="58" spans="1:25" ht="24.75" x14ac:dyDescent="0.25">
      <c r="A58" s="5" t="s">
        <v>26</v>
      </c>
      <c r="B58" s="5" t="s">
        <v>34</v>
      </c>
      <c r="C58" s="5" t="s">
        <v>46</v>
      </c>
      <c r="D58" s="5" t="s">
        <v>79</v>
      </c>
      <c r="E58" s="5" t="s">
        <v>38</v>
      </c>
      <c r="F58" s="5" t="s">
        <v>38</v>
      </c>
      <c r="G58" s="5">
        <v>2019</v>
      </c>
      <c r="H58" s="5" t="str">
        <f>_xlfn.CONCAT("94240938582")</f>
        <v>94240938582</v>
      </c>
      <c r="I58" s="5" t="s">
        <v>29</v>
      </c>
      <c r="J58" s="5" t="s">
        <v>30</v>
      </c>
      <c r="K58" s="5" t="str">
        <f>_xlfn.CONCAT("")</f>
        <v/>
      </c>
      <c r="L58" s="5" t="str">
        <f>_xlfn.CONCAT("11 11.1 4b")</f>
        <v>11 11.1 4b</v>
      </c>
      <c r="M58" s="5" t="str">
        <f>_xlfn.CONCAT("TRTDNC79E06H926J")</f>
        <v>TRTDNC79E06H926J</v>
      </c>
      <c r="N58" s="5" t="s">
        <v>112</v>
      </c>
      <c r="O58" s="5" t="s">
        <v>62</v>
      </c>
      <c r="P58" s="6">
        <v>44096</v>
      </c>
      <c r="Q58" s="5" t="s">
        <v>31</v>
      </c>
      <c r="R58" s="5" t="s">
        <v>32</v>
      </c>
      <c r="S58" s="5" t="s">
        <v>33</v>
      </c>
      <c r="T58" s="5"/>
      <c r="U58" s="7">
        <v>7230.87</v>
      </c>
      <c r="V58" s="7">
        <v>3117.95</v>
      </c>
      <c r="W58" s="7">
        <v>2879.33</v>
      </c>
      <c r="X58" s="5">
        <v>0</v>
      </c>
      <c r="Y58" s="7">
        <v>1233.5899999999999</v>
      </c>
    </row>
    <row r="59" spans="1:25" ht="24.75" x14ac:dyDescent="0.25">
      <c r="A59" s="5" t="s">
        <v>26</v>
      </c>
      <c r="B59" s="5" t="s">
        <v>34</v>
      </c>
      <c r="C59" s="5" t="s">
        <v>46</v>
      </c>
      <c r="D59" s="5" t="s">
        <v>50</v>
      </c>
      <c r="E59" s="5" t="s">
        <v>28</v>
      </c>
      <c r="F59" s="5" t="s">
        <v>113</v>
      </c>
      <c r="G59" s="5">
        <v>2017</v>
      </c>
      <c r="H59" s="5" t="str">
        <f>_xlfn.CONCAT("74240335716")</f>
        <v>74240335716</v>
      </c>
      <c r="I59" s="5" t="s">
        <v>29</v>
      </c>
      <c r="J59" s="5" t="s">
        <v>30</v>
      </c>
      <c r="K59" s="5" t="str">
        <f>_xlfn.CONCAT("")</f>
        <v/>
      </c>
      <c r="L59" s="5" t="str">
        <f>_xlfn.CONCAT("11 11.1 4b")</f>
        <v>11 11.1 4b</v>
      </c>
      <c r="M59" s="5" t="str">
        <f>_xlfn.CONCAT("MRTLCU71T11C745Y")</f>
        <v>MRTLCU71T11C745Y</v>
      </c>
      <c r="N59" s="5" t="s">
        <v>114</v>
      </c>
      <c r="O59" s="5" t="s">
        <v>62</v>
      </c>
      <c r="P59" s="6">
        <v>44096</v>
      </c>
      <c r="Q59" s="5" t="s">
        <v>31</v>
      </c>
      <c r="R59" s="5" t="s">
        <v>32</v>
      </c>
      <c r="S59" s="5" t="s">
        <v>33</v>
      </c>
      <c r="T59" s="5"/>
      <c r="U59" s="5">
        <v>782.97</v>
      </c>
      <c r="V59" s="5">
        <v>337.62</v>
      </c>
      <c r="W59" s="5">
        <v>311.77999999999997</v>
      </c>
      <c r="X59" s="5">
        <v>0</v>
      </c>
      <c r="Y59" s="5">
        <v>133.57</v>
      </c>
    </row>
    <row r="60" spans="1:25" ht="24.75" x14ac:dyDescent="0.25">
      <c r="A60" s="5" t="s">
        <v>26</v>
      </c>
      <c r="B60" s="5" t="s">
        <v>34</v>
      </c>
      <c r="C60" s="5" t="s">
        <v>46</v>
      </c>
      <c r="D60" s="5" t="s">
        <v>50</v>
      </c>
      <c r="E60" s="5" t="s">
        <v>28</v>
      </c>
      <c r="F60" s="5" t="s">
        <v>113</v>
      </c>
      <c r="G60" s="5">
        <v>2018</v>
      </c>
      <c r="H60" s="5" t="str">
        <f>_xlfn.CONCAT("84240557292")</f>
        <v>84240557292</v>
      </c>
      <c r="I60" s="5" t="s">
        <v>29</v>
      </c>
      <c r="J60" s="5" t="s">
        <v>30</v>
      </c>
      <c r="K60" s="5" t="str">
        <f>_xlfn.CONCAT("")</f>
        <v/>
      </c>
      <c r="L60" s="5" t="str">
        <f>_xlfn.CONCAT("11 11.1 4b")</f>
        <v>11 11.1 4b</v>
      </c>
      <c r="M60" s="5" t="str">
        <f>_xlfn.CONCAT("MRTLCU71T11C745Y")</f>
        <v>MRTLCU71T11C745Y</v>
      </c>
      <c r="N60" s="5" t="s">
        <v>114</v>
      </c>
      <c r="O60" s="5" t="s">
        <v>62</v>
      </c>
      <c r="P60" s="6">
        <v>44096</v>
      </c>
      <c r="Q60" s="5" t="s">
        <v>31</v>
      </c>
      <c r="R60" s="5" t="s">
        <v>32</v>
      </c>
      <c r="S60" s="5" t="s">
        <v>33</v>
      </c>
      <c r="T60" s="5"/>
      <c r="U60" s="7">
        <v>1128.31</v>
      </c>
      <c r="V60" s="5">
        <v>486.53</v>
      </c>
      <c r="W60" s="5">
        <v>449.29</v>
      </c>
      <c r="X60" s="5">
        <v>0</v>
      </c>
      <c r="Y60" s="5">
        <v>192.49</v>
      </c>
    </row>
    <row r="61" spans="1:25" ht="24.75" x14ac:dyDescent="0.25">
      <c r="A61" s="5" t="s">
        <v>26</v>
      </c>
      <c r="B61" s="5" t="s">
        <v>34</v>
      </c>
      <c r="C61" s="5" t="s">
        <v>46</v>
      </c>
      <c r="D61" s="5" t="s">
        <v>50</v>
      </c>
      <c r="E61" s="5" t="s">
        <v>28</v>
      </c>
      <c r="F61" s="5" t="s">
        <v>113</v>
      </c>
      <c r="G61" s="5">
        <v>2019</v>
      </c>
      <c r="H61" s="5" t="str">
        <f>_xlfn.CONCAT("94240519507")</f>
        <v>94240519507</v>
      </c>
      <c r="I61" s="5" t="s">
        <v>29</v>
      </c>
      <c r="J61" s="5" t="s">
        <v>30</v>
      </c>
      <c r="K61" s="5" t="str">
        <f>_xlfn.CONCAT("")</f>
        <v/>
      </c>
      <c r="L61" s="5" t="str">
        <f>_xlfn.CONCAT("11 11.1 4b")</f>
        <v>11 11.1 4b</v>
      </c>
      <c r="M61" s="5" t="str">
        <f>_xlfn.CONCAT("MRTLCU71T11C745Y")</f>
        <v>MRTLCU71T11C745Y</v>
      </c>
      <c r="N61" s="5" t="s">
        <v>114</v>
      </c>
      <c r="O61" s="5" t="s">
        <v>62</v>
      </c>
      <c r="P61" s="6">
        <v>44096</v>
      </c>
      <c r="Q61" s="5" t="s">
        <v>31</v>
      </c>
      <c r="R61" s="5" t="s">
        <v>32</v>
      </c>
      <c r="S61" s="5" t="s">
        <v>33</v>
      </c>
      <c r="T61" s="5"/>
      <c r="U61" s="7">
        <v>1128.31</v>
      </c>
      <c r="V61" s="5">
        <v>486.53</v>
      </c>
      <c r="W61" s="5">
        <v>449.29</v>
      </c>
      <c r="X61" s="5">
        <v>0</v>
      </c>
      <c r="Y61" s="5">
        <v>192.49</v>
      </c>
    </row>
    <row r="62" spans="1:25" ht="24.75" x14ac:dyDescent="0.25">
      <c r="A62" s="5" t="s">
        <v>26</v>
      </c>
      <c r="B62" s="5" t="s">
        <v>34</v>
      </c>
      <c r="C62" s="5" t="s">
        <v>46</v>
      </c>
      <c r="D62" s="5" t="s">
        <v>50</v>
      </c>
      <c r="E62" s="5" t="s">
        <v>35</v>
      </c>
      <c r="F62" s="5" t="s">
        <v>76</v>
      </c>
      <c r="G62" s="5">
        <v>2017</v>
      </c>
      <c r="H62" s="5" t="str">
        <f>_xlfn.CONCAT("74240624465")</f>
        <v>74240624465</v>
      </c>
      <c r="I62" s="5" t="s">
        <v>29</v>
      </c>
      <c r="J62" s="5" t="s">
        <v>30</v>
      </c>
      <c r="K62" s="5" t="str">
        <f>_xlfn.CONCAT("")</f>
        <v/>
      </c>
      <c r="L62" s="5" t="str">
        <f>_xlfn.CONCAT("11 11.1 4b")</f>
        <v>11 11.1 4b</v>
      </c>
      <c r="M62" s="5" t="str">
        <f>_xlfn.CONCAT("CLLLCN61D41I287K")</f>
        <v>CLLLCN61D41I287K</v>
      </c>
      <c r="N62" s="5" t="s">
        <v>115</v>
      </c>
      <c r="O62" s="5" t="s">
        <v>62</v>
      </c>
      <c r="P62" s="6">
        <v>44096</v>
      </c>
      <c r="Q62" s="5" t="s">
        <v>31</v>
      </c>
      <c r="R62" s="5" t="s">
        <v>32</v>
      </c>
      <c r="S62" s="5" t="s">
        <v>33</v>
      </c>
      <c r="T62" s="5"/>
      <c r="U62" s="5">
        <v>454.74</v>
      </c>
      <c r="V62" s="5">
        <v>196.08</v>
      </c>
      <c r="W62" s="5">
        <v>181.08</v>
      </c>
      <c r="X62" s="5">
        <v>0</v>
      </c>
      <c r="Y62" s="5">
        <v>77.58</v>
      </c>
    </row>
    <row r="63" spans="1:25" ht="24.75" x14ac:dyDescent="0.25">
      <c r="A63" s="5" t="s">
        <v>26</v>
      </c>
      <c r="B63" s="5" t="s">
        <v>34</v>
      </c>
      <c r="C63" s="5" t="s">
        <v>46</v>
      </c>
      <c r="D63" s="5" t="s">
        <v>50</v>
      </c>
      <c r="E63" s="5" t="s">
        <v>35</v>
      </c>
      <c r="F63" s="5" t="s">
        <v>76</v>
      </c>
      <c r="G63" s="5">
        <v>2018</v>
      </c>
      <c r="H63" s="5" t="str">
        <f>_xlfn.CONCAT("84240574438")</f>
        <v>84240574438</v>
      </c>
      <c r="I63" s="5" t="s">
        <v>29</v>
      </c>
      <c r="J63" s="5" t="s">
        <v>30</v>
      </c>
      <c r="K63" s="5" t="str">
        <f>_xlfn.CONCAT("")</f>
        <v/>
      </c>
      <c r="L63" s="5" t="str">
        <f>_xlfn.CONCAT("11 11.1 4b")</f>
        <v>11 11.1 4b</v>
      </c>
      <c r="M63" s="5" t="str">
        <f>_xlfn.CONCAT("CLLLCN61D41I287K")</f>
        <v>CLLLCN61D41I287K</v>
      </c>
      <c r="N63" s="5" t="s">
        <v>115</v>
      </c>
      <c r="O63" s="5" t="s">
        <v>62</v>
      </c>
      <c r="P63" s="6">
        <v>44096</v>
      </c>
      <c r="Q63" s="5" t="s">
        <v>31</v>
      </c>
      <c r="R63" s="5" t="s">
        <v>32</v>
      </c>
      <c r="S63" s="5" t="s">
        <v>33</v>
      </c>
      <c r="T63" s="5"/>
      <c r="U63" s="5">
        <v>491.84</v>
      </c>
      <c r="V63" s="5">
        <v>212.08</v>
      </c>
      <c r="W63" s="5">
        <v>195.85</v>
      </c>
      <c r="X63" s="5">
        <v>0</v>
      </c>
      <c r="Y63" s="5">
        <v>83.91</v>
      </c>
    </row>
    <row r="64" spans="1:25" ht="24.75" x14ac:dyDescent="0.25">
      <c r="A64" s="5" t="s">
        <v>26</v>
      </c>
      <c r="B64" s="5" t="s">
        <v>34</v>
      </c>
      <c r="C64" s="5" t="s">
        <v>46</v>
      </c>
      <c r="D64" s="5" t="s">
        <v>50</v>
      </c>
      <c r="E64" s="5" t="s">
        <v>35</v>
      </c>
      <c r="F64" s="5" t="s">
        <v>76</v>
      </c>
      <c r="G64" s="5">
        <v>2019</v>
      </c>
      <c r="H64" s="5" t="str">
        <f>_xlfn.CONCAT("94240222912")</f>
        <v>94240222912</v>
      </c>
      <c r="I64" s="5" t="s">
        <v>29</v>
      </c>
      <c r="J64" s="5" t="s">
        <v>30</v>
      </c>
      <c r="K64" s="5" t="str">
        <f>_xlfn.CONCAT("")</f>
        <v/>
      </c>
      <c r="L64" s="5" t="str">
        <f>_xlfn.CONCAT("11 11.1 4b")</f>
        <v>11 11.1 4b</v>
      </c>
      <c r="M64" s="5" t="str">
        <f>_xlfn.CONCAT("CLLLCN61D41I287K")</f>
        <v>CLLLCN61D41I287K</v>
      </c>
      <c r="N64" s="5" t="s">
        <v>115</v>
      </c>
      <c r="O64" s="5" t="s">
        <v>62</v>
      </c>
      <c r="P64" s="6">
        <v>44096</v>
      </c>
      <c r="Q64" s="5" t="s">
        <v>31</v>
      </c>
      <c r="R64" s="5" t="s">
        <v>32</v>
      </c>
      <c r="S64" s="5" t="s">
        <v>33</v>
      </c>
      <c r="T64" s="5"/>
      <c r="U64" s="5">
        <v>232.56</v>
      </c>
      <c r="V64" s="5">
        <v>100.28</v>
      </c>
      <c r="W64" s="5">
        <v>92.61</v>
      </c>
      <c r="X64" s="5">
        <v>0</v>
      </c>
      <c r="Y64" s="5">
        <v>39.67</v>
      </c>
    </row>
    <row r="65" spans="1:25" ht="24.75" x14ac:dyDescent="0.25">
      <c r="A65" s="5" t="s">
        <v>26</v>
      </c>
      <c r="B65" s="5" t="s">
        <v>34</v>
      </c>
      <c r="C65" s="5" t="s">
        <v>46</v>
      </c>
      <c r="D65" s="5" t="s">
        <v>79</v>
      </c>
      <c r="E65" s="5" t="s">
        <v>35</v>
      </c>
      <c r="F65" s="5" t="s">
        <v>116</v>
      </c>
      <c r="G65" s="5">
        <v>2019</v>
      </c>
      <c r="H65" s="5" t="str">
        <f>_xlfn.CONCAT("94240157787")</f>
        <v>94240157787</v>
      </c>
      <c r="I65" s="5" t="s">
        <v>29</v>
      </c>
      <c r="J65" s="5" t="s">
        <v>30</v>
      </c>
      <c r="K65" s="5" t="str">
        <f>_xlfn.CONCAT("")</f>
        <v/>
      </c>
      <c r="L65" s="5" t="str">
        <f>_xlfn.CONCAT("11 11.2 4b")</f>
        <v>11 11.2 4b</v>
      </c>
      <c r="M65" s="5" t="str">
        <f>_xlfn.CONCAT("RHLKST49T70Z112B")</f>
        <v>RHLKST49T70Z112B</v>
      </c>
      <c r="N65" s="5" t="s">
        <v>117</v>
      </c>
      <c r="O65" s="5" t="s">
        <v>62</v>
      </c>
      <c r="P65" s="6">
        <v>44096</v>
      </c>
      <c r="Q65" s="5" t="s">
        <v>31</v>
      </c>
      <c r="R65" s="5" t="s">
        <v>32</v>
      </c>
      <c r="S65" s="5" t="s">
        <v>33</v>
      </c>
      <c r="T65" s="5"/>
      <c r="U65" s="5">
        <v>290.77999999999997</v>
      </c>
      <c r="V65" s="5">
        <v>125.38</v>
      </c>
      <c r="W65" s="5">
        <v>115.79</v>
      </c>
      <c r="X65" s="5">
        <v>0</v>
      </c>
      <c r="Y65" s="5">
        <v>49.61</v>
      </c>
    </row>
    <row r="66" spans="1:25" ht="24.75" x14ac:dyDescent="0.25">
      <c r="A66" s="5" t="s">
        <v>26</v>
      </c>
      <c r="B66" s="5" t="s">
        <v>34</v>
      </c>
      <c r="C66" s="5" t="s">
        <v>46</v>
      </c>
      <c r="D66" s="5" t="s">
        <v>50</v>
      </c>
      <c r="E66" s="5" t="s">
        <v>41</v>
      </c>
      <c r="F66" s="5" t="s">
        <v>118</v>
      </c>
      <c r="G66" s="5">
        <v>2017</v>
      </c>
      <c r="H66" s="5" t="str">
        <f>_xlfn.CONCAT("74240507306")</f>
        <v>74240507306</v>
      </c>
      <c r="I66" s="5" t="s">
        <v>29</v>
      </c>
      <c r="J66" s="5" t="s">
        <v>30</v>
      </c>
      <c r="K66" s="5" t="str">
        <f>_xlfn.CONCAT("")</f>
        <v/>
      </c>
      <c r="L66" s="5" t="str">
        <f>_xlfn.CONCAT("11 11.1 4b")</f>
        <v>11 11.1 4b</v>
      </c>
      <c r="M66" s="5" t="str">
        <f>_xlfn.CONCAT("02568350413")</f>
        <v>02568350413</v>
      </c>
      <c r="N66" s="5" t="s">
        <v>119</v>
      </c>
      <c r="O66" s="5" t="s">
        <v>62</v>
      </c>
      <c r="P66" s="6">
        <v>44096</v>
      </c>
      <c r="Q66" s="5" t="s">
        <v>31</v>
      </c>
      <c r="R66" s="5" t="s">
        <v>32</v>
      </c>
      <c r="S66" s="5" t="s">
        <v>33</v>
      </c>
      <c r="T66" s="5"/>
      <c r="U66" s="5">
        <v>857.63</v>
      </c>
      <c r="V66" s="5">
        <v>369.81</v>
      </c>
      <c r="W66" s="5">
        <v>341.51</v>
      </c>
      <c r="X66" s="5">
        <v>0</v>
      </c>
      <c r="Y66" s="5">
        <v>146.31</v>
      </c>
    </row>
    <row r="67" spans="1:25" ht="24.75" x14ac:dyDescent="0.25">
      <c r="A67" s="5" t="s">
        <v>26</v>
      </c>
      <c r="B67" s="5" t="s">
        <v>34</v>
      </c>
      <c r="C67" s="5" t="s">
        <v>46</v>
      </c>
      <c r="D67" s="5" t="s">
        <v>50</v>
      </c>
      <c r="E67" s="5" t="s">
        <v>41</v>
      </c>
      <c r="F67" s="5" t="s">
        <v>118</v>
      </c>
      <c r="G67" s="5">
        <v>2018</v>
      </c>
      <c r="H67" s="5" t="str">
        <f>_xlfn.CONCAT("84240210405")</f>
        <v>84240210405</v>
      </c>
      <c r="I67" s="5" t="s">
        <v>29</v>
      </c>
      <c r="J67" s="5" t="s">
        <v>30</v>
      </c>
      <c r="K67" s="5" t="str">
        <f>_xlfn.CONCAT("")</f>
        <v/>
      </c>
      <c r="L67" s="5" t="str">
        <f>_xlfn.CONCAT("11 11.1 4b")</f>
        <v>11 11.1 4b</v>
      </c>
      <c r="M67" s="5" t="str">
        <f>_xlfn.CONCAT("02568350413")</f>
        <v>02568350413</v>
      </c>
      <c r="N67" s="5" t="s">
        <v>119</v>
      </c>
      <c r="O67" s="5" t="s">
        <v>62</v>
      </c>
      <c r="P67" s="6">
        <v>44096</v>
      </c>
      <c r="Q67" s="5" t="s">
        <v>31</v>
      </c>
      <c r="R67" s="5" t="s">
        <v>32</v>
      </c>
      <c r="S67" s="5" t="s">
        <v>33</v>
      </c>
      <c r="T67" s="5"/>
      <c r="U67" s="5">
        <v>765.87</v>
      </c>
      <c r="V67" s="5">
        <v>330.24</v>
      </c>
      <c r="W67" s="5">
        <v>304.97000000000003</v>
      </c>
      <c r="X67" s="5">
        <v>0</v>
      </c>
      <c r="Y67" s="5">
        <v>130.66</v>
      </c>
    </row>
    <row r="68" spans="1:25" ht="24.75" x14ac:dyDescent="0.25">
      <c r="A68" s="5" t="s">
        <v>26</v>
      </c>
      <c r="B68" s="5" t="s">
        <v>34</v>
      </c>
      <c r="C68" s="5" t="s">
        <v>46</v>
      </c>
      <c r="D68" s="5" t="s">
        <v>50</v>
      </c>
      <c r="E68" s="5" t="s">
        <v>35</v>
      </c>
      <c r="F68" s="5" t="s">
        <v>120</v>
      </c>
      <c r="G68" s="5">
        <v>2019</v>
      </c>
      <c r="H68" s="5" t="str">
        <f>_xlfn.CONCAT("94240028707")</f>
        <v>94240028707</v>
      </c>
      <c r="I68" s="5" t="s">
        <v>29</v>
      </c>
      <c r="J68" s="5" t="s">
        <v>30</v>
      </c>
      <c r="K68" s="5" t="str">
        <f>_xlfn.CONCAT("")</f>
        <v/>
      </c>
      <c r="L68" s="5" t="str">
        <f>_xlfn.CONCAT("11 11.2 4b")</f>
        <v>11 11.2 4b</v>
      </c>
      <c r="M68" s="5" t="str">
        <f>_xlfn.CONCAT("01408070413")</f>
        <v>01408070413</v>
      </c>
      <c r="N68" s="5" t="s">
        <v>121</v>
      </c>
      <c r="O68" s="5" t="s">
        <v>62</v>
      </c>
      <c r="P68" s="6">
        <v>44096</v>
      </c>
      <c r="Q68" s="5" t="s">
        <v>31</v>
      </c>
      <c r="R68" s="5" t="s">
        <v>32</v>
      </c>
      <c r="S68" s="5" t="s">
        <v>33</v>
      </c>
      <c r="T68" s="5"/>
      <c r="U68" s="5">
        <v>30.03</v>
      </c>
      <c r="V68" s="5">
        <v>12.95</v>
      </c>
      <c r="W68" s="5">
        <v>11.96</v>
      </c>
      <c r="X68" s="5">
        <v>0</v>
      </c>
      <c r="Y68" s="5">
        <v>5.12</v>
      </c>
    </row>
    <row r="69" spans="1:25" ht="24.75" x14ac:dyDescent="0.25">
      <c r="A69" s="5" t="s">
        <v>26</v>
      </c>
      <c r="B69" s="5" t="s">
        <v>34</v>
      </c>
      <c r="C69" s="5" t="s">
        <v>46</v>
      </c>
      <c r="D69" s="5" t="s">
        <v>47</v>
      </c>
      <c r="E69" s="5" t="s">
        <v>35</v>
      </c>
      <c r="F69" s="5" t="s">
        <v>67</v>
      </c>
      <c r="G69" s="5">
        <v>2019</v>
      </c>
      <c r="H69" s="5" t="str">
        <f>_xlfn.CONCAT("94241099970")</f>
        <v>94241099970</v>
      </c>
      <c r="I69" s="5" t="s">
        <v>29</v>
      </c>
      <c r="J69" s="5" t="s">
        <v>30</v>
      </c>
      <c r="K69" s="5" t="str">
        <f>_xlfn.CONCAT("")</f>
        <v/>
      </c>
      <c r="L69" s="5" t="str">
        <f>_xlfn.CONCAT("10 10.1 4b")</f>
        <v>10 10.1 4b</v>
      </c>
      <c r="M69" s="5" t="str">
        <f>_xlfn.CONCAT("PRTSLV72M50H769P")</f>
        <v>PRTSLV72M50H769P</v>
      </c>
      <c r="N69" s="5" t="s">
        <v>122</v>
      </c>
      <c r="O69" s="5" t="s">
        <v>107</v>
      </c>
      <c r="P69" s="6">
        <v>44096</v>
      </c>
      <c r="Q69" s="5" t="s">
        <v>31</v>
      </c>
      <c r="R69" s="5" t="s">
        <v>32</v>
      </c>
      <c r="S69" s="5" t="s">
        <v>33</v>
      </c>
      <c r="T69" s="5"/>
      <c r="U69" s="7">
        <v>2411.94</v>
      </c>
      <c r="V69" s="7">
        <v>1040.03</v>
      </c>
      <c r="W69" s="5">
        <v>960.43</v>
      </c>
      <c r="X69" s="5">
        <v>0</v>
      </c>
      <c r="Y69" s="5">
        <v>411.48</v>
      </c>
    </row>
    <row r="70" spans="1:25" ht="24.75" x14ac:dyDescent="0.25">
      <c r="A70" s="5" t="s">
        <v>26</v>
      </c>
      <c r="B70" s="5" t="s">
        <v>34</v>
      </c>
      <c r="C70" s="5" t="s">
        <v>46</v>
      </c>
      <c r="D70" s="5" t="s">
        <v>47</v>
      </c>
      <c r="E70" s="5" t="s">
        <v>28</v>
      </c>
      <c r="F70" s="5" t="s">
        <v>53</v>
      </c>
      <c r="G70" s="5">
        <v>2018</v>
      </c>
      <c r="H70" s="5" t="str">
        <f>_xlfn.CONCAT("84240927966")</f>
        <v>84240927966</v>
      </c>
      <c r="I70" s="5" t="s">
        <v>29</v>
      </c>
      <c r="J70" s="5" t="s">
        <v>30</v>
      </c>
      <c r="K70" s="5" t="str">
        <f>_xlfn.CONCAT("")</f>
        <v/>
      </c>
      <c r="L70" s="5" t="str">
        <f>_xlfn.CONCAT("10 10.1 4a")</f>
        <v>10 10.1 4a</v>
      </c>
      <c r="M70" s="5" t="str">
        <f>_xlfn.CONCAT("GMNLTZ98H57A271V")</f>
        <v>GMNLTZ98H57A271V</v>
      </c>
      <c r="N70" s="5" t="s">
        <v>123</v>
      </c>
      <c r="O70" s="5" t="s">
        <v>124</v>
      </c>
      <c r="P70" s="6">
        <v>44096</v>
      </c>
      <c r="Q70" s="5" t="s">
        <v>31</v>
      </c>
      <c r="R70" s="5" t="s">
        <v>32</v>
      </c>
      <c r="S70" s="5" t="s">
        <v>33</v>
      </c>
      <c r="T70" s="5"/>
      <c r="U70" s="5">
        <v>877.68</v>
      </c>
      <c r="V70" s="5">
        <v>378.46</v>
      </c>
      <c r="W70" s="5">
        <v>349.49</v>
      </c>
      <c r="X70" s="5">
        <v>0</v>
      </c>
      <c r="Y70" s="5">
        <v>149.72999999999999</v>
      </c>
    </row>
    <row r="71" spans="1:25" ht="24.75" x14ac:dyDescent="0.25">
      <c r="A71" s="5" t="s">
        <v>26</v>
      </c>
      <c r="B71" s="5" t="s">
        <v>34</v>
      </c>
      <c r="C71" s="5" t="s">
        <v>46</v>
      </c>
      <c r="D71" s="5" t="s">
        <v>47</v>
      </c>
      <c r="E71" s="5" t="s">
        <v>28</v>
      </c>
      <c r="F71" s="5" t="s">
        <v>53</v>
      </c>
      <c r="G71" s="5">
        <v>2018</v>
      </c>
      <c r="H71" s="5" t="str">
        <f>_xlfn.CONCAT("84240860993")</f>
        <v>84240860993</v>
      </c>
      <c r="I71" s="5" t="s">
        <v>29</v>
      </c>
      <c r="J71" s="5" t="s">
        <v>30</v>
      </c>
      <c r="K71" s="5" t="str">
        <f>_xlfn.CONCAT("")</f>
        <v/>
      </c>
      <c r="L71" s="5" t="str">
        <f>_xlfn.CONCAT("10 10.1 4a")</f>
        <v>10 10.1 4a</v>
      </c>
      <c r="M71" s="5" t="str">
        <f>_xlfn.CONCAT("GHMMRL68S49Z129X")</f>
        <v>GHMMRL68S49Z129X</v>
      </c>
      <c r="N71" s="5" t="s">
        <v>125</v>
      </c>
      <c r="O71" s="5" t="s">
        <v>124</v>
      </c>
      <c r="P71" s="6">
        <v>44096</v>
      </c>
      <c r="Q71" s="5" t="s">
        <v>31</v>
      </c>
      <c r="R71" s="5" t="s">
        <v>32</v>
      </c>
      <c r="S71" s="5" t="s">
        <v>33</v>
      </c>
      <c r="T71" s="5"/>
      <c r="U71" s="5">
        <v>675.75</v>
      </c>
      <c r="V71" s="5">
        <v>291.38</v>
      </c>
      <c r="W71" s="5">
        <v>269.08</v>
      </c>
      <c r="X71" s="5">
        <v>0</v>
      </c>
      <c r="Y71" s="5">
        <v>115.29</v>
      </c>
    </row>
    <row r="72" spans="1:25" ht="24.75" x14ac:dyDescent="0.25">
      <c r="A72" s="5" t="s">
        <v>26</v>
      </c>
      <c r="B72" s="5" t="s">
        <v>34</v>
      </c>
      <c r="C72" s="5" t="s">
        <v>46</v>
      </c>
      <c r="D72" s="5" t="s">
        <v>47</v>
      </c>
      <c r="E72" s="5" t="s">
        <v>28</v>
      </c>
      <c r="F72" s="5" t="s">
        <v>53</v>
      </c>
      <c r="G72" s="5">
        <v>2019</v>
      </c>
      <c r="H72" s="5" t="str">
        <f>_xlfn.CONCAT("94240970734")</f>
        <v>94240970734</v>
      </c>
      <c r="I72" s="5" t="s">
        <v>37</v>
      </c>
      <c r="J72" s="5" t="s">
        <v>30</v>
      </c>
      <c r="K72" s="5" t="str">
        <f>_xlfn.CONCAT("")</f>
        <v/>
      </c>
      <c r="L72" s="5" t="str">
        <f>_xlfn.CONCAT("10 10.1 4a")</f>
        <v>10 10.1 4a</v>
      </c>
      <c r="M72" s="5" t="str">
        <f>_xlfn.CONCAT("MTTLSN78L05H769Y")</f>
        <v>MTTLSN78L05H769Y</v>
      </c>
      <c r="N72" s="5" t="s">
        <v>126</v>
      </c>
      <c r="O72" s="5" t="s">
        <v>124</v>
      </c>
      <c r="P72" s="6">
        <v>44096</v>
      </c>
      <c r="Q72" s="5" t="s">
        <v>31</v>
      </c>
      <c r="R72" s="5" t="s">
        <v>32</v>
      </c>
      <c r="S72" s="5" t="s">
        <v>33</v>
      </c>
      <c r="T72" s="5"/>
      <c r="U72" s="5">
        <v>319.5</v>
      </c>
      <c r="V72" s="5">
        <v>137.77000000000001</v>
      </c>
      <c r="W72" s="5">
        <v>127.22</v>
      </c>
      <c r="X72" s="5">
        <v>0</v>
      </c>
      <c r="Y72" s="5">
        <v>54.51</v>
      </c>
    </row>
    <row r="73" spans="1:25" ht="24.75" x14ac:dyDescent="0.25">
      <c r="A73" s="5" t="s">
        <v>26</v>
      </c>
      <c r="B73" s="5" t="s">
        <v>34</v>
      </c>
      <c r="C73" s="5" t="s">
        <v>46</v>
      </c>
      <c r="D73" s="5" t="s">
        <v>50</v>
      </c>
      <c r="E73" s="5" t="s">
        <v>28</v>
      </c>
      <c r="F73" s="5" t="s">
        <v>63</v>
      </c>
      <c r="G73" s="5">
        <v>2019</v>
      </c>
      <c r="H73" s="5" t="str">
        <f>_xlfn.CONCAT("94210156082")</f>
        <v>94210156082</v>
      </c>
      <c r="I73" s="5" t="s">
        <v>29</v>
      </c>
      <c r="J73" s="5" t="s">
        <v>30</v>
      </c>
      <c r="K73" s="5" t="str">
        <f>_xlfn.CONCAT("")</f>
        <v/>
      </c>
      <c r="L73" s="5" t="str">
        <f>_xlfn.CONCAT("13 13.1 4a")</f>
        <v>13 13.1 4a</v>
      </c>
      <c r="M73" s="5" t="str">
        <f>_xlfn.CONCAT("BLDGZN55M21G551S")</f>
        <v>BLDGZN55M21G551S</v>
      </c>
      <c r="N73" s="5" t="s">
        <v>127</v>
      </c>
      <c r="O73" s="5" t="s">
        <v>128</v>
      </c>
      <c r="P73" s="6">
        <v>44096</v>
      </c>
      <c r="Q73" s="5" t="s">
        <v>31</v>
      </c>
      <c r="R73" s="5" t="s">
        <v>32</v>
      </c>
      <c r="S73" s="5" t="s">
        <v>33</v>
      </c>
      <c r="T73" s="5"/>
      <c r="U73" s="5">
        <v>297.41000000000003</v>
      </c>
      <c r="V73" s="5">
        <v>128.24</v>
      </c>
      <c r="W73" s="5">
        <v>118.43</v>
      </c>
      <c r="X73" s="5">
        <v>0</v>
      </c>
      <c r="Y73" s="5">
        <v>50.74</v>
      </c>
    </row>
    <row r="74" spans="1:25" ht="24.75" x14ac:dyDescent="0.25">
      <c r="A74" s="5" t="s">
        <v>26</v>
      </c>
      <c r="B74" s="5" t="s">
        <v>34</v>
      </c>
      <c r="C74" s="5" t="s">
        <v>46</v>
      </c>
      <c r="D74" s="5" t="s">
        <v>47</v>
      </c>
      <c r="E74" s="5" t="s">
        <v>28</v>
      </c>
      <c r="F74" s="5" t="s">
        <v>103</v>
      </c>
      <c r="G74" s="5">
        <v>2018</v>
      </c>
      <c r="H74" s="5" t="str">
        <f>_xlfn.CONCAT("84211112382")</f>
        <v>84211112382</v>
      </c>
      <c r="I74" s="5" t="s">
        <v>29</v>
      </c>
      <c r="J74" s="5" t="s">
        <v>30</v>
      </c>
      <c r="K74" s="5" t="str">
        <f>_xlfn.CONCAT("")</f>
        <v/>
      </c>
      <c r="L74" s="5" t="str">
        <f>_xlfn.CONCAT("13 13.1 4a")</f>
        <v>13 13.1 4a</v>
      </c>
      <c r="M74" s="5" t="str">
        <f>_xlfn.CONCAT("FRRDNC64T09H390L")</f>
        <v>FRRDNC64T09H390L</v>
      </c>
      <c r="N74" s="5" t="s">
        <v>129</v>
      </c>
      <c r="O74" s="5" t="s">
        <v>128</v>
      </c>
      <c r="P74" s="6">
        <v>44096</v>
      </c>
      <c r="Q74" s="5" t="s">
        <v>31</v>
      </c>
      <c r="R74" s="5" t="s">
        <v>32</v>
      </c>
      <c r="S74" s="5" t="s">
        <v>33</v>
      </c>
      <c r="T74" s="5"/>
      <c r="U74" s="5">
        <v>154.47999999999999</v>
      </c>
      <c r="V74" s="5">
        <v>66.61</v>
      </c>
      <c r="W74" s="5">
        <v>61.51</v>
      </c>
      <c r="X74" s="5">
        <v>0</v>
      </c>
      <c r="Y74" s="5">
        <v>26.36</v>
      </c>
    </row>
    <row r="75" spans="1:25" x14ac:dyDescent="0.25">
      <c r="A75" s="5" t="s">
        <v>26</v>
      </c>
      <c r="B75" s="5" t="s">
        <v>34</v>
      </c>
      <c r="C75" s="5" t="s">
        <v>46</v>
      </c>
      <c r="D75" s="5" t="s">
        <v>130</v>
      </c>
      <c r="E75" s="5" t="s">
        <v>28</v>
      </c>
      <c r="F75" s="5" t="s">
        <v>131</v>
      </c>
      <c r="G75" s="5">
        <v>2019</v>
      </c>
      <c r="H75" s="5" t="str">
        <f>_xlfn.CONCAT("94241114910")</f>
        <v>94241114910</v>
      </c>
      <c r="I75" s="5" t="s">
        <v>29</v>
      </c>
      <c r="J75" s="5" t="s">
        <v>30</v>
      </c>
      <c r="K75" s="5" t="str">
        <f>_xlfn.CONCAT("")</f>
        <v/>
      </c>
      <c r="L75" s="5" t="str">
        <f>_xlfn.CONCAT("10 10.1 4a")</f>
        <v>10 10.1 4a</v>
      </c>
      <c r="M75" s="5" t="str">
        <f>_xlfn.CONCAT("SLTCRN44D41C704I")</f>
        <v>SLTCRN44D41C704I</v>
      </c>
      <c r="N75" s="5" t="s">
        <v>132</v>
      </c>
      <c r="O75" s="5" t="s">
        <v>133</v>
      </c>
      <c r="P75" s="6">
        <v>44096</v>
      </c>
      <c r="Q75" s="5" t="s">
        <v>31</v>
      </c>
      <c r="R75" s="5" t="s">
        <v>32</v>
      </c>
      <c r="S75" s="5" t="s">
        <v>33</v>
      </c>
      <c r="T75" s="5"/>
      <c r="U75" s="5">
        <v>299.08</v>
      </c>
      <c r="V75" s="5">
        <v>128.96</v>
      </c>
      <c r="W75" s="5">
        <v>119.09</v>
      </c>
      <c r="X75" s="5">
        <v>0</v>
      </c>
      <c r="Y75" s="5">
        <v>51.03</v>
      </c>
    </row>
    <row r="76" spans="1:25" x14ac:dyDescent="0.25">
      <c r="A76" s="5" t="s">
        <v>26</v>
      </c>
      <c r="B76" s="5" t="s">
        <v>34</v>
      </c>
      <c r="C76" s="5" t="s">
        <v>46</v>
      </c>
      <c r="D76" s="5" t="s">
        <v>130</v>
      </c>
      <c r="E76" s="5" t="s">
        <v>44</v>
      </c>
      <c r="F76" s="5" t="s">
        <v>134</v>
      </c>
      <c r="G76" s="5">
        <v>2018</v>
      </c>
      <c r="H76" s="5" t="str">
        <f>_xlfn.CONCAT("84240145379")</f>
        <v>84240145379</v>
      </c>
      <c r="I76" s="5" t="s">
        <v>29</v>
      </c>
      <c r="J76" s="5" t="s">
        <v>30</v>
      </c>
      <c r="K76" s="5" t="str">
        <f>_xlfn.CONCAT("")</f>
        <v/>
      </c>
      <c r="L76" s="5" t="str">
        <f>_xlfn.CONCAT("10 10.1 4a")</f>
        <v>10 10.1 4a</v>
      </c>
      <c r="M76" s="5" t="str">
        <f>_xlfn.CONCAT("JRGSRH79E64H501A")</f>
        <v>JRGSRH79E64H501A</v>
      </c>
      <c r="N76" s="5" t="s">
        <v>135</v>
      </c>
      <c r="O76" s="5" t="s">
        <v>133</v>
      </c>
      <c r="P76" s="6">
        <v>44096</v>
      </c>
      <c r="Q76" s="5" t="s">
        <v>31</v>
      </c>
      <c r="R76" s="5" t="s">
        <v>32</v>
      </c>
      <c r="S76" s="5" t="s">
        <v>33</v>
      </c>
      <c r="T76" s="5"/>
      <c r="U76" s="5">
        <v>570</v>
      </c>
      <c r="V76" s="5">
        <v>245.78</v>
      </c>
      <c r="W76" s="5">
        <v>226.97</v>
      </c>
      <c r="X76" s="5">
        <v>0</v>
      </c>
      <c r="Y76" s="5">
        <v>97.25</v>
      </c>
    </row>
    <row r="77" spans="1:25" x14ac:dyDescent="0.25">
      <c r="A77" s="5" t="s">
        <v>26</v>
      </c>
      <c r="B77" s="5" t="s">
        <v>34</v>
      </c>
      <c r="C77" s="5" t="s">
        <v>46</v>
      </c>
      <c r="D77" s="5" t="s">
        <v>130</v>
      </c>
      <c r="E77" s="5" t="s">
        <v>44</v>
      </c>
      <c r="F77" s="5" t="s">
        <v>134</v>
      </c>
      <c r="G77" s="5">
        <v>2019</v>
      </c>
      <c r="H77" s="5" t="str">
        <f>_xlfn.CONCAT("94240637960")</f>
        <v>94240637960</v>
      </c>
      <c r="I77" s="5" t="s">
        <v>29</v>
      </c>
      <c r="J77" s="5" t="s">
        <v>30</v>
      </c>
      <c r="K77" s="5" t="str">
        <f>_xlfn.CONCAT("")</f>
        <v/>
      </c>
      <c r="L77" s="5" t="str">
        <f>_xlfn.CONCAT("10 10.1 4a")</f>
        <v>10 10.1 4a</v>
      </c>
      <c r="M77" s="5" t="str">
        <f>_xlfn.CONCAT("JRGSRH79E64H501A")</f>
        <v>JRGSRH79E64H501A</v>
      </c>
      <c r="N77" s="5" t="s">
        <v>135</v>
      </c>
      <c r="O77" s="5" t="s">
        <v>133</v>
      </c>
      <c r="P77" s="6">
        <v>44096</v>
      </c>
      <c r="Q77" s="5" t="s">
        <v>31</v>
      </c>
      <c r="R77" s="5" t="s">
        <v>32</v>
      </c>
      <c r="S77" s="5" t="s">
        <v>33</v>
      </c>
      <c r="T77" s="5"/>
      <c r="U77" s="5">
        <v>570</v>
      </c>
      <c r="V77" s="5">
        <v>245.78</v>
      </c>
      <c r="W77" s="5">
        <v>226.97</v>
      </c>
      <c r="X77" s="5">
        <v>0</v>
      </c>
      <c r="Y77" s="5">
        <v>97.25</v>
      </c>
    </row>
    <row r="78" spans="1:25" x14ac:dyDescent="0.25">
      <c r="A78" s="5" t="s">
        <v>26</v>
      </c>
      <c r="B78" s="5" t="s">
        <v>34</v>
      </c>
      <c r="C78" s="5" t="s">
        <v>46</v>
      </c>
      <c r="D78" s="5" t="s">
        <v>130</v>
      </c>
      <c r="E78" s="5" t="s">
        <v>35</v>
      </c>
      <c r="F78" s="5" t="s">
        <v>116</v>
      </c>
      <c r="G78" s="5">
        <v>2019</v>
      </c>
      <c r="H78" s="5" t="str">
        <f>_xlfn.CONCAT("94241169658")</f>
        <v>94241169658</v>
      </c>
      <c r="I78" s="5" t="s">
        <v>29</v>
      </c>
      <c r="J78" s="5" t="s">
        <v>30</v>
      </c>
      <c r="K78" s="5" t="str">
        <f>_xlfn.CONCAT("")</f>
        <v/>
      </c>
      <c r="L78" s="5" t="str">
        <f>_xlfn.CONCAT("10 10.1 4a")</f>
        <v>10 10.1 4a</v>
      </c>
      <c r="M78" s="5" t="str">
        <f>_xlfn.CONCAT("MCAMGS61R55I661H")</f>
        <v>MCAMGS61R55I661H</v>
      </c>
      <c r="N78" s="5" t="s">
        <v>136</v>
      </c>
      <c r="O78" s="5" t="s">
        <v>133</v>
      </c>
      <c r="P78" s="6">
        <v>44096</v>
      </c>
      <c r="Q78" s="5" t="s">
        <v>31</v>
      </c>
      <c r="R78" s="5" t="s">
        <v>32</v>
      </c>
      <c r="S78" s="5" t="s">
        <v>33</v>
      </c>
      <c r="T78" s="5"/>
      <c r="U78" s="7">
        <v>1744.2</v>
      </c>
      <c r="V78" s="5">
        <v>752.1</v>
      </c>
      <c r="W78" s="5">
        <v>694.54</v>
      </c>
      <c r="X78" s="5">
        <v>0</v>
      </c>
      <c r="Y78" s="5">
        <v>297.56</v>
      </c>
    </row>
    <row r="79" spans="1:25" x14ac:dyDescent="0.25">
      <c r="A79" s="5" t="s">
        <v>26</v>
      </c>
      <c r="B79" s="5" t="s">
        <v>34</v>
      </c>
      <c r="C79" s="5" t="s">
        <v>46</v>
      </c>
      <c r="D79" s="5" t="s">
        <v>130</v>
      </c>
      <c r="E79" s="5" t="s">
        <v>28</v>
      </c>
      <c r="F79" s="5" t="s">
        <v>137</v>
      </c>
      <c r="G79" s="5">
        <v>2019</v>
      </c>
      <c r="H79" s="5" t="str">
        <f>_xlfn.CONCAT("94240750466")</f>
        <v>94240750466</v>
      </c>
      <c r="I79" s="5" t="s">
        <v>29</v>
      </c>
      <c r="J79" s="5" t="s">
        <v>30</v>
      </c>
      <c r="K79" s="5" t="str">
        <f>_xlfn.CONCAT("")</f>
        <v/>
      </c>
      <c r="L79" s="5" t="str">
        <f>_xlfn.CONCAT("10 10.1 4a")</f>
        <v>10 10.1 4a</v>
      </c>
      <c r="M79" s="5" t="str">
        <f>_xlfn.CONCAT("NBLCNZ73S59I156C")</f>
        <v>NBLCNZ73S59I156C</v>
      </c>
      <c r="N79" s="5" t="s">
        <v>138</v>
      </c>
      <c r="O79" s="5" t="s">
        <v>133</v>
      </c>
      <c r="P79" s="6">
        <v>44096</v>
      </c>
      <c r="Q79" s="5" t="s">
        <v>31</v>
      </c>
      <c r="R79" s="5" t="s">
        <v>32</v>
      </c>
      <c r="S79" s="5" t="s">
        <v>33</v>
      </c>
      <c r="T79" s="5"/>
      <c r="U79" s="5">
        <v>804.6</v>
      </c>
      <c r="V79" s="5">
        <v>346.94</v>
      </c>
      <c r="W79" s="5">
        <v>320.39</v>
      </c>
      <c r="X79" s="5">
        <v>0</v>
      </c>
      <c r="Y79" s="5">
        <v>137.27000000000001</v>
      </c>
    </row>
    <row r="80" spans="1:25" x14ac:dyDescent="0.25">
      <c r="A80" s="5" t="s">
        <v>26</v>
      </c>
      <c r="B80" s="5" t="s">
        <v>34</v>
      </c>
      <c r="C80" s="5" t="s">
        <v>46</v>
      </c>
      <c r="D80" s="5" t="s">
        <v>130</v>
      </c>
      <c r="E80" s="5" t="s">
        <v>28</v>
      </c>
      <c r="F80" s="5" t="s">
        <v>139</v>
      </c>
      <c r="G80" s="5">
        <v>2019</v>
      </c>
      <c r="H80" s="5" t="str">
        <f>_xlfn.CONCAT("94240817547")</f>
        <v>94240817547</v>
      </c>
      <c r="I80" s="5" t="s">
        <v>29</v>
      </c>
      <c r="J80" s="5" t="s">
        <v>30</v>
      </c>
      <c r="K80" s="5" t="str">
        <f>_xlfn.CONCAT("")</f>
        <v/>
      </c>
      <c r="L80" s="5" t="str">
        <f>_xlfn.CONCAT("10 10.1 4a")</f>
        <v>10 10.1 4a</v>
      </c>
      <c r="M80" s="5" t="str">
        <f>_xlfn.CONCAT("GSTGNN34H23F552V")</f>
        <v>GSTGNN34H23F552V</v>
      </c>
      <c r="N80" s="5" t="s">
        <v>140</v>
      </c>
      <c r="O80" s="5" t="s">
        <v>133</v>
      </c>
      <c r="P80" s="6">
        <v>44096</v>
      </c>
      <c r="Q80" s="5" t="s">
        <v>31</v>
      </c>
      <c r="R80" s="5" t="s">
        <v>32</v>
      </c>
      <c r="S80" s="5" t="s">
        <v>33</v>
      </c>
      <c r="T80" s="5"/>
      <c r="U80" s="5">
        <v>940.14</v>
      </c>
      <c r="V80" s="5">
        <v>405.39</v>
      </c>
      <c r="W80" s="5">
        <v>374.36</v>
      </c>
      <c r="X80" s="5">
        <v>0</v>
      </c>
      <c r="Y80" s="5">
        <v>160.38999999999999</v>
      </c>
    </row>
    <row r="81" spans="1:25" x14ac:dyDescent="0.25">
      <c r="A81" s="5" t="s">
        <v>26</v>
      </c>
      <c r="B81" s="5" t="s">
        <v>34</v>
      </c>
      <c r="C81" s="5" t="s">
        <v>46</v>
      </c>
      <c r="D81" s="5" t="s">
        <v>130</v>
      </c>
      <c r="E81" s="5" t="s">
        <v>28</v>
      </c>
      <c r="F81" s="5" t="s">
        <v>139</v>
      </c>
      <c r="G81" s="5">
        <v>2019</v>
      </c>
      <c r="H81" s="5" t="str">
        <f>_xlfn.CONCAT("94240889819")</f>
        <v>94240889819</v>
      </c>
      <c r="I81" s="5" t="s">
        <v>29</v>
      </c>
      <c r="J81" s="5" t="s">
        <v>30</v>
      </c>
      <c r="K81" s="5" t="str">
        <f>_xlfn.CONCAT("")</f>
        <v/>
      </c>
      <c r="L81" s="5" t="str">
        <f>_xlfn.CONCAT("10 10.1 4a")</f>
        <v>10 10.1 4a</v>
      </c>
      <c r="M81" s="5" t="str">
        <f>_xlfn.CONCAT("MGLPNI52L42E783F")</f>
        <v>MGLPNI52L42E783F</v>
      </c>
      <c r="N81" s="5" t="s">
        <v>141</v>
      </c>
      <c r="O81" s="5" t="s">
        <v>133</v>
      </c>
      <c r="P81" s="6">
        <v>44096</v>
      </c>
      <c r="Q81" s="5" t="s">
        <v>31</v>
      </c>
      <c r="R81" s="5" t="s">
        <v>32</v>
      </c>
      <c r="S81" s="5" t="s">
        <v>33</v>
      </c>
      <c r="T81" s="5"/>
      <c r="U81" s="5">
        <v>329.82</v>
      </c>
      <c r="V81" s="5">
        <v>142.22</v>
      </c>
      <c r="W81" s="5">
        <v>131.33000000000001</v>
      </c>
      <c r="X81" s="5">
        <v>0</v>
      </c>
      <c r="Y81" s="5">
        <v>56.27</v>
      </c>
    </row>
    <row r="82" spans="1:25" ht="24.75" x14ac:dyDescent="0.25">
      <c r="A82" s="5" t="s">
        <v>26</v>
      </c>
      <c r="B82" s="5" t="s">
        <v>34</v>
      </c>
      <c r="C82" s="5" t="s">
        <v>46</v>
      </c>
      <c r="D82" s="5" t="s">
        <v>47</v>
      </c>
      <c r="E82" s="5" t="s">
        <v>40</v>
      </c>
      <c r="F82" s="5" t="s">
        <v>142</v>
      </c>
      <c r="G82" s="5">
        <v>2018</v>
      </c>
      <c r="H82" s="5" t="str">
        <f>_xlfn.CONCAT("84240613095")</f>
        <v>84240613095</v>
      </c>
      <c r="I82" s="5" t="s">
        <v>29</v>
      </c>
      <c r="J82" s="5" t="s">
        <v>30</v>
      </c>
      <c r="K82" s="5" t="str">
        <f>_xlfn.CONCAT("")</f>
        <v/>
      </c>
      <c r="L82" s="5" t="str">
        <f>_xlfn.CONCAT("11 11.2 4b")</f>
        <v>11 11.2 4b</v>
      </c>
      <c r="M82" s="5" t="str">
        <f>_xlfn.CONCAT("GLNCHR84M46A462G")</f>
        <v>GLNCHR84M46A462G</v>
      </c>
      <c r="N82" s="5" t="s">
        <v>143</v>
      </c>
      <c r="O82" s="5" t="s">
        <v>144</v>
      </c>
      <c r="P82" s="6">
        <v>44096</v>
      </c>
      <c r="Q82" s="5" t="s">
        <v>31</v>
      </c>
      <c r="R82" s="5" t="s">
        <v>32</v>
      </c>
      <c r="S82" s="5" t="s">
        <v>33</v>
      </c>
      <c r="T82" s="5"/>
      <c r="U82" s="5">
        <v>881.94</v>
      </c>
      <c r="V82" s="5">
        <v>380.29</v>
      </c>
      <c r="W82" s="5">
        <v>351.19</v>
      </c>
      <c r="X82" s="5">
        <v>0</v>
      </c>
      <c r="Y82" s="5">
        <v>150.46</v>
      </c>
    </row>
    <row r="83" spans="1:25" ht="24.75" x14ac:dyDescent="0.25">
      <c r="A83" s="5" t="s">
        <v>26</v>
      </c>
      <c r="B83" s="5" t="s">
        <v>34</v>
      </c>
      <c r="C83" s="5" t="s">
        <v>46</v>
      </c>
      <c r="D83" s="5" t="s">
        <v>47</v>
      </c>
      <c r="E83" s="5" t="s">
        <v>40</v>
      </c>
      <c r="F83" s="5" t="s">
        <v>142</v>
      </c>
      <c r="G83" s="5">
        <v>2019</v>
      </c>
      <c r="H83" s="5" t="str">
        <f>_xlfn.CONCAT("94241079287")</f>
        <v>94241079287</v>
      </c>
      <c r="I83" s="5" t="s">
        <v>29</v>
      </c>
      <c r="J83" s="5" t="s">
        <v>30</v>
      </c>
      <c r="K83" s="5" t="str">
        <f>_xlfn.CONCAT("")</f>
        <v/>
      </c>
      <c r="L83" s="5" t="str">
        <f>_xlfn.CONCAT("11 11.2 4b")</f>
        <v>11 11.2 4b</v>
      </c>
      <c r="M83" s="5" t="str">
        <f>_xlfn.CONCAT("GLNCHR84M46A462G")</f>
        <v>GLNCHR84M46A462G</v>
      </c>
      <c r="N83" s="5" t="s">
        <v>143</v>
      </c>
      <c r="O83" s="5" t="s">
        <v>144</v>
      </c>
      <c r="P83" s="6">
        <v>44096</v>
      </c>
      <c r="Q83" s="5" t="s">
        <v>31</v>
      </c>
      <c r="R83" s="5" t="s">
        <v>32</v>
      </c>
      <c r="S83" s="5" t="s">
        <v>33</v>
      </c>
      <c r="T83" s="5"/>
      <c r="U83" s="7">
        <v>4018.93</v>
      </c>
      <c r="V83" s="7">
        <v>1732.96</v>
      </c>
      <c r="W83" s="7">
        <v>1600.34</v>
      </c>
      <c r="X83" s="5">
        <v>0</v>
      </c>
      <c r="Y83" s="5">
        <v>685.63</v>
      </c>
    </row>
    <row r="84" spans="1:25" ht="24.75" x14ac:dyDescent="0.25">
      <c r="A84" s="5" t="s">
        <v>26</v>
      </c>
      <c r="B84" s="5" t="s">
        <v>34</v>
      </c>
      <c r="C84" s="5" t="s">
        <v>46</v>
      </c>
      <c r="D84" s="5" t="s">
        <v>50</v>
      </c>
      <c r="E84" s="5" t="s">
        <v>44</v>
      </c>
      <c r="F84" s="5" t="s">
        <v>145</v>
      </c>
      <c r="G84" s="5">
        <v>2019</v>
      </c>
      <c r="H84" s="5" t="str">
        <f>_xlfn.CONCAT("94211101285")</f>
        <v>94211101285</v>
      </c>
      <c r="I84" s="5" t="s">
        <v>29</v>
      </c>
      <c r="J84" s="5" t="s">
        <v>30</v>
      </c>
      <c r="K84" s="5" t="str">
        <f>_xlfn.CONCAT("")</f>
        <v/>
      </c>
      <c r="L84" s="5" t="str">
        <f>_xlfn.CONCAT("13 13.1 4a")</f>
        <v>13 13.1 4a</v>
      </c>
      <c r="M84" s="5" t="str">
        <f>_xlfn.CONCAT("02465610414")</f>
        <v>02465610414</v>
      </c>
      <c r="N84" s="5" t="s">
        <v>146</v>
      </c>
      <c r="O84" s="5" t="s">
        <v>128</v>
      </c>
      <c r="P84" s="6">
        <v>44096</v>
      </c>
      <c r="Q84" s="5" t="s">
        <v>31</v>
      </c>
      <c r="R84" s="5" t="s">
        <v>32</v>
      </c>
      <c r="S84" s="5" t="s">
        <v>33</v>
      </c>
      <c r="T84" s="5"/>
      <c r="U84" s="7">
        <v>1350</v>
      </c>
      <c r="V84" s="5">
        <v>582.12</v>
      </c>
      <c r="W84" s="5">
        <v>537.57000000000005</v>
      </c>
      <c r="X84" s="5">
        <v>0</v>
      </c>
      <c r="Y84" s="5">
        <v>230.31</v>
      </c>
    </row>
    <row r="85" spans="1:25" x14ac:dyDescent="0.25">
      <c r="A85" s="5" t="s">
        <v>26</v>
      </c>
      <c r="B85" s="5" t="s">
        <v>34</v>
      </c>
      <c r="C85" s="5" t="s">
        <v>46</v>
      </c>
      <c r="D85" s="5" t="s">
        <v>130</v>
      </c>
      <c r="E85" s="5" t="s">
        <v>28</v>
      </c>
      <c r="F85" s="5" t="s">
        <v>147</v>
      </c>
      <c r="G85" s="5">
        <v>2019</v>
      </c>
      <c r="H85" s="5" t="str">
        <f>_xlfn.CONCAT("94210605765")</f>
        <v>94210605765</v>
      </c>
      <c r="I85" s="5" t="s">
        <v>29</v>
      </c>
      <c r="J85" s="5" t="s">
        <v>30</v>
      </c>
      <c r="K85" s="5" t="str">
        <f>_xlfn.CONCAT("")</f>
        <v/>
      </c>
      <c r="L85" s="5" t="str">
        <f>_xlfn.CONCAT("13 13.1 4a")</f>
        <v>13 13.1 4a</v>
      </c>
      <c r="M85" s="5" t="str">
        <f>_xlfn.CONCAT("NGLGNN90P20B474S")</f>
        <v>NGLGNN90P20B474S</v>
      </c>
      <c r="N85" s="5" t="s">
        <v>148</v>
      </c>
      <c r="O85" s="5" t="s">
        <v>128</v>
      </c>
      <c r="P85" s="6">
        <v>44096</v>
      </c>
      <c r="Q85" s="5" t="s">
        <v>31</v>
      </c>
      <c r="R85" s="5" t="s">
        <v>32</v>
      </c>
      <c r="S85" s="5" t="s">
        <v>33</v>
      </c>
      <c r="T85" s="5"/>
      <c r="U85" s="7">
        <v>9000</v>
      </c>
      <c r="V85" s="7">
        <v>3880.8</v>
      </c>
      <c r="W85" s="7">
        <v>3583.8</v>
      </c>
      <c r="X85" s="5">
        <v>0</v>
      </c>
      <c r="Y85" s="7">
        <v>1535.4</v>
      </c>
    </row>
    <row r="86" spans="1:25" ht="24.75" x14ac:dyDescent="0.25">
      <c r="A86" s="5" t="s">
        <v>26</v>
      </c>
      <c r="B86" s="5" t="s">
        <v>34</v>
      </c>
      <c r="C86" s="5" t="s">
        <v>46</v>
      </c>
      <c r="D86" s="5" t="s">
        <v>50</v>
      </c>
      <c r="E86" s="5" t="s">
        <v>28</v>
      </c>
      <c r="F86" s="5" t="s">
        <v>63</v>
      </c>
      <c r="G86" s="5">
        <v>2019</v>
      </c>
      <c r="H86" s="5" t="str">
        <f>_xlfn.CONCAT("94210155985")</f>
        <v>94210155985</v>
      </c>
      <c r="I86" s="5" t="s">
        <v>29</v>
      </c>
      <c r="J86" s="5" t="s">
        <v>30</v>
      </c>
      <c r="K86" s="5" t="str">
        <f>_xlfn.CONCAT("")</f>
        <v/>
      </c>
      <c r="L86" s="5" t="str">
        <f>_xlfn.CONCAT("13 13.1 4a")</f>
        <v>13 13.1 4a</v>
      </c>
      <c r="M86" s="5" t="str">
        <f>_xlfn.CONCAT("BLDGPP58C19G551K")</f>
        <v>BLDGPP58C19G551K</v>
      </c>
      <c r="N86" s="5" t="s">
        <v>149</v>
      </c>
      <c r="O86" s="5" t="s">
        <v>128</v>
      </c>
      <c r="P86" s="6">
        <v>44096</v>
      </c>
      <c r="Q86" s="5" t="s">
        <v>31</v>
      </c>
      <c r="R86" s="5" t="s">
        <v>32</v>
      </c>
      <c r="S86" s="5" t="s">
        <v>33</v>
      </c>
      <c r="T86" s="5"/>
      <c r="U86" s="5">
        <v>584.82000000000005</v>
      </c>
      <c r="V86" s="5">
        <v>252.17</v>
      </c>
      <c r="W86" s="5">
        <v>232.88</v>
      </c>
      <c r="X86" s="5">
        <v>0</v>
      </c>
      <c r="Y86" s="5">
        <v>99.77</v>
      </c>
    </row>
    <row r="87" spans="1:25" ht="24.75" x14ac:dyDescent="0.25">
      <c r="A87" s="5" t="s">
        <v>26</v>
      </c>
      <c r="B87" s="5" t="s">
        <v>34</v>
      </c>
      <c r="C87" s="5" t="s">
        <v>46</v>
      </c>
      <c r="D87" s="5" t="s">
        <v>50</v>
      </c>
      <c r="E87" s="5" t="s">
        <v>35</v>
      </c>
      <c r="F87" s="5" t="s">
        <v>120</v>
      </c>
      <c r="G87" s="5">
        <v>2019</v>
      </c>
      <c r="H87" s="5" t="str">
        <f>_xlfn.CONCAT("94210211671")</f>
        <v>94210211671</v>
      </c>
      <c r="I87" s="5" t="s">
        <v>29</v>
      </c>
      <c r="J87" s="5" t="s">
        <v>30</v>
      </c>
      <c r="K87" s="5" t="str">
        <f>_xlfn.CONCAT("")</f>
        <v/>
      </c>
      <c r="L87" s="5" t="str">
        <f>_xlfn.CONCAT("13 13.1 4a")</f>
        <v>13 13.1 4a</v>
      </c>
      <c r="M87" s="5" t="str">
        <f>_xlfn.CONCAT("DNGFST56D15F524K")</f>
        <v>DNGFST56D15F524K</v>
      </c>
      <c r="N87" s="5" t="s">
        <v>150</v>
      </c>
      <c r="O87" s="5" t="s">
        <v>128</v>
      </c>
      <c r="P87" s="6">
        <v>44096</v>
      </c>
      <c r="Q87" s="5" t="s">
        <v>31</v>
      </c>
      <c r="R87" s="5" t="s">
        <v>32</v>
      </c>
      <c r="S87" s="5" t="s">
        <v>33</v>
      </c>
      <c r="T87" s="5"/>
      <c r="U87" s="7">
        <v>1388.46</v>
      </c>
      <c r="V87" s="5">
        <v>598.70000000000005</v>
      </c>
      <c r="W87" s="5">
        <v>552.88</v>
      </c>
      <c r="X87" s="5">
        <v>0</v>
      </c>
      <c r="Y87" s="5">
        <v>236.88</v>
      </c>
    </row>
    <row r="88" spans="1:25" ht="24.75" x14ac:dyDescent="0.25">
      <c r="A88" s="5" t="s">
        <v>26</v>
      </c>
      <c r="B88" s="5" t="s">
        <v>34</v>
      </c>
      <c r="C88" s="5" t="s">
        <v>46</v>
      </c>
      <c r="D88" s="5" t="s">
        <v>47</v>
      </c>
      <c r="E88" s="5" t="s">
        <v>28</v>
      </c>
      <c r="F88" s="5" t="s">
        <v>53</v>
      </c>
      <c r="G88" s="5">
        <v>2019</v>
      </c>
      <c r="H88" s="5" t="str">
        <f>_xlfn.CONCAT("94210261544")</f>
        <v>94210261544</v>
      </c>
      <c r="I88" s="5" t="s">
        <v>37</v>
      </c>
      <c r="J88" s="5" t="s">
        <v>30</v>
      </c>
      <c r="K88" s="5" t="str">
        <f>_xlfn.CONCAT("")</f>
        <v/>
      </c>
      <c r="L88" s="5" t="str">
        <f>_xlfn.CONCAT("13 13.1 4a")</f>
        <v>13 13.1 4a</v>
      </c>
      <c r="M88" s="5" t="str">
        <f>_xlfn.CONCAT("DLTGNN54T28D691U")</f>
        <v>DLTGNN54T28D691U</v>
      </c>
      <c r="N88" s="5" t="s">
        <v>151</v>
      </c>
      <c r="O88" s="5" t="s">
        <v>128</v>
      </c>
      <c r="P88" s="6">
        <v>44096</v>
      </c>
      <c r="Q88" s="5" t="s">
        <v>31</v>
      </c>
      <c r="R88" s="5" t="s">
        <v>32</v>
      </c>
      <c r="S88" s="5" t="s">
        <v>33</v>
      </c>
      <c r="T88" s="5"/>
      <c r="U88" s="5">
        <v>119.58</v>
      </c>
      <c r="V88" s="5">
        <v>51.56</v>
      </c>
      <c r="W88" s="5">
        <v>47.62</v>
      </c>
      <c r="X88" s="5">
        <v>0</v>
      </c>
      <c r="Y88" s="5">
        <v>20.399999999999999</v>
      </c>
    </row>
    <row r="89" spans="1:25" ht="24.75" x14ac:dyDescent="0.25">
      <c r="A89" s="5" t="s">
        <v>26</v>
      </c>
      <c r="B89" s="5" t="s">
        <v>34</v>
      </c>
      <c r="C89" s="5" t="s">
        <v>46</v>
      </c>
      <c r="D89" s="5" t="s">
        <v>47</v>
      </c>
      <c r="E89" s="5" t="s">
        <v>28</v>
      </c>
      <c r="F89" s="5" t="s">
        <v>103</v>
      </c>
      <c r="G89" s="5">
        <v>2019</v>
      </c>
      <c r="H89" s="5" t="str">
        <f>_xlfn.CONCAT("94210773423")</f>
        <v>94210773423</v>
      </c>
      <c r="I89" s="5" t="s">
        <v>37</v>
      </c>
      <c r="J89" s="5" t="s">
        <v>30</v>
      </c>
      <c r="K89" s="5" t="str">
        <f>_xlfn.CONCAT("")</f>
        <v/>
      </c>
      <c r="L89" s="5" t="str">
        <f>_xlfn.CONCAT("13 13.1 4a")</f>
        <v>13 13.1 4a</v>
      </c>
      <c r="M89" s="5" t="str">
        <f>_xlfn.CONCAT("FLPLGU62P03L728T")</f>
        <v>FLPLGU62P03L728T</v>
      </c>
      <c r="N89" s="5" t="s">
        <v>152</v>
      </c>
      <c r="O89" s="5" t="s">
        <v>128</v>
      </c>
      <c r="P89" s="6">
        <v>44096</v>
      </c>
      <c r="Q89" s="5" t="s">
        <v>31</v>
      </c>
      <c r="R89" s="5" t="s">
        <v>32</v>
      </c>
      <c r="S89" s="5" t="s">
        <v>33</v>
      </c>
      <c r="T89" s="5"/>
      <c r="U89" s="5">
        <v>278.10000000000002</v>
      </c>
      <c r="V89" s="5">
        <v>119.92</v>
      </c>
      <c r="W89" s="5">
        <v>110.74</v>
      </c>
      <c r="X89" s="5">
        <v>0</v>
      </c>
      <c r="Y89" s="5">
        <v>47.44</v>
      </c>
    </row>
    <row r="90" spans="1:25" ht="24.75" x14ac:dyDescent="0.25">
      <c r="A90" s="5" t="s">
        <v>26</v>
      </c>
      <c r="B90" s="5" t="s">
        <v>34</v>
      </c>
      <c r="C90" s="5" t="s">
        <v>46</v>
      </c>
      <c r="D90" s="5" t="s">
        <v>50</v>
      </c>
      <c r="E90" s="5" t="s">
        <v>28</v>
      </c>
      <c r="F90" s="5" t="s">
        <v>63</v>
      </c>
      <c r="G90" s="5">
        <v>2019</v>
      </c>
      <c r="H90" s="5" t="str">
        <f>_xlfn.CONCAT("94210166156")</f>
        <v>94210166156</v>
      </c>
      <c r="I90" s="5" t="s">
        <v>29</v>
      </c>
      <c r="J90" s="5" t="s">
        <v>30</v>
      </c>
      <c r="K90" s="5" t="str">
        <f>_xlfn.CONCAT("")</f>
        <v/>
      </c>
      <c r="L90" s="5" t="str">
        <f>_xlfn.CONCAT("13 13.1 4a")</f>
        <v>13 13.1 4a</v>
      </c>
      <c r="M90" s="5" t="str">
        <f>_xlfn.CONCAT("GVNDNC38E06F467B")</f>
        <v>GVNDNC38E06F467B</v>
      </c>
      <c r="N90" s="5" t="s">
        <v>153</v>
      </c>
      <c r="O90" s="5" t="s">
        <v>128</v>
      </c>
      <c r="P90" s="6">
        <v>44096</v>
      </c>
      <c r="Q90" s="5" t="s">
        <v>31</v>
      </c>
      <c r="R90" s="5" t="s">
        <v>32</v>
      </c>
      <c r="S90" s="5" t="s">
        <v>33</v>
      </c>
      <c r="T90" s="5"/>
      <c r="U90" s="7">
        <v>3152.43</v>
      </c>
      <c r="V90" s="7">
        <v>1359.33</v>
      </c>
      <c r="W90" s="7">
        <v>1255.3</v>
      </c>
      <c r="X90" s="5">
        <v>0</v>
      </c>
      <c r="Y90" s="5">
        <v>537.79999999999995</v>
      </c>
    </row>
    <row r="91" spans="1:25" x14ac:dyDescent="0.25">
      <c r="A91" s="5" t="s">
        <v>26</v>
      </c>
      <c r="B91" s="5" t="s">
        <v>34</v>
      </c>
      <c r="C91" s="5" t="s">
        <v>46</v>
      </c>
      <c r="D91" s="5" t="s">
        <v>130</v>
      </c>
      <c r="E91" s="5" t="s">
        <v>28</v>
      </c>
      <c r="F91" s="5" t="s">
        <v>154</v>
      </c>
      <c r="G91" s="5">
        <v>2018</v>
      </c>
      <c r="H91" s="5" t="str">
        <f>_xlfn.CONCAT("84210689141")</f>
        <v>84210689141</v>
      </c>
      <c r="I91" s="5" t="s">
        <v>29</v>
      </c>
      <c r="J91" s="5" t="s">
        <v>30</v>
      </c>
      <c r="K91" s="5" t="str">
        <f>_xlfn.CONCAT("")</f>
        <v/>
      </c>
      <c r="L91" s="5" t="str">
        <f>_xlfn.CONCAT("13 13.1 4a")</f>
        <v>13 13.1 4a</v>
      </c>
      <c r="M91" s="5" t="str">
        <f>_xlfn.CONCAT("PCFLRT74E22D653T")</f>
        <v>PCFLRT74E22D653T</v>
      </c>
      <c r="N91" s="5" t="s">
        <v>155</v>
      </c>
      <c r="O91" s="5" t="s">
        <v>128</v>
      </c>
      <c r="P91" s="6">
        <v>44096</v>
      </c>
      <c r="Q91" s="5" t="s">
        <v>31</v>
      </c>
      <c r="R91" s="5" t="s">
        <v>32</v>
      </c>
      <c r="S91" s="5" t="s">
        <v>33</v>
      </c>
      <c r="T91" s="5"/>
      <c r="U91" s="5">
        <v>180.82</v>
      </c>
      <c r="V91" s="5">
        <v>77.97</v>
      </c>
      <c r="W91" s="5">
        <v>72</v>
      </c>
      <c r="X91" s="5">
        <v>0</v>
      </c>
      <c r="Y91" s="5">
        <v>30.85</v>
      </c>
    </row>
    <row r="92" spans="1:25" x14ac:dyDescent="0.25">
      <c r="A92" s="5" t="s">
        <v>26</v>
      </c>
      <c r="B92" s="5" t="s">
        <v>34</v>
      </c>
      <c r="C92" s="5" t="s">
        <v>46</v>
      </c>
      <c r="D92" s="5" t="s">
        <v>130</v>
      </c>
      <c r="E92" s="5" t="s">
        <v>28</v>
      </c>
      <c r="F92" s="5" t="s">
        <v>147</v>
      </c>
      <c r="G92" s="5">
        <v>2019</v>
      </c>
      <c r="H92" s="5" t="str">
        <f>_xlfn.CONCAT("94211372266")</f>
        <v>94211372266</v>
      </c>
      <c r="I92" s="5" t="s">
        <v>37</v>
      </c>
      <c r="J92" s="5" t="s">
        <v>30</v>
      </c>
      <c r="K92" s="5" t="str">
        <f>_xlfn.CONCAT("")</f>
        <v/>
      </c>
      <c r="L92" s="5" t="str">
        <f>_xlfn.CONCAT("13 13.1 4a")</f>
        <v>13 13.1 4a</v>
      </c>
      <c r="M92" s="5" t="str">
        <f>_xlfn.CONCAT("RSSNCL43B08I569Q")</f>
        <v>RSSNCL43B08I569Q</v>
      </c>
      <c r="N92" s="5" t="s">
        <v>156</v>
      </c>
      <c r="O92" s="5" t="s">
        <v>128</v>
      </c>
      <c r="P92" s="6">
        <v>44096</v>
      </c>
      <c r="Q92" s="5" t="s">
        <v>31</v>
      </c>
      <c r="R92" s="5" t="s">
        <v>32</v>
      </c>
      <c r="S92" s="5" t="s">
        <v>33</v>
      </c>
      <c r="T92" s="5"/>
      <c r="U92" s="7">
        <v>9000</v>
      </c>
      <c r="V92" s="7">
        <v>3880.8</v>
      </c>
      <c r="W92" s="7">
        <v>3583.8</v>
      </c>
      <c r="X92" s="5">
        <v>0</v>
      </c>
      <c r="Y92" s="7">
        <v>1535.4</v>
      </c>
    </row>
    <row r="93" spans="1:25" ht="24.75" x14ac:dyDescent="0.25">
      <c r="A93" s="5" t="s">
        <v>26</v>
      </c>
      <c r="B93" s="5" t="s">
        <v>34</v>
      </c>
      <c r="C93" s="5" t="s">
        <v>46</v>
      </c>
      <c r="D93" s="5" t="s">
        <v>79</v>
      </c>
      <c r="E93" s="5" t="s">
        <v>35</v>
      </c>
      <c r="F93" s="5" t="s">
        <v>116</v>
      </c>
      <c r="G93" s="5">
        <v>2018</v>
      </c>
      <c r="H93" s="5" t="str">
        <f>_xlfn.CONCAT("84210781096")</f>
        <v>84210781096</v>
      </c>
      <c r="I93" s="5" t="s">
        <v>29</v>
      </c>
      <c r="J93" s="5" t="s">
        <v>30</v>
      </c>
      <c r="K93" s="5" t="str">
        <f>_xlfn.CONCAT("")</f>
        <v/>
      </c>
      <c r="L93" s="5" t="str">
        <f>_xlfn.CONCAT("13 13.1 4a")</f>
        <v>13 13.1 4a</v>
      </c>
      <c r="M93" s="5" t="str">
        <f>_xlfn.CONCAT("BDCMRC79H05A366K")</f>
        <v>BDCMRC79H05A366K</v>
      </c>
      <c r="N93" s="5" t="s">
        <v>157</v>
      </c>
      <c r="O93" s="5" t="s">
        <v>128</v>
      </c>
      <c r="P93" s="6">
        <v>44096</v>
      </c>
      <c r="Q93" s="5" t="s">
        <v>31</v>
      </c>
      <c r="R93" s="5" t="s">
        <v>32</v>
      </c>
      <c r="S93" s="5" t="s">
        <v>33</v>
      </c>
      <c r="T93" s="5"/>
      <c r="U93" s="7">
        <v>7927.34</v>
      </c>
      <c r="V93" s="7">
        <v>3418.27</v>
      </c>
      <c r="W93" s="7">
        <v>3156.67</v>
      </c>
      <c r="X93" s="5">
        <v>0</v>
      </c>
      <c r="Y93" s="7">
        <v>1352.4</v>
      </c>
    </row>
    <row r="94" spans="1:25" ht="24.75" x14ac:dyDescent="0.25">
      <c r="A94" s="5" t="s">
        <v>26</v>
      </c>
      <c r="B94" s="5" t="s">
        <v>34</v>
      </c>
      <c r="C94" s="5" t="s">
        <v>46</v>
      </c>
      <c r="D94" s="5" t="s">
        <v>50</v>
      </c>
      <c r="E94" s="5" t="s">
        <v>28</v>
      </c>
      <c r="F94" s="5" t="s">
        <v>113</v>
      </c>
      <c r="G94" s="5">
        <v>2019</v>
      </c>
      <c r="H94" s="5" t="str">
        <f>_xlfn.CONCAT("94210156397")</f>
        <v>94210156397</v>
      </c>
      <c r="I94" s="5" t="s">
        <v>29</v>
      </c>
      <c r="J94" s="5" t="s">
        <v>30</v>
      </c>
      <c r="K94" s="5" t="str">
        <f>_xlfn.CONCAT("")</f>
        <v/>
      </c>
      <c r="L94" s="5" t="str">
        <f>_xlfn.CONCAT("13 13.1 4a")</f>
        <v>13 13.1 4a</v>
      </c>
      <c r="M94" s="5" t="str">
        <f>_xlfn.CONCAT("DMSLRD78S13D643X")</f>
        <v>DMSLRD78S13D643X</v>
      </c>
      <c r="N94" s="5" t="s">
        <v>158</v>
      </c>
      <c r="O94" s="5" t="s">
        <v>128</v>
      </c>
      <c r="P94" s="6">
        <v>44096</v>
      </c>
      <c r="Q94" s="5" t="s">
        <v>31</v>
      </c>
      <c r="R94" s="5" t="s">
        <v>32</v>
      </c>
      <c r="S94" s="5" t="s">
        <v>33</v>
      </c>
      <c r="T94" s="5"/>
      <c r="U94" s="5">
        <v>229.63</v>
      </c>
      <c r="V94" s="5">
        <v>99.02</v>
      </c>
      <c r="W94" s="5">
        <v>91.44</v>
      </c>
      <c r="X94" s="5">
        <v>0</v>
      </c>
      <c r="Y94" s="5">
        <v>39.17</v>
      </c>
    </row>
    <row r="95" spans="1:25" ht="24.75" x14ac:dyDescent="0.25">
      <c r="A95" s="5" t="s">
        <v>26</v>
      </c>
      <c r="B95" s="5" t="s">
        <v>34</v>
      </c>
      <c r="C95" s="5" t="s">
        <v>46</v>
      </c>
      <c r="D95" s="5" t="s">
        <v>47</v>
      </c>
      <c r="E95" s="5" t="s">
        <v>28</v>
      </c>
      <c r="F95" s="5" t="s">
        <v>103</v>
      </c>
      <c r="G95" s="5">
        <v>2018</v>
      </c>
      <c r="H95" s="5" t="str">
        <f>_xlfn.CONCAT("84210066340")</f>
        <v>84210066340</v>
      </c>
      <c r="I95" s="5" t="s">
        <v>29</v>
      </c>
      <c r="J95" s="5" t="s">
        <v>30</v>
      </c>
      <c r="K95" s="5" t="str">
        <f>_xlfn.CONCAT("")</f>
        <v/>
      </c>
      <c r="L95" s="5" t="str">
        <f>_xlfn.CONCAT("13 13.1 4a")</f>
        <v>13 13.1 4a</v>
      </c>
      <c r="M95" s="5" t="str">
        <f>_xlfn.CONCAT("LLLCMN64M04H501O")</f>
        <v>LLLCMN64M04H501O</v>
      </c>
      <c r="N95" s="5" t="s">
        <v>159</v>
      </c>
      <c r="O95" s="5" t="s">
        <v>128</v>
      </c>
      <c r="P95" s="6">
        <v>44096</v>
      </c>
      <c r="Q95" s="5" t="s">
        <v>31</v>
      </c>
      <c r="R95" s="5" t="s">
        <v>32</v>
      </c>
      <c r="S95" s="5" t="s">
        <v>33</v>
      </c>
      <c r="T95" s="5"/>
      <c r="U95" s="5">
        <v>296.27</v>
      </c>
      <c r="V95" s="5">
        <v>127.75</v>
      </c>
      <c r="W95" s="5">
        <v>117.97</v>
      </c>
      <c r="X95" s="5">
        <v>0</v>
      </c>
      <c r="Y95" s="5">
        <v>50.55</v>
      </c>
    </row>
    <row r="96" spans="1:25" x14ac:dyDescent="0.25">
      <c r="A96" s="5" t="s">
        <v>26</v>
      </c>
      <c r="B96" s="5" t="s">
        <v>34</v>
      </c>
      <c r="C96" s="5" t="s">
        <v>46</v>
      </c>
      <c r="D96" s="5" t="s">
        <v>130</v>
      </c>
      <c r="E96" s="5" t="s">
        <v>28</v>
      </c>
      <c r="F96" s="5" t="s">
        <v>147</v>
      </c>
      <c r="G96" s="5">
        <v>2019</v>
      </c>
      <c r="H96" s="5" t="str">
        <f>_xlfn.CONCAT("94210605708")</f>
        <v>94210605708</v>
      </c>
      <c r="I96" s="5" t="s">
        <v>29</v>
      </c>
      <c r="J96" s="5" t="s">
        <v>30</v>
      </c>
      <c r="K96" s="5" t="str">
        <f>_xlfn.CONCAT("")</f>
        <v/>
      </c>
      <c r="L96" s="5" t="str">
        <f>_xlfn.CONCAT("13 13.1 4a")</f>
        <v>13 13.1 4a</v>
      </c>
      <c r="M96" s="5" t="str">
        <f>_xlfn.CONCAT("LTNFLL66H70F051Q")</f>
        <v>LTNFLL66H70F051Q</v>
      </c>
      <c r="N96" s="5" t="s">
        <v>160</v>
      </c>
      <c r="O96" s="5" t="s">
        <v>128</v>
      </c>
      <c r="P96" s="6">
        <v>44096</v>
      </c>
      <c r="Q96" s="5" t="s">
        <v>31</v>
      </c>
      <c r="R96" s="5" t="s">
        <v>32</v>
      </c>
      <c r="S96" s="5" t="s">
        <v>33</v>
      </c>
      <c r="T96" s="5"/>
      <c r="U96" s="5">
        <v>890.82</v>
      </c>
      <c r="V96" s="5">
        <v>384.12</v>
      </c>
      <c r="W96" s="5">
        <v>354.72</v>
      </c>
      <c r="X96" s="5">
        <v>0</v>
      </c>
      <c r="Y96" s="5">
        <v>151.97999999999999</v>
      </c>
    </row>
    <row r="97" spans="1:25" ht="24.75" x14ac:dyDescent="0.25">
      <c r="A97" s="5" t="s">
        <v>26</v>
      </c>
      <c r="B97" s="5" t="s">
        <v>34</v>
      </c>
      <c r="C97" s="5" t="s">
        <v>46</v>
      </c>
      <c r="D97" s="5" t="s">
        <v>50</v>
      </c>
      <c r="E97" s="5" t="s">
        <v>28</v>
      </c>
      <c r="F97" s="5" t="s">
        <v>63</v>
      </c>
      <c r="G97" s="5">
        <v>2019</v>
      </c>
      <c r="H97" s="5" t="str">
        <f>_xlfn.CONCAT("94210193168")</f>
        <v>94210193168</v>
      </c>
      <c r="I97" s="5" t="s">
        <v>29</v>
      </c>
      <c r="J97" s="5" t="s">
        <v>30</v>
      </c>
      <c r="K97" s="5" t="str">
        <f>_xlfn.CONCAT("")</f>
        <v/>
      </c>
      <c r="L97" s="5" t="str">
        <f>_xlfn.CONCAT("13 13.1 4a")</f>
        <v>13 13.1 4a</v>
      </c>
      <c r="M97" s="5" t="str">
        <f>_xlfn.CONCAT("MRCDVD71P08I459J")</f>
        <v>MRCDVD71P08I459J</v>
      </c>
      <c r="N97" s="5" t="s">
        <v>161</v>
      </c>
      <c r="O97" s="5" t="s">
        <v>128</v>
      </c>
      <c r="P97" s="6">
        <v>44096</v>
      </c>
      <c r="Q97" s="5" t="s">
        <v>31</v>
      </c>
      <c r="R97" s="5" t="s">
        <v>32</v>
      </c>
      <c r="S97" s="5" t="s">
        <v>33</v>
      </c>
      <c r="T97" s="5"/>
      <c r="U97" s="7">
        <v>4376.4799999999996</v>
      </c>
      <c r="V97" s="7">
        <v>1887.14</v>
      </c>
      <c r="W97" s="7">
        <v>1742.71</v>
      </c>
      <c r="X97" s="5">
        <v>0</v>
      </c>
      <c r="Y97" s="5">
        <v>746.63</v>
      </c>
    </row>
    <row r="98" spans="1:25" ht="24.75" x14ac:dyDescent="0.25">
      <c r="A98" s="5" t="s">
        <v>26</v>
      </c>
      <c r="B98" s="5" t="s">
        <v>34</v>
      </c>
      <c r="C98" s="5" t="s">
        <v>46</v>
      </c>
      <c r="D98" s="5" t="s">
        <v>47</v>
      </c>
      <c r="E98" s="5" t="s">
        <v>28</v>
      </c>
      <c r="F98" s="5" t="s">
        <v>53</v>
      </c>
      <c r="G98" s="5">
        <v>2019</v>
      </c>
      <c r="H98" s="5" t="str">
        <f>_xlfn.CONCAT("94210513050")</f>
        <v>94210513050</v>
      </c>
      <c r="I98" s="5" t="s">
        <v>37</v>
      </c>
      <c r="J98" s="5" t="s">
        <v>30</v>
      </c>
      <c r="K98" s="5" t="str">
        <f>_xlfn.CONCAT("")</f>
        <v/>
      </c>
      <c r="L98" s="5" t="str">
        <f>_xlfn.CONCAT("13 13.1 4a")</f>
        <v>13 13.1 4a</v>
      </c>
      <c r="M98" s="5" t="str">
        <f>_xlfn.CONCAT("MRNNCL39L27C935G")</f>
        <v>MRNNCL39L27C935G</v>
      </c>
      <c r="N98" s="5" t="s">
        <v>162</v>
      </c>
      <c r="O98" s="5" t="s">
        <v>128</v>
      </c>
      <c r="P98" s="6">
        <v>44096</v>
      </c>
      <c r="Q98" s="5" t="s">
        <v>31</v>
      </c>
      <c r="R98" s="5" t="s">
        <v>32</v>
      </c>
      <c r="S98" s="5" t="s">
        <v>33</v>
      </c>
      <c r="T98" s="5"/>
      <c r="U98" s="7">
        <v>1233.25</v>
      </c>
      <c r="V98" s="5">
        <v>531.78</v>
      </c>
      <c r="W98" s="5">
        <v>491.08</v>
      </c>
      <c r="X98" s="5">
        <v>0</v>
      </c>
      <c r="Y98" s="5">
        <v>210.39</v>
      </c>
    </row>
    <row r="99" spans="1:25" ht="24.75" x14ac:dyDescent="0.25">
      <c r="A99" s="5" t="s">
        <v>26</v>
      </c>
      <c r="B99" s="5" t="s">
        <v>34</v>
      </c>
      <c r="C99" s="5" t="s">
        <v>46</v>
      </c>
      <c r="D99" s="5" t="s">
        <v>47</v>
      </c>
      <c r="E99" s="5" t="s">
        <v>28</v>
      </c>
      <c r="F99" s="5" t="s">
        <v>53</v>
      </c>
      <c r="G99" s="5">
        <v>2019</v>
      </c>
      <c r="H99" s="5" t="str">
        <f>_xlfn.CONCAT("94210217355")</f>
        <v>94210217355</v>
      </c>
      <c r="I99" s="5" t="s">
        <v>29</v>
      </c>
      <c r="J99" s="5" t="s">
        <v>30</v>
      </c>
      <c r="K99" s="5" t="str">
        <f>_xlfn.CONCAT("")</f>
        <v/>
      </c>
      <c r="L99" s="5" t="str">
        <f>_xlfn.CONCAT("13 13.1 4a")</f>
        <v>13 13.1 4a</v>
      </c>
      <c r="M99" s="5" t="str">
        <f>_xlfn.CONCAT("MRTPTR58A11D691P")</f>
        <v>MRTPTR58A11D691P</v>
      </c>
      <c r="N99" s="5" t="s">
        <v>163</v>
      </c>
      <c r="O99" s="5" t="s">
        <v>128</v>
      </c>
      <c r="P99" s="6">
        <v>44096</v>
      </c>
      <c r="Q99" s="5" t="s">
        <v>31</v>
      </c>
      <c r="R99" s="5" t="s">
        <v>32</v>
      </c>
      <c r="S99" s="5" t="s">
        <v>33</v>
      </c>
      <c r="T99" s="5"/>
      <c r="U99" s="5">
        <v>105.7</v>
      </c>
      <c r="V99" s="5">
        <v>45.58</v>
      </c>
      <c r="W99" s="5">
        <v>42.09</v>
      </c>
      <c r="X99" s="5">
        <v>0</v>
      </c>
      <c r="Y99" s="5">
        <v>18.03</v>
      </c>
    </row>
    <row r="100" spans="1:25" ht="24.75" x14ac:dyDescent="0.25">
      <c r="A100" s="5" t="s">
        <v>26</v>
      </c>
      <c r="B100" s="5" t="s">
        <v>34</v>
      </c>
      <c r="C100" s="5" t="s">
        <v>46</v>
      </c>
      <c r="D100" s="5" t="s">
        <v>79</v>
      </c>
      <c r="E100" s="5" t="s">
        <v>35</v>
      </c>
      <c r="F100" s="5" t="s">
        <v>164</v>
      </c>
      <c r="G100" s="5">
        <v>2019</v>
      </c>
      <c r="H100" s="5" t="str">
        <f>_xlfn.CONCAT("94240604267")</f>
        <v>94240604267</v>
      </c>
      <c r="I100" s="5" t="s">
        <v>29</v>
      </c>
      <c r="J100" s="5" t="s">
        <v>30</v>
      </c>
      <c r="K100" s="5" t="str">
        <f>_xlfn.CONCAT("")</f>
        <v/>
      </c>
      <c r="L100" s="5" t="str">
        <f>_xlfn.CONCAT("10 10.1 4a")</f>
        <v>10 10.1 4a</v>
      </c>
      <c r="M100" s="5" t="str">
        <f>_xlfn.CONCAT("02706580426")</f>
        <v>02706580426</v>
      </c>
      <c r="N100" s="5" t="s">
        <v>165</v>
      </c>
      <c r="O100" s="5" t="s">
        <v>166</v>
      </c>
      <c r="P100" s="6">
        <v>44096</v>
      </c>
      <c r="Q100" s="5" t="s">
        <v>31</v>
      </c>
      <c r="R100" s="5" t="s">
        <v>32</v>
      </c>
      <c r="S100" s="5" t="s">
        <v>33</v>
      </c>
      <c r="T100" s="5"/>
      <c r="U100" s="5">
        <v>300</v>
      </c>
      <c r="V100" s="5">
        <v>129.36000000000001</v>
      </c>
      <c r="W100" s="5">
        <v>119.46</v>
      </c>
      <c r="X100" s="5">
        <v>0</v>
      </c>
      <c r="Y100" s="5">
        <v>51.18</v>
      </c>
    </row>
    <row r="101" spans="1:25" x14ac:dyDescent="0.25">
      <c r="A101" s="5" t="s">
        <v>26</v>
      </c>
      <c r="B101" s="5" t="s">
        <v>34</v>
      </c>
      <c r="C101" s="5" t="s">
        <v>46</v>
      </c>
      <c r="D101" s="5" t="s">
        <v>130</v>
      </c>
      <c r="E101" s="5" t="s">
        <v>35</v>
      </c>
      <c r="F101" s="5" t="s">
        <v>167</v>
      </c>
      <c r="G101" s="5">
        <v>2019</v>
      </c>
      <c r="H101" s="5" t="str">
        <f>_xlfn.CONCAT("94210853050")</f>
        <v>94210853050</v>
      </c>
      <c r="I101" s="5" t="s">
        <v>37</v>
      </c>
      <c r="J101" s="5" t="s">
        <v>30</v>
      </c>
      <c r="K101" s="5" t="str">
        <f>_xlfn.CONCAT("")</f>
        <v/>
      </c>
      <c r="L101" s="5" t="str">
        <f>_xlfn.CONCAT("13 13.1 4a")</f>
        <v>13 13.1 4a</v>
      </c>
      <c r="M101" s="5" t="str">
        <f>_xlfn.CONCAT("SNTTLI63L18D653M")</f>
        <v>SNTTLI63L18D653M</v>
      </c>
      <c r="N101" s="5" t="s">
        <v>168</v>
      </c>
      <c r="O101" s="5" t="s">
        <v>128</v>
      </c>
      <c r="P101" s="6">
        <v>44096</v>
      </c>
      <c r="Q101" s="5" t="s">
        <v>31</v>
      </c>
      <c r="R101" s="5" t="s">
        <v>32</v>
      </c>
      <c r="S101" s="5" t="s">
        <v>33</v>
      </c>
      <c r="T101" s="5"/>
      <c r="U101" s="5">
        <v>102.98</v>
      </c>
      <c r="V101" s="5">
        <v>44.4</v>
      </c>
      <c r="W101" s="5">
        <v>41.01</v>
      </c>
      <c r="X101" s="5">
        <v>0</v>
      </c>
      <c r="Y101" s="5">
        <v>17.57</v>
      </c>
    </row>
    <row r="102" spans="1:25" ht="24.75" x14ac:dyDescent="0.25">
      <c r="A102" s="5" t="s">
        <v>26</v>
      </c>
      <c r="B102" s="5" t="s">
        <v>34</v>
      </c>
      <c r="C102" s="5" t="s">
        <v>46</v>
      </c>
      <c r="D102" s="5" t="s">
        <v>79</v>
      </c>
      <c r="E102" s="5" t="s">
        <v>28</v>
      </c>
      <c r="F102" s="5" t="s">
        <v>98</v>
      </c>
      <c r="G102" s="5">
        <v>2019</v>
      </c>
      <c r="H102" s="5" t="str">
        <f>_xlfn.CONCAT("94210325281")</f>
        <v>94210325281</v>
      </c>
      <c r="I102" s="5" t="s">
        <v>29</v>
      </c>
      <c r="J102" s="5" t="s">
        <v>30</v>
      </c>
      <c r="K102" s="5" t="str">
        <f>_xlfn.CONCAT("")</f>
        <v/>
      </c>
      <c r="L102" s="5" t="str">
        <f>_xlfn.CONCAT("13 13.1 4a")</f>
        <v>13 13.1 4a</v>
      </c>
      <c r="M102" s="5" t="str">
        <f>_xlfn.CONCAT("02613480421")</f>
        <v>02613480421</v>
      </c>
      <c r="N102" s="5" t="s">
        <v>169</v>
      </c>
      <c r="O102" s="5" t="s">
        <v>128</v>
      </c>
      <c r="P102" s="6">
        <v>44096</v>
      </c>
      <c r="Q102" s="5" t="s">
        <v>31</v>
      </c>
      <c r="R102" s="5" t="s">
        <v>32</v>
      </c>
      <c r="S102" s="5" t="s">
        <v>33</v>
      </c>
      <c r="T102" s="5"/>
      <c r="U102" s="7">
        <v>6888.8</v>
      </c>
      <c r="V102" s="7">
        <v>2970.45</v>
      </c>
      <c r="W102" s="7">
        <v>2743.12</v>
      </c>
      <c r="X102" s="5">
        <v>0</v>
      </c>
      <c r="Y102" s="7">
        <v>1175.23</v>
      </c>
    </row>
    <row r="103" spans="1:25" ht="24.75" x14ac:dyDescent="0.25">
      <c r="A103" s="5" t="s">
        <v>26</v>
      </c>
      <c r="B103" s="5" t="s">
        <v>34</v>
      </c>
      <c r="C103" s="5" t="s">
        <v>46</v>
      </c>
      <c r="D103" s="5" t="s">
        <v>79</v>
      </c>
      <c r="E103" s="5" t="s">
        <v>28</v>
      </c>
      <c r="F103" s="5" t="s">
        <v>170</v>
      </c>
      <c r="G103" s="5">
        <v>2019</v>
      </c>
      <c r="H103" s="5" t="str">
        <f>_xlfn.CONCAT("94210235365")</f>
        <v>94210235365</v>
      </c>
      <c r="I103" s="5" t="s">
        <v>29</v>
      </c>
      <c r="J103" s="5" t="s">
        <v>30</v>
      </c>
      <c r="K103" s="5" t="str">
        <f>_xlfn.CONCAT("")</f>
        <v/>
      </c>
      <c r="L103" s="5" t="str">
        <f>_xlfn.CONCAT("13 13.1 4a")</f>
        <v>13 13.1 4a</v>
      </c>
      <c r="M103" s="5" t="str">
        <f>_xlfn.CONCAT("ZPPRNT62R20I461S")</f>
        <v>ZPPRNT62R20I461S</v>
      </c>
      <c r="N103" s="5" t="s">
        <v>171</v>
      </c>
      <c r="O103" s="5" t="s">
        <v>128</v>
      </c>
      <c r="P103" s="6">
        <v>44096</v>
      </c>
      <c r="Q103" s="5" t="s">
        <v>31</v>
      </c>
      <c r="R103" s="5" t="s">
        <v>32</v>
      </c>
      <c r="S103" s="5" t="s">
        <v>33</v>
      </c>
      <c r="T103" s="5"/>
      <c r="U103" s="7">
        <v>1005.57</v>
      </c>
      <c r="V103" s="5">
        <v>433.6</v>
      </c>
      <c r="W103" s="5">
        <v>400.42</v>
      </c>
      <c r="X103" s="5">
        <v>0</v>
      </c>
      <c r="Y103" s="5">
        <v>171.55</v>
      </c>
    </row>
    <row r="104" spans="1:25" ht="24.75" x14ac:dyDescent="0.25">
      <c r="A104" s="5" t="s">
        <v>26</v>
      </c>
      <c r="B104" s="5" t="s">
        <v>34</v>
      </c>
      <c r="C104" s="5" t="s">
        <v>46</v>
      </c>
      <c r="D104" s="5" t="s">
        <v>130</v>
      </c>
      <c r="E104" s="5" t="s">
        <v>28</v>
      </c>
      <c r="F104" s="5" t="s">
        <v>172</v>
      </c>
      <c r="G104" s="5">
        <v>2019</v>
      </c>
      <c r="H104" s="5" t="str">
        <f>_xlfn.CONCAT("94240988298")</f>
        <v>94240988298</v>
      </c>
      <c r="I104" s="5" t="s">
        <v>29</v>
      </c>
      <c r="J104" s="5" t="s">
        <v>30</v>
      </c>
      <c r="K104" s="5" t="str">
        <f>_xlfn.CONCAT("")</f>
        <v/>
      </c>
      <c r="L104" s="5" t="str">
        <f>_xlfn.CONCAT("10 10.1 4a")</f>
        <v>10 10.1 4a</v>
      </c>
      <c r="M104" s="5" t="str">
        <f>_xlfn.CONCAT("00607330438")</f>
        <v>00607330438</v>
      </c>
      <c r="N104" s="5" t="s">
        <v>173</v>
      </c>
      <c r="O104" s="5" t="s">
        <v>133</v>
      </c>
      <c r="P104" s="6">
        <v>44096</v>
      </c>
      <c r="Q104" s="5" t="s">
        <v>31</v>
      </c>
      <c r="R104" s="5" t="s">
        <v>32</v>
      </c>
      <c r="S104" s="5" t="s">
        <v>33</v>
      </c>
      <c r="T104" s="5"/>
      <c r="U104" s="5">
        <v>572.4</v>
      </c>
      <c r="V104" s="5">
        <v>246.82</v>
      </c>
      <c r="W104" s="5">
        <v>227.93</v>
      </c>
      <c r="X104" s="5">
        <v>0</v>
      </c>
      <c r="Y104" s="5">
        <v>97.65</v>
      </c>
    </row>
    <row r="105" spans="1:25" ht="24.75" x14ac:dyDescent="0.25">
      <c r="A105" s="5" t="s">
        <v>26</v>
      </c>
      <c r="B105" s="5" t="s">
        <v>34</v>
      </c>
      <c r="C105" s="5" t="s">
        <v>46</v>
      </c>
      <c r="D105" s="5" t="s">
        <v>50</v>
      </c>
      <c r="E105" s="5" t="s">
        <v>35</v>
      </c>
      <c r="F105" s="5" t="s">
        <v>76</v>
      </c>
      <c r="G105" s="5">
        <v>2019</v>
      </c>
      <c r="H105" s="5" t="str">
        <f>_xlfn.CONCAT("94240349525")</f>
        <v>94240349525</v>
      </c>
      <c r="I105" s="5" t="s">
        <v>29</v>
      </c>
      <c r="J105" s="5" t="s">
        <v>30</v>
      </c>
      <c r="K105" s="5" t="str">
        <f>_xlfn.CONCAT("")</f>
        <v/>
      </c>
      <c r="L105" s="5" t="str">
        <f>_xlfn.CONCAT("11 11.1 4b")</f>
        <v>11 11.1 4b</v>
      </c>
      <c r="M105" s="5" t="str">
        <f>_xlfn.CONCAT("PLTMTT81D07L500M")</f>
        <v>PLTMTT81D07L500M</v>
      </c>
      <c r="N105" s="5" t="s">
        <v>174</v>
      </c>
      <c r="O105" s="5" t="s">
        <v>175</v>
      </c>
      <c r="P105" s="6">
        <v>44096</v>
      </c>
      <c r="Q105" s="5" t="s">
        <v>31</v>
      </c>
      <c r="R105" s="5" t="s">
        <v>32</v>
      </c>
      <c r="S105" s="5" t="s">
        <v>33</v>
      </c>
      <c r="T105" s="5"/>
      <c r="U105" s="7">
        <v>1695.05</v>
      </c>
      <c r="V105" s="5">
        <v>730.91</v>
      </c>
      <c r="W105" s="5">
        <v>674.97</v>
      </c>
      <c r="X105" s="5">
        <v>0</v>
      </c>
      <c r="Y105" s="5">
        <v>289.17</v>
      </c>
    </row>
    <row r="106" spans="1:25" ht="24.75" x14ac:dyDescent="0.25">
      <c r="A106" s="5" t="s">
        <v>26</v>
      </c>
      <c r="B106" s="5" t="s">
        <v>34</v>
      </c>
      <c r="C106" s="5" t="s">
        <v>46</v>
      </c>
      <c r="D106" s="5" t="s">
        <v>50</v>
      </c>
      <c r="E106" s="5" t="s">
        <v>35</v>
      </c>
      <c r="F106" s="5" t="s">
        <v>76</v>
      </c>
      <c r="G106" s="5">
        <v>2017</v>
      </c>
      <c r="H106" s="5" t="str">
        <f>_xlfn.CONCAT("74240611579")</f>
        <v>74240611579</v>
      </c>
      <c r="I106" s="5" t="s">
        <v>29</v>
      </c>
      <c r="J106" s="5" t="s">
        <v>30</v>
      </c>
      <c r="K106" s="5" t="str">
        <f>_xlfn.CONCAT("")</f>
        <v/>
      </c>
      <c r="L106" s="5" t="str">
        <f>_xlfn.CONCAT("11 11.1 4b")</f>
        <v>11 11.1 4b</v>
      </c>
      <c r="M106" s="5" t="str">
        <f>_xlfn.CONCAT("PLTMTT81D07L500M")</f>
        <v>PLTMTT81D07L500M</v>
      </c>
      <c r="N106" s="5" t="s">
        <v>174</v>
      </c>
      <c r="O106" s="5" t="s">
        <v>175</v>
      </c>
      <c r="P106" s="6">
        <v>44096</v>
      </c>
      <c r="Q106" s="5" t="s">
        <v>31</v>
      </c>
      <c r="R106" s="5" t="s">
        <v>32</v>
      </c>
      <c r="S106" s="5" t="s">
        <v>33</v>
      </c>
      <c r="T106" s="5"/>
      <c r="U106" s="5">
        <v>890.48</v>
      </c>
      <c r="V106" s="5">
        <v>383.97</v>
      </c>
      <c r="W106" s="5">
        <v>354.59</v>
      </c>
      <c r="X106" s="5">
        <v>0</v>
      </c>
      <c r="Y106" s="5">
        <v>151.91999999999999</v>
      </c>
    </row>
    <row r="107" spans="1:25" ht="24.75" x14ac:dyDescent="0.25">
      <c r="A107" s="5" t="s">
        <v>26</v>
      </c>
      <c r="B107" s="5" t="s">
        <v>34</v>
      </c>
      <c r="C107" s="5" t="s">
        <v>46</v>
      </c>
      <c r="D107" s="5" t="s">
        <v>50</v>
      </c>
      <c r="E107" s="5" t="s">
        <v>35</v>
      </c>
      <c r="F107" s="5" t="s">
        <v>76</v>
      </c>
      <c r="G107" s="5">
        <v>2018</v>
      </c>
      <c r="H107" s="5" t="str">
        <f>_xlfn.CONCAT("84240677934")</f>
        <v>84240677934</v>
      </c>
      <c r="I107" s="5" t="s">
        <v>29</v>
      </c>
      <c r="J107" s="5" t="s">
        <v>30</v>
      </c>
      <c r="K107" s="5" t="str">
        <f>_xlfn.CONCAT("")</f>
        <v/>
      </c>
      <c r="L107" s="5" t="str">
        <f>_xlfn.CONCAT("11 11.1 4b")</f>
        <v>11 11.1 4b</v>
      </c>
      <c r="M107" s="5" t="str">
        <f>_xlfn.CONCAT("PLTMTT81D07L500M")</f>
        <v>PLTMTT81D07L500M</v>
      </c>
      <c r="N107" s="5" t="s">
        <v>174</v>
      </c>
      <c r="O107" s="5" t="s">
        <v>175</v>
      </c>
      <c r="P107" s="6">
        <v>44096</v>
      </c>
      <c r="Q107" s="5" t="s">
        <v>31</v>
      </c>
      <c r="R107" s="5" t="s">
        <v>32</v>
      </c>
      <c r="S107" s="5" t="s">
        <v>33</v>
      </c>
      <c r="T107" s="5"/>
      <c r="U107" s="7">
        <v>1598.16</v>
      </c>
      <c r="V107" s="5">
        <v>689.13</v>
      </c>
      <c r="W107" s="5">
        <v>636.39</v>
      </c>
      <c r="X107" s="5">
        <v>0</v>
      </c>
      <c r="Y107" s="5">
        <v>272.64</v>
      </c>
    </row>
    <row r="108" spans="1:25" ht="24.75" x14ac:dyDescent="0.25">
      <c r="A108" s="5" t="s">
        <v>26</v>
      </c>
      <c r="B108" s="5" t="s">
        <v>34</v>
      </c>
      <c r="C108" s="5" t="s">
        <v>46</v>
      </c>
      <c r="D108" s="5" t="s">
        <v>50</v>
      </c>
      <c r="E108" s="5" t="s">
        <v>35</v>
      </c>
      <c r="F108" s="5" t="s">
        <v>176</v>
      </c>
      <c r="G108" s="5">
        <v>2019</v>
      </c>
      <c r="H108" s="5" t="str">
        <f>_xlfn.CONCAT("94241030868")</f>
        <v>94241030868</v>
      </c>
      <c r="I108" s="5" t="s">
        <v>29</v>
      </c>
      <c r="J108" s="5" t="s">
        <v>30</v>
      </c>
      <c r="K108" s="5" t="str">
        <f>_xlfn.CONCAT("")</f>
        <v/>
      </c>
      <c r="L108" s="5" t="str">
        <f>_xlfn.CONCAT("11 11.2 4b")</f>
        <v>11 11.2 4b</v>
      </c>
      <c r="M108" s="5" t="str">
        <f>_xlfn.CONCAT("CRNMSM68A10C830Z")</f>
        <v>CRNMSM68A10C830Z</v>
      </c>
      <c r="N108" s="5" t="s">
        <v>177</v>
      </c>
      <c r="O108" s="5" t="s">
        <v>175</v>
      </c>
      <c r="P108" s="6">
        <v>44096</v>
      </c>
      <c r="Q108" s="5" t="s">
        <v>31</v>
      </c>
      <c r="R108" s="5" t="s">
        <v>32</v>
      </c>
      <c r="S108" s="5" t="s">
        <v>33</v>
      </c>
      <c r="T108" s="5"/>
      <c r="U108" s="5">
        <v>338.89</v>
      </c>
      <c r="V108" s="5">
        <v>146.13</v>
      </c>
      <c r="W108" s="5">
        <v>134.94999999999999</v>
      </c>
      <c r="X108" s="5">
        <v>0</v>
      </c>
      <c r="Y108" s="5">
        <v>57.81</v>
      </c>
    </row>
    <row r="109" spans="1:25" ht="24.75" x14ac:dyDescent="0.25">
      <c r="A109" s="5" t="s">
        <v>26</v>
      </c>
      <c r="B109" s="5" t="s">
        <v>34</v>
      </c>
      <c r="C109" s="5" t="s">
        <v>46</v>
      </c>
      <c r="D109" s="5" t="s">
        <v>50</v>
      </c>
      <c r="E109" s="5" t="s">
        <v>40</v>
      </c>
      <c r="F109" s="5" t="s">
        <v>92</v>
      </c>
      <c r="G109" s="5">
        <v>2017</v>
      </c>
      <c r="H109" s="5" t="str">
        <f>_xlfn.CONCAT("74240787080")</f>
        <v>74240787080</v>
      </c>
      <c r="I109" s="5" t="s">
        <v>29</v>
      </c>
      <c r="J109" s="5" t="s">
        <v>30</v>
      </c>
      <c r="K109" s="5" t="str">
        <f>_xlfn.CONCAT("")</f>
        <v/>
      </c>
      <c r="L109" s="5" t="str">
        <f>_xlfn.CONCAT("11 11.1 4b")</f>
        <v>11 11.1 4b</v>
      </c>
      <c r="M109" s="5" t="str">
        <f>_xlfn.CONCAT("CNCNDR90M21I459O")</f>
        <v>CNCNDR90M21I459O</v>
      </c>
      <c r="N109" s="5" t="s">
        <v>178</v>
      </c>
      <c r="O109" s="5" t="s">
        <v>175</v>
      </c>
      <c r="P109" s="6">
        <v>44096</v>
      </c>
      <c r="Q109" s="5" t="s">
        <v>31</v>
      </c>
      <c r="R109" s="5" t="s">
        <v>32</v>
      </c>
      <c r="S109" s="5" t="s">
        <v>33</v>
      </c>
      <c r="T109" s="5"/>
      <c r="U109" s="7">
        <v>6135.55</v>
      </c>
      <c r="V109" s="7">
        <v>2645.65</v>
      </c>
      <c r="W109" s="7">
        <v>2443.1799999999998</v>
      </c>
      <c r="X109" s="5">
        <v>0</v>
      </c>
      <c r="Y109" s="7">
        <v>1046.72</v>
      </c>
    </row>
    <row r="110" spans="1:25" ht="24.75" x14ac:dyDescent="0.25">
      <c r="A110" s="5" t="s">
        <v>26</v>
      </c>
      <c r="B110" s="5" t="s">
        <v>34</v>
      </c>
      <c r="C110" s="5" t="s">
        <v>46</v>
      </c>
      <c r="D110" s="5" t="s">
        <v>50</v>
      </c>
      <c r="E110" s="5" t="s">
        <v>40</v>
      </c>
      <c r="F110" s="5" t="s">
        <v>92</v>
      </c>
      <c r="G110" s="5">
        <v>2019</v>
      </c>
      <c r="H110" s="5" t="str">
        <f>_xlfn.CONCAT("94241171761")</f>
        <v>94241171761</v>
      </c>
      <c r="I110" s="5" t="s">
        <v>29</v>
      </c>
      <c r="J110" s="5" t="s">
        <v>30</v>
      </c>
      <c r="K110" s="5" t="str">
        <f>_xlfn.CONCAT("")</f>
        <v/>
      </c>
      <c r="L110" s="5" t="str">
        <f>_xlfn.CONCAT("11 11.1 4b")</f>
        <v>11 11.1 4b</v>
      </c>
      <c r="M110" s="5" t="str">
        <f>_xlfn.CONCAT("CNCNDR90M21I459O")</f>
        <v>CNCNDR90M21I459O</v>
      </c>
      <c r="N110" s="5" t="s">
        <v>178</v>
      </c>
      <c r="O110" s="5" t="s">
        <v>175</v>
      </c>
      <c r="P110" s="6">
        <v>44096</v>
      </c>
      <c r="Q110" s="5" t="s">
        <v>31</v>
      </c>
      <c r="R110" s="5" t="s">
        <v>32</v>
      </c>
      <c r="S110" s="5" t="s">
        <v>33</v>
      </c>
      <c r="T110" s="5"/>
      <c r="U110" s="7">
        <v>3659.41</v>
      </c>
      <c r="V110" s="7">
        <v>1577.94</v>
      </c>
      <c r="W110" s="7">
        <v>1457.18</v>
      </c>
      <c r="X110" s="5">
        <v>0</v>
      </c>
      <c r="Y110" s="5">
        <v>624.29</v>
      </c>
    </row>
    <row r="111" spans="1:25" ht="24.75" x14ac:dyDescent="0.25">
      <c r="A111" s="5" t="s">
        <v>26</v>
      </c>
      <c r="B111" s="5" t="s">
        <v>34</v>
      </c>
      <c r="C111" s="5" t="s">
        <v>46</v>
      </c>
      <c r="D111" s="5" t="s">
        <v>50</v>
      </c>
      <c r="E111" s="5" t="s">
        <v>40</v>
      </c>
      <c r="F111" s="5" t="s">
        <v>92</v>
      </c>
      <c r="G111" s="5">
        <v>2018</v>
      </c>
      <c r="H111" s="5" t="str">
        <f>_xlfn.CONCAT("84241065758")</f>
        <v>84241065758</v>
      </c>
      <c r="I111" s="5" t="s">
        <v>29</v>
      </c>
      <c r="J111" s="5" t="s">
        <v>30</v>
      </c>
      <c r="K111" s="5" t="str">
        <f>_xlfn.CONCAT("")</f>
        <v/>
      </c>
      <c r="L111" s="5" t="str">
        <f>_xlfn.CONCAT("11 11.1 4b")</f>
        <v>11 11.1 4b</v>
      </c>
      <c r="M111" s="5" t="str">
        <f>_xlfn.CONCAT("CNCNDR90M21I459O")</f>
        <v>CNCNDR90M21I459O</v>
      </c>
      <c r="N111" s="5" t="s">
        <v>178</v>
      </c>
      <c r="O111" s="5" t="s">
        <v>175</v>
      </c>
      <c r="P111" s="6">
        <v>44096</v>
      </c>
      <c r="Q111" s="5" t="s">
        <v>31</v>
      </c>
      <c r="R111" s="5" t="s">
        <v>32</v>
      </c>
      <c r="S111" s="5" t="s">
        <v>33</v>
      </c>
      <c r="T111" s="5"/>
      <c r="U111" s="7">
        <v>5477.68</v>
      </c>
      <c r="V111" s="7">
        <v>2361.98</v>
      </c>
      <c r="W111" s="7">
        <v>2181.21</v>
      </c>
      <c r="X111" s="5">
        <v>0</v>
      </c>
      <c r="Y111" s="5">
        <v>934.49</v>
      </c>
    </row>
    <row r="112" spans="1:25" ht="24.75" x14ac:dyDescent="0.25">
      <c r="A112" s="5" t="s">
        <v>26</v>
      </c>
      <c r="B112" s="5" t="s">
        <v>34</v>
      </c>
      <c r="C112" s="5" t="s">
        <v>46</v>
      </c>
      <c r="D112" s="5" t="s">
        <v>50</v>
      </c>
      <c r="E112" s="5" t="s">
        <v>35</v>
      </c>
      <c r="F112" s="5" t="s">
        <v>120</v>
      </c>
      <c r="G112" s="5">
        <v>2019</v>
      </c>
      <c r="H112" s="5" t="str">
        <f>_xlfn.CONCAT("94240442973")</f>
        <v>94240442973</v>
      </c>
      <c r="I112" s="5" t="s">
        <v>29</v>
      </c>
      <c r="J112" s="5" t="s">
        <v>30</v>
      </c>
      <c r="K112" s="5" t="str">
        <f>_xlfn.CONCAT("")</f>
        <v/>
      </c>
      <c r="L112" s="5" t="str">
        <f>_xlfn.CONCAT("11 11.1 4b")</f>
        <v>11 11.1 4b</v>
      </c>
      <c r="M112" s="5" t="str">
        <f>_xlfn.CONCAT("GRRMRC84C03I459K")</f>
        <v>GRRMRC84C03I459K</v>
      </c>
      <c r="N112" s="5" t="s">
        <v>179</v>
      </c>
      <c r="O112" s="5" t="s">
        <v>175</v>
      </c>
      <c r="P112" s="6">
        <v>44096</v>
      </c>
      <c r="Q112" s="5" t="s">
        <v>31</v>
      </c>
      <c r="R112" s="5" t="s">
        <v>32</v>
      </c>
      <c r="S112" s="5" t="s">
        <v>33</v>
      </c>
      <c r="T112" s="5"/>
      <c r="U112" s="5">
        <v>536.05999999999995</v>
      </c>
      <c r="V112" s="5">
        <v>231.15</v>
      </c>
      <c r="W112" s="5">
        <v>213.46</v>
      </c>
      <c r="X112" s="5">
        <v>0</v>
      </c>
      <c r="Y112" s="5">
        <v>91.45</v>
      </c>
    </row>
    <row r="113" spans="1:25" ht="24.75" x14ac:dyDescent="0.25">
      <c r="A113" s="5" t="s">
        <v>26</v>
      </c>
      <c r="B113" s="5" t="s">
        <v>34</v>
      </c>
      <c r="C113" s="5" t="s">
        <v>46</v>
      </c>
      <c r="D113" s="5" t="s">
        <v>47</v>
      </c>
      <c r="E113" s="5" t="s">
        <v>40</v>
      </c>
      <c r="F113" s="5" t="s">
        <v>142</v>
      </c>
      <c r="G113" s="5">
        <v>2018</v>
      </c>
      <c r="H113" s="5" t="str">
        <f>_xlfn.CONCAT("84240665301")</f>
        <v>84240665301</v>
      </c>
      <c r="I113" s="5" t="s">
        <v>29</v>
      </c>
      <c r="J113" s="5" t="s">
        <v>30</v>
      </c>
      <c r="K113" s="5" t="str">
        <f>_xlfn.CONCAT("")</f>
        <v/>
      </c>
      <c r="L113" s="5" t="str">
        <f>_xlfn.CONCAT("11 11.2 4b")</f>
        <v>11 11.2 4b</v>
      </c>
      <c r="M113" s="5" t="str">
        <f>_xlfn.CONCAT("SNTCCT52R66A044T")</f>
        <v>SNTCCT52R66A044T</v>
      </c>
      <c r="N113" s="5" t="s">
        <v>180</v>
      </c>
      <c r="O113" s="5" t="s">
        <v>144</v>
      </c>
      <c r="P113" s="6">
        <v>44096</v>
      </c>
      <c r="Q113" s="5" t="s">
        <v>31</v>
      </c>
      <c r="R113" s="5" t="s">
        <v>32</v>
      </c>
      <c r="S113" s="5" t="s">
        <v>33</v>
      </c>
      <c r="T113" s="5"/>
      <c r="U113" s="5">
        <v>4.1900000000000004</v>
      </c>
      <c r="V113" s="5">
        <v>1.81</v>
      </c>
      <c r="W113" s="5">
        <v>1.67</v>
      </c>
      <c r="X113" s="5">
        <v>0</v>
      </c>
      <c r="Y113" s="5">
        <v>0.71</v>
      </c>
    </row>
    <row r="114" spans="1:25" ht="24.75" x14ac:dyDescent="0.25">
      <c r="A114" s="5" t="s">
        <v>26</v>
      </c>
      <c r="B114" s="5" t="s">
        <v>34</v>
      </c>
      <c r="C114" s="5" t="s">
        <v>46</v>
      </c>
      <c r="D114" s="5" t="s">
        <v>47</v>
      </c>
      <c r="E114" s="5" t="s">
        <v>40</v>
      </c>
      <c r="F114" s="5" t="s">
        <v>142</v>
      </c>
      <c r="G114" s="5">
        <v>2019</v>
      </c>
      <c r="H114" s="5" t="str">
        <f>_xlfn.CONCAT("94241045783")</f>
        <v>94241045783</v>
      </c>
      <c r="I114" s="5" t="s">
        <v>29</v>
      </c>
      <c r="J114" s="5" t="s">
        <v>30</v>
      </c>
      <c r="K114" s="5" t="str">
        <f>_xlfn.CONCAT("")</f>
        <v/>
      </c>
      <c r="L114" s="5" t="str">
        <f>_xlfn.CONCAT("11 11.2 4b")</f>
        <v>11 11.2 4b</v>
      </c>
      <c r="M114" s="5" t="str">
        <f>_xlfn.CONCAT("SNTCCT52R66A044T")</f>
        <v>SNTCCT52R66A044T</v>
      </c>
      <c r="N114" s="5" t="s">
        <v>180</v>
      </c>
      <c r="O114" s="5" t="s">
        <v>144</v>
      </c>
      <c r="P114" s="6">
        <v>44096</v>
      </c>
      <c r="Q114" s="5" t="s">
        <v>31</v>
      </c>
      <c r="R114" s="5" t="s">
        <v>32</v>
      </c>
      <c r="S114" s="5" t="s">
        <v>33</v>
      </c>
      <c r="T114" s="5"/>
      <c r="U114" s="7">
        <v>1122.6300000000001</v>
      </c>
      <c r="V114" s="5">
        <v>484.08</v>
      </c>
      <c r="W114" s="5">
        <v>447.03</v>
      </c>
      <c r="X114" s="5">
        <v>0</v>
      </c>
      <c r="Y114" s="5">
        <v>191.52</v>
      </c>
    </row>
    <row r="115" spans="1:25" ht="24.75" x14ac:dyDescent="0.25">
      <c r="A115" s="5" t="s">
        <v>26</v>
      </c>
      <c r="B115" s="5" t="s">
        <v>34</v>
      </c>
      <c r="C115" s="5" t="s">
        <v>46</v>
      </c>
      <c r="D115" s="5" t="s">
        <v>47</v>
      </c>
      <c r="E115" s="5" t="s">
        <v>28</v>
      </c>
      <c r="F115" s="5" t="s">
        <v>59</v>
      </c>
      <c r="G115" s="5">
        <v>2019</v>
      </c>
      <c r="H115" s="5" t="str">
        <f>_xlfn.CONCAT("94240877368")</f>
        <v>94240877368</v>
      </c>
      <c r="I115" s="5" t="s">
        <v>37</v>
      </c>
      <c r="J115" s="5" t="s">
        <v>30</v>
      </c>
      <c r="K115" s="5" t="str">
        <f>_xlfn.CONCAT("")</f>
        <v/>
      </c>
      <c r="L115" s="5" t="str">
        <f>_xlfn.CONCAT("11 11.1 4b")</f>
        <v>11 11.1 4b</v>
      </c>
      <c r="M115" s="5" t="str">
        <f>_xlfn.CONCAT("RSCBRN50B10F697K")</f>
        <v>RSCBRN50B10F697K</v>
      </c>
      <c r="N115" s="5" t="s">
        <v>181</v>
      </c>
      <c r="O115" s="5" t="s">
        <v>144</v>
      </c>
      <c r="P115" s="6">
        <v>44096</v>
      </c>
      <c r="Q115" s="5" t="s">
        <v>31</v>
      </c>
      <c r="R115" s="5" t="s">
        <v>32</v>
      </c>
      <c r="S115" s="5" t="s">
        <v>33</v>
      </c>
      <c r="T115" s="5"/>
      <c r="U115" s="5">
        <v>547.79</v>
      </c>
      <c r="V115" s="5">
        <v>236.21</v>
      </c>
      <c r="W115" s="5">
        <v>218.13</v>
      </c>
      <c r="X115" s="5">
        <v>0</v>
      </c>
      <c r="Y115" s="5">
        <v>93.45</v>
      </c>
    </row>
    <row r="116" spans="1:25" ht="24.75" x14ac:dyDescent="0.25">
      <c r="A116" s="5" t="s">
        <v>26</v>
      </c>
      <c r="B116" s="5" t="s">
        <v>34</v>
      </c>
      <c r="C116" s="5" t="s">
        <v>46</v>
      </c>
      <c r="D116" s="5" t="s">
        <v>47</v>
      </c>
      <c r="E116" s="5" t="s">
        <v>35</v>
      </c>
      <c r="F116" s="5" t="s">
        <v>182</v>
      </c>
      <c r="G116" s="5">
        <v>2018</v>
      </c>
      <c r="H116" s="5" t="str">
        <f>_xlfn.CONCAT("84240940118")</f>
        <v>84240940118</v>
      </c>
      <c r="I116" s="5" t="s">
        <v>29</v>
      </c>
      <c r="J116" s="5" t="s">
        <v>30</v>
      </c>
      <c r="K116" s="5" t="str">
        <f>_xlfn.CONCAT("")</f>
        <v/>
      </c>
      <c r="L116" s="5" t="str">
        <f>_xlfn.CONCAT("11 11.2 4b")</f>
        <v>11 11.2 4b</v>
      </c>
      <c r="M116" s="5" t="str">
        <f>_xlfn.CONCAT("SNZGCM73D03F520W")</f>
        <v>SNZGCM73D03F520W</v>
      </c>
      <c r="N116" s="5" t="s">
        <v>183</v>
      </c>
      <c r="O116" s="5" t="s">
        <v>144</v>
      </c>
      <c r="P116" s="6">
        <v>44096</v>
      </c>
      <c r="Q116" s="5" t="s">
        <v>31</v>
      </c>
      <c r="R116" s="5" t="s">
        <v>32</v>
      </c>
      <c r="S116" s="5" t="s">
        <v>33</v>
      </c>
      <c r="T116" s="5"/>
      <c r="U116" s="5">
        <v>116.49</v>
      </c>
      <c r="V116" s="5">
        <v>50.23</v>
      </c>
      <c r="W116" s="5">
        <v>46.39</v>
      </c>
      <c r="X116" s="5">
        <v>0</v>
      </c>
      <c r="Y116" s="5">
        <v>19.87</v>
      </c>
    </row>
    <row r="117" spans="1:25" ht="24.75" x14ac:dyDescent="0.25">
      <c r="A117" s="5" t="s">
        <v>26</v>
      </c>
      <c r="B117" s="5" t="s">
        <v>27</v>
      </c>
      <c r="C117" s="5" t="s">
        <v>46</v>
      </c>
      <c r="D117" s="5" t="s">
        <v>50</v>
      </c>
      <c r="E117" s="5" t="s">
        <v>38</v>
      </c>
      <c r="F117" s="5" t="s">
        <v>38</v>
      </c>
      <c r="G117" s="5">
        <v>2017</v>
      </c>
      <c r="H117" s="5" t="str">
        <f>_xlfn.CONCAT("04270104393")</f>
        <v>04270104393</v>
      </c>
      <c r="I117" s="5" t="s">
        <v>29</v>
      </c>
      <c r="J117" s="5" t="s">
        <v>30</v>
      </c>
      <c r="K117" s="5" t="str">
        <f>_xlfn.CONCAT("")</f>
        <v/>
      </c>
      <c r="L117" s="5" t="str">
        <f>_xlfn.CONCAT("4 4.1 2a")</f>
        <v>4 4.1 2a</v>
      </c>
      <c r="M117" s="5" t="str">
        <f>_xlfn.CONCAT("02398400412")</f>
        <v>02398400412</v>
      </c>
      <c r="N117" s="5" t="s">
        <v>184</v>
      </c>
      <c r="O117" s="5" t="s">
        <v>185</v>
      </c>
      <c r="P117" s="6">
        <v>44096</v>
      </c>
      <c r="Q117" s="5" t="s">
        <v>31</v>
      </c>
      <c r="R117" s="5" t="s">
        <v>36</v>
      </c>
      <c r="S117" s="5" t="s">
        <v>33</v>
      </c>
      <c r="T117" s="5"/>
      <c r="U117" s="7">
        <v>181034.52</v>
      </c>
      <c r="V117" s="7">
        <v>78062.09</v>
      </c>
      <c r="W117" s="7">
        <v>72087.95</v>
      </c>
      <c r="X117" s="5">
        <v>0</v>
      </c>
      <c r="Y117" s="7">
        <v>30884.48</v>
      </c>
    </row>
    <row r="118" spans="1:25" ht="24.75" x14ac:dyDescent="0.25">
      <c r="A118" s="5" t="s">
        <v>26</v>
      </c>
      <c r="B118" s="5" t="s">
        <v>34</v>
      </c>
      <c r="C118" s="5" t="s">
        <v>46</v>
      </c>
      <c r="D118" s="5" t="s">
        <v>47</v>
      </c>
      <c r="E118" s="5" t="s">
        <v>28</v>
      </c>
      <c r="F118" s="5" t="s">
        <v>103</v>
      </c>
      <c r="G118" s="5">
        <v>2019</v>
      </c>
      <c r="H118" s="5" t="str">
        <f>_xlfn.CONCAT("94210818913")</f>
        <v>94210818913</v>
      </c>
      <c r="I118" s="5" t="s">
        <v>37</v>
      </c>
      <c r="J118" s="5" t="s">
        <v>30</v>
      </c>
      <c r="K118" s="5" t="str">
        <f>_xlfn.CONCAT("")</f>
        <v/>
      </c>
      <c r="L118" s="5" t="str">
        <f>_xlfn.CONCAT("13 13.1 4a")</f>
        <v>13 13.1 4a</v>
      </c>
      <c r="M118" s="5" t="str">
        <f>_xlfn.CONCAT("CCCCRL61S24H390S")</f>
        <v>CCCCRL61S24H390S</v>
      </c>
      <c r="N118" s="5" t="s">
        <v>186</v>
      </c>
      <c r="O118" s="5" t="s">
        <v>128</v>
      </c>
      <c r="P118" s="6">
        <v>44096</v>
      </c>
      <c r="Q118" s="5" t="s">
        <v>31</v>
      </c>
      <c r="R118" s="5" t="s">
        <v>32</v>
      </c>
      <c r="S118" s="5" t="s">
        <v>33</v>
      </c>
      <c r="T118" s="5"/>
      <c r="U118" s="5">
        <v>173.43</v>
      </c>
      <c r="V118" s="5">
        <v>74.78</v>
      </c>
      <c r="W118" s="5">
        <v>69.06</v>
      </c>
      <c r="X118" s="5">
        <v>0</v>
      </c>
      <c r="Y118" s="5">
        <v>29.59</v>
      </c>
    </row>
    <row r="119" spans="1:25" ht="24.75" x14ac:dyDescent="0.25">
      <c r="A119" s="5" t="s">
        <v>26</v>
      </c>
      <c r="B119" s="5" t="s">
        <v>34</v>
      </c>
      <c r="C119" s="5" t="s">
        <v>46</v>
      </c>
      <c r="D119" s="5" t="s">
        <v>47</v>
      </c>
      <c r="E119" s="5" t="s">
        <v>43</v>
      </c>
      <c r="F119" s="5" t="s">
        <v>56</v>
      </c>
      <c r="G119" s="5">
        <v>2017</v>
      </c>
      <c r="H119" s="5" t="str">
        <f>_xlfn.CONCAT("74240131701")</f>
        <v>74240131701</v>
      </c>
      <c r="I119" s="5" t="s">
        <v>29</v>
      </c>
      <c r="J119" s="5" t="s">
        <v>30</v>
      </c>
      <c r="K119" s="5" t="str">
        <f>_xlfn.CONCAT("")</f>
        <v/>
      </c>
      <c r="L119" s="5" t="str">
        <f>_xlfn.CONCAT("11 11.2 4b")</f>
        <v>11 11.2 4b</v>
      </c>
      <c r="M119" s="5" t="str">
        <f>_xlfn.CONCAT("01793100445")</f>
        <v>01793100445</v>
      </c>
      <c r="N119" s="5" t="s">
        <v>61</v>
      </c>
      <c r="O119" s="5" t="s">
        <v>187</v>
      </c>
      <c r="P119" s="6">
        <v>44096</v>
      </c>
      <c r="Q119" s="5" t="s">
        <v>31</v>
      </c>
      <c r="R119" s="5" t="s">
        <v>32</v>
      </c>
      <c r="S119" s="5" t="s">
        <v>33</v>
      </c>
      <c r="T119" s="5"/>
      <c r="U119" s="7">
        <v>1936.96</v>
      </c>
      <c r="V119" s="5">
        <v>835.22</v>
      </c>
      <c r="W119" s="5">
        <v>771.3</v>
      </c>
      <c r="X119" s="5">
        <v>0</v>
      </c>
      <c r="Y119" s="5">
        <v>330.44</v>
      </c>
    </row>
    <row r="120" spans="1:25" ht="24.75" x14ac:dyDescent="0.25">
      <c r="A120" s="5" t="s">
        <v>26</v>
      </c>
      <c r="B120" s="5" t="s">
        <v>34</v>
      </c>
      <c r="C120" s="5" t="s">
        <v>46</v>
      </c>
      <c r="D120" s="5" t="s">
        <v>47</v>
      </c>
      <c r="E120" s="5" t="s">
        <v>43</v>
      </c>
      <c r="F120" s="5" t="s">
        <v>56</v>
      </c>
      <c r="G120" s="5">
        <v>2018</v>
      </c>
      <c r="H120" s="5" t="str">
        <f>_xlfn.CONCAT("84240567499")</f>
        <v>84240567499</v>
      </c>
      <c r="I120" s="5" t="s">
        <v>29</v>
      </c>
      <c r="J120" s="5" t="s">
        <v>30</v>
      </c>
      <c r="K120" s="5" t="str">
        <f>_xlfn.CONCAT("")</f>
        <v/>
      </c>
      <c r="L120" s="5" t="str">
        <f>_xlfn.CONCAT("11 11.2 4b")</f>
        <v>11 11.2 4b</v>
      </c>
      <c r="M120" s="5" t="str">
        <f>_xlfn.CONCAT("01793100445")</f>
        <v>01793100445</v>
      </c>
      <c r="N120" s="5" t="s">
        <v>61</v>
      </c>
      <c r="O120" s="5" t="s">
        <v>187</v>
      </c>
      <c r="P120" s="6">
        <v>44096</v>
      </c>
      <c r="Q120" s="5" t="s">
        <v>31</v>
      </c>
      <c r="R120" s="5" t="s">
        <v>32</v>
      </c>
      <c r="S120" s="5" t="s">
        <v>33</v>
      </c>
      <c r="T120" s="5"/>
      <c r="U120" s="7">
        <v>1935.43</v>
      </c>
      <c r="V120" s="5">
        <v>834.56</v>
      </c>
      <c r="W120" s="5">
        <v>770.69</v>
      </c>
      <c r="X120" s="5">
        <v>0</v>
      </c>
      <c r="Y120" s="5">
        <v>330.18</v>
      </c>
    </row>
    <row r="121" spans="1:25" ht="24.75" x14ac:dyDescent="0.25">
      <c r="A121" s="5" t="s">
        <v>26</v>
      </c>
      <c r="B121" s="5" t="s">
        <v>34</v>
      </c>
      <c r="C121" s="5" t="s">
        <v>46</v>
      </c>
      <c r="D121" s="5" t="s">
        <v>47</v>
      </c>
      <c r="E121" s="5" t="s">
        <v>43</v>
      </c>
      <c r="F121" s="5" t="s">
        <v>56</v>
      </c>
      <c r="G121" s="5">
        <v>2017</v>
      </c>
      <c r="H121" s="5" t="str">
        <f>_xlfn.CONCAT("74240511761")</f>
        <v>74240511761</v>
      </c>
      <c r="I121" s="5" t="s">
        <v>29</v>
      </c>
      <c r="J121" s="5" t="s">
        <v>30</v>
      </c>
      <c r="K121" s="5" t="str">
        <f>_xlfn.CONCAT("")</f>
        <v/>
      </c>
      <c r="L121" s="5" t="str">
        <f>_xlfn.CONCAT("11 11.2 4b")</f>
        <v>11 11.2 4b</v>
      </c>
      <c r="M121" s="5" t="str">
        <f>_xlfn.CONCAT("FRVVNT84A13A462W")</f>
        <v>FRVVNT84A13A462W</v>
      </c>
      <c r="N121" s="5" t="s">
        <v>188</v>
      </c>
      <c r="O121" s="5" t="s">
        <v>187</v>
      </c>
      <c r="P121" s="6">
        <v>44096</v>
      </c>
      <c r="Q121" s="5" t="s">
        <v>31</v>
      </c>
      <c r="R121" s="5" t="s">
        <v>32</v>
      </c>
      <c r="S121" s="5" t="s">
        <v>33</v>
      </c>
      <c r="T121" s="5"/>
      <c r="U121" s="7">
        <v>1025.78</v>
      </c>
      <c r="V121" s="5">
        <v>442.32</v>
      </c>
      <c r="W121" s="5">
        <v>408.47</v>
      </c>
      <c r="X121" s="5">
        <v>0</v>
      </c>
      <c r="Y121" s="5">
        <v>174.99</v>
      </c>
    </row>
    <row r="122" spans="1:25" ht="24.75" x14ac:dyDescent="0.25">
      <c r="A122" s="5" t="s">
        <v>26</v>
      </c>
      <c r="B122" s="5" t="s">
        <v>34</v>
      </c>
      <c r="C122" s="5" t="s">
        <v>46</v>
      </c>
      <c r="D122" s="5" t="s">
        <v>47</v>
      </c>
      <c r="E122" s="5" t="s">
        <v>28</v>
      </c>
      <c r="F122" s="5" t="s">
        <v>53</v>
      </c>
      <c r="G122" s="5">
        <v>2019</v>
      </c>
      <c r="H122" s="5" t="str">
        <f>_xlfn.CONCAT("94210186857")</f>
        <v>94210186857</v>
      </c>
      <c r="I122" s="5" t="s">
        <v>29</v>
      </c>
      <c r="J122" s="5" t="s">
        <v>30</v>
      </c>
      <c r="K122" s="5" t="str">
        <f>_xlfn.CONCAT("")</f>
        <v/>
      </c>
      <c r="L122" s="5" t="str">
        <f>_xlfn.CONCAT("13 13.1 4a")</f>
        <v>13 13.1 4a</v>
      </c>
      <c r="M122" s="5" t="str">
        <f>_xlfn.CONCAT("NGLGCR61B15D691L")</f>
        <v>NGLGCR61B15D691L</v>
      </c>
      <c r="N122" s="5" t="s">
        <v>189</v>
      </c>
      <c r="O122" s="5" t="s">
        <v>128</v>
      </c>
      <c r="P122" s="6">
        <v>44096</v>
      </c>
      <c r="Q122" s="5" t="s">
        <v>31</v>
      </c>
      <c r="R122" s="5" t="s">
        <v>32</v>
      </c>
      <c r="S122" s="5" t="s">
        <v>33</v>
      </c>
      <c r="T122" s="5"/>
      <c r="U122" s="5">
        <v>97.86</v>
      </c>
      <c r="V122" s="5">
        <v>42.2</v>
      </c>
      <c r="W122" s="5">
        <v>38.97</v>
      </c>
      <c r="X122" s="5">
        <v>0</v>
      </c>
      <c r="Y122" s="5">
        <v>16.690000000000001</v>
      </c>
    </row>
    <row r="123" spans="1:25" x14ac:dyDescent="0.25">
      <c r="A123" s="5" t="s">
        <v>26</v>
      </c>
      <c r="B123" s="5" t="s">
        <v>34</v>
      </c>
      <c r="C123" s="5" t="s">
        <v>46</v>
      </c>
      <c r="D123" s="5" t="s">
        <v>130</v>
      </c>
      <c r="E123" s="5" t="s">
        <v>28</v>
      </c>
      <c r="F123" s="5" t="s">
        <v>147</v>
      </c>
      <c r="G123" s="5">
        <v>2019</v>
      </c>
      <c r="H123" s="5" t="str">
        <f>_xlfn.CONCAT("94210599257")</f>
        <v>94210599257</v>
      </c>
      <c r="I123" s="5" t="s">
        <v>29</v>
      </c>
      <c r="J123" s="5" t="s">
        <v>30</v>
      </c>
      <c r="K123" s="5" t="str">
        <f>_xlfn.CONCAT("")</f>
        <v/>
      </c>
      <c r="L123" s="5" t="str">
        <f>_xlfn.CONCAT("13 13.1 4a")</f>
        <v>13 13.1 4a</v>
      </c>
      <c r="M123" s="5" t="str">
        <f>_xlfn.CONCAT("CMPLRI86A52I156H")</f>
        <v>CMPLRI86A52I156H</v>
      </c>
      <c r="N123" s="5" t="s">
        <v>190</v>
      </c>
      <c r="O123" s="5" t="s">
        <v>128</v>
      </c>
      <c r="P123" s="6">
        <v>44096</v>
      </c>
      <c r="Q123" s="5" t="s">
        <v>31</v>
      </c>
      <c r="R123" s="5" t="s">
        <v>32</v>
      </c>
      <c r="S123" s="5" t="s">
        <v>33</v>
      </c>
      <c r="T123" s="5"/>
      <c r="U123" s="7">
        <v>9000</v>
      </c>
      <c r="V123" s="7">
        <v>3880.8</v>
      </c>
      <c r="W123" s="7">
        <v>3583.8</v>
      </c>
      <c r="X123" s="5">
        <v>0</v>
      </c>
      <c r="Y123" s="7">
        <v>1535.4</v>
      </c>
    </row>
    <row r="124" spans="1:25" ht="24.75" x14ac:dyDescent="0.25">
      <c r="A124" s="5" t="s">
        <v>26</v>
      </c>
      <c r="B124" s="5" t="s">
        <v>34</v>
      </c>
      <c r="C124" s="5" t="s">
        <v>46</v>
      </c>
      <c r="D124" s="5" t="s">
        <v>47</v>
      </c>
      <c r="E124" s="5" t="s">
        <v>28</v>
      </c>
      <c r="F124" s="5" t="s">
        <v>53</v>
      </c>
      <c r="G124" s="5">
        <v>2019</v>
      </c>
      <c r="H124" s="5" t="str">
        <f>_xlfn.CONCAT("94210498724")</f>
        <v>94210498724</v>
      </c>
      <c r="I124" s="5" t="s">
        <v>37</v>
      </c>
      <c r="J124" s="5" t="s">
        <v>30</v>
      </c>
      <c r="K124" s="5" t="str">
        <f>_xlfn.CONCAT("")</f>
        <v/>
      </c>
      <c r="L124" s="5" t="str">
        <f>_xlfn.CONCAT("13 13.1 4a")</f>
        <v>13 13.1 4a</v>
      </c>
      <c r="M124" s="5" t="str">
        <f>_xlfn.CONCAT("FCCFNC47B18D691G")</f>
        <v>FCCFNC47B18D691G</v>
      </c>
      <c r="N124" s="5" t="s">
        <v>191</v>
      </c>
      <c r="O124" s="5" t="s">
        <v>128</v>
      </c>
      <c r="P124" s="6">
        <v>44096</v>
      </c>
      <c r="Q124" s="5" t="s">
        <v>31</v>
      </c>
      <c r="R124" s="5" t="s">
        <v>32</v>
      </c>
      <c r="S124" s="5" t="s">
        <v>33</v>
      </c>
      <c r="T124" s="5"/>
      <c r="U124" s="5">
        <v>3.86</v>
      </c>
      <c r="V124" s="5">
        <v>1.66</v>
      </c>
      <c r="W124" s="5">
        <v>1.54</v>
      </c>
      <c r="X124" s="5">
        <v>0</v>
      </c>
      <c r="Y124" s="5">
        <v>0.66</v>
      </c>
    </row>
    <row r="125" spans="1:25" ht="24.75" x14ac:dyDescent="0.25">
      <c r="A125" s="5" t="s">
        <v>26</v>
      </c>
      <c r="B125" s="5" t="s">
        <v>34</v>
      </c>
      <c r="C125" s="5" t="s">
        <v>46</v>
      </c>
      <c r="D125" s="5" t="s">
        <v>79</v>
      </c>
      <c r="E125" s="5" t="s">
        <v>28</v>
      </c>
      <c r="F125" s="5" t="s">
        <v>147</v>
      </c>
      <c r="G125" s="5">
        <v>2019</v>
      </c>
      <c r="H125" s="5" t="str">
        <f>_xlfn.CONCAT("94210015791")</f>
        <v>94210015791</v>
      </c>
      <c r="I125" s="5" t="s">
        <v>29</v>
      </c>
      <c r="J125" s="5" t="s">
        <v>30</v>
      </c>
      <c r="K125" s="5" t="str">
        <f>_xlfn.CONCAT("")</f>
        <v/>
      </c>
      <c r="L125" s="5" t="str">
        <f>_xlfn.CONCAT("13 13.1 4a")</f>
        <v>13 13.1 4a</v>
      </c>
      <c r="M125" s="5" t="str">
        <f>_xlfn.CONCAT("GRSRND51E17G657M")</f>
        <v>GRSRND51E17G657M</v>
      </c>
      <c r="N125" s="5" t="s">
        <v>192</v>
      </c>
      <c r="O125" s="5" t="s">
        <v>128</v>
      </c>
      <c r="P125" s="6">
        <v>44096</v>
      </c>
      <c r="Q125" s="5" t="s">
        <v>31</v>
      </c>
      <c r="R125" s="5" t="s">
        <v>32</v>
      </c>
      <c r="S125" s="5" t="s">
        <v>33</v>
      </c>
      <c r="T125" s="5"/>
      <c r="U125" s="7">
        <v>2601.58</v>
      </c>
      <c r="V125" s="7">
        <v>1121.8</v>
      </c>
      <c r="W125" s="7">
        <v>1035.95</v>
      </c>
      <c r="X125" s="5">
        <v>0</v>
      </c>
      <c r="Y125" s="5">
        <v>443.83</v>
      </c>
    </row>
    <row r="126" spans="1:25" x14ac:dyDescent="0.25">
      <c r="A126" s="5" t="s">
        <v>26</v>
      </c>
      <c r="B126" s="5" t="s">
        <v>34</v>
      </c>
      <c r="C126" s="5" t="s">
        <v>46</v>
      </c>
      <c r="D126" s="5" t="s">
        <v>130</v>
      </c>
      <c r="E126" s="5" t="s">
        <v>41</v>
      </c>
      <c r="F126" s="5" t="s">
        <v>193</v>
      </c>
      <c r="G126" s="5">
        <v>2018</v>
      </c>
      <c r="H126" s="5" t="str">
        <f>_xlfn.CONCAT("84210274795")</f>
        <v>84210274795</v>
      </c>
      <c r="I126" s="5" t="s">
        <v>29</v>
      </c>
      <c r="J126" s="5" t="s">
        <v>30</v>
      </c>
      <c r="K126" s="5" t="str">
        <f>_xlfn.CONCAT("")</f>
        <v/>
      </c>
      <c r="L126" s="5" t="str">
        <f>_xlfn.CONCAT("13 13.1 4a")</f>
        <v>13 13.1 4a</v>
      </c>
      <c r="M126" s="5" t="str">
        <f>_xlfn.CONCAT("MCHMRA41B06B474E")</f>
        <v>MCHMRA41B06B474E</v>
      </c>
      <c r="N126" s="5" t="s">
        <v>194</v>
      </c>
      <c r="O126" s="5" t="s">
        <v>128</v>
      </c>
      <c r="P126" s="6">
        <v>44096</v>
      </c>
      <c r="Q126" s="5" t="s">
        <v>31</v>
      </c>
      <c r="R126" s="5" t="s">
        <v>32</v>
      </c>
      <c r="S126" s="5" t="s">
        <v>33</v>
      </c>
      <c r="T126" s="5"/>
      <c r="U126" s="7">
        <v>1371.27</v>
      </c>
      <c r="V126" s="5">
        <v>591.29</v>
      </c>
      <c r="W126" s="5">
        <v>546.04</v>
      </c>
      <c r="X126" s="5">
        <v>0</v>
      </c>
      <c r="Y126" s="5">
        <v>233.94</v>
      </c>
    </row>
    <row r="127" spans="1:25" x14ac:dyDescent="0.25">
      <c r="A127" s="5" t="s">
        <v>26</v>
      </c>
      <c r="B127" s="5" t="s">
        <v>34</v>
      </c>
      <c r="C127" s="5" t="s">
        <v>46</v>
      </c>
      <c r="D127" s="5" t="s">
        <v>130</v>
      </c>
      <c r="E127" s="5" t="s">
        <v>28</v>
      </c>
      <c r="F127" s="5" t="s">
        <v>147</v>
      </c>
      <c r="G127" s="5">
        <v>2019</v>
      </c>
      <c r="H127" s="5" t="str">
        <f>_xlfn.CONCAT("94240152853")</f>
        <v>94240152853</v>
      </c>
      <c r="I127" s="5" t="s">
        <v>29</v>
      </c>
      <c r="J127" s="5" t="s">
        <v>30</v>
      </c>
      <c r="K127" s="5" t="str">
        <f>_xlfn.CONCAT("")</f>
        <v/>
      </c>
      <c r="L127" s="5" t="str">
        <f>_xlfn.CONCAT("10 10.1 4a")</f>
        <v>10 10.1 4a</v>
      </c>
      <c r="M127" s="5" t="str">
        <f>_xlfn.CONCAT("SLVLCU88H23B474S")</f>
        <v>SLVLCU88H23B474S</v>
      </c>
      <c r="N127" s="5" t="s">
        <v>195</v>
      </c>
      <c r="O127" s="5" t="s">
        <v>133</v>
      </c>
      <c r="P127" s="6">
        <v>44096</v>
      </c>
      <c r="Q127" s="5" t="s">
        <v>31</v>
      </c>
      <c r="R127" s="5" t="s">
        <v>32</v>
      </c>
      <c r="S127" s="5" t="s">
        <v>33</v>
      </c>
      <c r="T127" s="5"/>
      <c r="U127" s="7">
        <v>8940</v>
      </c>
      <c r="V127" s="7">
        <v>3854.93</v>
      </c>
      <c r="W127" s="7">
        <v>3559.91</v>
      </c>
      <c r="X127" s="5">
        <v>0</v>
      </c>
      <c r="Y127" s="7">
        <v>1525.16</v>
      </c>
    </row>
    <row r="128" spans="1:25" x14ac:dyDescent="0.25">
      <c r="A128" s="5" t="s">
        <v>26</v>
      </c>
      <c r="B128" s="5" t="s">
        <v>34</v>
      </c>
      <c r="C128" s="5" t="s">
        <v>46</v>
      </c>
      <c r="D128" s="5" t="s">
        <v>130</v>
      </c>
      <c r="E128" s="5" t="s">
        <v>44</v>
      </c>
      <c r="F128" s="5" t="s">
        <v>134</v>
      </c>
      <c r="G128" s="5">
        <v>2018</v>
      </c>
      <c r="H128" s="5" t="str">
        <f>_xlfn.CONCAT("84210738872")</f>
        <v>84210738872</v>
      </c>
      <c r="I128" s="5" t="s">
        <v>29</v>
      </c>
      <c r="J128" s="5" t="s">
        <v>30</v>
      </c>
      <c r="K128" s="5" t="str">
        <f>_xlfn.CONCAT("")</f>
        <v/>
      </c>
      <c r="L128" s="5" t="str">
        <f>_xlfn.CONCAT("13 13.1 4a")</f>
        <v>13 13.1 4a</v>
      </c>
      <c r="M128" s="5" t="str">
        <f>_xlfn.CONCAT("MNNMLS58B58B474A")</f>
        <v>MNNMLS58B58B474A</v>
      </c>
      <c r="N128" s="5" t="s">
        <v>196</v>
      </c>
      <c r="O128" s="5" t="s">
        <v>128</v>
      </c>
      <c r="P128" s="6">
        <v>44096</v>
      </c>
      <c r="Q128" s="5" t="s">
        <v>31</v>
      </c>
      <c r="R128" s="5" t="s">
        <v>32</v>
      </c>
      <c r="S128" s="5" t="s">
        <v>33</v>
      </c>
      <c r="T128" s="5"/>
      <c r="U128" s="5">
        <v>723.22</v>
      </c>
      <c r="V128" s="5">
        <v>311.85000000000002</v>
      </c>
      <c r="W128" s="5">
        <v>287.99</v>
      </c>
      <c r="X128" s="5">
        <v>0</v>
      </c>
      <c r="Y128" s="5">
        <v>123.38</v>
      </c>
    </row>
    <row r="129" spans="1:25" ht="24.75" x14ac:dyDescent="0.25">
      <c r="A129" s="5" t="s">
        <v>26</v>
      </c>
      <c r="B129" s="5" t="s">
        <v>34</v>
      </c>
      <c r="C129" s="5" t="s">
        <v>46</v>
      </c>
      <c r="D129" s="5" t="s">
        <v>47</v>
      </c>
      <c r="E129" s="5" t="s">
        <v>28</v>
      </c>
      <c r="F129" s="5" t="s">
        <v>53</v>
      </c>
      <c r="G129" s="5">
        <v>2019</v>
      </c>
      <c r="H129" s="5" t="str">
        <f>_xlfn.CONCAT("94210356880")</f>
        <v>94210356880</v>
      </c>
      <c r="I129" s="5" t="s">
        <v>29</v>
      </c>
      <c r="J129" s="5" t="s">
        <v>30</v>
      </c>
      <c r="K129" s="5" t="str">
        <f>_xlfn.CONCAT("")</f>
        <v/>
      </c>
      <c r="L129" s="5" t="str">
        <f>_xlfn.CONCAT("13 13.1 4a")</f>
        <v>13 13.1 4a</v>
      </c>
      <c r="M129" s="5" t="str">
        <f>_xlfn.CONCAT("PGLGNE65R17D691M")</f>
        <v>PGLGNE65R17D691M</v>
      </c>
      <c r="N129" s="5" t="s">
        <v>197</v>
      </c>
      <c r="O129" s="5" t="s">
        <v>128</v>
      </c>
      <c r="P129" s="6">
        <v>44096</v>
      </c>
      <c r="Q129" s="5" t="s">
        <v>31</v>
      </c>
      <c r="R129" s="5" t="s">
        <v>32</v>
      </c>
      <c r="S129" s="5" t="s">
        <v>33</v>
      </c>
      <c r="T129" s="5"/>
      <c r="U129" s="5">
        <v>461.2</v>
      </c>
      <c r="V129" s="5">
        <v>198.87</v>
      </c>
      <c r="W129" s="5">
        <v>183.65</v>
      </c>
      <c r="X129" s="5">
        <v>0</v>
      </c>
      <c r="Y129" s="5">
        <v>78.680000000000007</v>
      </c>
    </row>
    <row r="130" spans="1:25" x14ac:dyDescent="0.25">
      <c r="A130" s="5" t="s">
        <v>26</v>
      </c>
      <c r="B130" s="5" t="s">
        <v>34</v>
      </c>
      <c r="C130" s="5" t="s">
        <v>46</v>
      </c>
      <c r="D130" s="5" t="s">
        <v>130</v>
      </c>
      <c r="E130" s="5" t="s">
        <v>28</v>
      </c>
      <c r="F130" s="5" t="s">
        <v>198</v>
      </c>
      <c r="G130" s="5">
        <v>2017</v>
      </c>
      <c r="H130" s="5" t="str">
        <f>_xlfn.CONCAT("74211122796")</f>
        <v>74211122796</v>
      </c>
      <c r="I130" s="5" t="s">
        <v>29</v>
      </c>
      <c r="J130" s="5" t="s">
        <v>30</v>
      </c>
      <c r="K130" s="5" t="str">
        <f>_xlfn.CONCAT("")</f>
        <v/>
      </c>
      <c r="L130" s="5" t="str">
        <f>_xlfn.CONCAT("13 13.1 4a")</f>
        <v>13 13.1 4a</v>
      </c>
      <c r="M130" s="5" t="str">
        <f>_xlfn.CONCAT("PCCMRA92S19L191D")</f>
        <v>PCCMRA92S19L191D</v>
      </c>
      <c r="N130" s="5" t="s">
        <v>199</v>
      </c>
      <c r="O130" s="5" t="s">
        <v>128</v>
      </c>
      <c r="P130" s="6">
        <v>44096</v>
      </c>
      <c r="Q130" s="5" t="s">
        <v>31</v>
      </c>
      <c r="R130" s="5" t="s">
        <v>32</v>
      </c>
      <c r="S130" s="5" t="s">
        <v>33</v>
      </c>
      <c r="T130" s="5"/>
      <c r="U130" s="7">
        <v>2177.98</v>
      </c>
      <c r="V130" s="5">
        <v>939.14</v>
      </c>
      <c r="W130" s="5">
        <v>867.27</v>
      </c>
      <c r="X130" s="5">
        <v>0</v>
      </c>
      <c r="Y130" s="5">
        <v>371.57</v>
      </c>
    </row>
    <row r="131" spans="1:25" x14ac:dyDescent="0.25">
      <c r="A131" s="5" t="s">
        <v>26</v>
      </c>
      <c r="B131" s="5" t="s">
        <v>34</v>
      </c>
      <c r="C131" s="5" t="s">
        <v>46</v>
      </c>
      <c r="D131" s="5" t="s">
        <v>130</v>
      </c>
      <c r="E131" s="5" t="s">
        <v>28</v>
      </c>
      <c r="F131" s="5" t="s">
        <v>198</v>
      </c>
      <c r="G131" s="5">
        <v>2019</v>
      </c>
      <c r="H131" s="5" t="str">
        <f>_xlfn.CONCAT("94240938483")</f>
        <v>94240938483</v>
      </c>
      <c r="I131" s="5" t="s">
        <v>29</v>
      </c>
      <c r="J131" s="5" t="s">
        <v>30</v>
      </c>
      <c r="K131" s="5" t="str">
        <f>_xlfn.CONCAT("")</f>
        <v/>
      </c>
      <c r="L131" s="5" t="str">
        <f>_xlfn.CONCAT("10 10.1 4a")</f>
        <v>10 10.1 4a</v>
      </c>
      <c r="M131" s="5" t="str">
        <f>_xlfn.CONCAT("CLOGNN66R25B474G")</f>
        <v>CLOGNN66R25B474G</v>
      </c>
      <c r="N131" s="5" t="s">
        <v>200</v>
      </c>
      <c r="O131" s="5" t="s">
        <v>133</v>
      </c>
      <c r="P131" s="6">
        <v>44096</v>
      </c>
      <c r="Q131" s="5" t="s">
        <v>31</v>
      </c>
      <c r="R131" s="5" t="s">
        <v>32</v>
      </c>
      <c r="S131" s="5" t="s">
        <v>33</v>
      </c>
      <c r="T131" s="5"/>
      <c r="U131" s="7">
        <v>1088.1199999999999</v>
      </c>
      <c r="V131" s="5">
        <v>469.2</v>
      </c>
      <c r="W131" s="5">
        <v>433.29</v>
      </c>
      <c r="X131" s="5">
        <v>0</v>
      </c>
      <c r="Y131" s="5">
        <v>185.63</v>
      </c>
    </row>
    <row r="132" spans="1:25" ht="24.75" x14ac:dyDescent="0.25">
      <c r="A132" s="5" t="s">
        <v>26</v>
      </c>
      <c r="B132" s="5" t="s">
        <v>34</v>
      </c>
      <c r="C132" s="5" t="s">
        <v>46</v>
      </c>
      <c r="D132" s="5" t="s">
        <v>47</v>
      </c>
      <c r="E132" s="5" t="s">
        <v>35</v>
      </c>
      <c r="F132" s="5" t="s">
        <v>182</v>
      </c>
      <c r="G132" s="5">
        <v>2019</v>
      </c>
      <c r="H132" s="5" t="str">
        <f>_xlfn.CONCAT("94240829096")</f>
        <v>94240829096</v>
      </c>
      <c r="I132" s="5" t="s">
        <v>29</v>
      </c>
      <c r="J132" s="5" t="s">
        <v>30</v>
      </c>
      <c r="K132" s="5" t="str">
        <f>_xlfn.CONCAT("")</f>
        <v/>
      </c>
      <c r="L132" s="5" t="str">
        <f>_xlfn.CONCAT("11 11.1 4b")</f>
        <v>11 11.1 4b</v>
      </c>
      <c r="M132" s="5" t="str">
        <f>_xlfn.CONCAT("BRTMNL86A17C070Z")</f>
        <v>BRTMNL86A17C070Z</v>
      </c>
      <c r="N132" s="5" t="s">
        <v>201</v>
      </c>
      <c r="O132" s="5" t="s">
        <v>144</v>
      </c>
      <c r="P132" s="6">
        <v>44096</v>
      </c>
      <c r="Q132" s="5" t="s">
        <v>31</v>
      </c>
      <c r="R132" s="5" t="s">
        <v>32</v>
      </c>
      <c r="S132" s="5" t="s">
        <v>33</v>
      </c>
      <c r="T132" s="5"/>
      <c r="U132" s="7">
        <v>1385.84</v>
      </c>
      <c r="V132" s="5">
        <v>597.57000000000005</v>
      </c>
      <c r="W132" s="5">
        <v>551.84</v>
      </c>
      <c r="X132" s="5">
        <v>0</v>
      </c>
      <c r="Y132" s="5">
        <v>236.43</v>
      </c>
    </row>
    <row r="133" spans="1:25" ht="24.75" x14ac:dyDescent="0.25">
      <c r="A133" s="5" t="s">
        <v>26</v>
      </c>
      <c r="B133" s="5" t="s">
        <v>34</v>
      </c>
      <c r="C133" s="5" t="s">
        <v>46</v>
      </c>
      <c r="D133" s="5" t="s">
        <v>47</v>
      </c>
      <c r="E133" s="5" t="s">
        <v>38</v>
      </c>
      <c r="F133" s="5" t="s">
        <v>38</v>
      </c>
      <c r="G133" s="5">
        <v>2019</v>
      </c>
      <c r="H133" s="5" t="str">
        <f>_xlfn.CONCAT("94240647498")</f>
        <v>94240647498</v>
      </c>
      <c r="I133" s="5" t="s">
        <v>37</v>
      </c>
      <c r="J133" s="5" t="s">
        <v>30</v>
      </c>
      <c r="K133" s="5" t="str">
        <f>_xlfn.CONCAT("")</f>
        <v/>
      </c>
      <c r="L133" s="5" t="str">
        <f>_xlfn.CONCAT("11 11.2 4b")</f>
        <v>11 11.2 4b</v>
      </c>
      <c r="M133" s="5" t="str">
        <f>_xlfn.CONCAT("MRNFNC64H41H769R")</f>
        <v>MRNFNC64H41H769R</v>
      </c>
      <c r="N133" s="5" t="s">
        <v>202</v>
      </c>
      <c r="O133" s="5" t="s">
        <v>144</v>
      </c>
      <c r="P133" s="6">
        <v>44096</v>
      </c>
      <c r="Q133" s="5" t="s">
        <v>31</v>
      </c>
      <c r="R133" s="5" t="s">
        <v>32</v>
      </c>
      <c r="S133" s="5" t="s">
        <v>33</v>
      </c>
      <c r="T133" s="5"/>
      <c r="U133" s="7">
        <v>2628.52</v>
      </c>
      <c r="V133" s="7">
        <v>1133.42</v>
      </c>
      <c r="W133" s="7">
        <v>1046.68</v>
      </c>
      <c r="X133" s="5">
        <v>0</v>
      </c>
      <c r="Y133" s="5">
        <v>448.42</v>
      </c>
    </row>
    <row r="134" spans="1:25" ht="24.75" x14ac:dyDescent="0.25">
      <c r="A134" s="5" t="s">
        <v>26</v>
      </c>
      <c r="B134" s="5" t="s">
        <v>34</v>
      </c>
      <c r="C134" s="5" t="s">
        <v>46</v>
      </c>
      <c r="D134" s="5" t="s">
        <v>79</v>
      </c>
      <c r="E134" s="5" t="s">
        <v>35</v>
      </c>
      <c r="F134" s="5" t="s">
        <v>164</v>
      </c>
      <c r="G134" s="5">
        <v>2019</v>
      </c>
      <c r="H134" s="5" t="str">
        <f>_xlfn.CONCAT("94240434608")</f>
        <v>94240434608</v>
      </c>
      <c r="I134" s="5" t="s">
        <v>29</v>
      </c>
      <c r="J134" s="5" t="s">
        <v>30</v>
      </c>
      <c r="K134" s="5" t="str">
        <f>_xlfn.CONCAT("")</f>
        <v/>
      </c>
      <c r="L134" s="5" t="str">
        <f>_xlfn.CONCAT("10 10.1 4a")</f>
        <v>10 10.1 4a</v>
      </c>
      <c r="M134" s="5" t="str">
        <f>_xlfn.CONCAT("CLMGRG83T18E388S")</f>
        <v>CLMGRG83T18E388S</v>
      </c>
      <c r="N134" s="5" t="s">
        <v>203</v>
      </c>
      <c r="O134" s="5" t="s">
        <v>166</v>
      </c>
      <c r="P134" s="6">
        <v>44096</v>
      </c>
      <c r="Q134" s="5" t="s">
        <v>31</v>
      </c>
      <c r="R134" s="5" t="s">
        <v>32</v>
      </c>
      <c r="S134" s="5" t="s">
        <v>33</v>
      </c>
      <c r="T134" s="5"/>
      <c r="U134" s="5">
        <v>61.08</v>
      </c>
      <c r="V134" s="5">
        <v>26.34</v>
      </c>
      <c r="W134" s="5">
        <v>24.32</v>
      </c>
      <c r="X134" s="5">
        <v>0</v>
      </c>
      <c r="Y134" s="5">
        <v>10.42</v>
      </c>
    </row>
    <row r="135" spans="1:25" ht="24.75" x14ac:dyDescent="0.25">
      <c r="A135" s="5" t="s">
        <v>26</v>
      </c>
      <c r="B135" s="5" t="s">
        <v>34</v>
      </c>
      <c r="C135" s="5" t="s">
        <v>46</v>
      </c>
      <c r="D135" s="5" t="s">
        <v>50</v>
      </c>
      <c r="E135" s="5" t="s">
        <v>35</v>
      </c>
      <c r="F135" s="5" t="s">
        <v>204</v>
      </c>
      <c r="G135" s="5">
        <v>2019</v>
      </c>
      <c r="H135" s="5" t="str">
        <f>_xlfn.CONCAT("94210229558")</f>
        <v>94210229558</v>
      </c>
      <c r="I135" s="5" t="s">
        <v>29</v>
      </c>
      <c r="J135" s="5" t="s">
        <v>30</v>
      </c>
      <c r="K135" s="5" t="str">
        <f>_xlfn.CONCAT("")</f>
        <v/>
      </c>
      <c r="L135" s="5" t="str">
        <f>_xlfn.CONCAT("13 13.1 4a")</f>
        <v>13 13.1 4a</v>
      </c>
      <c r="M135" s="5" t="str">
        <f>_xlfn.CONCAT("SMCRNI54S54A035E")</f>
        <v>SMCRNI54S54A035E</v>
      </c>
      <c r="N135" s="5" t="s">
        <v>205</v>
      </c>
      <c r="O135" s="5" t="s">
        <v>128</v>
      </c>
      <c r="P135" s="6">
        <v>44096</v>
      </c>
      <c r="Q135" s="5" t="s">
        <v>31</v>
      </c>
      <c r="R135" s="5" t="s">
        <v>32</v>
      </c>
      <c r="S135" s="5" t="s">
        <v>33</v>
      </c>
      <c r="T135" s="5"/>
      <c r="U135" s="5">
        <v>175.95</v>
      </c>
      <c r="V135" s="5">
        <v>75.87</v>
      </c>
      <c r="W135" s="5">
        <v>70.06</v>
      </c>
      <c r="X135" s="5">
        <v>0</v>
      </c>
      <c r="Y135" s="5">
        <v>30.02</v>
      </c>
    </row>
    <row r="136" spans="1:25" x14ac:dyDescent="0.25">
      <c r="A136" s="5" t="s">
        <v>26</v>
      </c>
      <c r="B136" s="5" t="s">
        <v>34</v>
      </c>
      <c r="C136" s="5" t="s">
        <v>46</v>
      </c>
      <c r="D136" s="5" t="s">
        <v>130</v>
      </c>
      <c r="E136" s="5" t="s">
        <v>35</v>
      </c>
      <c r="F136" s="5" t="s">
        <v>116</v>
      </c>
      <c r="G136" s="5">
        <v>2019</v>
      </c>
      <c r="H136" s="5" t="str">
        <f>_xlfn.CONCAT("94241025645")</f>
        <v>94241025645</v>
      </c>
      <c r="I136" s="5" t="s">
        <v>29</v>
      </c>
      <c r="J136" s="5" t="s">
        <v>30</v>
      </c>
      <c r="K136" s="5" t="str">
        <f>_xlfn.CONCAT("")</f>
        <v/>
      </c>
      <c r="L136" s="5" t="str">
        <f>_xlfn.CONCAT("10 10.1 4a")</f>
        <v>10 10.1 4a</v>
      </c>
      <c r="M136" s="5" t="str">
        <f>_xlfn.CONCAT("MCARLL58E54I661W")</f>
        <v>MCARLL58E54I661W</v>
      </c>
      <c r="N136" s="5" t="s">
        <v>206</v>
      </c>
      <c r="O136" s="5" t="s">
        <v>133</v>
      </c>
      <c r="P136" s="6">
        <v>44096</v>
      </c>
      <c r="Q136" s="5" t="s">
        <v>31</v>
      </c>
      <c r="R136" s="5" t="s">
        <v>32</v>
      </c>
      <c r="S136" s="5" t="s">
        <v>33</v>
      </c>
      <c r="T136" s="5"/>
      <c r="U136" s="7">
        <v>3127.41</v>
      </c>
      <c r="V136" s="7">
        <v>1348.54</v>
      </c>
      <c r="W136" s="7">
        <v>1245.33</v>
      </c>
      <c r="X136" s="5">
        <v>0</v>
      </c>
      <c r="Y136" s="5">
        <v>533.54</v>
      </c>
    </row>
    <row r="137" spans="1:25" ht="24.75" x14ac:dyDescent="0.25">
      <c r="A137" s="5" t="s">
        <v>26</v>
      </c>
      <c r="B137" s="5" t="s">
        <v>34</v>
      </c>
      <c r="C137" s="5" t="s">
        <v>46</v>
      </c>
      <c r="D137" s="5" t="s">
        <v>47</v>
      </c>
      <c r="E137" s="5" t="s">
        <v>41</v>
      </c>
      <c r="F137" s="5" t="s">
        <v>207</v>
      </c>
      <c r="G137" s="5">
        <v>2019</v>
      </c>
      <c r="H137" s="5" t="str">
        <f>_xlfn.CONCAT("94240860703")</f>
        <v>94240860703</v>
      </c>
      <c r="I137" s="5" t="s">
        <v>29</v>
      </c>
      <c r="J137" s="5" t="s">
        <v>30</v>
      </c>
      <c r="K137" s="5" t="str">
        <f>_xlfn.CONCAT("")</f>
        <v/>
      </c>
      <c r="L137" s="5" t="str">
        <f>_xlfn.CONCAT("11 11.2 4b")</f>
        <v>11 11.2 4b</v>
      </c>
      <c r="M137" s="5" t="str">
        <f>_xlfn.CONCAT("01924080441")</f>
        <v>01924080441</v>
      </c>
      <c r="N137" s="5" t="s">
        <v>208</v>
      </c>
      <c r="O137" s="5" t="s">
        <v>144</v>
      </c>
      <c r="P137" s="6">
        <v>44096</v>
      </c>
      <c r="Q137" s="5" t="s">
        <v>31</v>
      </c>
      <c r="R137" s="5" t="s">
        <v>32</v>
      </c>
      <c r="S137" s="5" t="s">
        <v>33</v>
      </c>
      <c r="T137" s="5"/>
      <c r="U137" s="7">
        <v>1766.23</v>
      </c>
      <c r="V137" s="5">
        <v>761.6</v>
      </c>
      <c r="W137" s="5">
        <v>703.31</v>
      </c>
      <c r="X137" s="5">
        <v>0</v>
      </c>
      <c r="Y137" s="5">
        <v>301.32</v>
      </c>
    </row>
    <row r="138" spans="1:25" ht="24.75" x14ac:dyDescent="0.25">
      <c r="A138" s="5" t="s">
        <v>26</v>
      </c>
      <c r="B138" s="5" t="s">
        <v>34</v>
      </c>
      <c r="C138" s="5" t="s">
        <v>46</v>
      </c>
      <c r="D138" s="5" t="s">
        <v>79</v>
      </c>
      <c r="E138" s="5" t="s">
        <v>35</v>
      </c>
      <c r="F138" s="5" t="s">
        <v>209</v>
      </c>
      <c r="G138" s="5">
        <v>2019</v>
      </c>
      <c r="H138" s="5" t="str">
        <f>_xlfn.CONCAT("94240965510")</f>
        <v>94240965510</v>
      </c>
      <c r="I138" s="5" t="s">
        <v>29</v>
      </c>
      <c r="J138" s="5" t="s">
        <v>30</v>
      </c>
      <c r="K138" s="5" t="str">
        <f>_xlfn.CONCAT("")</f>
        <v/>
      </c>
      <c r="L138" s="5" t="str">
        <f>_xlfn.CONCAT("10 10.1 4a")</f>
        <v>10 10.1 4a</v>
      </c>
      <c r="M138" s="5" t="str">
        <f>_xlfn.CONCAT("PCNCST95M29I608L")</f>
        <v>PCNCST95M29I608L</v>
      </c>
      <c r="N138" s="5" t="s">
        <v>210</v>
      </c>
      <c r="O138" s="5" t="s">
        <v>166</v>
      </c>
      <c r="P138" s="6">
        <v>44096</v>
      </c>
      <c r="Q138" s="5" t="s">
        <v>31</v>
      </c>
      <c r="R138" s="5" t="s">
        <v>32</v>
      </c>
      <c r="S138" s="5" t="s">
        <v>33</v>
      </c>
      <c r="T138" s="5"/>
      <c r="U138" s="5">
        <v>331.44</v>
      </c>
      <c r="V138" s="5">
        <v>142.91999999999999</v>
      </c>
      <c r="W138" s="5">
        <v>131.97999999999999</v>
      </c>
      <c r="X138" s="5">
        <v>0</v>
      </c>
      <c r="Y138" s="5">
        <v>56.54</v>
      </c>
    </row>
    <row r="139" spans="1:25" ht="24.75" x14ac:dyDescent="0.25">
      <c r="A139" s="5" t="s">
        <v>26</v>
      </c>
      <c r="B139" s="5" t="s">
        <v>34</v>
      </c>
      <c r="C139" s="5" t="s">
        <v>46</v>
      </c>
      <c r="D139" s="5" t="s">
        <v>47</v>
      </c>
      <c r="E139" s="5" t="s">
        <v>28</v>
      </c>
      <c r="F139" s="5" t="s">
        <v>211</v>
      </c>
      <c r="G139" s="5">
        <v>2019</v>
      </c>
      <c r="H139" s="5" t="str">
        <f>_xlfn.CONCAT("94240802770")</f>
        <v>94240802770</v>
      </c>
      <c r="I139" s="5" t="s">
        <v>29</v>
      </c>
      <c r="J139" s="5" t="s">
        <v>30</v>
      </c>
      <c r="K139" s="5" t="str">
        <f>_xlfn.CONCAT("")</f>
        <v/>
      </c>
      <c r="L139" s="5" t="str">
        <f>_xlfn.CONCAT("11 11.2 4b")</f>
        <v>11 11.2 4b</v>
      </c>
      <c r="M139" s="5" t="str">
        <f>_xlfn.CONCAT("NNISVR57A08C321S")</f>
        <v>NNISVR57A08C321S</v>
      </c>
      <c r="N139" s="5" t="s">
        <v>212</v>
      </c>
      <c r="O139" s="5" t="s">
        <v>144</v>
      </c>
      <c r="P139" s="6">
        <v>44096</v>
      </c>
      <c r="Q139" s="5" t="s">
        <v>31</v>
      </c>
      <c r="R139" s="5" t="s">
        <v>32</v>
      </c>
      <c r="S139" s="5" t="s">
        <v>33</v>
      </c>
      <c r="T139" s="5"/>
      <c r="U139" s="5">
        <v>491.22</v>
      </c>
      <c r="V139" s="5">
        <v>211.81</v>
      </c>
      <c r="W139" s="5">
        <v>195.6</v>
      </c>
      <c r="X139" s="5">
        <v>0</v>
      </c>
      <c r="Y139" s="5">
        <v>83.81</v>
      </c>
    </row>
    <row r="140" spans="1:25" ht="24.75" x14ac:dyDescent="0.25">
      <c r="A140" s="5" t="s">
        <v>26</v>
      </c>
      <c r="B140" s="5" t="s">
        <v>34</v>
      </c>
      <c r="C140" s="5" t="s">
        <v>46</v>
      </c>
      <c r="D140" s="5" t="s">
        <v>47</v>
      </c>
      <c r="E140" s="5" t="s">
        <v>43</v>
      </c>
      <c r="F140" s="5" t="s">
        <v>56</v>
      </c>
      <c r="G140" s="5">
        <v>2019</v>
      </c>
      <c r="H140" s="5" t="str">
        <f>_xlfn.CONCAT("94241084907")</f>
        <v>94241084907</v>
      </c>
      <c r="I140" s="5" t="s">
        <v>29</v>
      </c>
      <c r="J140" s="5" t="s">
        <v>30</v>
      </c>
      <c r="K140" s="5" t="str">
        <f>_xlfn.CONCAT("")</f>
        <v/>
      </c>
      <c r="L140" s="5" t="str">
        <f>_xlfn.CONCAT("11 11.2 4b")</f>
        <v>11 11.2 4b</v>
      </c>
      <c r="M140" s="5" t="str">
        <f>_xlfn.CONCAT("FRVVNT84A13A462W")</f>
        <v>FRVVNT84A13A462W</v>
      </c>
      <c r="N140" s="5" t="s">
        <v>188</v>
      </c>
      <c r="O140" s="5" t="s">
        <v>187</v>
      </c>
      <c r="P140" s="6">
        <v>44096</v>
      </c>
      <c r="Q140" s="5" t="s">
        <v>31</v>
      </c>
      <c r="R140" s="5" t="s">
        <v>32</v>
      </c>
      <c r="S140" s="5" t="s">
        <v>33</v>
      </c>
      <c r="T140" s="5"/>
      <c r="U140" s="5">
        <v>872.34</v>
      </c>
      <c r="V140" s="5">
        <v>376.15</v>
      </c>
      <c r="W140" s="5">
        <v>347.37</v>
      </c>
      <c r="X140" s="5">
        <v>0</v>
      </c>
      <c r="Y140" s="5">
        <v>148.82</v>
      </c>
    </row>
    <row r="141" spans="1:25" ht="24.75" x14ac:dyDescent="0.25">
      <c r="A141" s="5" t="s">
        <v>26</v>
      </c>
      <c r="B141" s="5" t="s">
        <v>34</v>
      </c>
      <c r="C141" s="5" t="s">
        <v>46</v>
      </c>
      <c r="D141" s="5" t="s">
        <v>47</v>
      </c>
      <c r="E141" s="5" t="s">
        <v>38</v>
      </c>
      <c r="F141" s="5" t="s">
        <v>38</v>
      </c>
      <c r="G141" s="5">
        <v>2019</v>
      </c>
      <c r="H141" s="5" t="str">
        <f>_xlfn.CONCAT("94240665946")</f>
        <v>94240665946</v>
      </c>
      <c r="I141" s="5" t="s">
        <v>29</v>
      </c>
      <c r="J141" s="5" t="s">
        <v>30</v>
      </c>
      <c r="K141" s="5" t="str">
        <f>_xlfn.CONCAT("")</f>
        <v/>
      </c>
      <c r="L141" s="5" t="str">
        <f>_xlfn.CONCAT("11 11.1 4b")</f>
        <v>11 11.1 4b</v>
      </c>
      <c r="M141" s="5" t="str">
        <f>_xlfn.CONCAT("MBLGNI52S07G005R")</f>
        <v>MBLGNI52S07G005R</v>
      </c>
      <c r="N141" s="5" t="s">
        <v>213</v>
      </c>
      <c r="O141" s="5" t="s">
        <v>187</v>
      </c>
      <c r="P141" s="6">
        <v>44096</v>
      </c>
      <c r="Q141" s="5" t="s">
        <v>31</v>
      </c>
      <c r="R141" s="5" t="s">
        <v>32</v>
      </c>
      <c r="S141" s="5" t="s">
        <v>33</v>
      </c>
      <c r="T141" s="5"/>
      <c r="U141" s="5">
        <v>630.36</v>
      </c>
      <c r="V141" s="5">
        <v>271.81</v>
      </c>
      <c r="W141" s="5">
        <v>251.01</v>
      </c>
      <c r="X141" s="5">
        <v>0</v>
      </c>
      <c r="Y141" s="5">
        <v>107.54</v>
      </c>
    </row>
    <row r="142" spans="1:25" ht="24.75" x14ac:dyDescent="0.25">
      <c r="A142" s="5" t="s">
        <v>26</v>
      </c>
      <c r="B142" s="5" t="s">
        <v>34</v>
      </c>
      <c r="C142" s="5" t="s">
        <v>46</v>
      </c>
      <c r="D142" s="5" t="s">
        <v>47</v>
      </c>
      <c r="E142" s="5" t="s">
        <v>38</v>
      </c>
      <c r="F142" s="5" t="s">
        <v>38</v>
      </c>
      <c r="G142" s="5">
        <v>2017</v>
      </c>
      <c r="H142" s="5" t="str">
        <f>_xlfn.CONCAT("74240096490")</f>
        <v>74240096490</v>
      </c>
      <c r="I142" s="5" t="s">
        <v>29</v>
      </c>
      <c r="J142" s="5" t="s">
        <v>30</v>
      </c>
      <c r="K142" s="5" t="str">
        <f>_xlfn.CONCAT("")</f>
        <v/>
      </c>
      <c r="L142" s="5" t="str">
        <f>_xlfn.CONCAT("11 11.1 4b")</f>
        <v>11 11.1 4b</v>
      </c>
      <c r="M142" s="5" t="str">
        <f>_xlfn.CONCAT("MBLGNI52S07G005R")</f>
        <v>MBLGNI52S07G005R</v>
      </c>
      <c r="N142" s="5" t="s">
        <v>213</v>
      </c>
      <c r="O142" s="5" t="s">
        <v>187</v>
      </c>
      <c r="P142" s="6">
        <v>44096</v>
      </c>
      <c r="Q142" s="5" t="s">
        <v>31</v>
      </c>
      <c r="R142" s="5" t="s">
        <v>32</v>
      </c>
      <c r="S142" s="5" t="s">
        <v>33</v>
      </c>
      <c r="T142" s="5"/>
      <c r="U142" s="5">
        <v>792.31</v>
      </c>
      <c r="V142" s="5">
        <v>341.64</v>
      </c>
      <c r="W142" s="5">
        <v>315.5</v>
      </c>
      <c r="X142" s="5">
        <v>0</v>
      </c>
      <c r="Y142" s="5">
        <v>135.16999999999999</v>
      </c>
    </row>
    <row r="143" spans="1:25" ht="24.75" x14ac:dyDescent="0.25">
      <c r="A143" s="5" t="s">
        <v>26</v>
      </c>
      <c r="B143" s="5" t="s">
        <v>34</v>
      </c>
      <c r="C143" s="5" t="s">
        <v>46</v>
      </c>
      <c r="D143" s="5" t="s">
        <v>47</v>
      </c>
      <c r="E143" s="5" t="s">
        <v>35</v>
      </c>
      <c r="F143" s="5" t="s">
        <v>182</v>
      </c>
      <c r="G143" s="5">
        <v>2017</v>
      </c>
      <c r="H143" s="5" t="str">
        <f>_xlfn.CONCAT("74240663349")</f>
        <v>74240663349</v>
      </c>
      <c r="I143" s="5" t="s">
        <v>29</v>
      </c>
      <c r="J143" s="5" t="s">
        <v>30</v>
      </c>
      <c r="K143" s="5" t="str">
        <f>_xlfn.CONCAT("")</f>
        <v/>
      </c>
      <c r="L143" s="5" t="str">
        <f>_xlfn.CONCAT("11 11.1 4b")</f>
        <v>11 11.1 4b</v>
      </c>
      <c r="M143" s="5" t="str">
        <f>_xlfn.CONCAT("00439150442")</f>
        <v>00439150442</v>
      </c>
      <c r="N143" s="5" t="s">
        <v>214</v>
      </c>
      <c r="O143" s="5" t="s">
        <v>187</v>
      </c>
      <c r="P143" s="6">
        <v>44096</v>
      </c>
      <c r="Q143" s="5" t="s">
        <v>31</v>
      </c>
      <c r="R143" s="5" t="s">
        <v>32</v>
      </c>
      <c r="S143" s="5" t="s">
        <v>33</v>
      </c>
      <c r="T143" s="5"/>
      <c r="U143" s="5">
        <v>771.44</v>
      </c>
      <c r="V143" s="5">
        <v>332.64</v>
      </c>
      <c r="W143" s="5">
        <v>307.19</v>
      </c>
      <c r="X143" s="5">
        <v>0</v>
      </c>
      <c r="Y143" s="5">
        <v>131.61000000000001</v>
      </c>
    </row>
    <row r="144" spans="1:25" ht="24.75" x14ac:dyDescent="0.25">
      <c r="A144" s="5" t="s">
        <v>26</v>
      </c>
      <c r="B144" s="5" t="s">
        <v>34</v>
      </c>
      <c r="C144" s="5" t="s">
        <v>46</v>
      </c>
      <c r="D144" s="5" t="s">
        <v>47</v>
      </c>
      <c r="E144" s="5" t="s">
        <v>38</v>
      </c>
      <c r="F144" s="5" t="s">
        <v>38</v>
      </c>
      <c r="G144" s="5">
        <v>2019</v>
      </c>
      <c r="H144" s="5" t="str">
        <f>_xlfn.CONCAT("94240016660")</f>
        <v>94240016660</v>
      </c>
      <c r="I144" s="5" t="s">
        <v>37</v>
      </c>
      <c r="J144" s="5" t="s">
        <v>30</v>
      </c>
      <c r="K144" s="5" t="str">
        <f>_xlfn.CONCAT("")</f>
        <v/>
      </c>
      <c r="L144" s="5" t="str">
        <f>_xlfn.CONCAT("11 11.2 4b")</f>
        <v>11 11.2 4b</v>
      </c>
      <c r="M144" s="5" t="str">
        <f>_xlfn.CONCAT("FNRNTN49P09H588H")</f>
        <v>FNRNTN49P09H588H</v>
      </c>
      <c r="N144" s="5" t="s">
        <v>215</v>
      </c>
      <c r="O144" s="5" t="s">
        <v>187</v>
      </c>
      <c r="P144" s="6">
        <v>44096</v>
      </c>
      <c r="Q144" s="5" t="s">
        <v>31</v>
      </c>
      <c r="R144" s="5" t="s">
        <v>32</v>
      </c>
      <c r="S144" s="5" t="s">
        <v>33</v>
      </c>
      <c r="T144" s="5"/>
      <c r="U144" s="5">
        <v>859.59</v>
      </c>
      <c r="V144" s="5">
        <v>370.66</v>
      </c>
      <c r="W144" s="5">
        <v>342.29</v>
      </c>
      <c r="X144" s="5">
        <v>0</v>
      </c>
      <c r="Y144" s="5">
        <v>146.63999999999999</v>
      </c>
    </row>
    <row r="145" spans="1:25" ht="24.75" x14ac:dyDescent="0.25">
      <c r="A145" s="5" t="s">
        <v>26</v>
      </c>
      <c r="B145" s="5" t="s">
        <v>34</v>
      </c>
      <c r="C145" s="5" t="s">
        <v>46</v>
      </c>
      <c r="D145" s="5" t="s">
        <v>47</v>
      </c>
      <c r="E145" s="5" t="s">
        <v>38</v>
      </c>
      <c r="F145" s="5" t="s">
        <v>38</v>
      </c>
      <c r="G145" s="5">
        <v>2017</v>
      </c>
      <c r="H145" s="5" t="str">
        <f>_xlfn.CONCAT("74240171939")</f>
        <v>74240171939</v>
      </c>
      <c r="I145" s="5" t="s">
        <v>29</v>
      </c>
      <c r="J145" s="5" t="s">
        <v>30</v>
      </c>
      <c r="K145" s="5" t="str">
        <f>_xlfn.CONCAT("")</f>
        <v/>
      </c>
      <c r="L145" s="5" t="str">
        <f>_xlfn.CONCAT("11 11.2 4b")</f>
        <v>11 11.2 4b</v>
      </c>
      <c r="M145" s="5" t="str">
        <f>_xlfn.CONCAT("FNRNTN49P09H588H")</f>
        <v>FNRNTN49P09H588H</v>
      </c>
      <c r="N145" s="5" t="s">
        <v>215</v>
      </c>
      <c r="O145" s="5" t="s">
        <v>187</v>
      </c>
      <c r="P145" s="6">
        <v>44096</v>
      </c>
      <c r="Q145" s="5" t="s">
        <v>31</v>
      </c>
      <c r="R145" s="5" t="s">
        <v>32</v>
      </c>
      <c r="S145" s="5" t="s">
        <v>33</v>
      </c>
      <c r="T145" s="5"/>
      <c r="U145" s="5">
        <v>297.38</v>
      </c>
      <c r="V145" s="5">
        <v>128.22999999999999</v>
      </c>
      <c r="W145" s="5">
        <v>118.42</v>
      </c>
      <c r="X145" s="5">
        <v>0</v>
      </c>
      <c r="Y145" s="5">
        <v>50.73</v>
      </c>
    </row>
    <row r="146" spans="1:25" ht="24.75" x14ac:dyDescent="0.25">
      <c r="A146" s="5" t="s">
        <v>26</v>
      </c>
      <c r="B146" s="5" t="s">
        <v>34</v>
      </c>
      <c r="C146" s="5" t="s">
        <v>46</v>
      </c>
      <c r="D146" s="5" t="s">
        <v>47</v>
      </c>
      <c r="E146" s="5" t="s">
        <v>43</v>
      </c>
      <c r="F146" s="5" t="s">
        <v>56</v>
      </c>
      <c r="G146" s="5">
        <v>2019</v>
      </c>
      <c r="H146" s="5" t="str">
        <f>_xlfn.CONCAT("94241023970")</f>
        <v>94241023970</v>
      </c>
      <c r="I146" s="5" t="s">
        <v>29</v>
      </c>
      <c r="J146" s="5" t="s">
        <v>30</v>
      </c>
      <c r="K146" s="5" t="str">
        <f>_xlfn.CONCAT("")</f>
        <v/>
      </c>
      <c r="L146" s="5" t="str">
        <f>_xlfn.CONCAT("11 11.2 4b")</f>
        <v>11 11.2 4b</v>
      </c>
      <c r="M146" s="5" t="str">
        <f>_xlfn.CONCAT("CPCSMN71L23H769A")</f>
        <v>CPCSMN71L23H769A</v>
      </c>
      <c r="N146" s="5" t="s">
        <v>216</v>
      </c>
      <c r="O146" s="5" t="s">
        <v>187</v>
      </c>
      <c r="P146" s="6">
        <v>44096</v>
      </c>
      <c r="Q146" s="5" t="s">
        <v>31</v>
      </c>
      <c r="R146" s="5" t="s">
        <v>32</v>
      </c>
      <c r="S146" s="5" t="s">
        <v>33</v>
      </c>
      <c r="T146" s="5"/>
      <c r="U146" s="7">
        <v>2480.8000000000002</v>
      </c>
      <c r="V146" s="7">
        <v>1069.72</v>
      </c>
      <c r="W146" s="5">
        <v>987.85</v>
      </c>
      <c r="X146" s="5">
        <v>0</v>
      </c>
      <c r="Y146" s="5">
        <v>423.23</v>
      </c>
    </row>
    <row r="147" spans="1:25" ht="24.75" x14ac:dyDescent="0.25">
      <c r="A147" s="5" t="s">
        <v>26</v>
      </c>
      <c r="B147" s="5" t="s">
        <v>34</v>
      </c>
      <c r="C147" s="5" t="s">
        <v>46</v>
      </c>
      <c r="D147" s="5" t="s">
        <v>47</v>
      </c>
      <c r="E147" s="5" t="s">
        <v>43</v>
      </c>
      <c r="F147" s="5" t="s">
        <v>56</v>
      </c>
      <c r="G147" s="5">
        <v>2017</v>
      </c>
      <c r="H147" s="5" t="str">
        <f>_xlfn.CONCAT("74240222286")</f>
        <v>74240222286</v>
      </c>
      <c r="I147" s="5" t="s">
        <v>29</v>
      </c>
      <c r="J147" s="5" t="s">
        <v>30</v>
      </c>
      <c r="K147" s="5" t="str">
        <f>_xlfn.CONCAT("")</f>
        <v/>
      </c>
      <c r="L147" s="5" t="str">
        <f>_xlfn.CONCAT("11 11.2 4b")</f>
        <v>11 11.2 4b</v>
      </c>
      <c r="M147" s="5" t="str">
        <f>_xlfn.CONCAT("CPCSMN71L23H769A")</f>
        <v>CPCSMN71L23H769A</v>
      </c>
      <c r="N147" s="5" t="s">
        <v>216</v>
      </c>
      <c r="O147" s="5" t="s">
        <v>187</v>
      </c>
      <c r="P147" s="6">
        <v>44096</v>
      </c>
      <c r="Q147" s="5" t="s">
        <v>31</v>
      </c>
      <c r="R147" s="5" t="s">
        <v>32</v>
      </c>
      <c r="S147" s="5" t="s">
        <v>33</v>
      </c>
      <c r="T147" s="5"/>
      <c r="U147" s="7">
        <v>1052.81</v>
      </c>
      <c r="V147" s="5">
        <v>453.97</v>
      </c>
      <c r="W147" s="5">
        <v>419.23</v>
      </c>
      <c r="X147" s="5">
        <v>0</v>
      </c>
      <c r="Y147" s="5">
        <v>179.61</v>
      </c>
    </row>
    <row r="148" spans="1:25" ht="24.75" x14ac:dyDescent="0.25">
      <c r="A148" s="5" t="s">
        <v>26</v>
      </c>
      <c r="B148" s="5" t="s">
        <v>34</v>
      </c>
      <c r="C148" s="5" t="s">
        <v>46</v>
      </c>
      <c r="D148" s="5" t="s">
        <v>47</v>
      </c>
      <c r="E148" s="5" t="s">
        <v>40</v>
      </c>
      <c r="F148" s="5" t="s">
        <v>142</v>
      </c>
      <c r="G148" s="5">
        <v>2018</v>
      </c>
      <c r="H148" s="5" t="str">
        <f>_xlfn.CONCAT("84240793533")</f>
        <v>84240793533</v>
      </c>
      <c r="I148" s="5" t="s">
        <v>29</v>
      </c>
      <c r="J148" s="5" t="s">
        <v>30</v>
      </c>
      <c r="K148" s="5" t="str">
        <f>_xlfn.CONCAT("")</f>
        <v/>
      </c>
      <c r="L148" s="5" t="str">
        <f>_xlfn.CONCAT("11 11.2 4b")</f>
        <v>11 11.2 4b</v>
      </c>
      <c r="M148" s="5" t="str">
        <f>_xlfn.CONCAT("02069340442")</f>
        <v>02069340442</v>
      </c>
      <c r="N148" s="5" t="s">
        <v>217</v>
      </c>
      <c r="O148" s="5" t="s">
        <v>187</v>
      </c>
      <c r="P148" s="6">
        <v>44096</v>
      </c>
      <c r="Q148" s="5" t="s">
        <v>31</v>
      </c>
      <c r="R148" s="5" t="s">
        <v>32</v>
      </c>
      <c r="S148" s="5" t="s">
        <v>33</v>
      </c>
      <c r="T148" s="5"/>
      <c r="U148" s="7">
        <v>2330.48</v>
      </c>
      <c r="V148" s="7">
        <v>1004.9</v>
      </c>
      <c r="W148" s="5">
        <v>928</v>
      </c>
      <c r="X148" s="5">
        <v>0</v>
      </c>
      <c r="Y148" s="5">
        <v>397.58</v>
      </c>
    </row>
    <row r="149" spans="1:25" ht="24.75" x14ac:dyDescent="0.25">
      <c r="A149" s="5" t="s">
        <v>26</v>
      </c>
      <c r="B149" s="5" t="s">
        <v>34</v>
      </c>
      <c r="C149" s="5" t="s">
        <v>46</v>
      </c>
      <c r="D149" s="5" t="s">
        <v>47</v>
      </c>
      <c r="E149" s="5" t="s">
        <v>28</v>
      </c>
      <c r="F149" s="5" t="s">
        <v>218</v>
      </c>
      <c r="G149" s="5">
        <v>2018</v>
      </c>
      <c r="H149" s="5" t="str">
        <f>_xlfn.CONCAT("84240719934")</f>
        <v>84240719934</v>
      </c>
      <c r="I149" s="5" t="s">
        <v>29</v>
      </c>
      <c r="J149" s="5" t="s">
        <v>30</v>
      </c>
      <c r="K149" s="5" t="str">
        <f>_xlfn.CONCAT("")</f>
        <v/>
      </c>
      <c r="L149" s="5" t="str">
        <f>_xlfn.CONCAT("11 11.2 4b")</f>
        <v>11 11.2 4b</v>
      </c>
      <c r="M149" s="5" t="str">
        <f>_xlfn.CONCAT("CCCPLA57C55G920A")</f>
        <v>CCCPLA57C55G920A</v>
      </c>
      <c r="N149" s="5" t="s">
        <v>219</v>
      </c>
      <c r="O149" s="5" t="s">
        <v>187</v>
      </c>
      <c r="P149" s="6">
        <v>44096</v>
      </c>
      <c r="Q149" s="5" t="s">
        <v>31</v>
      </c>
      <c r="R149" s="5" t="s">
        <v>32</v>
      </c>
      <c r="S149" s="5" t="s">
        <v>33</v>
      </c>
      <c r="T149" s="5"/>
      <c r="U149" s="5">
        <v>388.44</v>
      </c>
      <c r="V149" s="5">
        <v>167.5</v>
      </c>
      <c r="W149" s="5">
        <v>154.68</v>
      </c>
      <c r="X149" s="5">
        <v>0</v>
      </c>
      <c r="Y149" s="5">
        <v>66.260000000000005</v>
      </c>
    </row>
    <row r="150" spans="1:25" ht="24.75" x14ac:dyDescent="0.25">
      <c r="A150" s="5" t="s">
        <v>26</v>
      </c>
      <c r="B150" s="5" t="s">
        <v>34</v>
      </c>
      <c r="C150" s="5" t="s">
        <v>46</v>
      </c>
      <c r="D150" s="5" t="s">
        <v>47</v>
      </c>
      <c r="E150" s="5" t="s">
        <v>38</v>
      </c>
      <c r="F150" s="5" t="s">
        <v>38</v>
      </c>
      <c r="G150" s="5">
        <v>2017</v>
      </c>
      <c r="H150" s="5" t="str">
        <f>_xlfn.CONCAT("74240312947")</f>
        <v>74240312947</v>
      </c>
      <c r="I150" s="5" t="s">
        <v>29</v>
      </c>
      <c r="J150" s="5" t="s">
        <v>30</v>
      </c>
      <c r="K150" s="5" t="str">
        <f>_xlfn.CONCAT("")</f>
        <v/>
      </c>
      <c r="L150" s="5" t="str">
        <f>_xlfn.CONCAT("11 11.2 4b")</f>
        <v>11 11.2 4b</v>
      </c>
      <c r="M150" s="5" t="str">
        <f>_xlfn.CONCAT("01963440449")</f>
        <v>01963440449</v>
      </c>
      <c r="N150" s="5" t="s">
        <v>220</v>
      </c>
      <c r="O150" s="5" t="s">
        <v>187</v>
      </c>
      <c r="P150" s="6">
        <v>44096</v>
      </c>
      <c r="Q150" s="5" t="s">
        <v>31</v>
      </c>
      <c r="R150" s="5" t="s">
        <v>32</v>
      </c>
      <c r="S150" s="5" t="s">
        <v>33</v>
      </c>
      <c r="T150" s="5"/>
      <c r="U150" s="7">
        <v>1406.37</v>
      </c>
      <c r="V150" s="5">
        <v>606.42999999999995</v>
      </c>
      <c r="W150" s="5">
        <v>560.02</v>
      </c>
      <c r="X150" s="5">
        <v>0</v>
      </c>
      <c r="Y150" s="5">
        <v>239.92</v>
      </c>
    </row>
    <row r="151" spans="1:25" ht="24.75" x14ac:dyDescent="0.25">
      <c r="A151" s="5" t="s">
        <v>26</v>
      </c>
      <c r="B151" s="5" t="s">
        <v>34</v>
      </c>
      <c r="C151" s="5" t="s">
        <v>46</v>
      </c>
      <c r="D151" s="5" t="s">
        <v>47</v>
      </c>
      <c r="E151" s="5" t="s">
        <v>38</v>
      </c>
      <c r="F151" s="5" t="s">
        <v>38</v>
      </c>
      <c r="G151" s="5">
        <v>2018</v>
      </c>
      <c r="H151" s="5" t="str">
        <f>_xlfn.CONCAT("84240310353")</f>
        <v>84240310353</v>
      </c>
      <c r="I151" s="5" t="s">
        <v>29</v>
      </c>
      <c r="J151" s="5" t="s">
        <v>30</v>
      </c>
      <c r="K151" s="5" t="str">
        <f>_xlfn.CONCAT("")</f>
        <v/>
      </c>
      <c r="L151" s="5" t="str">
        <f>_xlfn.CONCAT("11 11.2 4b")</f>
        <v>11 11.2 4b</v>
      </c>
      <c r="M151" s="5" t="str">
        <f>_xlfn.CONCAT("01963440449")</f>
        <v>01963440449</v>
      </c>
      <c r="N151" s="5" t="s">
        <v>220</v>
      </c>
      <c r="O151" s="5" t="s">
        <v>187</v>
      </c>
      <c r="P151" s="6">
        <v>44096</v>
      </c>
      <c r="Q151" s="5" t="s">
        <v>31</v>
      </c>
      <c r="R151" s="5" t="s">
        <v>32</v>
      </c>
      <c r="S151" s="5" t="s">
        <v>33</v>
      </c>
      <c r="T151" s="5"/>
      <c r="U151" s="7">
        <v>1034.9100000000001</v>
      </c>
      <c r="V151" s="5">
        <v>446.25</v>
      </c>
      <c r="W151" s="5">
        <v>412.1</v>
      </c>
      <c r="X151" s="5">
        <v>0</v>
      </c>
      <c r="Y151" s="5">
        <v>176.56</v>
      </c>
    </row>
    <row r="152" spans="1:25" ht="24.75" x14ac:dyDescent="0.25">
      <c r="A152" s="5" t="s">
        <v>26</v>
      </c>
      <c r="B152" s="5" t="s">
        <v>34</v>
      </c>
      <c r="C152" s="5" t="s">
        <v>46</v>
      </c>
      <c r="D152" s="5" t="s">
        <v>47</v>
      </c>
      <c r="E152" s="5" t="s">
        <v>38</v>
      </c>
      <c r="F152" s="5" t="s">
        <v>38</v>
      </c>
      <c r="G152" s="5">
        <v>2019</v>
      </c>
      <c r="H152" s="5" t="str">
        <f>_xlfn.CONCAT("94240019722")</f>
        <v>94240019722</v>
      </c>
      <c r="I152" s="5" t="s">
        <v>29</v>
      </c>
      <c r="J152" s="5" t="s">
        <v>30</v>
      </c>
      <c r="K152" s="5" t="str">
        <f>_xlfn.CONCAT("")</f>
        <v/>
      </c>
      <c r="L152" s="5" t="str">
        <f>_xlfn.CONCAT("11 11.2 4b")</f>
        <v>11 11.2 4b</v>
      </c>
      <c r="M152" s="5" t="str">
        <f>_xlfn.CONCAT("01963440449")</f>
        <v>01963440449</v>
      </c>
      <c r="N152" s="5" t="s">
        <v>220</v>
      </c>
      <c r="O152" s="5" t="s">
        <v>187</v>
      </c>
      <c r="P152" s="6">
        <v>44096</v>
      </c>
      <c r="Q152" s="5" t="s">
        <v>31</v>
      </c>
      <c r="R152" s="5" t="s">
        <v>32</v>
      </c>
      <c r="S152" s="5" t="s">
        <v>33</v>
      </c>
      <c r="T152" s="5"/>
      <c r="U152" s="7">
        <v>1458.94</v>
      </c>
      <c r="V152" s="5">
        <v>629.09</v>
      </c>
      <c r="W152" s="5">
        <v>580.95000000000005</v>
      </c>
      <c r="X152" s="5">
        <v>0</v>
      </c>
      <c r="Y152" s="5">
        <v>248.9</v>
      </c>
    </row>
    <row r="153" spans="1:25" ht="24.75" x14ac:dyDescent="0.25">
      <c r="A153" s="5" t="s">
        <v>26</v>
      </c>
      <c r="B153" s="5" t="s">
        <v>34</v>
      </c>
      <c r="C153" s="5" t="s">
        <v>46</v>
      </c>
      <c r="D153" s="5" t="s">
        <v>50</v>
      </c>
      <c r="E153" s="5" t="s">
        <v>44</v>
      </c>
      <c r="F153" s="5" t="s">
        <v>145</v>
      </c>
      <c r="G153" s="5">
        <v>2019</v>
      </c>
      <c r="H153" s="5" t="str">
        <f>_xlfn.CONCAT("94241157000")</f>
        <v>94241157000</v>
      </c>
      <c r="I153" s="5" t="s">
        <v>29</v>
      </c>
      <c r="J153" s="5" t="s">
        <v>30</v>
      </c>
      <c r="K153" s="5" t="str">
        <f>_xlfn.CONCAT("")</f>
        <v/>
      </c>
      <c r="L153" s="5" t="str">
        <f>_xlfn.CONCAT("10 10.1 4a")</f>
        <v>10 10.1 4a</v>
      </c>
      <c r="M153" s="5" t="str">
        <f>_xlfn.CONCAT("FLPRNG33H16D809A")</f>
        <v>FLPRNG33H16D809A</v>
      </c>
      <c r="N153" s="5" t="s">
        <v>221</v>
      </c>
      <c r="O153" s="5" t="s">
        <v>222</v>
      </c>
      <c r="P153" s="6">
        <v>44096</v>
      </c>
      <c r="Q153" s="5" t="s">
        <v>31</v>
      </c>
      <c r="R153" s="5" t="s">
        <v>32</v>
      </c>
      <c r="S153" s="5" t="s">
        <v>33</v>
      </c>
      <c r="T153" s="5"/>
      <c r="U153" s="7">
        <v>4971.93</v>
      </c>
      <c r="V153" s="7">
        <v>2143.9</v>
      </c>
      <c r="W153" s="7">
        <v>1979.82</v>
      </c>
      <c r="X153" s="5">
        <v>0</v>
      </c>
      <c r="Y153" s="5">
        <v>848.21</v>
      </c>
    </row>
    <row r="154" spans="1:25" ht="24.75" x14ac:dyDescent="0.25">
      <c r="A154" s="5" t="s">
        <v>26</v>
      </c>
      <c r="B154" s="5" t="s">
        <v>27</v>
      </c>
      <c r="C154" s="5" t="s">
        <v>46</v>
      </c>
      <c r="D154" s="5" t="s">
        <v>50</v>
      </c>
      <c r="E154" s="5" t="s">
        <v>38</v>
      </c>
      <c r="F154" s="5" t="s">
        <v>38</v>
      </c>
      <c r="G154" s="5">
        <v>2017</v>
      </c>
      <c r="H154" s="5" t="str">
        <f>_xlfn.CONCAT("94270174512")</f>
        <v>94270174512</v>
      </c>
      <c r="I154" s="5" t="s">
        <v>37</v>
      </c>
      <c r="J154" s="5" t="s">
        <v>30</v>
      </c>
      <c r="K154" s="5" t="str">
        <f>_xlfn.CONCAT("")</f>
        <v/>
      </c>
      <c r="L154" s="5" t="str">
        <f>_xlfn.CONCAT("6 6.4 2a")</f>
        <v>6 6.4 2a</v>
      </c>
      <c r="M154" s="5" t="str">
        <f>_xlfn.CONCAT("02559760414")</f>
        <v>02559760414</v>
      </c>
      <c r="N154" s="5" t="s">
        <v>51</v>
      </c>
      <c r="O154" s="5" t="s">
        <v>223</v>
      </c>
      <c r="P154" s="6">
        <v>44096</v>
      </c>
      <c r="Q154" s="5" t="s">
        <v>31</v>
      </c>
      <c r="R154" s="5" t="s">
        <v>32</v>
      </c>
      <c r="S154" s="5" t="s">
        <v>33</v>
      </c>
      <c r="T154" s="5"/>
      <c r="U154" s="7">
        <v>85295.42</v>
      </c>
      <c r="V154" s="7">
        <v>36779.39</v>
      </c>
      <c r="W154" s="7">
        <v>33964.639999999999</v>
      </c>
      <c r="X154" s="5">
        <v>0</v>
      </c>
      <c r="Y154" s="7">
        <v>14551.39</v>
      </c>
    </row>
    <row r="155" spans="1:25" ht="24.75" x14ac:dyDescent="0.25">
      <c r="A155" s="5" t="s">
        <v>26</v>
      </c>
      <c r="B155" s="5" t="s">
        <v>34</v>
      </c>
      <c r="C155" s="5" t="s">
        <v>46</v>
      </c>
      <c r="D155" s="5" t="s">
        <v>47</v>
      </c>
      <c r="E155" s="5" t="s">
        <v>40</v>
      </c>
      <c r="F155" s="5" t="s">
        <v>142</v>
      </c>
      <c r="G155" s="5">
        <v>2019</v>
      </c>
      <c r="H155" s="5" t="str">
        <f>_xlfn.CONCAT("94241072399")</f>
        <v>94241072399</v>
      </c>
      <c r="I155" s="5" t="s">
        <v>37</v>
      </c>
      <c r="J155" s="5" t="s">
        <v>30</v>
      </c>
      <c r="K155" s="5" t="str">
        <f>_xlfn.CONCAT("")</f>
        <v/>
      </c>
      <c r="L155" s="5" t="str">
        <f>_xlfn.CONCAT("11 11.1 4b")</f>
        <v>11 11.1 4b</v>
      </c>
      <c r="M155" s="5" t="str">
        <f>_xlfn.CONCAT("GNNLCU96D30A252H")</f>
        <v>GNNLCU96D30A252H</v>
      </c>
      <c r="N155" s="5" t="s">
        <v>224</v>
      </c>
      <c r="O155" s="5" t="s">
        <v>187</v>
      </c>
      <c r="P155" s="6">
        <v>44096</v>
      </c>
      <c r="Q155" s="5" t="s">
        <v>31</v>
      </c>
      <c r="R155" s="5" t="s">
        <v>32</v>
      </c>
      <c r="S155" s="5" t="s">
        <v>33</v>
      </c>
      <c r="T155" s="5"/>
      <c r="U155" s="7">
        <v>1500.12</v>
      </c>
      <c r="V155" s="5">
        <v>646.85</v>
      </c>
      <c r="W155" s="5">
        <v>597.35</v>
      </c>
      <c r="X155" s="5">
        <v>0</v>
      </c>
      <c r="Y155" s="5">
        <v>255.92</v>
      </c>
    </row>
    <row r="156" spans="1:25" ht="24.75" x14ac:dyDescent="0.25">
      <c r="A156" s="5" t="s">
        <v>26</v>
      </c>
      <c r="B156" s="5" t="s">
        <v>34</v>
      </c>
      <c r="C156" s="5" t="s">
        <v>46</v>
      </c>
      <c r="D156" s="5" t="s">
        <v>47</v>
      </c>
      <c r="E156" s="5" t="s">
        <v>28</v>
      </c>
      <c r="F156" s="5" t="s">
        <v>69</v>
      </c>
      <c r="G156" s="5">
        <v>2019</v>
      </c>
      <c r="H156" s="5" t="str">
        <f>_xlfn.CONCAT("94241166803")</f>
        <v>94241166803</v>
      </c>
      <c r="I156" s="5" t="s">
        <v>29</v>
      </c>
      <c r="J156" s="5" t="s">
        <v>30</v>
      </c>
      <c r="K156" s="5" t="str">
        <f>_xlfn.CONCAT("")</f>
        <v/>
      </c>
      <c r="L156" s="5" t="str">
        <f>_xlfn.CONCAT("11 11.2 4b")</f>
        <v>11 11.2 4b</v>
      </c>
      <c r="M156" s="5" t="str">
        <f>_xlfn.CONCAT("FRSNGL32E67A047O")</f>
        <v>FRSNGL32E67A047O</v>
      </c>
      <c r="N156" s="5" t="s">
        <v>225</v>
      </c>
      <c r="O156" s="5" t="s">
        <v>187</v>
      </c>
      <c r="P156" s="6">
        <v>44096</v>
      </c>
      <c r="Q156" s="5" t="s">
        <v>31</v>
      </c>
      <c r="R156" s="5" t="s">
        <v>32</v>
      </c>
      <c r="S156" s="5" t="s">
        <v>33</v>
      </c>
      <c r="T156" s="5"/>
      <c r="U156" s="7">
        <v>3322.75</v>
      </c>
      <c r="V156" s="7">
        <v>1432.77</v>
      </c>
      <c r="W156" s="7">
        <v>1323.12</v>
      </c>
      <c r="X156" s="5">
        <v>0</v>
      </c>
      <c r="Y156" s="5">
        <v>566.86</v>
      </c>
    </row>
    <row r="157" spans="1:25" x14ac:dyDescent="0.25">
      <c r="A157" s="5" t="s">
        <v>26</v>
      </c>
      <c r="B157" s="5" t="s">
        <v>27</v>
      </c>
      <c r="C157" s="5" t="s">
        <v>46</v>
      </c>
      <c r="D157" s="5" t="s">
        <v>130</v>
      </c>
      <c r="E157" s="5" t="s">
        <v>38</v>
      </c>
      <c r="F157" s="5" t="s">
        <v>38</v>
      </c>
      <c r="G157" s="5">
        <v>2017</v>
      </c>
      <c r="H157" s="5" t="str">
        <f>_xlfn.CONCAT("04270104427")</f>
        <v>04270104427</v>
      </c>
      <c r="I157" s="5" t="s">
        <v>29</v>
      </c>
      <c r="J157" s="5" t="s">
        <v>30</v>
      </c>
      <c r="K157" s="5" t="str">
        <f>_xlfn.CONCAT("")</f>
        <v/>
      </c>
      <c r="L157" s="5" t="str">
        <f>_xlfn.CONCAT("4 4.1 2a")</f>
        <v>4 4.1 2a</v>
      </c>
      <c r="M157" s="5" t="str">
        <f>_xlfn.CONCAT("BRTLCU88C62H211T")</f>
        <v>BRTLCU88C62H211T</v>
      </c>
      <c r="N157" s="5" t="s">
        <v>226</v>
      </c>
      <c r="O157" s="5" t="s">
        <v>227</v>
      </c>
      <c r="P157" s="6">
        <v>44096</v>
      </c>
      <c r="Q157" s="5" t="s">
        <v>31</v>
      </c>
      <c r="R157" s="5" t="s">
        <v>32</v>
      </c>
      <c r="S157" s="5" t="s">
        <v>33</v>
      </c>
      <c r="T157" s="5"/>
      <c r="U157" s="7">
        <v>21754.28</v>
      </c>
      <c r="V157" s="7">
        <v>9380.4500000000007</v>
      </c>
      <c r="W157" s="7">
        <v>8662.5499999999993</v>
      </c>
      <c r="X157" s="5">
        <v>0</v>
      </c>
      <c r="Y157" s="7">
        <v>3711.28</v>
      </c>
    </row>
    <row r="158" spans="1:25" x14ac:dyDescent="0.25">
      <c r="A158" s="5" t="s">
        <v>26</v>
      </c>
      <c r="B158" s="5" t="s">
        <v>27</v>
      </c>
      <c r="C158" s="5" t="s">
        <v>46</v>
      </c>
      <c r="D158" s="5" t="s">
        <v>130</v>
      </c>
      <c r="E158" s="5" t="s">
        <v>38</v>
      </c>
      <c r="F158" s="5" t="s">
        <v>38</v>
      </c>
      <c r="G158" s="5">
        <v>2017</v>
      </c>
      <c r="H158" s="5" t="str">
        <f>_xlfn.CONCAT("04270104419")</f>
        <v>04270104419</v>
      </c>
      <c r="I158" s="5" t="s">
        <v>29</v>
      </c>
      <c r="J158" s="5" t="s">
        <v>30</v>
      </c>
      <c r="K158" s="5" t="str">
        <f>_xlfn.CONCAT("")</f>
        <v/>
      </c>
      <c r="L158" s="5" t="str">
        <f>_xlfn.CONCAT("6 6.1 2b")</f>
        <v>6 6.1 2b</v>
      </c>
      <c r="M158" s="5" t="str">
        <f>_xlfn.CONCAT("BRTLCU88C62H211T")</f>
        <v>BRTLCU88C62H211T</v>
      </c>
      <c r="N158" s="5" t="s">
        <v>226</v>
      </c>
      <c r="O158" s="5" t="s">
        <v>228</v>
      </c>
      <c r="P158" s="6">
        <v>44096</v>
      </c>
      <c r="Q158" s="5" t="s">
        <v>31</v>
      </c>
      <c r="R158" s="5" t="s">
        <v>32</v>
      </c>
      <c r="S158" s="5" t="s">
        <v>33</v>
      </c>
      <c r="T158" s="5"/>
      <c r="U158" s="7">
        <v>10500</v>
      </c>
      <c r="V158" s="7">
        <v>4527.6000000000004</v>
      </c>
      <c r="W158" s="7">
        <v>4181.1000000000004</v>
      </c>
      <c r="X158" s="5">
        <v>0</v>
      </c>
      <c r="Y158" s="7">
        <v>1791.3</v>
      </c>
    </row>
    <row r="159" spans="1:25" ht="24.75" x14ac:dyDescent="0.25">
      <c r="A159" s="5" t="s">
        <v>26</v>
      </c>
      <c r="B159" s="5" t="s">
        <v>34</v>
      </c>
      <c r="C159" s="5" t="s">
        <v>46</v>
      </c>
      <c r="D159" s="5" t="s">
        <v>50</v>
      </c>
      <c r="E159" s="5" t="s">
        <v>35</v>
      </c>
      <c r="F159" s="5" t="s">
        <v>73</v>
      </c>
      <c r="G159" s="5">
        <v>2018</v>
      </c>
      <c r="H159" s="5" t="str">
        <f>_xlfn.CONCAT("84240425342")</f>
        <v>84240425342</v>
      </c>
      <c r="I159" s="5" t="s">
        <v>29</v>
      </c>
      <c r="J159" s="5" t="s">
        <v>30</v>
      </c>
      <c r="K159" s="5" t="str">
        <f>_xlfn.CONCAT("")</f>
        <v/>
      </c>
      <c r="L159" s="5" t="str">
        <f>_xlfn.CONCAT("10 10.1 4a")</f>
        <v>10 10.1 4a</v>
      </c>
      <c r="M159" s="5" t="str">
        <f>_xlfn.CONCAT("CMBMRT77M60B352T")</f>
        <v>CMBMRT77M60B352T</v>
      </c>
      <c r="N159" s="5" t="s">
        <v>229</v>
      </c>
      <c r="O159" s="5" t="s">
        <v>222</v>
      </c>
      <c r="P159" s="6">
        <v>44096</v>
      </c>
      <c r="Q159" s="5" t="s">
        <v>31</v>
      </c>
      <c r="R159" s="5" t="s">
        <v>32</v>
      </c>
      <c r="S159" s="5" t="s">
        <v>33</v>
      </c>
      <c r="T159" s="5"/>
      <c r="U159" s="7">
        <v>2665.5</v>
      </c>
      <c r="V159" s="7">
        <v>1149.3599999999999</v>
      </c>
      <c r="W159" s="7">
        <v>1061.4000000000001</v>
      </c>
      <c r="X159" s="5">
        <v>0</v>
      </c>
      <c r="Y159" s="5">
        <v>454.74</v>
      </c>
    </row>
    <row r="160" spans="1:25" ht="24.75" x14ac:dyDescent="0.25">
      <c r="A160" s="5" t="s">
        <v>26</v>
      </c>
      <c r="B160" s="5" t="s">
        <v>27</v>
      </c>
      <c r="C160" s="5" t="s">
        <v>46</v>
      </c>
      <c r="D160" s="5" t="s">
        <v>50</v>
      </c>
      <c r="E160" s="5" t="s">
        <v>38</v>
      </c>
      <c r="F160" s="5" t="s">
        <v>38</v>
      </c>
      <c r="G160" s="5">
        <v>2017</v>
      </c>
      <c r="H160" s="5" t="str">
        <f>_xlfn.CONCAT("94270174520")</f>
        <v>94270174520</v>
      </c>
      <c r="I160" s="5" t="s">
        <v>37</v>
      </c>
      <c r="J160" s="5" t="s">
        <v>30</v>
      </c>
      <c r="K160" s="5" t="str">
        <f>_xlfn.CONCAT("")</f>
        <v/>
      </c>
      <c r="L160" s="5" t="str">
        <f>_xlfn.CONCAT("4 4.1 2a")</f>
        <v>4 4.1 2a</v>
      </c>
      <c r="M160" s="5" t="str">
        <f>_xlfn.CONCAT("02559760414")</f>
        <v>02559760414</v>
      </c>
      <c r="N160" s="5" t="s">
        <v>51</v>
      </c>
      <c r="O160" s="5" t="s">
        <v>230</v>
      </c>
      <c r="P160" s="6">
        <v>44096</v>
      </c>
      <c r="Q160" s="5" t="s">
        <v>31</v>
      </c>
      <c r="R160" s="5" t="s">
        <v>32</v>
      </c>
      <c r="S160" s="5" t="s">
        <v>33</v>
      </c>
      <c r="T160" s="5"/>
      <c r="U160" s="7">
        <v>45516.79</v>
      </c>
      <c r="V160" s="7">
        <v>19626.84</v>
      </c>
      <c r="W160" s="7">
        <v>18124.79</v>
      </c>
      <c r="X160" s="5">
        <v>0</v>
      </c>
      <c r="Y160" s="7">
        <v>7765.16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2020-09-30T20:56:52Z</dcterms:created>
  <dcterms:modified xsi:type="dcterms:W3CDTF">2020-09-30T20:57:28Z</dcterms:modified>
</cp:coreProperties>
</file>