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zzano\Downloads\DECRETI\392\"/>
    </mc:Choice>
  </mc:AlternateContent>
  <xr:revisionPtr revIDLastSave="0" documentId="8_{B36A2546-34C4-479F-8F9E-055D3386A431}" xr6:coauthVersionLast="45" xr6:coauthVersionMax="45" xr10:uidLastSave="{00000000-0000-0000-0000-000000000000}"/>
  <bookViews>
    <workbookView xWindow="-120" yWindow="-120" windowWidth="25440" windowHeight="15390" xr2:uid="{70F0A1E9-8226-444A-AC08-06C5ECD5C514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7" i="1" l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<sst xmlns="http://schemas.openxmlformats.org/spreadsheetml/2006/main" count="1638" uniqueCount="187">
  <si>
    <t>Dettaglio Domande Pagabili Decreto 392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</si>
  <si>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</si>
  <si>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</si>
  <si>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</si>
  <si>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</si>
  <si>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</si>
  <si>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</si>
  <si>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</si>
  <si>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</si>
  <si>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</si>
  <si>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</si>
  <si>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</si>
  <si>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</si>
  <si>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</si>
  <si>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</si>
  <si>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</si>
  <si>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</si>
  <si>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</si>
  <si>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</si>
  <si>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</si>
  <si>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</si>
  <si>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</si>
  <si>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</si>
  <si>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</si>
  <si>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</si>
  <si>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</si>
  <si>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</si>
  <si>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</si>
  <si>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</si>
  <si>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</si>
  <si>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</si>
  <si>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</si>
  <si>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Saldo</t>
  </si>
  <si>
    <t>Co-Finanziato</t>
  </si>
  <si>
    <t>Misure a Superficie</t>
  </si>
  <si>
    <t>Trascinamenti</t>
  </si>
  <si>
    <t>SI</t>
  </si>
  <si>
    <t>CAA Coldiretti srl</t>
  </si>
  <si>
    <t>CAA CIA srl</t>
  </si>
  <si>
    <t>CAA Confagricoltura srl</t>
  </si>
  <si>
    <t>CAA-CAF AGRI S.R.L.</t>
  </si>
  <si>
    <t>SAL</t>
  </si>
  <si>
    <t>CAA UNICAA srl</t>
  </si>
  <si>
    <t>Anticipo</t>
  </si>
  <si>
    <t>MARCHE</t>
  </si>
  <si>
    <t>SERV. DEC. AGRICOLTURA E ALIM. -ASCOLI PICENO</t>
  </si>
  <si>
    <t>CAA CIA - ASCOLI PICENO - 006</t>
  </si>
  <si>
    <t>KINDERMANN HELMUT FELIX</t>
  </si>
  <si>
    <t>AGEA.ASR.2020.1021388</t>
  </si>
  <si>
    <t>PICCOLO RANCH SOCIETA' AGRICOLA</t>
  </si>
  <si>
    <t>AGEA.ASR.2020.0949140</t>
  </si>
  <si>
    <t>CAA CAF AGRI - ASCOLI PICENO - 222</t>
  </si>
  <si>
    <t>ALFONSI QUINTO</t>
  </si>
  <si>
    <t>AGEA.ASR.2020.0995723</t>
  </si>
  <si>
    <t>SERV. DEC. AGRICOLTURA E ALIMENTAZIONE - PESARO</t>
  </si>
  <si>
    <t>CAA CIA - PESARO E URBINO - 005</t>
  </si>
  <si>
    <t>GUATIERI CHRISTIAN</t>
  </si>
  <si>
    <t>AGEA.ASR.2020.0974830</t>
  </si>
  <si>
    <t>CAA CIA - ASCOLI PICENO - 001</t>
  </si>
  <si>
    <t>RICCIOTTI VITO</t>
  </si>
  <si>
    <t>AGEA.ASR.2020.1021204</t>
  </si>
  <si>
    <t>CAA Coldiretti - FERMO - 001</t>
  </si>
  <si>
    <t>BIOFAVOLE SOCIETA' AGRICOLA SEMPLICE</t>
  </si>
  <si>
    <t>AGEA.ASR.2020.0995726</t>
  </si>
  <si>
    <t>SERV. DEC. AGRICOLTURA E ALIM. - MACERATA</t>
  </si>
  <si>
    <t>CAA Coldiretti - MACERATA - 008</t>
  </si>
  <si>
    <t>ANGELONI PAOLO</t>
  </si>
  <si>
    <t>AGEA.ASR.2020.1017900</t>
  </si>
  <si>
    <t>CAA Coldiretti - ASCOLI PICENO - 025</t>
  </si>
  <si>
    <t>VITA SIMONE</t>
  </si>
  <si>
    <t>AGEA.ASR.2020.1021199</t>
  </si>
  <si>
    <t>MORETTI MORENO</t>
  </si>
  <si>
    <t>CAA Coldiretti - MACERATA - 007</t>
  </si>
  <si>
    <t>SOC.AGR.VILLA LE CASE DI ARNAUTOVICI C.</t>
  </si>
  <si>
    <t>CAA Coldiretti - MACERATA - 017</t>
  </si>
  <si>
    <t>CAMPETELLA ILARIA</t>
  </si>
  <si>
    <t>AGEA.ASR.2020.1019241</t>
  </si>
  <si>
    <t>CAA Confagricoltura - MACERATA - 001</t>
  </si>
  <si>
    <t>PUCCITELLI CRISTINA</t>
  </si>
  <si>
    <t>CAA CIA - MACERATA - 001</t>
  </si>
  <si>
    <t>PELATELLI ALESSANDRO</t>
  </si>
  <si>
    <t>SCATTOLINI CARLO</t>
  </si>
  <si>
    <t>CAA CAF AGRI - MACERATA - 227</t>
  </si>
  <si>
    <t>TESTA RITA</t>
  </si>
  <si>
    <t>SOCIETA' AGRICOLA CF COMPETITIVITA' E FUTURO SRL</t>
  </si>
  <si>
    <t>CAA LiberiAgricoltori srl già CAA AGCI srl</t>
  </si>
  <si>
    <t>CAA LiberiAgricoltori - MACERATA - 002</t>
  </si>
  <si>
    <t>TOMASSINI FABRIZIO</t>
  </si>
  <si>
    <t>CAA Coldiretti - MACERATA - 002</t>
  </si>
  <si>
    <t>PAOLUCCI AGOSTINO</t>
  </si>
  <si>
    <t>CAA CAF AGRI - MACERATA - 226</t>
  </si>
  <si>
    <t>ORAZI NICOLA</t>
  </si>
  <si>
    <t>SOCIETA' AGRICOLA CAGLINI FRANCESCA E CECILIA S.S.</t>
  </si>
  <si>
    <t>CAA Coldiretti - PESARO E URBINO - 006</t>
  </si>
  <si>
    <t>AZIENDA AGRICOLA MEZZANOTTE DI MASSI SIMONE E C. - SOCIETA' AGRICOLA I</t>
  </si>
  <si>
    <t>BENEDETTI LEONARDO</t>
  </si>
  <si>
    <t>CAA UNICAA - PESARO E URBINO - 003</t>
  </si>
  <si>
    <t>DURPETTI DONATO</t>
  </si>
  <si>
    <t>CAA Coldiretti - PESARO E URBINO - 001</t>
  </si>
  <si>
    <t>MARTINELLI CARLO</t>
  </si>
  <si>
    <t>CAA LiberiAgricoltori - MACERATA - 001</t>
  </si>
  <si>
    <t>SOCIETA' AGRICOLA COSIMI S. S.</t>
  </si>
  <si>
    <t>CAA Confagricoltura - ASCOLI PICENO - 001</t>
  </si>
  <si>
    <t>MIRCOLI ANDREA</t>
  </si>
  <si>
    <t>SERENA SOCIETA' AGRICOLA SEMPLICE</t>
  </si>
  <si>
    <t>CAA LiberiAgricoltori - MACERATA - 005</t>
  </si>
  <si>
    <t>SOCIETA AGRICOLA BIOLOGICA ISOLA DELLA PIEVE S.S.</t>
  </si>
  <si>
    <t>PELLICCIA GIUSEPPE</t>
  </si>
  <si>
    <t>SOC.AGR."LA CORTE"DI CONTI GIULIANO E FELICIONI GIORGIO S.S.</t>
  </si>
  <si>
    <t>CAA Coldiretti - ASCOLI PICENO - 010</t>
  </si>
  <si>
    <t>MAGNA MATER SRL SOCIETA' AGRICOLA UNIPER</t>
  </si>
  <si>
    <t>CINI NELLO</t>
  </si>
  <si>
    <t>LOMBARDI GREGORIO</t>
  </si>
  <si>
    <t>CAA CIA - PESARO E URBINO - 008</t>
  </si>
  <si>
    <t>TONONI STEFANO</t>
  </si>
  <si>
    <t>VAGNARELLI ENRICO</t>
  </si>
  <si>
    <t>AGEA.ASR.2020.1024418</t>
  </si>
  <si>
    <t>CAA UNICAA - ASCOLI PICENO - 004</t>
  </si>
  <si>
    <t>AMADIO DOMENICO</t>
  </si>
  <si>
    <t>AGEA.ASR.2020.0980078</t>
  </si>
  <si>
    <t>LA TENUTA DI MATTIA SOCIETA' SEMPLICE AGROFORESTALE DI FORMENTINI IVAN</t>
  </si>
  <si>
    <t>REMIA GIACOMO</t>
  </si>
  <si>
    <t>SILVANI MASSIMILIANO</t>
  </si>
  <si>
    <t>CHIAPPINI CARLOS PATRICIO</t>
  </si>
  <si>
    <t>AGEA.ASR.2020.1021170</t>
  </si>
  <si>
    <t>SERV. DEC. AGRICOLTURA E ALIMENTAZIONE - ANCONA</t>
  </si>
  <si>
    <t>CAA Coldiretti - ANCONA - 008</t>
  </si>
  <si>
    <t>SOCIETA' AGRICOLA DEL BORANICO</t>
  </si>
  <si>
    <t>DUGGENTO PAOLO</t>
  </si>
  <si>
    <t>CESARINI TANIA</t>
  </si>
  <si>
    <t>AGEA.ASR.2020.1021161</t>
  </si>
  <si>
    <t>WILD DI AMATUCCI ELENA E STIPA ALESSIA S.N.C.</t>
  </si>
  <si>
    <t>CAA CIA - PESARO E URBINO - 003</t>
  </si>
  <si>
    <t>MANUNTA ANTONIO FRANCESCO</t>
  </si>
  <si>
    <t>CAA Coldiretti - PESARO E URBINO - 008</t>
  </si>
  <si>
    <t>TEODORI DANIELE</t>
  </si>
  <si>
    <t>CAA CIA - PESARO E URBINO - 002</t>
  </si>
  <si>
    <t>LIBANORE ENRICO</t>
  </si>
  <si>
    <t>MAGNANELLI SILVANO</t>
  </si>
  <si>
    <t>CAA Coldiretti - PESARO E URBINO - 013</t>
  </si>
  <si>
    <t>ROBERTI ALESSANDRO</t>
  </si>
  <si>
    <t>CAA CIA - ANCONA - 004</t>
  </si>
  <si>
    <t>MASSI PAOLO</t>
  </si>
  <si>
    <t>TOMASSETTI MATTEO</t>
  </si>
  <si>
    <t>SOCIETA' AGRICOLA ROBERTI S.R.L.</t>
  </si>
  <si>
    <t>CAA Coldiretti - ANCONA - 003</t>
  </si>
  <si>
    <t>LAUDAZI ANDREA</t>
  </si>
  <si>
    <t>CAA Coldiretti - ANCONA - 004</t>
  </si>
  <si>
    <t>ORCIARI SIMONE</t>
  </si>
  <si>
    <t>CAA CIA - PESARO E URBINO - 007</t>
  </si>
  <si>
    <t>DALLAGO DOMENICO</t>
  </si>
  <si>
    <t>CAA CIA - ANCONA - 005</t>
  </si>
  <si>
    <t>CAPRARA PATRIZIA</t>
  </si>
  <si>
    <t>SCHIAROLI MARIO</t>
  </si>
  <si>
    <t>ANGELONI GIULIANA</t>
  </si>
  <si>
    <t>PEVERINI MASSIMO</t>
  </si>
  <si>
    <t>CAA CIA - ANCONA - 002</t>
  </si>
  <si>
    <t>AUSTRALI SOCIETA' SEMPLICE AGRICOLA DI GAGLIARDINI STEFANO E BINI MARC</t>
  </si>
  <si>
    <t>IDDAS FRANCESCO</t>
  </si>
  <si>
    <t>COOP. SOCIALE S. MICHELE ARCANGELO SOC. COOP. AGRICOLA ONLUS</t>
  </si>
  <si>
    <t>CAROBINI SOCIETA' AGRICOLA S.S.</t>
  </si>
  <si>
    <t>BIANCHI LUCA</t>
  </si>
  <si>
    <t>BIANCHELLA MARCELLO</t>
  </si>
  <si>
    <t>CAA CAF AGRI - ANCONA - 224</t>
  </si>
  <si>
    <t>LOCCI SANDRO</t>
  </si>
  <si>
    <t>BARTOLOMEI MARCO</t>
  </si>
  <si>
    <t>GIANNOTTI ORFEO</t>
  </si>
  <si>
    <t>CAPOTONDI MARIA ANTONIETTA</t>
  </si>
  <si>
    <t>MANIERI CLAUDIO</t>
  </si>
  <si>
    <t>CAA LiberiAgricoltori - PESARO E URBINO - 002</t>
  </si>
  <si>
    <t>SOCIETA' AGRICOLA ABC DI GUERRA S.S.</t>
  </si>
  <si>
    <t>SOCIETA' AGRICOLA "LE GENGHE DI NONNO ANGELO" S.S.</t>
  </si>
  <si>
    <t>PECCI DANIELE</t>
  </si>
  <si>
    <t>SALTARELLI ROBERTO</t>
  </si>
  <si>
    <t>ZACCAGNINI ROSELLA</t>
  </si>
  <si>
    <t>CARTUCCIA ENRICO</t>
  </si>
  <si>
    <t>CAA CIA - PESARO E URBINO - 001</t>
  </si>
  <si>
    <t>SAVELLI ANDREA</t>
  </si>
  <si>
    <t>IMPRESA VERDE MARCHE SRL</t>
  </si>
  <si>
    <t>AGEA.ASR.2020.1022183</t>
  </si>
  <si>
    <t>STROPPA SILVANA</t>
  </si>
  <si>
    <t>BICCHIARELLI GABRIELE</t>
  </si>
  <si>
    <t>SOCIETA' AGRICOLA IL RITORNO DI CLEMENTI MIRCO E FEDERICO S.S.</t>
  </si>
  <si>
    <t>AZ. AGR. DI SANTE SOCIETA' AGRICOLA S.S.</t>
  </si>
  <si>
    <t>BARONA ALDA AMALIA CLAUDIA</t>
  </si>
  <si>
    <t>CANDIRACCI SIMONA</t>
  </si>
  <si>
    <t>URTINI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</si>
</sst>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D87CC-9A3E-421C-A3B8-FAC34691C569}">
  <dimension ref="A1:Y127"/>
  <sheetViews>
    <sheetView showGridLines="0" tabSelected="1" workbookViewId="0">
      <selection activeCell="F131" sqref="F131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285156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34</v>
      </c>
      <c r="C4" s="5" t="s">
        <v>44</v>
      </c>
      <c r="D4" s="5" t="s">
        <v>45</v>
      </c>
      <c r="E4" s="5" t="s">
        <v>38</v>
      </c>
      <c r="F4" s="5" t="s">
        <v>46</v>
      </c>
      <c r="G4" s="5">
        <v>2018</v>
      </c>
      <c r="H4" s="5" t="str">
        <f>CONCATENATE("84240392039")</f>
        <v>84240392039</v>
      </c>
      <c r="I4" s="5" t="s">
        <v>29</v>
      </c>
      <c r="J4" s="5" t="s">
        <v>30</v>
      </c>
      <c r="K4" s="5" t="str">
        <f>CONCATENATE("")</f>
        <v/>
      </c>
      <c r="L4" s="5" t="str">
        <f>CONCATENATE("11 11.2 4b")</f>
        <v>11 11.2 4b</v>
      </c>
      <c r="M4" s="5" t="str">
        <f>CONCATENATE("KNDHMT55B28Z112G")</f>
        <v>KNDHMT55B28Z112G</v>
      </c>
      <c r="N4" s="5" t="s">
        <v>47</v>
      </c>
      <c r="O4" s="5" t="s">
        <v>48</v>
      </c>
      <c r="P4" s="6">
        <v>44076</v>
      </c>
      <c r="Q4" s="5" t="s">
        <v>31</v>
      </c>
      <c r="R4" s="5" t="s">
        <v>32</v>
      </c>
      <c r="S4" s="5" t="s">
        <v>33</v>
      </c>
      <c r="T4" s="5"/>
      <c r="U4" s="5">
        <v>253.37</v>
      </c>
      <c r="V4" s="5">
        <v>109.25</v>
      </c>
      <c r="W4" s="5">
        <v>100.89</v>
      </c>
      <c r="X4" s="5">
        <v>0</v>
      </c>
      <c r="Y4" s="5">
        <v>43.23</v>
      </c>
    </row>
    <row r="5" spans="1:25" ht="24.75" x14ac:dyDescent="0.25">
      <c r="A5" s="5" t="s">
        <v>26</v>
      </c>
      <c r="B5" s="5" t="s">
        <v>27</v>
      </c>
      <c r="C5" s="5" t="s">
        <v>44</v>
      </c>
      <c r="D5" s="5" t="s">
        <v>45</v>
      </c>
      <c r="E5" s="5" t="s">
        <v>28</v>
      </c>
      <c r="F5" s="5" t="s">
        <v>28</v>
      </c>
      <c r="G5" s="5">
        <v>2017</v>
      </c>
      <c r="H5" s="5" t="str">
        <f>CONCATENATE("04270086418")</f>
        <v>04270086418</v>
      </c>
      <c r="I5" s="5" t="s">
        <v>29</v>
      </c>
      <c r="J5" s="5" t="s">
        <v>30</v>
      </c>
      <c r="K5" s="5" t="str">
        <f>CONCATENATE("")</f>
        <v/>
      </c>
      <c r="L5" s="5" t="str">
        <f>CONCATENATE("6 6.4 2a")</f>
        <v>6 6.4 2a</v>
      </c>
      <c r="M5" s="5" t="str">
        <f>CONCATENATE("02300960446")</f>
        <v>02300960446</v>
      </c>
      <c r="N5" s="5" t="s">
        <v>49</v>
      </c>
      <c r="O5" s="5" t="s">
        <v>50</v>
      </c>
      <c r="P5" s="6">
        <v>44042</v>
      </c>
      <c r="Q5" s="5" t="s">
        <v>31</v>
      </c>
      <c r="R5" s="5" t="s">
        <v>43</v>
      </c>
      <c r="S5" s="5" t="s">
        <v>33</v>
      </c>
      <c r="T5" s="5"/>
      <c r="U5" s="7">
        <v>100000</v>
      </c>
      <c r="V5" s="7">
        <v>43120</v>
      </c>
      <c r="W5" s="7">
        <v>39820</v>
      </c>
      <c r="X5" s="5">
        <v>0</v>
      </c>
      <c r="Y5" s="7">
        <v>17060</v>
      </c>
    </row>
    <row r="6" spans="1:25" ht="24.75" x14ac:dyDescent="0.25">
      <c r="A6" s="5" t="s">
        <v>26</v>
      </c>
      <c r="B6" s="5" t="s">
        <v>27</v>
      </c>
      <c r="C6" s="5" t="s">
        <v>44</v>
      </c>
      <c r="D6" s="5" t="s">
        <v>45</v>
      </c>
      <c r="E6" s="5" t="s">
        <v>40</v>
      </c>
      <c r="F6" s="5" t="s">
        <v>51</v>
      </c>
      <c r="G6" s="5">
        <v>2017</v>
      </c>
      <c r="H6" s="5" t="str">
        <f>CONCATENATE("04270098389")</f>
        <v>04270098389</v>
      </c>
      <c r="I6" s="5" t="s">
        <v>29</v>
      </c>
      <c r="J6" s="5" t="s">
        <v>30</v>
      </c>
      <c r="K6" s="5" t="str">
        <f>CONCATENATE("")</f>
        <v/>
      </c>
      <c r="L6" s="5" t="str">
        <f>CONCATENATE("6 6.1 2b")</f>
        <v>6 6.1 2b</v>
      </c>
      <c r="M6" s="5" t="str">
        <f>CONCATENATE("LFNQNT85E24A462S")</f>
        <v>LFNQNT85E24A462S</v>
      </c>
      <c r="N6" s="5" t="s">
        <v>52</v>
      </c>
      <c r="O6" s="5" t="s">
        <v>53</v>
      </c>
      <c r="P6" s="6">
        <v>44069</v>
      </c>
      <c r="Q6" s="5" t="s">
        <v>31</v>
      </c>
      <c r="R6" s="5" t="s">
        <v>32</v>
      </c>
      <c r="S6" s="5" t="s">
        <v>33</v>
      </c>
      <c r="T6" s="5"/>
      <c r="U6" s="7">
        <v>21000</v>
      </c>
      <c r="V6" s="7">
        <v>9055.2000000000007</v>
      </c>
      <c r="W6" s="7">
        <v>8362.2000000000007</v>
      </c>
      <c r="X6" s="5">
        <v>0</v>
      </c>
      <c r="Y6" s="7">
        <v>3582.6</v>
      </c>
    </row>
    <row r="7" spans="1:25" ht="24.75" x14ac:dyDescent="0.25">
      <c r="A7" s="5" t="s">
        <v>26</v>
      </c>
      <c r="B7" s="5" t="s">
        <v>27</v>
      </c>
      <c r="C7" s="5" t="s">
        <v>44</v>
      </c>
      <c r="D7" s="5" t="s">
        <v>54</v>
      </c>
      <c r="E7" s="5" t="s">
        <v>38</v>
      </c>
      <c r="F7" s="5" t="s">
        <v>55</v>
      </c>
      <c r="G7" s="5">
        <v>2017</v>
      </c>
      <c r="H7" s="5" t="str">
        <f>CONCATENATE("04270093992")</f>
        <v>04270093992</v>
      </c>
      <c r="I7" s="5" t="s">
        <v>29</v>
      </c>
      <c r="J7" s="5" t="s">
        <v>30</v>
      </c>
      <c r="K7" s="5" t="str">
        <f>CONCATENATE("")</f>
        <v/>
      </c>
      <c r="L7" s="5" t="str">
        <f>CONCATENATE("4 4.1 2a")</f>
        <v>4 4.1 2a</v>
      </c>
      <c r="M7" s="5" t="str">
        <f>CONCATENATE("GTRCRS78A24D786U")</f>
        <v>GTRCRS78A24D786U</v>
      </c>
      <c r="N7" s="5" t="s">
        <v>56</v>
      </c>
      <c r="O7" s="5" t="s">
        <v>57</v>
      </c>
      <c r="P7" s="6">
        <v>44054</v>
      </c>
      <c r="Q7" s="5" t="s">
        <v>31</v>
      </c>
      <c r="R7" s="5" t="s">
        <v>43</v>
      </c>
      <c r="S7" s="5" t="s">
        <v>33</v>
      </c>
      <c r="T7" s="5"/>
      <c r="U7" s="7">
        <v>38802.32</v>
      </c>
      <c r="V7" s="7">
        <v>16731.560000000001</v>
      </c>
      <c r="W7" s="7">
        <v>15451.08</v>
      </c>
      <c r="X7" s="5">
        <v>0</v>
      </c>
      <c r="Y7" s="7">
        <v>6619.68</v>
      </c>
    </row>
    <row r="8" spans="1:25" ht="24.75" x14ac:dyDescent="0.25">
      <c r="A8" s="5" t="s">
        <v>26</v>
      </c>
      <c r="B8" s="5" t="s">
        <v>34</v>
      </c>
      <c r="C8" s="5" t="s">
        <v>44</v>
      </c>
      <c r="D8" s="5" t="s">
        <v>45</v>
      </c>
      <c r="E8" s="5" t="s">
        <v>38</v>
      </c>
      <c r="F8" s="5" t="s">
        <v>58</v>
      </c>
      <c r="G8" s="5">
        <v>2019</v>
      </c>
      <c r="H8" s="5" t="str">
        <f>CONCATENATE("94240516495")</f>
        <v>94240516495</v>
      </c>
      <c r="I8" s="5" t="s">
        <v>29</v>
      </c>
      <c r="J8" s="5" t="s">
        <v>30</v>
      </c>
      <c r="K8" s="5" t="str">
        <f>CONCATENATE("")</f>
        <v/>
      </c>
      <c r="L8" s="5" t="str">
        <f>CONCATENATE("10 10.1 4a")</f>
        <v>10 10.1 4a</v>
      </c>
      <c r="M8" s="5" t="str">
        <f>CONCATENATE("RCCVTI83P10A462B")</f>
        <v>RCCVTI83P10A462B</v>
      </c>
      <c r="N8" s="5" t="s">
        <v>59</v>
      </c>
      <c r="O8" s="5" t="s">
        <v>60</v>
      </c>
      <c r="P8" s="6">
        <v>44076</v>
      </c>
      <c r="Q8" s="5" t="s">
        <v>31</v>
      </c>
      <c r="R8" s="5" t="s">
        <v>32</v>
      </c>
      <c r="S8" s="5" t="s">
        <v>33</v>
      </c>
      <c r="T8" s="5"/>
      <c r="U8" s="7">
        <v>9077.94</v>
      </c>
      <c r="V8" s="7">
        <v>3914.41</v>
      </c>
      <c r="W8" s="7">
        <v>3614.84</v>
      </c>
      <c r="X8" s="5">
        <v>0</v>
      </c>
      <c r="Y8" s="7">
        <v>1548.69</v>
      </c>
    </row>
    <row r="9" spans="1:25" ht="24.75" x14ac:dyDescent="0.25">
      <c r="A9" s="5" t="s">
        <v>26</v>
      </c>
      <c r="B9" s="5" t="s">
        <v>34</v>
      </c>
      <c r="C9" s="5" t="s">
        <v>44</v>
      </c>
      <c r="D9" s="5" t="s">
        <v>45</v>
      </c>
      <c r="E9" s="5" t="s">
        <v>37</v>
      </c>
      <c r="F9" s="5" t="s">
        <v>61</v>
      </c>
      <c r="G9" s="5">
        <v>2019</v>
      </c>
      <c r="H9" s="5" t="str">
        <f>CONCATENATE("94240767940")</f>
        <v>94240767940</v>
      </c>
      <c r="I9" s="5" t="s">
        <v>36</v>
      </c>
      <c r="J9" s="5" t="s">
        <v>30</v>
      </c>
      <c r="K9" s="5" t="str">
        <f>CONCATENATE("")</f>
        <v/>
      </c>
      <c r="L9" s="5" t="str">
        <f>CONCATENATE("11 11.1 4b")</f>
        <v>11 11.1 4b</v>
      </c>
      <c r="M9" s="5" t="str">
        <f>CONCATENATE("02272310448")</f>
        <v>02272310448</v>
      </c>
      <c r="N9" s="5" t="s">
        <v>62</v>
      </c>
      <c r="O9" s="5" t="s">
        <v>48</v>
      </c>
      <c r="P9" s="6">
        <v>44076</v>
      </c>
      <c r="Q9" s="5" t="s">
        <v>31</v>
      </c>
      <c r="R9" s="5" t="s">
        <v>32</v>
      </c>
      <c r="S9" s="5" t="s">
        <v>33</v>
      </c>
      <c r="T9" s="5"/>
      <c r="U9" s="7">
        <v>1348.36</v>
      </c>
      <c r="V9" s="5">
        <v>581.41</v>
      </c>
      <c r="W9" s="5">
        <v>536.91999999999996</v>
      </c>
      <c r="X9" s="5">
        <v>0</v>
      </c>
      <c r="Y9" s="5">
        <v>230.03</v>
      </c>
    </row>
    <row r="10" spans="1:25" ht="24.75" x14ac:dyDescent="0.25">
      <c r="A10" s="5" t="s">
        <v>26</v>
      </c>
      <c r="B10" s="5" t="s">
        <v>27</v>
      </c>
      <c r="C10" s="5" t="s">
        <v>44</v>
      </c>
      <c r="D10" s="5" t="s">
        <v>45</v>
      </c>
      <c r="E10" s="5" t="s">
        <v>40</v>
      </c>
      <c r="F10" s="5" t="s">
        <v>51</v>
      </c>
      <c r="G10" s="5">
        <v>2017</v>
      </c>
      <c r="H10" s="5" t="str">
        <f>CONCATENATE("04270098397")</f>
        <v>04270098397</v>
      </c>
      <c r="I10" s="5" t="s">
        <v>29</v>
      </c>
      <c r="J10" s="5" t="s">
        <v>30</v>
      </c>
      <c r="K10" s="5" t="str">
        <f>CONCATENATE("")</f>
        <v/>
      </c>
      <c r="L10" s="5" t="str">
        <f>CONCATENATE("4 4.1 2a")</f>
        <v>4 4.1 2a</v>
      </c>
      <c r="M10" s="5" t="str">
        <f>CONCATENATE("LFNQNT85E24A462S")</f>
        <v>LFNQNT85E24A462S</v>
      </c>
      <c r="N10" s="5" t="s">
        <v>52</v>
      </c>
      <c r="O10" s="5" t="s">
        <v>63</v>
      </c>
      <c r="P10" s="6">
        <v>44069</v>
      </c>
      <c r="Q10" s="5" t="s">
        <v>31</v>
      </c>
      <c r="R10" s="5" t="s">
        <v>32</v>
      </c>
      <c r="S10" s="5" t="s">
        <v>33</v>
      </c>
      <c r="T10" s="5"/>
      <c r="U10" s="7">
        <v>99770.84</v>
      </c>
      <c r="V10" s="7">
        <v>43021.19</v>
      </c>
      <c r="W10" s="7">
        <v>39728.75</v>
      </c>
      <c r="X10" s="5">
        <v>0</v>
      </c>
      <c r="Y10" s="7">
        <v>17020.900000000001</v>
      </c>
    </row>
    <row r="11" spans="1:25" x14ac:dyDescent="0.25">
      <c r="A11" s="5" t="s">
        <v>26</v>
      </c>
      <c r="B11" s="5" t="s">
        <v>34</v>
      </c>
      <c r="C11" s="5" t="s">
        <v>44</v>
      </c>
      <c r="D11" s="5" t="s">
        <v>64</v>
      </c>
      <c r="E11" s="5" t="s">
        <v>37</v>
      </c>
      <c r="F11" s="5" t="s">
        <v>65</v>
      </c>
      <c r="G11" s="5">
        <v>2016</v>
      </c>
      <c r="H11" s="5" t="str">
        <f>CONCATENATE("64780067191")</f>
        <v>64780067191</v>
      </c>
      <c r="I11" s="5" t="s">
        <v>36</v>
      </c>
      <c r="J11" s="5" t="s">
        <v>35</v>
      </c>
      <c r="K11" s="5" t="str">
        <f>CONCATENATE("221")</f>
        <v>221</v>
      </c>
      <c r="L11" s="5" t="str">
        <f>CONCATENATE("8 8.1 5e")</f>
        <v>8 8.1 5e</v>
      </c>
      <c r="M11" s="5" t="str">
        <f>CONCATENATE("NGLPLA58R12I156I")</f>
        <v>NGLPLA58R12I156I</v>
      </c>
      <c r="N11" s="5" t="s">
        <v>66</v>
      </c>
      <c r="O11" s="5" t="s">
        <v>67</v>
      </c>
      <c r="P11" s="6">
        <v>44076</v>
      </c>
      <c r="Q11" s="5" t="s">
        <v>31</v>
      </c>
      <c r="R11" s="5" t="s">
        <v>32</v>
      </c>
      <c r="S11" s="5" t="s">
        <v>33</v>
      </c>
      <c r="T11" s="5"/>
      <c r="U11" s="7">
        <v>2530.16</v>
      </c>
      <c r="V11" s="7">
        <v>1091</v>
      </c>
      <c r="W11" s="7">
        <v>1007.51</v>
      </c>
      <c r="X11" s="5">
        <v>0</v>
      </c>
      <c r="Y11" s="5">
        <v>431.65</v>
      </c>
    </row>
    <row r="12" spans="1:25" x14ac:dyDescent="0.25">
      <c r="A12" s="5" t="s">
        <v>26</v>
      </c>
      <c r="B12" s="5" t="s">
        <v>34</v>
      </c>
      <c r="C12" s="5" t="s">
        <v>44</v>
      </c>
      <c r="D12" s="5" t="s">
        <v>64</v>
      </c>
      <c r="E12" s="5" t="s">
        <v>37</v>
      </c>
      <c r="F12" s="5" t="s">
        <v>65</v>
      </c>
      <c r="G12" s="5">
        <v>2016</v>
      </c>
      <c r="H12" s="5" t="str">
        <f>CONCATENATE("64780067233")</f>
        <v>64780067233</v>
      </c>
      <c r="I12" s="5" t="s">
        <v>36</v>
      </c>
      <c r="J12" s="5" t="s">
        <v>35</v>
      </c>
      <c r="K12" s="5" t="str">
        <f>CONCATENATE("221")</f>
        <v>221</v>
      </c>
      <c r="L12" s="5" t="str">
        <f>CONCATENATE("8 8.1 5e")</f>
        <v>8 8.1 5e</v>
      </c>
      <c r="M12" s="5" t="str">
        <f>CONCATENATE("NGLPLA58R12I156I")</f>
        <v>NGLPLA58R12I156I</v>
      </c>
      <c r="N12" s="5" t="s">
        <v>66</v>
      </c>
      <c r="O12" s="5" t="s">
        <v>67</v>
      </c>
      <c r="P12" s="6">
        <v>44076</v>
      </c>
      <c r="Q12" s="5" t="s">
        <v>31</v>
      </c>
      <c r="R12" s="5" t="s">
        <v>32</v>
      </c>
      <c r="S12" s="5" t="s">
        <v>33</v>
      </c>
      <c r="T12" s="5"/>
      <c r="U12" s="5">
        <v>120.06</v>
      </c>
      <c r="V12" s="5">
        <v>51.77</v>
      </c>
      <c r="W12" s="5">
        <v>47.81</v>
      </c>
      <c r="X12" s="5">
        <v>0</v>
      </c>
      <c r="Y12" s="5">
        <v>20.48</v>
      </c>
    </row>
    <row r="13" spans="1:25" ht="24.75" x14ac:dyDescent="0.25">
      <c r="A13" s="5" t="s">
        <v>26</v>
      </c>
      <c r="B13" s="5" t="s">
        <v>34</v>
      </c>
      <c r="C13" s="5" t="s">
        <v>44</v>
      </c>
      <c r="D13" s="5" t="s">
        <v>45</v>
      </c>
      <c r="E13" s="5" t="s">
        <v>37</v>
      </c>
      <c r="F13" s="5" t="s">
        <v>68</v>
      </c>
      <c r="G13" s="5">
        <v>2019</v>
      </c>
      <c r="H13" s="5" t="str">
        <f>CONCATENATE("94240702400")</f>
        <v>94240702400</v>
      </c>
      <c r="I13" s="5" t="s">
        <v>29</v>
      </c>
      <c r="J13" s="5" t="s">
        <v>30</v>
      </c>
      <c r="K13" s="5" t="str">
        <f>CONCATENATE("")</f>
        <v/>
      </c>
      <c r="L13" s="5" t="str">
        <f>CONCATENATE("10 10.1 4a")</f>
        <v>10 10.1 4a</v>
      </c>
      <c r="M13" s="5" t="str">
        <f>CONCATENATE("VTISMN91C08C770O")</f>
        <v>VTISMN91C08C770O</v>
      </c>
      <c r="N13" s="5" t="s">
        <v>69</v>
      </c>
      <c r="O13" s="5" t="s">
        <v>70</v>
      </c>
      <c r="P13" s="6">
        <v>44076</v>
      </c>
      <c r="Q13" s="5" t="s">
        <v>31</v>
      </c>
      <c r="R13" s="5" t="s">
        <v>32</v>
      </c>
      <c r="S13" s="5" t="s">
        <v>33</v>
      </c>
      <c r="T13" s="5"/>
      <c r="U13" s="7">
        <v>1279.76</v>
      </c>
      <c r="V13" s="5">
        <v>551.83000000000004</v>
      </c>
      <c r="W13" s="5">
        <v>509.6</v>
      </c>
      <c r="X13" s="5">
        <v>0</v>
      </c>
      <c r="Y13" s="5">
        <v>218.33</v>
      </c>
    </row>
    <row r="14" spans="1:25" ht="24.75" x14ac:dyDescent="0.25">
      <c r="A14" s="5" t="s">
        <v>26</v>
      </c>
      <c r="B14" s="5" t="s">
        <v>34</v>
      </c>
      <c r="C14" s="5" t="s">
        <v>44</v>
      </c>
      <c r="D14" s="5" t="s">
        <v>45</v>
      </c>
      <c r="E14" s="5" t="s">
        <v>38</v>
      </c>
      <c r="F14" s="5" t="s">
        <v>46</v>
      </c>
      <c r="G14" s="5">
        <v>2019</v>
      </c>
      <c r="H14" s="5" t="str">
        <f>CONCATENATE("94241145112")</f>
        <v>94241145112</v>
      </c>
      <c r="I14" s="5" t="s">
        <v>29</v>
      </c>
      <c r="J14" s="5" t="s">
        <v>30</v>
      </c>
      <c r="K14" s="5" t="str">
        <f>CONCATENATE("")</f>
        <v/>
      </c>
      <c r="L14" s="5" t="str">
        <f>CONCATENATE("10 10.1 4a")</f>
        <v>10 10.1 4a</v>
      </c>
      <c r="M14" s="5" t="str">
        <f>CONCATENATE("MRTMRN86L07A252N")</f>
        <v>MRTMRN86L07A252N</v>
      </c>
      <c r="N14" s="5" t="s">
        <v>71</v>
      </c>
      <c r="O14" s="5" t="s">
        <v>70</v>
      </c>
      <c r="P14" s="6">
        <v>44076</v>
      </c>
      <c r="Q14" s="5" t="s">
        <v>31</v>
      </c>
      <c r="R14" s="5" t="s">
        <v>32</v>
      </c>
      <c r="S14" s="5" t="s">
        <v>33</v>
      </c>
      <c r="T14" s="5"/>
      <c r="U14" s="5">
        <v>570.66999999999996</v>
      </c>
      <c r="V14" s="5">
        <v>246.07</v>
      </c>
      <c r="W14" s="5">
        <v>227.24</v>
      </c>
      <c r="X14" s="5">
        <v>0</v>
      </c>
      <c r="Y14" s="5">
        <v>97.36</v>
      </c>
    </row>
    <row r="15" spans="1:25" x14ac:dyDescent="0.25">
      <c r="A15" s="5" t="s">
        <v>26</v>
      </c>
      <c r="B15" s="5" t="s">
        <v>34</v>
      </c>
      <c r="C15" s="5" t="s">
        <v>44</v>
      </c>
      <c r="D15" s="5" t="s">
        <v>64</v>
      </c>
      <c r="E15" s="5" t="s">
        <v>37</v>
      </c>
      <c r="F15" s="5" t="s">
        <v>72</v>
      </c>
      <c r="G15" s="5">
        <v>2016</v>
      </c>
      <c r="H15" s="5" t="str">
        <f>CONCATENATE("64780079188")</f>
        <v>64780079188</v>
      </c>
      <c r="I15" s="5" t="s">
        <v>29</v>
      </c>
      <c r="J15" s="5" t="s">
        <v>35</v>
      </c>
      <c r="K15" s="5" t="str">
        <f>CONCATENATE("221")</f>
        <v>221</v>
      </c>
      <c r="L15" s="5" t="str">
        <f>CONCATENATE("8 8.1 5e")</f>
        <v>8 8.1 5e</v>
      </c>
      <c r="M15" s="5" t="str">
        <f>CONCATENATE("01909520437")</f>
        <v>01909520437</v>
      </c>
      <c r="N15" s="5" t="s">
        <v>73</v>
      </c>
      <c r="O15" s="5" t="s">
        <v>67</v>
      </c>
      <c r="P15" s="6">
        <v>44076</v>
      </c>
      <c r="Q15" s="5" t="s">
        <v>31</v>
      </c>
      <c r="R15" s="5" t="s">
        <v>32</v>
      </c>
      <c r="S15" s="5" t="s">
        <v>33</v>
      </c>
      <c r="T15" s="5"/>
      <c r="U15" s="5">
        <v>591.75</v>
      </c>
      <c r="V15" s="5">
        <v>255.16</v>
      </c>
      <c r="W15" s="5">
        <v>235.63</v>
      </c>
      <c r="X15" s="5">
        <v>0</v>
      </c>
      <c r="Y15" s="5">
        <v>100.96</v>
      </c>
    </row>
    <row r="16" spans="1:25" x14ac:dyDescent="0.25">
      <c r="A16" s="5" t="s">
        <v>26</v>
      </c>
      <c r="B16" s="5" t="s">
        <v>34</v>
      </c>
      <c r="C16" s="5" t="s">
        <v>44</v>
      </c>
      <c r="D16" s="5" t="s">
        <v>64</v>
      </c>
      <c r="E16" s="5" t="s">
        <v>37</v>
      </c>
      <c r="F16" s="5" t="s">
        <v>74</v>
      </c>
      <c r="G16" s="5">
        <v>2018</v>
      </c>
      <c r="H16" s="5" t="str">
        <f>CONCATENATE("84210331611")</f>
        <v>84210331611</v>
      </c>
      <c r="I16" s="5" t="s">
        <v>29</v>
      </c>
      <c r="J16" s="5" t="s">
        <v>30</v>
      </c>
      <c r="K16" s="5" t="str">
        <f>CONCATENATE("")</f>
        <v/>
      </c>
      <c r="L16" s="5" t="str">
        <f>CONCATENATE("13 13.1 4a")</f>
        <v>13 13.1 4a</v>
      </c>
      <c r="M16" s="5" t="str">
        <f>CONCATENATE("CMPLRI86A52I156H")</f>
        <v>CMPLRI86A52I156H</v>
      </c>
      <c r="N16" s="5" t="s">
        <v>75</v>
      </c>
      <c r="O16" s="5" t="s">
        <v>76</v>
      </c>
      <c r="P16" s="6">
        <v>44076</v>
      </c>
      <c r="Q16" s="5" t="s">
        <v>31</v>
      </c>
      <c r="R16" s="5" t="s">
        <v>32</v>
      </c>
      <c r="S16" s="5" t="s">
        <v>33</v>
      </c>
      <c r="T16" s="5"/>
      <c r="U16" s="7">
        <v>9000</v>
      </c>
      <c r="V16" s="7">
        <v>3880.8</v>
      </c>
      <c r="W16" s="7">
        <v>3583.8</v>
      </c>
      <c r="X16" s="5">
        <v>0</v>
      </c>
      <c r="Y16" s="7">
        <v>1535.4</v>
      </c>
    </row>
    <row r="17" spans="1:25" x14ac:dyDescent="0.25">
      <c r="A17" s="5" t="s">
        <v>26</v>
      </c>
      <c r="B17" s="5" t="s">
        <v>34</v>
      </c>
      <c r="C17" s="5" t="s">
        <v>44</v>
      </c>
      <c r="D17" s="5" t="s">
        <v>64</v>
      </c>
      <c r="E17" s="5" t="s">
        <v>39</v>
      </c>
      <c r="F17" s="5" t="s">
        <v>77</v>
      </c>
      <c r="G17" s="5">
        <v>2016</v>
      </c>
      <c r="H17" s="5" t="str">
        <f>CONCATENATE("64780004863")</f>
        <v>64780004863</v>
      </c>
      <c r="I17" s="5" t="s">
        <v>36</v>
      </c>
      <c r="J17" s="5" t="s">
        <v>35</v>
      </c>
      <c r="K17" s="5" t="str">
        <f>CONCATENATE("221")</f>
        <v>221</v>
      </c>
      <c r="L17" s="5" t="str">
        <f>CONCATENATE("8 8.1 5e")</f>
        <v>8 8.1 5e</v>
      </c>
      <c r="M17" s="5" t="str">
        <f>CONCATENATE("PCCCST66A67L366X")</f>
        <v>PCCCST66A67L366X</v>
      </c>
      <c r="N17" s="5" t="s">
        <v>78</v>
      </c>
      <c r="O17" s="5" t="s">
        <v>67</v>
      </c>
      <c r="P17" s="6">
        <v>44076</v>
      </c>
      <c r="Q17" s="5" t="s">
        <v>31</v>
      </c>
      <c r="R17" s="5" t="s">
        <v>32</v>
      </c>
      <c r="S17" s="5" t="s">
        <v>33</v>
      </c>
      <c r="T17" s="5"/>
      <c r="U17" s="5">
        <v>831.76</v>
      </c>
      <c r="V17" s="5">
        <v>358.65</v>
      </c>
      <c r="W17" s="5">
        <v>331.21</v>
      </c>
      <c r="X17" s="5">
        <v>0</v>
      </c>
      <c r="Y17" s="5">
        <v>141.9</v>
      </c>
    </row>
    <row r="18" spans="1:25" x14ac:dyDescent="0.25">
      <c r="A18" s="5" t="s">
        <v>26</v>
      </c>
      <c r="B18" s="5" t="s">
        <v>34</v>
      </c>
      <c r="C18" s="5" t="s">
        <v>44</v>
      </c>
      <c r="D18" s="5" t="s">
        <v>64</v>
      </c>
      <c r="E18" s="5" t="s">
        <v>38</v>
      </c>
      <c r="F18" s="5" t="s">
        <v>79</v>
      </c>
      <c r="G18" s="5">
        <v>2016</v>
      </c>
      <c r="H18" s="5" t="str">
        <f>CONCATENATE("64780016263")</f>
        <v>64780016263</v>
      </c>
      <c r="I18" s="5" t="s">
        <v>36</v>
      </c>
      <c r="J18" s="5" t="s">
        <v>35</v>
      </c>
      <c r="K18" s="5" t="str">
        <f>CONCATENATE("221")</f>
        <v>221</v>
      </c>
      <c r="L18" s="5" t="str">
        <f>CONCATENATE("8 8.1 5e")</f>
        <v>8 8.1 5e</v>
      </c>
      <c r="M18" s="5" t="str">
        <f>CONCATENATE("PLTLSN77D18C704N")</f>
        <v>PLTLSN77D18C704N</v>
      </c>
      <c r="N18" s="5" t="s">
        <v>80</v>
      </c>
      <c r="O18" s="5" t="s">
        <v>67</v>
      </c>
      <c r="P18" s="6">
        <v>44076</v>
      </c>
      <c r="Q18" s="5" t="s">
        <v>31</v>
      </c>
      <c r="R18" s="5" t="s">
        <v>32</v>
      </c>
      <c r="S18" s="5" t="s">
        <v>33</v>
      </c>
      <c r="T18" s="5"/>
      <c r="U18" s="5">
        <v>397.6</v>
      </c>
      <c r="V18" s="5">
        <v>171.45</v>
      </c>
      <c r="W18" s="5">
        <v>158.32</v>
      </c>
      <c r="X18" s="5">
        <v>0</v>
      </c>
      <c r="Y18" s="5">
        <v>67.83</v>
      </c>
    </row>
    <row r="19" spans="1:25" x14ac:dyDescent="0.25">
      <c r="A19" s="5" t="s">
        <v>26</v>
      </c>
      <c r="B19" s="5" t="s">
        <v>34</v>
      </c>
      <c r="C19" s="5" t="s">
        <v>44</v>
      </c>
      <c r="D19" s="5" t="s">
        <v>64</v>
      </c>
      <c r="E19" s="5" t="s">
        <v>37</v>
      </c>
      <c r="F19" s="5" t="s">
        <v>65</v>
      </c>
      <c r="G19" s="5">
        <v>2016</v>
      </c>
      <c r="H19" s="5" t="str">
        <f>CONCATENATE("64780067845")</f>
        <v>64780067845</v>
      </c>
      <c r="I19" s="5" t="s">
        <v>36</v>
      </c>
      <c r="J19" s="5" t="s">
        <v>35</v>
      </c>
      <c r="K19" s="5" t="str">
        <f>CONCATENATE("221")</f>
        <v>221</v>
      </c>
      <c r="L19" s="5" t="str">
        <f>CONCATENATE("8 8.1 5e")</f>
        <v>8 8.1 5e</v>
      </c>
      <c r="M19" s="5" t="str">
        <f>CONCATENATE("SCTCRL30T07I156L")</f>
        <v>SCTCRL30T07I156L</v>
      </c>
      <c r="N19" s="5" t="s">
        <v>81</v>
      </c>
      <c r="O19" s="5" t="s">
        <v>67</v>
      </c>
      <c r="P19" s="6">
        <v>44076</v>
      </c>
      <c r="Q19" s="5" t="s">
        <v>31</v>
      </c>
      <c r="R19" s="5" t="s">
        <v>32</v>
      </c>
      <c r="S19" s="5" t="s">
        <v>33</v>
      </c>
      <c r="T19" s="5"/>
      <c r="U19" s="5">
        <v>358.38</v>
      </c>
      <c r="V19" s="5">
        <v>154.53</v>
      </c>
      <c r="W19" s="5">
        <v>142.71</v>
      </c>
      <c r="X19" s="5">
        <v>0</v>
      </c>
      <c r="Y19" s="5">
        <v>61.14</v>
      </c>
    </row>
    <row r="20" spans="1:25" x14ac:dyDescent="0.25">
      <c r="A20" s="5" t="s">
        <v>26</v>
      </c>
      <c r="B20" s="5" t="s">
        <v>34</v>
      </c>
      <c r="C20" s="5" t="s">
        <v>44</v>
      </c>
      <c r="D20" s="5" t="s">
        <v>64</v>
      </c>
      <c r="E20" s="5" t="s">
        <v>40</v>
      </c>
      <c r="F20" s="5" t="s">
        <v>82</v>
      </c>
      <c r="G20" s="5">
        <v>2016</v>
      </c>
      <c r="H20" s="5" t="str">
        <f>CONCATENATE("64780093585")</f>
        <v>64780093585</v>
      </c>
      <c r="I20" s="5" t="s">
        <v>36</v>
      </c>
      <c r="J20" s="5" t="s">
        <v>35</v>
      </c>
      <c r="K20" s="5" t="str">
        <f>CONCATENATE("221")</f>
        <v>221</v>
      </c>
      <c r="L20" s="5" t="str">
        <f>CONCATENATE("8 8.1 5e")</f>
        <v>8 8.1 5e</v>
      </c>
      <c r="M20" s="5" t="str">
        <f>CONCATENATE("TSTRTI42A49L366F")</f>
        <v>TSTRTI42A49L366F</v>
      </c>
      <c r="N20" s="5" t="s">
        <v>83</v>
      </c>
      <c r="O20" s="5" t="s">
        <v>67</v>
      </c>
      <c r="P20" s="6">
        <v>44076</v>
      </c>
      <c r="Q20" s="5" t="s">
        <v>31</v>
      </c>
      <c r="R20" s="5" t="s">
        <v>32</v>
      </c>
      <c r="S20" s="5" t="s">
        <v>33</v>
      </c>
      <c r="T20" s="5"/>
      <c r="U20" s="5">
        <v>331.94</v>
      </c>
      <c r="V20" s="5">
        <v>143.13</v>
      </c>
      <c r="W20" s="5">
        <v>132.18</v>
      </c>
      <c r="X20" s="5">
        <v>0</v>
      </c>
      <c r="Y20" s="5">
        <v>56.63</v>
      </c>
    </row>
    <row r="21" spans="1:25" ht="24.75" x14ac:dyDescent="0.25">
      <c r="A21" s="5" t="s">
        <v>26</v>
      </c>
      <c r="B21" s="5" t="s">
        <v>34</v>
      </c>
      <c r="C21" s="5" t="s">
        <v>44</v>
      </c>
      <c r="D21" s="5" t="s">
        <v>64</v>
      </c>
      <c r="E21" s="5" t="s">
        <v>37</v>
      </c>
      <c r="F21" s="5" t="s">
        <v>65</v>
      </c>
      <c r="G21" s="5">
        <v>2016</v>
      </c>
      <c r="H21" s="5" t="str">
        <f>CONCATENATE("64780046641")</f>
        <v>64780046641</v>
      </c>
      <c r="I21" s="5" t="s">
        <v>36</v>
      </c>
      <c r="J21" s="5" t="s">
        <v>35</v>
      </c>
      <c r="K21" s="5" t="str">
        <f>CONCATENATE("221")</f>
        <v>221</v>
      </c>
      <c r="L21" s="5" t="str">
        <f>CONCATENATE("8 8.1 5e")</f>
        <v>8 8.1 5e</v>
      </c>
      <c r="M21" s="5" t="str">
        <f>CONCATENATE("01738610433")</f>
        <v>01738610433</v>
      </c>
      <c r="N21" s="5" t="s">
        <v>84</v>
      </c>
      <c r="O21" s="5" t="s">
        <v>67</v>
      </c>
      <c r="P21" s="6">
        <v>44076</v>
      </c>
      <c r="Q21" s="5" t="s">
        <v>31</v>
      </c>
      <c r="R21" s="5" t="s">
        <v>32</v>
      </c>
      <c r="S21" s="5" t="s">
        <v>33</v>
      </c>
      <c r="T21" s="5"/>
      <c r="U21" s="5">
        <v>524.38</v>
      </c>
      <c r="V21" s="5">
        <v>226.11</v>
      </c>
      <c r="W21" s="5">
        <v>208.81</v>
      </c>
      <c r="X21" s="5">
        <v>0</v>
      </c>
      <c r="Y21" s="5">
        <v>89.46</v>
      </c>
    </row>
    <row r="22" spans="1:25" x14ac:dyDescent="0.25">
      <c r="A22" s="5" t="s">
        <v>26</v>
      </c>
      <c r="B22" s="5" t="s">
        <v>34</v>
      </c>
      <c r="C22" s="5" t="s">
        <v>44</v>
      </c>
      <c r="D22" s="5" t="s">
        <v>64</v>
      </c>
      <c r="E22" s="5" t="s">
        <v>85</v>
      </c>
      <c r="F22" s="5" t="s">
        <v>86</v>
      </c>
      <c r="G22" s="5">
        <v>2016</v>
      </c>
      <c r="H22" s="5" t="str">
        <f>CONCATENATE("64780039455")</f>
        <v>64780039455</v>
      </c>
      <c r="I22" s="5" t="s">
        <v>29</v>
      </c>
      <c r="J22" s="5" t="s">
        <v>35</v>
      </c>
      <c r="K22" s="5" t="str">
        <f>CONCATENATE("221")</f>
        <v>221</v>
      </c>
      <c r="L22" s="5" t="str">
        <f>CONCATENATE("8 8.1 5e")</f>
        <v>8 8.1 5e</v>
      </c>
      <c r="M22" s="5" t="str">
        <f>CONCATENATE("TMSFRZ66E10B474E")</f>
        <v>TMSFRZ66E10B474E</v>
      </c>
      <c r="N22" s="5" t="s">
        <v>87</v>
      </c>
      <c r="O22" s="5" t="s">
        <v>67</v>
      </c>
      <c r="P22" s="6">
        <v>44076</v>
      </c>
      <c r="Q22" s="5" t="s">
        <v>31</v>
      </c>
      <c r="R22" s="5" t="s">
        <v>32</v>
      </c>
      <c r="S22" s="5" t="s">
        <v>33</v>
      </c>
      <c r="T22" s="5"/>
      <c r="U22" s="5">
        <v>264.62</v>
      </c>
      <c r="V22" s="5">
        <v>114.1</v>
      </c>
      <c r="W22" s="5">
        <v>105.37</v>
      </c>
      <c r="X22" s="5">
        <v>0</v>
      </c>
      <c r="Y22" s="5">
        <v>45.15</v>
      </c>
    </row>
    <row r="23" spans="1:25" x14ac:dyDescent="0.25">
      <c r="A23" s="5" t="s">
        <v>26</v>
      </c>
      <c r="B23" s="5" t="s">
        <v>34</v>
      </c>
      <c r="C23" s="5" t="s">
        <v>44</v>
      </c>
      <c r="D23" s="5" t="s">
        <v>64</v>
      </c>
      <c r="E23" s="5" t="s">
        <v>37</v>
      </c>
      <c r="F23" s="5" t="s">
        <v>88</v>
      </c>
      <c r="G23" s="5">
        <v>2016</v>
      </c>
      <c r="H23" s="5" t="str">
        <f>CONCATENATE("64780077646")</f>
        <v>64780077646</v>
      </c>
      <c r="I23" s="5" t="s">
        <v>36</v>
      </c>
      <c r="J23" s="5" t="s">
        <v>35</v>
      </c>
      <c r="K23" s="5" t="str">
        <f>CONCATENATE("221")</f>
        <v>221</v>
      </c>
      <c r="L23" s="5" t="str">
        <f>CONCATENATE("8 8.1 5e")</f>
        <v>8 8.1 5e</v>
      </c>
      <c r="M23" s="5" t="str">
        <f>CONCATENATE("PLCGTN31M28C704X")</f>
        <v>PLCGTN31M28C704X</v>
      </c>
      <c r="N23" s="5" t="s">
        <v>89</v>
      </c>
      <c r="O23" s="5" t="s">
        <v>67</v>
      </c>
      <c r="P23" s="6">
        <v>44076</v>
      </c>
      <c r="Q23" s="5" t="s">
        <v>31</v>
      </c>
      <c r="R23" s="5" t="s">
        <v>32</v>
      </c>
      <c r="S23" s="5" t="s">
        <v>33</v>
      </c>
      <c r="T23" s="5"/>
      <c r="U23" s="7">
        <v>1150.1300000000001</v>
      </c>
      <c r="V23" s="5">
        <v>495.94</v>
      </c>
      <c r="W23" s="5">
        <v>457.98</v>
      </c>
      <c r="X23" s="5">
        <v>0</v>
      </c>
      <c r="Y23" s="5">
        <v>196.21</v>
      </c>
    </row>
    <row r="24" spans="1:25" x14ac:dyDescent="0.25">
      <c r="A24" s="5" t="s">
        <v>26</v>
      </c>
      <c r="B24" s="5" t="s">
        <v>34</v>
      </c>
      <c r="C24" s="5" t="s">
        <v>44</v>
      </c>
      <c r="D24" s="5" t="s">
        <v>64</v>
      </c>
      <c r="E24" s="5" t="s">
        <v>40</v>
      </c>
      <c r="F24" s="5" t="s">
        <v>90</v>
      </c>
      <c r="G24" s="5">
        <v>2016</v>
      </c>
      <c r="H24" s="5" t="str">
        <f>CONCATENATE("64780058091")</f>
        <v>64780058091</v>
      </c>
      <c r="I24" s="5" t="s">
        <v>36</v>
      </c>
      <c r="J24" s="5" t="s">
        <v>35</v>
      </c>
      <c r="K24" s="5" t="str">
        <f>CONCATENATE("221")</f>
        <v>221</v>
      </c>
      <c r="L24" s="5" t="str">
        <f>CONCATENATE("8 8.1 5e")</f>
        <v>8 8.1 5e</v>
      </c>
      <c r="M24" s="5" t="str">
        <f>CONCATENATE("RZONCL51A02L366C")</f>
        <v>RZONCL51A02L366C</v>
      </c>
      <c r="N24" s="5" t="s">
        <v>91</v>
      </c>
      <c r="O24" s="5" t="s">
        <v>67</v>
      </c>
      <c r="P24" s="6">
        <v>44076</v>
      </c>
      <c r="Q24" s="5" t="s">
        <v>31</v>
      </c>
      <c r="R24" s="5" t="s">
        <v>32</v>
      </c>
      <c r="S24" s="5" t="s">
        <v>33</v>
      </c>
      <c r="T24" s="5"/>
      <c r="U24" s="5">
        <v>144.80000000000001</v>
      </c>
      <c r="V24" s="5">
        <v>62.44</v>
      </c>
      <c r="W24" s="5">
        <v>57.66</v>
      </c>
      <c r="X24" s="5">
        <v>0</v>
      </c>
      <c r="Y24" s="5">
        <v>24.7</v>
      </c>
    </row>
    <row r="25" spans="1:25" ht="24.75" x14ac:dyDescent="0.25">
      <c r="A25" s="5" t="s">
        <v>26</v>
      </c>
      <c r="B25" s="5" t="s">
        <v>34</v>
      </c>
      <c r="C25" s="5" t="s">
        <v>44</v>
      </c>
      <c r="D25" s="5" t="s">
        <v>64</v>
      </c>
      <c r="E25" s="5" t="s">
        <v>39</v>
      </c>
      <c r="F25" s="5" t="s">
        <v>77</v>
      </c>
      <c r="G25" s="5">
        <v>2016</v>
      </c>
      <c r="H25" s="5" t="str">
        <f>CONCATENATE("64780086506")</f>
        <v>64780086506</v>
      </c>
      <c r="I25" s="5" t="s">
        <v>36</v>
      </c>
      <c r="J25" s="5" t="s">
        <v>35</v>
      </c>
      <c r="K25" s="5" t="str">
        <f>CONCATENATE("221")</f>
        <v>221</v>
      </c>
      <c r="L25" s="5" t="str">
        <f>CONCATENATE("8 8.1 5e")</f>
        <v>8 8.1 5e</v>
      </c>
      <c r="M25" s="5" t="str">
        <f>CONCATENATE("00665990438")</f>
        <v>00665990438</v>
      </c>
      <c r="N25" s="5" t="s">
        <v>92</v>
      </c>
      <c r="O25" s="5" t="s">
        <v>67</v>
      </c>
      <c r="P25" s="6">
        <v>44076</v>
      </c>
      <c r="Q25" s="5" t="s">
        <v>31</v>
      </c>
      <c r="R25" s="5" t="s">
        <v>32</v>
      </c>
      <c r="S25" s="5" t="s">
        <v>33</v>
      </c>
      <c r="T25" s="5"/>
      <c r="U25" s="7">
        <v>1980.35</v>
      </c>
      <c r="V25" s="5">
        <v>853.93</v>
      </c>
      <c r="W25" s="5">
        <v>788.58</v>
      </c>
      <c r="X25" s="5">
        <v>0</v>
      </c>
      <c r="Y25" s="5">
        <v>337.84</v>
      </c>
    </row>
    <row r="26" spans="1:25" ht="24.75" x14ac:dyDescent="0.25">
      <c r="A26" s="5" t="s">
        <v>26</v>
      </c>
      <c r="B26" s="5" t="s">
        <v>34</v>
      </c>
      <c r="C26" s="5" t="s">
        <v>44</v>
      </c>
      <c r="D26" s="5" t="s">
        <v>54</v>
      </c>
      <c r="E26" s="5" t="s">
        <v>37</v>
      </c>
      <c r="F26" s="5" t="s">
        <v>93</v>
      </c>
      <c r="G26" s="5">
        <v>2019</v>
      </c>
      <c r="H26" s="5" t="str">
        <f>CONCATENATE("94210910173")</f>
        <v>94210910173</v>
      </c>
      <c r="I26" s="5" t="s">
        <v>29</v>
      </c>
      <c r="J26" s="5" t="s">
        <v>30</v>
      </c>
      <c r="K26" s="5" t="str">
        <f>CONCATENATE("")</f>
        <v/>
      </c>
      <c r="L26" s="5" t="str">
        <f>CONCATENATE("13 13.1 4a")</f>
        <v>13 13.1 4a</v>
      </c>
      <c r="M26" s="5" t="str">
        <f>CONCATENATE("02528080415")</f>
        <v>02528080415</v>
      </c>
      <c r="N26" s="5" t="s">
        <v>94</v>
      </c>
      <c r="O26" s="5" t="s">
        <v>76</v>
      </c>
      <c r="P26" s="6">
        <v>44076</v>
      </c>
      <c r="Q26" s="5" t="s">
        <v>31</v>
      </c>
      <c r="R26" s="5" t="s">
        <v>32</v>
      </c>
      <c r="S26" s="5" t="s">
        <v>33</v>
      </c>
      <c r="T26" s="5"/>
      <c r="U26" s="7">
        <v>5154.04</v>
      </c>
      <c r="V26" s="7">
        <v>2222.42</v>
      </c>
      <c r="W26" s="7">
        <v>2052.34</v>
      </c>
      <c r="X26" s="5">
        <v>0</v>
      </c>
      <c r="Y26" s="5">
        <v>879.28</v>
      </c>
    </row>
    <row r="27" spans="1:25" x14ac:dyDescent="0.25">
      <c r="A27" s="5" t="s">
        <v>26</v>
      </c>
      <c r="B27" s="5" t="s">
        <v>34</v>
      </c>
      <c r="C27" s="5" t="s">
        <v>44</v>
      </c>
      <c r="D27" s="5" t="s">
        <v>64</v>
      </c>
      <c r="E27" s="5" t="s">
        <v>37</v>
      </c>
      <c r="F27" s="5" t="s">
        <v>74</v>
      </c>
      <c r="G27" s="5">
        <v>2018</v>
      </c>
      <c r="H27" s="5" t="str">
        <f>CONCATENATE("84210253054")</f>
        <v>84210253054</v>
      </c>
      <c r="I27" s="5" t="s">
        <v>29</v>
      </c>
      <c r="J27" s="5" t="s">
        <v>30</v>
      </c>
      <c r="K27" s="5" t="str">
        <f>CONCATENATE("")</f>
        <v/>
      </c>
      <c r="L27" s="5" t="str">
        <f>CONCATENATE("13 13.1 4a")</f>
        <v>13 13.1 4a</v>
      </c>
      <c r="M27" s="5" t="str">
        <f>CONCATENATE("BNDLRD95H18B474B")</f>
        <v>BNDLRD95H18B474B</v>
      </c>
      <c r="N27" s="5" t="s">
        <v>95</v>
      </c>
      <c r="O27" s="5" t="s">
        <v>76</v>
      </c>
      <c r="P27" s="6">
        <v>44076</v>
      </c>
      <c r="Q27" s="5" t="s">
        <v>31</v>
      </c>
      <c r="R27" s="5" t="s">
        <v>32</v>
      </c>
      <c r="S27" s="5" t="s">
        <v>33</v>
      </c>
      <c r="T27" s="5"/>
      <c r="U27" s="7">
        <v>1053.51</v>
      </c>
      <c r="V27" s="5">
        <v>454.27</v>
      </c>
      <c r="W27" s="5">
        <v>419.51</v>
      </c>
      <c r="X27" s="5">
        <v>0</v>
      </c>
      <c r="Y27" s="5">
        <v>179.73</v>
      </c>
    </row>
    <row r="28" spans="1:25" ht="24.75" x14ac:dyDescent="0.25">
      <c r="A28" s="5" t="s">
        <v>26</v>
      </c>
      <c r="B28" s="5" t="s">
        <v>34</v>
      </c>
      <c r="C28" s="5" t="s">
        <v>44</v>
      </c>
      <c r="D28" s="5" t="s">
        <v>54</v>
      </c>
      <c r="E28" s="5" t="s">
        <v>42</v>
      </c>
      <c r="F28" s="5" t="s">
        <v>96</v>
      </c>
      <c r="G28" s="5">
        <v>2019</v>
      </c>
      <c r="H28" s="5" t="str">
        <f>CONCATENATE("94210605807")</f>
        <v>94210605807</v>
      </c>
      <c r="I28" s="5" t="s">
        <v>36</v>
      </c>
      <c r="J28" s="5" t="s">
        <v>30</v>
      </c>
      <c r="K28" s="5" t="str">
        <f>CONCATENATE("")</f>
        <v/>
      </c>
      <c r="L28" s="5" t="str">
        <f>CONCATENATE("13 13.1 4a")</f>
        <v>13 13.1 4a</v>
      </c>
      <c r="M28" s="5" t="str">
        <f>CONCATENATE("DRPDNT78P10B352N")</f>
        <v>DRPDNT78P10B352N</v>
      </c>
      <c r="N28" s="5" t="s">
        <v>97</v>
      </c>
      <c r="O28" s="5" t="s">
        <v>76</v>
      </c>
      <c r="P28" s="6">
        <v>44076</v>
      </c>
      <c r="Q28" s="5" t="s">
        <v>31</v>
      </c>
      <c r="R28" s="5" t="s">
        <v>32</v>
      </c>
      <c r="S28" s="5" t="s">
        <v>33</v>
      </c>
      <c r="T28" s="5"/>
      <c r="U28" s="5">
        <v>422.87</v>
      </c>
      <c r="V28" s="5">
        <v>182.34</v>
      </c>
      <c r="W28" s="5">
        <v>168.39</v>
      </c>
      <c r="X28" s="5">
        <v>0</v>
      </c>
      <c r="Y28" s="5">
        <v>72.14</v>
      </c>
    </row>
    <row r="29" spans="1:25" ht="24.75" x14ac:dyDescent="0.25">
      <c r="A29" s="5" t="s">
        <v>26</v>
      </c>
      <c r="B29" s="5" t="s">
        <v>34</v>
      </c>
      <c r="C29" s="5" t="s">
        <v>44</v>
      </c>
      <c r="D29" s="5" t="s">
        <v>54</v>
      </c>
      <c r="E29" s="5" t="s">
        <v>37</v>
      </c>
      <c r="F29" s="5" t="s">
        <v>98</v>
      </c>
      <c r="G29" s="5">
        <v>2019</v>
      </c>
      <c r="H29" s="5" t="str">
        <f>CONCATENATE("94210109164")</f>
        <v>94210109164</v>
      </c>
      <c r="I29" s="5" t="s">
        <v>36</v>
      </c>
      <c r="J29" s="5" t="s">
        <v>30</v>
      </c>
      <c r="K29" s="5" t="str">
        <f>CONCATENATE("")</f>
        <v/>
      </c>
      <c r="L29" s="5" t="str">
        <f>CONCATENATE("13 13.1 4a")</f>
        <v>13 13.1 4a</v>
      </c>
      <c r="M29" s="5" t="str">
        <f>CONCATENATE("MRTCRL54H23G618Y")</f>
        <v>MRTCRL54H23G618Y</v>
      </c>
      <c r="N29" s="5" t="s">
        <v>99</v>
      </c>
      <c r="O29" s="5" t="s">
        <v>76</v>
      </c>
      <c r="P29" s="6">
        <v>44076</v>
      </c>
      <c r="Q29" s="5" t="s">
        <v>31</v>
      </c>
      <c r="R29" s="5" t="s">
        <v>32</v>
      </c>
      <c r="S29" s="5" t="s">
        <v>33</v>
      </c>
      <c r="T29" s="5"/>
      <c r="U29" s="5">
        <v>440.04</v>
      </c>
      <c r="V29" s="5">
        <v>189.75</v>
      </c>
      <c r="W29" s="5">
        <v>175.22</v>
      </c>
      <c r="X29" s="5">
        <v>0</v>
      </c>
      <c r="Y29" s="5">
        <v>75.069999999999993</v>
      </c>
    </row>
    <row r="30" spans="1:25" x14ac:dyDescent="0.25">
      <c r="A30" s="5" t="s">
        <v>26</v>
      </c>
      <c r="B30" s="5" t="s">
        <v>34</v>
      </c>
      <c r="C30" s="5" t="s">
        <v>44</v>
      </c>
      <c r="D30" s="5" t="s">
        <v>64</v>
      </c>
      <c r="E30" s="5" t="s">
        <v>85</v>
      </c>
      <c r="F30" s="5" t="s">
        <v>100</v>
      </c>
      <c r="G30" s="5">
        <v>2018</v>
      </c>
      <c r="H30" s="5" t="str">
        <f>CONCATENATE("84210961409")</f>
        <v>84210961409</v>
      </c>
      <c r="I30" s="5" t="s">
        <v>29</v>
      </c>
      <c r="J30" s="5" t="s">
        <v>30</v>
      </c>
      <c r="K30" s="5" t="str">
        <f>CONCATENATE("")</f>
        <v/>
      </c>
      <c r="L30" s="5" t="str">
        <f>CONCATENATE("13 13.1 4a")</f>
        <v>13 13.1 4a</v>
      </c>
      <c r="M30" s="5" t="str">
        <f>CONCATENATE("01976250439")</f>
        <v>01976250439</v>
      </c>
      <c r="N30" s="5" t="s">
        <v>101</v>
      </c>
      <c r="O30" s="5" t="s">
        <v>76</v>
      </c>
      <c r="P30" s="6">
        <v>44076</v>
      </c>
      <c r="Q30" s="5" t="s">
        <v>31</v>
      </c>
      <c r="R30" s="5" t="s">
        <v>32</v>
      </c>
      <c r="S30" s="5" t="s">
        <v>33</v>
      </c>
      <c r="T30" s="5"/>
      <c r="U30" s="7">
        <v>8730</v>
      </c>
      <c r="V30" s="7">
        <v>3764.38</v>
      </c>
      <c r="W30" s="7">
        <v>3476.29</v>
      </c>
      <c r="X30" s="5">
        <v>0</v>
      </c>
      <c r="Y30" s="7">
        <v>1489.33</v>
      </c>
    </row>
    <row r="31" spans="1:25" ht="24.75" x14ac:dyDescent="0.25">
      <c r="A31" s="5" t="s">
        <v>26</v>
      </c>
      <c r="B31" s="5" t="s">
        <v>34</v>
      </c>
      <c r="C31" s="5" t="s">
        <v>44</v>
      </c>
      <c r="D31" s="5" t="s">
        <v>45</v>
      </c>
      <c r="E31" s="5" t="s">
        <v>39</v>
      </c>
      <c r="F31" s="5" t="s">
        <v>102</v>
      </c>
      <c r="G31" s="5">
        <v>2019</v>
      </c>
      <c r="H31" s="5" t="str">
        <f>CONCATENATE("94241110934")</f>
        <v>94241110934</v>
      </c>
      <c r="I31" s="5" t="s">
        <v>36</v>
      </c>
      <c r="J31" s="5" t="s">
        <v>30</v>
      </c>
      <c r="K31" s="5" t="str">
        <f>CONCATENATE("")</f>
        <v/>
      </c>
      <c r="L31" s="5" t="str">
        <f>CONCATENATE("10 10.1 4a")</f>
        <v>10 10.1 4a</v>
      </c>
      <c r="M31" s="5" t="str">
        <f>CONCATENATE("MRCNDR69B13D542E")</f>
        <v>MRCNDR69B13D542E</v>
      </c>
      <c r="N31" s="5" t="s">
        <v>103</v>
      </c>
      <c r="O31" s="5" t="s">
        <v>70</v>
      </c>
      <c r="P31" s="6">
        <v>44076</v>
      </c>
      <c r="Q31" s="5" t="s">
        <v>31</v>
      </c>
      <c r="R31" s="5" t="s">
        <v>32</v>
      </c>
      <c r="S31" s="5" t="s">
        <v>33</v>
      </c>
      <c r="T31" s="5"/>
      <c r="U31" s="5">
        <v>783.97</v>
      </c>
      <c r="V31" s="5">
        <v>338.05</v>
      </c>
      <c r="W31" s="5">
        <v>312.18</v>
      </c>
      <c r="X31" s="5">
        <v>0</v>
      </c>
      <c r="Y31" s="5">
        <v>133.74</v>
      </c>
    </row>
    <row r="32" spans="1:25" ht="24.75" x14ac:dyDescent="0.25">
      <c r="A32" s="5" t="s">
        <v>26</v>
      </c>
      <c r="B32" s="5" t="s">
        <v>34</v>
      </c>
      <c r="C32" s="5" t="s">
        <v>44</v>
      </c>
      <c r="D32" s="5" t="s">
        <v>45</v>
      </c>
      <c r="E32" s="5" t="s">
        <v>39</v>
      </c>
      <c r="F32" s="5" t="s">
        <v>102</v>
      </c>
      <c r="G32" s="5">
        <v>2019</v>
      </c>
      <c r="H32" s="5" t="str">
        <f>CONCATENATE("94241039349")</f>
        <v>94241039349</v>
      </c>
      <c r="I32" s="5" t="s">
        <v>29</v>
      </c>
      <c r="J32" s="5" t="s">
        <v>30</v>
      </c>
      <c r="K32" s="5" t="str">
        <f>CONCATENATE("")</f>
        <v/>
      </c>
      <c r="L32" s="5" t="str">
        <f>CONCATENATE("10 10.1 4a")</f>
        <v>10 10.1 4a</v>
      </c>
      <c r="M32" s="5" t="str">
        <f>CONCATENATE("01977060449")</f>
        <v>01977060449</v>
      </c>
      <c r="N32" s="5" t="s">
        <v>104</v>
      </c>
      <c r="O32" s="5" t="s">
        <v>70</v>
      </c>
      <c r="P32" s="6">
        <v>44076</v>
      </c>
      <c r="Q32" s="5" t="s">
        <v>31</v>
      </c>
      <c r="R32" s="5" t="s">
        <v>32</v>
      </c>
      <c r="S32" s="5" t="s">
        <v>33</v>
      </c>
      <c r="T32" s="5"/>
      <c r="U32" s="7">
        <v>1646.32</v>
      </c>
      <c r="V32" s="5">
        <v>709.89</v>
      </c>
      <c r="W32" s="5">
        <v>655.56</v>
      </c>
      <c r="X32" s="5">
        <v>0</v>
      </c>
      <c r="Y32" s="5">
        <v>280.87</v>
      </c>
    </row>
    <row r="33" spans="1:25" ht="24.75" x14ac:dyDescent="0.25">
      <c r="A33" s="5" t="s">
        <v>26</v>
      </c>
      <c r="B33" s="5" t="s">
        <v>34</v>
      </c>
      <c r="C33" s="5" t="s">
        <v>44</v>
      </c>
      <c r="D33" s="5" t="s">
        <v>64</v>
      </c>
      <c r="E33" s="5" t="s">
        <v>85</v>
      </c>
      <c r="F33" s="5" t="s">
        <v>105</v>
      </c>
      <c r="G33" s="5">
        <v>2018</v>
      </c>
      <c r="H33" s="5" t="str">
        <f>CONCATENATE("84210757096")</f>
        <v>84210757096</v>
      </c>
      <c r="I33" s="5" t="s">
        <v>29</v>
      </c>
      <c r="J33" s="5" t="s">
        <v>30</v>
      </c>
      <c r="K33" s="5" t="str">
        <f>CONCATENATE("")</f>
        <v/>
      </c>
      <c r="L33" s="5" t="str">
        <f>CONCATENATE("13 13.1 4a")</f>
        <v>13 13.1 4a</v>
      </c>
      <c r="M33" s="5" t="str">
        <f>CONCATENATE("01914030430")</f>
        <v>01914030430</v>
      </c>
      <c r="N33" s="5" t="s">
        <v>106</v>
      </c>
      <c r="O33" s="5" t="s">
        <v>76</v>
      </c>
      <c r="P33" s="6">
        <v>44076</v>
      </c>
      <c r="Q33" s="5" t="s">
        <v>31</v>
      </c>
      <c r="R33" s="5" t="s">
        <v>32</v>
      </c>
      <c r="S33" s="5" t="s">
        <v>33</v>
      </c>
      <c r="T33" s="5"/>
      <c r="U33" s="5">
        <v>128.54</v>
      </c>
      <c r="V33" s="5">
        <v>55.43</v>
      </c>
      <c r="W33" s="5">
        <v>51.18</v>
      </c>
      <c r="X33" s="5">
        <v>0</v>
      </c>
      <c r="Y33" s="5">
        <v>21.93</v>
      </c>
    </row>
    <row r="34" spans="1:25" ht="24.75" x14ac:dyDescent="0.25">
      <c r="A34" s="5" t="s">
        <v>26</v>
      </c>
      <c r="B34" s="5" t="s">
        <v>34</v>
      </c>
      <c r="C34" s="5" t="s">
        <v>44</v>
      </c>
      <c r="D34" s="5" t="s">
        <v>45</v>
      </c>
      <c r="E34" s="5" t="s">
        <v>37</v>
      </c>
      <c r="F34" s="5" t="s">
        <v>68</v>
      </c>
      <c r="G34" s="5">
        <v>2019</v>
      </c>
      <c r="H34" s="5" t="str">
        <f>CONCATENATE("94240361470")</f>
        <v>94240361470</v>
      </c>
      <c r="I34" s="5" t="s">
        <v>36</v>
      </c>
      <c r="J34" s="5" t="s">
        <v>30</v>
      </c>
      <c r="K34" s="5" t="str">
        <f>CONCATENATE("")</f>
        <v/>
      </c>
      <c r="L34" s="5" t="str">
        <f>CONCATENATE("10 10.1 4a")</f>
        <v>10 10.1 4a</v>
      </c>
      <c r="M34" s="5" t="str">
        <f>CONCATENATE("PLLGPP53R02F536D")</f>
        <v>PLLGPP53R02F536D</v>
      </c>
      <c r="N34" s="5" t="s">
        <v>107</v>
      </c>
      <c r="O34" s="5" t="s">
        <v>70</v>
      </c>
      <c r="P34" s="6">
        <v>44076</v>
      </c>
      <c r="Q34" s="5" t="s">
        <v>31</v>
      </c>
      <c r="R34" s="5" t="s">
        <v>32</v>
      </c>
      <c r="S34" s="5" t="s">
        <v>33</v>
      </c>
      <c r="T34" s="5"/>
      <c r="U34" s="7">
        <v>2218.48</v>
      </c>
      <c r="V34" s="5">
        <v>956.61</v>
      </c>
      <c r="W34" s="5">
        <v>883.4</v>
      </c>
      <c r="X34" s="5">
        <v>0</v>
      </c>
      <c r="Y34" s="5">
        <v>378.47</v>
      </c>
    </row>
    <row r="35" spans="1:25" ht="24.75" x14ac:dyDescent="0.25">
      <c r="A35" s="5" t="s">
        <v>26</v>
      </c>
      <c r="B35" s="5" t="s">
        <v>34</v>
      </c>
      <c r="C35" s="5" t="s">
        <v>44</v>
      </c>
      <c r="D35" s="5" t="s">
        <v>45</v>
      </c>
      <c r="E35" s="5" t="s">
        <v>37</v>
      </c>
      <c r="F35" s="5" t="s">
        <v>68</v>
      </c>
      <c r="G35" s="5">
        <v>2019</v>
      </c>
      <c r="H35" s="5" t="str">
        <f>CONCATENATE("94240800246")</f>
        <v>94240800246</v>
      </c>
      <c r="I35" s="5" t="s">
        <v>29</v>
      </c>
      <c r="J35" s="5" t="s">
        <v>30</v>
      </c>
      <c r="K35" s="5" t="str">
        <f>CONCATENATE("")</f>
        <v/>
      </c>
      <c r="L35" s="5" t="str">
        <f>CONCATENATE("10 10.1 4a")</f>
        <v>10 10.1 4a</v>
      </c>
      <c r="M35" s="5" t="str">
        <f>CONCATENATE("01987450440")</f>
        <v>01987450440</v>
      </c>
      <c r="N35" s="5" t="s">
        <v>108</v>
      </c>
      <c r="O35" s="5" t="s">
        <v>70</v>
      </c>
      <c r="P35" s="6">
        <v>44076</v>
      </c>
      <c r="Q35" s="5" t="s">
        <v>31</v>
      </c>
      <c r="R35" s="5" t="s">
        <v>32</v>
      </c>
      <c r="S35" s="5" t="s">
        <v>33</v>
      </c>
      <c r="T35" s="5"/>
      <c r="U35" s="7">
        <v>1020</v>
      </c>
      <c r="V35" s="5">
        <v>439.82</v>
      </c>
      <c r="W35" s="5">
        <v>406.16</v>
      </c>
      <c r="X35" s="5">
        <v>0</v>
      </c>
      <c r="Y35" s="5">
        <v>174.02</v>
      </c>
    </row>
    <row r="36" spans="1:25" ht="24.75" x14ac:dyDescent="0.25">
      <c r="A36" s="5" t="s">
        <v>26</v>
      </c>
      <c r="B36" s="5" t="s">
        <v>34</v>
      </c>
      <c r="C36" s="5" t="s">
        <v>44</v>
      </c>
      <c r="D36" s="5" t="s">
        <v>45</v>
      </c>
      <c r="E36" s="5" t="s">
        <v>37</v>
      </c>
      <c r="F36" s="5" t="s">
        <v>109</v>
      </c>
      <c r="G36" s="5">
        <v>2019</v>
      </c>
      <c r="H36" s="5" t="str">
        <f>CONCATENATE("94241016248")</f>
        <v>94241016248</v>
      </c>
      <c r="I36" s="5" t="s">
        <v>29</v>
      </c>
      <c r="J36" s="5" t="s">
        <v>30</v>
      </c>
      <c r="K36" s="5" t="str">
        <f>CONCATENATE("")</f>
        <v/>
      </c>
      <c r="L36" s="5" t="str">
        <f>CONCATENATE("10 10.1 4a")</f>
        <v>10 10.1 4a</v>
      </c>
      <c r="M36" s="5" t="str">
        <f>CONCATENATE("02139620443")</f>
        <v>02139620443</v>
      </c>
      <c r="N36" s="5" t="s">
        <v>110</v>
      </c>
      <c r="O36" s="5" t="s">
        <v>70</v>
      </c>
      <c r="P36" s="6">
        <v>44076</v>
      </c>
      <c r="Q36" s="5" t="s">
        <v>31</v>
      </c>
      <c r="R36" s="5" t="s">
        <v>32</v>
      </c>
      <c r="S36" s="5" t="s">
        <v>33</v>
      </c>
      <c r="T36" s="5"/>
      <c r="U36" s="7">
        <v>1205.21</v>
      </c>
      <c r="V36" s="5">
        <v>519.69000000000005</v>
      </c>
      <c r="W36" s="5">
        <v>479.91</v>
      </c>
      <c r="X36" s="5">
        <v>0</v>
      </c>
      <c r="Y36" s="5">
        <v>205.61</v>
      </c>
    </row>
    <row r="37" spans="1:25" ht="24.75" x14ac:dyDescent="0.25">
      <c r="A37" s="5" t="s">
        <v>26</v>
      </c>
      <c r="B37" s="5" t="s">
        <v>34</v>
      </c>
      <c r="C37" s="5" t="s">
        <v>44</v>
      </c>
      <c r="D37" s="5" t="s">
        <v>54</v>
      </c>
      <c r="E37" s="5" t="s">
        <v>37</v>
      </c>
      <c r="F37" s="5" t="s">
        <v>98</v>
      </c>
      <c r="G37" s="5">
        <v>2019</v>
      </c>
      <c r="H37" s="5" t="str">
        <f>CONCATENATE("94210454719")</f>
        <v>94210454719</v>
      </c>
      <c r="I37" s="5" t="s">
        <v>29</v>
      </c>
      <c r="J37" s="5" t="s">
        <v>30</v>
      </c>
      <c r="K37" s="5" t="str">
        <f>CONCATENATE("")</f>
        <v/>
      </c>
      <c r="L37" s="5" t="str">
        <f>CONCATENATE("13 13.1 4a")</f>
        <v>13 13.1 4a</v>
      </c>
      <c r="M37" s="5" t="str">
        <f>CONCATENATE("CNINLL31T15B352P")</f>
        <v>CNINLL31T15B352P</v>
      </c>
      <c r="N37" s="5" t="s">
        <v>111</v>
      </c>
      <c r="O37" s="5" t="s">
        <v>76</v>
      </c>
      <c r="P37" s="6">
        <v>44076</v>
      </c>
      <c r="Q37" s="5" t="s">
        <v>31</v>
      </c>
      <c r="R37" s="5" t="s">
        <v>32</v>
      </c>
      <c r="S37" s="5" t="s">
        <v>33</v>
      </c>
      <c r="T37" s="5"/>
      <c r="U37" s="7">
        <v>1473.12</v>
      </c>
      <c r="V37" s="5">
        <v>635.21</v>
      </c>
      <c r="W37" s="5">
        <v>586.6</v>
      </c>
      <c r="X37" s="5">
        <v>0</v>
      </c>
      <c r="Y37" s="5">
        <v>251.31</v>
      </c>
    </row>
    <row r="38" spans="1:25" ht="24.75" x14ac:dyDescent="0.25">
      <c r="A38" s="5" t="s">
        <v>26</v>
      </c>
      <c r="B38" s="5" t="s">
        <v>34</v>
      </c>
      <c r="C38" s="5" t="s">
        <v>44</v>
      </c>
      <c r="D38" s="5" t="s">
        <v>54</v>
      </c>
      <c r="E38" s="5" t="s">
        <v>37</v>
      </c>
      <c r="F38" s="5" t="s">
        <v>98</v>
      </c>
      <c r="G38" s="5">
        <v>2019</v>
      </c>
      <c r="H38" s="5" t="str">
        <f>CONCATENATE("94210282714")</f>
        <v>94210282714</v>
      </c>
      <c r="I38" s="5" t="s">
        <v>36</v>
      </c>
      <c r="J38" s="5" t="s">
        <v>30</v>
      </c>
      <c r="K38" s="5" t="str">
        <f>CONCATENATE("")</f>
        <v/>
      </c>
      <c r="L38" s="5" t="str">
        <f>CONCATENATE("13 13.1 4a")</f>
        <v>13 13.1 4a</v>
      </c>
      <c r="M38" s="5" t="str">
        <f>CONCATENATE("LMBGGR88P21D488V")</f>
        <v>LMBGGR88P21D488V</v>
      </c>
      <c r="N38" s="5" t="s">
        <v>112</v>
      </c>
      <c r="O38" s="5" t="s">
        <v>76</v>
      </c>
      <c r="P38" s="6">
        <v>44076</v>
      </c>
      <c r="Q38" s="5" t="s">
        <v>31</v>
      </c>
      <c r="R38" s="5" t="s">
        <v>32</v>
      </c>
      <c r="S38" s="5" t="s">
        <v>33</v>
      </c>
      <c r="T38" s="5"/>
      <c r="U38" s="5">
        <v>283.95999999999998</v>
      </c>
      <c r="V38" s="5">
        <v>122.44</v>
      </c>
      <c r="W38" s="5">
        <v>113.07</v>
      </c>
      <c r="X38" s="5">
        <v>0</v>
      </c>
      <c r="Y38" s="5">
        <v>48.45</v>
      </c>
    </row>
    <row r="39" spans="1:25" ht="24.75" x14ac:dyDescent="0.25">
      <c r="A39" s="5" t="s">
        <v>26</v>
      </c>
      <c r="B39" s="5" t="s">
        <v>34</v>
      </c>
      <c r="C39" s="5" t="s">
        <v>44</v>
      </c>
      <c r="D39" s="5" t="s">
        <v>54</v>
      </c>
      <c r="E39" s="5" t="s">
        <v>38</v>
      </c>
      <c r="F39" s="5" t="s">
        <v>113</v>
      </c>
      <c r="G39" s="5">
        <v>2017</v>
      </c>
      <c r="H39" s="5" t="str">
        <f>CONCATENATE("74210542077")</f>
        <v>74210542077</v>
      </c>
      <c r="I39" s="5" t="s">
        <v>29</v>
      </c>
      <c r="J39" s="5" t="s">
        <v>30</v>
      </c>
      <c r="K39" s="5" t="str">
        <f>CONCATENATE("")</f>
        <v/>
      </c>
      <c r="L39" s="5" t="str">
        <f>CONCATENATE("13 13.1 4a")</f>
        <v>13 13.1 4a</v>
      </c>
      <c r="M39" s="5" t="str">
        <f>CONCATENATE("TNNSFN59C21H294U")</f>
        <v>TNNSFN59C21H294U</v>
      </c>
      <c r="N39" s="5" t="s">
        <v>114</v>
      </c>
      <c r="O39" s="5" t="s">
        <v>76</v>
      </c>
      <c r="P39" s="6">
        <v>44076</v>
      </c>
      <c r="Q39" s="5" t="s">
        <v>31</v>
      </c>
      <c r="R39" s="5" t="s">
        <v>32</v>
      </c>
      <c r="S39" s="5" t="s">
        <v>33</v>
      </c>
      <c r="T39" s="5"/>
      <c r="U39" s="7">
        <v>5400</v>
      </c>
      <c r="V39" s="7">
        <v>2328.48</v>
      </c>
      <c r="W39" s="7">
        <v>2150.2800000000002</v>
      </c>
      <c r="X39" s="5">
        <v>0</v>
      </c>
      <c r="Y39" s="5">
        <v>921.24</v>
      </c>
    </row>
    <row r="40" spans="1:25" ht="24.75" x14ac:dyDescent="0.25">
      <c r="A40" s="5" t="s">
        <v>26</v>
      </c>
      <c r="B40" s="5" t="s">
        <v>34</v>
      </c>
      <c r="C40" s="5" t="s">
        <v>44</v>
      </c>
      <c r="D40" s="5" t="s">
        <v>45</v>
      </c>
      <c r="E40" s="5" t="s">
        <v>38</v>
      </c>
      <c r="F40" s="5" t="s">
        <v>58</v>
      </c>
      <c r="G40" s="5">
        <v>2019</v>
      </c>
      <c r="H40" s="5" t="str">
        <f>CONCATENATE("94240626856")</f>
        <v>94240626856</v>
      </c>
      <c r="I40" s="5" t="s">
        <v>29</v>
      </c>
      <c r="J40" s="5" t="s">
        <v>30</v>
      </c>
      <c r="K40" s="5" t="str">
        <f>CONCATENATE("")</f>
        <v/>
      </c>
      <c r="L40" s="5" t="str">
        <f>CONCATENATE("10 10.1 4b")</f>
        <v>10 10.1 4b</v>
      </c>
      <c r="M40" s="5" t="str">
        <f>CONCATENATE("VGNNRC33E09F591W")</f>
        <v>VGNNRC33E09F591W</v>
      </c>
      <c r="N40" s="5" t="s">
        <v>115</v>
      </c>
      <c r="O40" s="5" t="s">
        <v>116</v>
      </c>
      <c r="P40" s="6">
        <v>44076</v>
      </c>
      <c r="Q40" s="5" t="s">
        <v>31</v>
      </c>
      <c r="R40" s="5" t="s">
        <v>32</v>
      </c>
      <c r="S40" s="5" t="s">
        <v>33</v>
      </c>
      <c r="T40" s="5"/>
      <c r="U40" s="7">
        <v>13110.21</v>
      </c>
      <c r="V40" s="7">
        <v>5653.12</v>
      </c>
      <c r="W40" s="7">
        <v>5220.49</v>
      </c>
      <c r="X40" s="5">
        <v>0</v>
      </c>
      <c r="Y40" s="7">
        <v>2236.6</v>
      </c>
    </row>
    <row r="41" spans="1:25" ht="24.75" x14ac:dyDescent="0.25">
      <c r="A41" s="5" t="s">
        <v>26</v>
      </c>
      <c r="B41" s="5" t="s">
        <v>34</v>
      </c>
      <c r="C41" s="5" t="s">
        <v>44</v>
      </c>
      <c r="D41" s="5" t="s">
        <v>45</v>
      </c>
      <c r="E41" s="5" t="s">
        <v>38</v>
      </c>
      <c r="F41" s="5" t="s">
        <v>58</v>
      </c>
      <c r="G41" s="5">
        <v>2018</v>
      </c>
      <c r="H41" s="5" t="str">
        <f>CONCATENATE("84240363105")</f>
        <v>84240363105</v>
      </c>
      <c r="I41" s="5" t="s">
        <v>29</v>
      </c>
      <c r="J41" s="5" t="s">
        <v>30</v>
      </c>
      <c r="K41" s="5" t="str">
        <f>CONCATENATE("")</f>
        <v/>
      </c>
      <c r="L41" s="5" t="str">
        <f>CONCATENATE("10 10.1 4b")</f>
        <v>10 10.1 4b</v>
      </c>
      <c r="M41" s="5" t="str">
        <f>CONCATENATE("VGNNRC33E09F591W")</f>
        <v>VGNNRC33E09F591W</v>
      </c>
      <c r="N41" s="5" t="s">
        <v>115</v>
      </c>
      <c r="O41" s="5" t="s">
        <v>116</v>
      </c>
      <c r="P41" s="6">
        <v>44076</v>
      </c>
      <c r="Q41" s="5" t="s">
        <v>31</v>
      </c>
      <c r="R41" s="5" t="s">
        <v>32</v>
      </c>
      <c r="S41" s="5" t="s">
        <v>33</v>
      </c>
      <c r="T41" s="5"/>
      <c r="U41" s="7">
        <v>13055.55</v>
      </c>
      <c r="V41" s="7">
        <v>5629.55</v>
      </c>
      <c r="W41" s="7">
        <v>5198.72</v>
      </c>
      <c r="X41" s="5">
        <v>0</v>
      </c>
      <c r="Y41" s="7">
        <v>2227.2800000000002</v>
      </c>
    </row>
    <row r="42" spans="1:25" ht="24.75" x14ac:dyDescent="0.25">
      <c r="A42" s="5" t="s">
        <v>26</v>
      </c>
      <c r="B42" s="5" t="s">
        <v>27</v>
      </c>
      <c r="C42" s="5" t="s">
        <v>44</v>
      </c>
      <c r="D42" s="5" t="s">
        <v>45</v>
      </c>
      <c r="E42" s="5" t="s">
        <v>42</v>
      </c>
      <c r="F42" s="5" t="s">
        <v>117</v>
      </c>
      <c r="G42" s="5">
        <v>2017</v>
      </c>
      <c r="H42" s="5" t="str">
        <f>CONCATENATE("04270097738")</f>
        <v>04270097738</v>
      </c>
      <c r="I42" s="5" t="s">
        <v>29</v>
      </c>
      <c r="J42" s="5" t="s">
        <v>30</v>
      </c>
      <c r="K42" s="5" t="str">
        <f>CONCATENATE("")</f>
        <v/>
      </c>
      <c r="L42" s="5" t="str">
        <f>CONCATENATE("4 4.1 2a")</f>
        <v>4 4.1 2a</v>
      </c>
      <c r="M42" s="5" t="str">
        <f>CONCATENATE("MDADNC65P30B727H")</f>
        <v>MDADNC65P30B727H</v>
      </c>
      <c r="N42" s="5" t="s">
        <v>118</v>
      </c>
      <c r="O42" s="5" t="s">
        <v>119</v>
      </c>
      <c r="P42" s="6">
        <v>44069</v>
      </c>
      <c r="Q42" s="5" t="s">
        <v>31</v>
      </c>
      <c r="R42" s="5" t="s">
        <v>32</v>
      </c>
      <c r="S42" s="5" t="s">
        <v>33</v>
      </c>
      <c r="T42" s="5"/>
      <c r="U42" s="7">
        <v>10203.19</v>
      </c>
      <c r="V42" s="7">
        <v>4399.62</v>
      </c>
      <c r="W42" s="7">
        <v>4062.91</v>
      </c>
      <c r="X42" s="5">
        <v>0</v>
      </c>
      <c r="Y42" s="7">
        <v>1740.66</v>
      </c>
    </row>
    <row r="43" spans="1:25" ht="24.75" x14ac:dyDescent="0.25">
      <c r="A43" s="5" t="s">
        <v>26</v>
      </c>
      <c r="B43" s="5" t="s">
        <v>27</v>
      </c>
      <c r="C43" s="5" t="s">
        <v>44</v>
      </c>
      <c r="D43" s="5" t="s">
        <v>45</v>
      </c>
      <c r="E43" s="5" t="s">
        <v>42</v>
      </c>
      <c r="F43" s="5" t="s">
        <v>117</v>
      </c>
      <c r="G43" s="5">
        <v>2017</v>
      </c>
      <c r="H43" s="5" t="str">
        <f>CONCATENATE("04270097746")</f>
        <v>04270097746</v>
      </c>
      <c r="I43" s="5" t="s">
        <v>29</v>
      </c>
      <c r="J43" s="5" t="s">
        <v>30</v>
      </c>
      <c r="K43" s="5" t="str">
        <f>CONCATENATE("")</f>
        <v/>
      </c>
      <c r="L43" s="5" t="str">
        <f>CONCATENATE("4 4.1 2a")</f>
        <v>4 4.1 2a</v>
      </c>
      <c r="M43" s="5" t="str">
        <f>CONCATENATE("02164470441")</f>
        <v>02164470441</v>
      </c>
      <c r="N43" s="5" t="s">
        <v>120</v>
      </c>
      <c r="O43" s="5" t="s">
        <v>119</v>
      </c>
      <c r="P43" s="6">
        <v>44069</v>
      </c>
      <c r="Q43" s="5" t="s">
        <v>31</v>
      </c>
      <c r="R43" s="5" t="s">
        <v>32</v>
      </c>
      <c r="S43" s="5" t="s">
        <v>33</v>
      </c>
      <c r="T43" s="5"/>
      <c r="U43" s="7">
        <v>42250.75</v>
      </c>
      <c r="V43" s="7">
        <v>18218.52</v>
      </c>
      <c r="W43" s="7">
        <v>16824.25</v>
      </c>
      <c r="X43" s="5">
        <v>0</v>
      </c>
      <c r="Y43" s="7">
        <v>7207.98</v>
      </c>
    </row>
    <row r="44" spans="1:25" ht="24.75" x14ac:dyDescent="0.25">
      <c r="A44" s="5" t="s">
        <v>26</v>
      </c>
      <c r="B44" s="5" t="s">
        <v>27</v>
      </c>
      <c r="C44" s="5" t="s">
        <v>44</v>
      </c>
      <c r="D44" s="5" t="s">
        <v>45</v>
      </c>
      <c r="E44" s="5" t="s">
        <v>42</v>
      </c>
      <c r="F44" s="5" t="s">
        <v>117</v>
      </c>
      <c r="G44" s="5">
        <v>2017</v>
      </c>
      <c r="H44" s="5" t="str">
        <f>CONCATENATE("04270097720")</f>
        <v>04270097720</v>
      </c>
      <c r="I44" s="5" t="s">
        <v>29</v>
      </c>
      <c r="J44" s="5" t="s">
        <v>30</v>
      </c>
      <c r="K44" s="5" t="str">
        <f>CONCATENATE("")</f>
        <v/>
      </c>
      <c r="L44" s="5" t="str">
        <f>CONCATENATE("4 4.1 2a")</f>
        <v>4 4.1 2a</v>
      </c>
      <c r="M44" s="5" t="str">
        <f>CONCATENATE("RMEGCM65M25F520W")</f>
        <v>RMEGCM65M25F520W</v>
      </c>
      <c r="N44" s="5" t="s">
        <v>121</v>
      </c>
      <c r="O44" s="5" t="s">
        <v>119</v>
      </c>
      <c r="P44" s="6">
        <v>44069</v>
      </c>
      <c r="Q44" s="5" t="s">
        <v>31</v>
      </c>
      <c r="R44" s="5" t="s">
        <v>32</v>
      </c>
      <c r="S44" s="5" t="s">
        <v>33</v>
      </c>
      <c r="T44" s="5"/>
      <c r="U44" s="7">
        <v>31041.46</v>
      </c>
      <c r="V44" s="7">
        <v>13385.08</v>
      </c>
      <c r="W44" s="7">
        <v>12360.71</v>
      </c>
      <c r="X44" s="5">
        <v>0</v>
      </c>
      <c r="Y44" s="7">
        <v>5295.67</v>
      </c>
    </row>
    <row r="45" spans="1:25" ht="24.75" x14ac:dyDescent="0.25">
      <c r="A45" s="5" t="s">
        <v>26</v>
      </c>
      <c r="B45" s="5" t="s">
        <v>27</v>
      </c>
      <c r="C45" s="5" t="s">
        <v>44</v>
      </c>
      <c r="D45" s="5" t="s">
        <v>54</v>
      </c>
      <c r="E45" s="5" t="s">
        <v>37</v>
      </c>
      <c r="F45" s="5" t="s">
        <v>98</v>
      </c>
      <c r="G45" s="5">
        <v>2017</v>
      </c>
      <c r="H45" s="5" t="str">
        <f>CONCATENATE("04270097753")</f>
        <v>04270097753</v>
      </c>
      <c r="I45" s="5" t="s">
        <v>29</v>
      </c>
      <c r="J45" s="5" t="s">
        <v>30</v>
      </c>
      <c r="K45" s="5" t="str">
        <f>CONCATENATE("")</f>
        <v/>
      </c>
      <c r="L45" s="5" t="str">
        <f>CONCATENATE("4 4.1 2a")</f>
        <v>4 4.1 2a</v>
      </c>
      <c r="M45" s="5" t="str">
        <f>CONCATENATE("SLVMSM67C23A035S")</f>
        <v>SLVMSM67C23A035S</v>
      </c>
      <c r="N45" s="5" t="s">
        <v>122</v>
      </c>
      <c r="O45" s="5" t="s">
        <v>119</v>
      </c>
      <c r="P45" s="6">
        <v>44069</v>
      </c>
      <c r="Q45" s="5" t="s">
        <v>31</v>
      </c>
      <c r="R45" s="5" t="s">
        <v>32</v>
      </c>
      <c r="S45" s="5" t="s">
        <v>33</v>
      </c>
      <c r="T45" s="5"/>
      <c r="U45" s="7">
        <v>11040</v>
      </c>
      <c r="V45" s="7">
        <v>4760.45</v>
      </c>
      <c r="W45" s="7">
        <v>4396.13</v>
      </c>
      <c r="X45" s="5">
        <v>0</v>
      </c>
      <c r="Y45" s="7">
        <v>1883.42</v>
      </c>
    </row>
    <row r="46" spans="1:25" ht="24.75" x14ac:dyDescent="0.25">
      <c r="A46" s="5" t="s">
        <v>26</v>
      </c>
      <c r="B46" s="5" t="s">
        <v>34</v>
      </c>
      <c r="C46" s="5" t="s">
        <v>44</v>
      </c>
      <c r="D46" s="5" t="s">
        <v>54</v>
      </c>
      <c r="E46" s="5" t="s">
        <v>38</v>
      </c>
      <c r="F46" s="5" t="s">
        <v>55</v>
      </c>
      <c r="G46" s="5">
        <v>2019</v>
      </c>
      <c r="H46" s="5" t="str">
        <f>CONCATENATE("94240177629")</f>
        <v>94240177629</v>
      </c>
      <c r="I46" s="5" t="s">
        <v>29</v>
      </c>
      <c r="J46" s="5" t="s">
        <v>30</v>
      </c>
      <c r="K46" s="5" t="str">
        <f>CONCATENATE("")</f>
        <v/>
      </c>
      <c r="L46" s="5" t="str">
        <f>CONCATENATE("11 11.2 4b")</f>
        <v>11 11.2 4b</v>
      </c>
      <c r="M46" s="5" t="str">
        <f>CONCATENATE("CHPCLS78P15Z603Y")</f>
        <v>CHPCLS78P15Z603Y</v>
      </c>
      <c r="N46" s="5" t="s">
        <v>123</v>
      </c>
      <c r="O46" s="5" t="s">
        <v>124</v>
      </c>
      <c r="P46" s="6">
        <v>44076</v>
      </c>
      <c r="Q46" s="5" t="s">
        <v>31</v>
      </c>
      <c r="R46" s="5" t="s">
        <v>32</v>
      </c>
      <c r="S46" s="5" t="s">
        <v>33</v>
      </c>
      <c r="T46" s="5"/>
      <c r="U46" s="5">
        <v>813.12</v>
      </c>
      <c r="V46" s="5">
        <v>350.62</v>
      </c>
      <c r="W46" s="5">
        <v>323.77999999999997</v>
      </c>
      <c r="X46" s="5">
        <v>0</v>
      </c>
      <c r="Y46" s="5">
        <v>138.72</v>
      </c>
    </row>
    <row r="47" spans="1:25" ht="24.75" x14ac:dyDescent="0.25">
      <c r="A47" s="5" t="s">
        <v>26</v>
      </c>
      <c r="B47" s="5" t="s">
        <v>34</v>
      </c>
      <c r="C47" s="5" t="s">
        <v>44</v>
      </c>
      <c r="D47" s="5" t="s">
        <v>125</v>
      </c>
      <c r="E47" s="5" t="s">
        <v>37</v>
      </c>
      <c r="F47" s="5" t="s">
        <v>126</v>
      </c>
      <c r="G47" s="5">
        <v>2019</v>
      </c>
      <c r="H47" s="5" t="str">
        <f>CONCATENATE("94240791072")</f>
        <v>94240791072</v>
      </c>
      <c r="I47" s="5" t="s">
        <v>29</v>
      </c>
      <c r="J47" s="5" t="s">
        <v>30</v>
      </c>
      <c r="K47" s="5" t="str">
        <f>CONCATENATE("")</f>
        <v/>
      </c>
      <c r="L47" s="5" t="str">
        <f>CONCATENATE("11 11.2 4b")</f>
        <v>11 11.2 4b</v>
      </c>
      <c r="M47" s="5" t="str">
        <f>CONCATENATE("02359650427")</f>
        <v>02359650427</v>
      </c>
      <c r="N47" s="5" t="s">
        <v>127</v>
      </c>
      <c r="O47" s="5" t="s">
        <v>124</v>
      </c>
      <c r="P47" s="6">
        <v>44076</v>
      </c>
      <c r="Q47" s="5" t="s">
        <v>31</v>
      </c>
      <c r="R47" s="5" t="s">
        <v>32</v>
      </c>
      <c r="S47" s="5" t="s">
        <v>33</v>
      </c>
      <c r="T47" s="5"/>
      <c r="U47" s="5">
        <v>243.6</v>
      </c>
      <c r="V47" s="5">
        <v>105.04</v>
      </c>
      <c r="W47" s="5">
        <v>97</v>
      </c>
      <c r="X47" s="5">
        <v>0</v>
      </c>
      <c r="Y47" s="5">
        <v>41.56</v>
      </c>
    </row>
    <row r="48" spans="1:25" ht="24.75" x14ac:dyDescent="0.25">
      <c r="A48" s="5" t="s">
        <v>26</v>
      </c>
      <c r="B48" s="5" t="s">
        <v>34</v>
      </c>
      <c r="C48" s="5" t="s">
        <v>44</v>
      </c>
      <c r="D48" s="5" t="s">
        <v>125</v>
      </c>
      <c r="E48" s="5" t="s">
        <v>37</v>
      </c>
      <c r="F48" s="5" t="s">
        <v>126</v>
      </c>
      <c r="G48" s="5">
        <v>2018</v>
      </c>
      <c r="H48" s="5" t="str">
        <f>CONCATENATE("84240749048")</f>
        <v>84240749048</v>
      </c>
      <c r="I48" s="5" t="s">
        <v>29</v>
      </c>
      <c r="J48" s="5" t="s">
        <v>30</v>
      </c>
      <c r="K48" s="5" t="str">
        <f>CONCATENATE("")</f>
        <v/>
      </c>
      <c r="L48" s="5" t="str">
        <f>CONCATENATE("11 11.2 4b")</f>
        <v>11 11.2 4b</v>
      </c>
      <c r="M48" s="5" t="str">
        <f>CONCATENATE("DGGPLA83C02A271N")</f>
        <v>DGGPLA83C02A271N</v>
      </c>
      <c r="N48" s="5" t="s">
        <v>128</v>
      </c>
      <c r="O48" s="5" t="s">
        <v>124</v>
      </c>
      <c r="P48" s="6">
        <v>44076</v>
      </c>
      <c r="Q48" s="5" t="s">
        <v>31</v>
      </c>
      <c r="R48" s="5" t="s">
        <v>32</v>
      </c>
      <c r="S48" s="5" t="s">
        <v>33</v>
      </c>
      <c r="T48" s="5"/>
      <c r="U48" s="5">
        <v>743.71</v>
      </c>
      <c r="V48" s="5">
        <v>320.69</v>
      </c>
      <c r="W48" s="5">
        <v>296.14999999999998</v>
      </c>
      <c r="X48" s="5">
        <v>0</v>
      </c>
      <c r="Y48" s="5">
        <v>126.87</v>
      </c>
    </row>
    <row r="49" spans="1:25" ht="24.75" x14ac:dyDescent="0.25">
      <c r="A49" s="5" t="s">
        <v>26</v>
      </c>
      <c r="B49" s="5" t="s">
        <v>34</v>
      </c>
      <c r="C49" s="5" t="s">
        <v>44</v>
      </c>
      <c r="D49" s="5" t="s">
        <v>125</v>
      </c>
      <c r="E49" s="5" t="s">
        <v>37</v>
      </c>
      <c r="F49" s="5" t="s">
        <v>126</v>
      </c>
      <c r="G49" s="5">
        <v>2019</v>
      </c>
      <c r="H49" s="5" t="str">
        <f>CONCATENATE("94240504897")</f>
        <v>94240504897</v>
      </c>
      <c r="I49" s="5" t="s">
        <v>29</v>
      </c>
      <c r="J49" s="5" t="s">
        <v>30</v>
      </c>
      <c r="K49" s="5" t="str">
        <f>CONCATENATE("")</f>
        <v/>
      </c>
      <c r="L49" s="5" t="str">
        <f>CONCATENATE("11 11.2 4b")</f>
        <v>11 11.2 4b</v>
      </c>
      <c r="M49" s="5" t="str">
        <f>CONCATENATE("DGGPLA83C02A271N")</f>
        <v>DGGPLA83C02A271N</v>
      </c>
      <c r="N49" s="5" t="s">
        <v>128</v>
      </c>
      <c r="O49" s="5" t="s">
        <v>124</v>
      </c>
      <c r="P49" s="6">
        <v>44076</v>
      </c>
      <c r="Q49" s="5" t="s">
        <v>31</v>
      </c>
      <c r="R49" s="5" t="s">
        <v>32</v>
      </c>
      <c r="S49" s="5" t="s">
        <v>33</v>
      </c>
      <c r="T49" s="5"/>
      <c r="U49" s="5">
        <v>743.71</v>
      </c>
      <c r="V49" s="5">
        <v>320.69</v>
      </c>
      <c r="W49" s="5">
        <v>296.14999999999998</v>
      </c>
      <c r="X49" s="5">
        <v>0</v>
      </c>
      <c r="Y49" s="5">
        <v>126.87</v>
      </c>
    </row>
    <row r="50" spans="1:25" x14ac:dyDescent="0.25">
      <c r="A50" s="5" t="s">
        <v>26</v>
      </c>
      <c r="B50" s="5" t="s">
        <v>27</v>
      </c>
      <c r="C50" s="5" t="s">
        <v>44</v>
      </c>
      <c r="D50" s="5" t="s">
        <v>44</v>
      </c>
      <c r="E50" s="5" t="s">
        <v>28</v>
      </c>
      <c r="F50" s="5" t="s">
        <v>28</v>
      </c>
      <c r="G50" s="5">
        <v>2017</v>
      </c>
      <c r="H50" s="5" t="str">
        <f>CONCATENATE("04270096102")</f>
        <v>04270096102</v>
      </c>
      <c r="I50" s="5" t="s">
        <v>29</v>
      </c>
      <c r="J50" s="5" t="s">
        <v>30</v>
      </c>
      <c r="K50" s="5" t="str">
        <f>CONCATENATE("")</f>
        <v/>
      </c>
      <c r="L50" s="5" t="str">
        <f>CONCATENATE("19 19.2 6b")</f>
        <v>19 19.2 6b</v>
      </c>
      <c r="M50" s="5" t="str">
        <f>CONCATENATE("CSRTNA74B45Z133N")</f>
        <v>CSRTNA74B45Z133N</v>
      </c>
      <c r="N50" s="5" t="s">
        <v>129</v>
      </c>
      <c r="O50" s="5" t="s">
        <v>130</v>
      </c>
      <c r="P50" s="6">
        <v>44076</v>
      </c>
      <c r="Q50" s="5" t="s">
        <v>31</v>
      </c>
      <c r="R50" s="5" t="s">
        <v>41</v>
      </c>
      <c r="S50" s="5" t="s">
        <v>33</v>
      </c>
      <c r="T50" s="5"/>
      <c r="U50" s="7">
        <v>20000</v>
      </c>
      <c r="V50" s="7">
        <v>8624</v>
      </c>
      <c r="W50" s="7">
        <v>7964</v>
      </c>
      <c r="X50" s="5">
        <v>0</v>
      </c>
      <c r="Y50" s="7">
        <v>3412</v>
      </c>
    </row>
    <row r="51" spans="1:25" ht="24.75" x14ac:dyDescent="0.25">
      <c r="A51" s="5" t="s">
        <v>26</v>
      </c>
      <c r="B51" s="5" t="s">
        <v>27</v>
      </c>
      <c r="C51" s="5" t="s">
        <v>44</v>
      </c>
      <c r="D51" s="5" t="s">
        <v>44</v>
      </c>
      <c r="E51" s="5" t="s">
        <v>28</v>
      </c>
      <c r="F51" s="5" t="s">
        <v>28</v>
      </c>
      <c r="G51" s="5">
        <v>2017</v>
      </c>
      <c r="H51" s="5" t="str">
        <f>CONCATENATE("04270096110")</f>
        <v>04270096110</v>
      </c>
      <c r="I51" s="5" t="s">
        <v>36</v>
      </c>
      <c r="J51" s="5" t="s">
        <v>30</v>
      </c>
      <c r="K51" s="5" t="str">
        <f>CONCATENATE("")</f>
        <v/>
      </c>
      <c r="L51" s="5" t="str">
        <f>CONCATENATE("19 19.2 6b")</f>
        <v>19 19.2 6b</v>
      </c>
      <c r="M51" s="5" t="str">
        <f>CONCATENATE("02352590448")</f>
        <v>02352590448</v>
      </c>
      <c r="N51" s="5" t="s">
        <v>131</v>
      </c>
      <c r="O51" s="5" t="s">
        <v>130</v>
      </c>
      <c r="P51" s="6">
        <v>44076</v>
      </c>
      <c r="Q51" s="5" t="s">
        <v>31</v>
      </c>
      <c r="R51" s="5" t="s">
        <v>41</v>
      </c>
      <c r="S51" s="5" t="s">
        <v>33</v>
      </c>
      <c r="T51" s="5"/>
      <c r="U51" s="7">
        <v>20000</v>
      </c>
      <c r="V51" s="7">
        <v>8624</v>
      </c>
      <c r="W51" s="7">
        <v>7964</v>
      </c>
      <c r="X51" s="5">
        <v>0</v>
      </c>
      <c r="Y51" s="7">
        <v>3412</v>
      </c>
    </row>
    <row r="52" spans="1:25" ht="24.75" x14ac:dyDescent="0.25">
      <c r="A52" s="5" t="s">
        <v>26</v>
      </c>
      <c r="B52" s="5" t="s">
        <v>34</v>
      </c>
      <c r="C52" s="5" t="s">
        <v>44</v>
      </c>
      <c r="D52" s="5" t="s">
        <v>54</v>
      </c>
      <c r="E52" s="5" t="s">
        <v>38</v>
      </c>
      <c r="F52" s="5" t="s">
        <v>132</v>
      </c>
      <c r="G52" s="5">
        <v>2018</v>
      </c>
      <c r="H52" s="5" t="str">
        <f>CONCATENATE("84241096449")</f>
        <v>84241096449</v>
      </c>
      <c r="I52" s="5" t="s">
        <v>29</v>
      </c>
      <c r="J52" s="5" t="s">
        <v>30</v>
      </c>
      <c r="K52" s="5" t="str">
        <f>CONCATENATE("")</f>
        <v/>
      </c>
      <c r="L52" s="5" t="str">
        <f>CONCATENATE("11 11.2 4b")</f>
        <v>11 11.2 4b</v>
      </c>
      <c r="M52" s="5" t="str">
        <f>CONCATENATE("MNNNNF75L15F979B")</f>
        <v>MNNNNF75L15F979B</v>
      </c>
      <c r="N52" s="5" t="s">
        <v>133</v>
      </c>
      <c r="O52" s="5" t="s">
        <v>124</v>
      </c>
      <c r="P52" s="6">
        <v>44076</v>
      </c>
      <c r="Q52" s="5" t="s">
        <v>31</v>
      </c>
      <c r="R52" s="5" t="s">
        <v>32</v>
      </c>
      <c r="S52" s="5" t="s">
        <v>33</v>
      </c>
      <c r="T52" s="5"/>
      <c r="U52" s="5">
        <v>565.27</v>
      </c>
      <c r="V52" s="5">
        <v>243.74</v>
      </c>
      <c r="W52" s="5">
        <v>225.09</v>
      </c>
      <c r="X52" s="5">
        <v>0</v>
      </c>
      <c r="Y52" s="5">
        <v>96.44</v>
      </c>
    </row>
    <row r="53" spans="1:25" ht="24.75" x14ac:dyDescent="0.25">
      <c r="A53" s="5" t="s">
        <v>26</v>
      </c>
      <c r="B53" s="5" t="s">
        <v>34</v>
      </c>
      <c r="C53" s="5" t="s">
        <v>44</v>
      </c>
      <c r="D53" s="5" t="s">
        <v>54</v>
      </c>
      <c r="E53" s="5" t="s">
        <v>38</v>
      </c>
      <c r="F53" s="5" t="s">
        <v>132</v>
      </c>
      <c r="G53" s="5">
        <v>2019</v>
      </c>
      <c r="H53" s="5" t="str">
        <f>CONCATENATE("94240923147")</f>
        <v>94240923147</v>
      </c>
      <c r="I53" s="5" t="s">
        <v>29</v>
      </c>
      <c r="J53" s="5" t="s">
        <v>30</v>
      </c>
      <c r="K53" s="5" t="str">
        <f>CONCATENATE("")</f>
        <v/>
      </c>
      <c r="L53" s="5" t="str">
        <f>CONCATENATE("11 11.2 4b")</f>
        <v>11 11.2 4b</v>
      </c>
      <c r="M53" s="5" t="str">
        <f>CONCATENATE("MNNNNF75L15F979B")</f>
        <v>MNNNNF75L15F979B</v>
      </c>
      <c r="N53" s="5" t="s">
        <v>133</v>
      </c>
      <c r="O53" s="5" t="s">
        <v>124</v>
      </c>
      <c r="P53" s="6">
        <v>44076</v>
      </c>
      <c r="Q53" s="5" t="s">
        <v>31</v>
      </c>
      <c r="R53" s="5" t="s">
        <v>32</v>
      </c>
      <c r="S53" s="5" t="s">
        <v>33</v>
      </c>
      <c r="T53" s="5"/>
      <c r="U53" s="5">
        <v>565.62</v>
      </c>
      <c r="V53" s="5">
        <v>243.9</v>
      </c>
      <c r="W53" s="5">
        <v>225.23</v>
      </c>
      <c r="X53" s="5">
        <v>0</v>
      </c>
      <c r="Y53" s="5">
        <v>96.49</v>
      </c>
    </row>
    <row r="54" spans="1:25" ht="24.75" x14ac:dyDescent="0.25">
      <c r="A54" s="5" t="s">
        <v>26</v>
      </c>
      <c r="B54" s="5" t="s">
        <v>34</v>
      </c>
      <c r="C54" s="5" t="s">
        <v>44</v>
      </c>
      <c r="D54" s="5" t="s">
        <v>54</v>
      </c>
      <c r="E54" s="5" t="s">
        <v>37</v>
      </c>
      <c r="F54" s="5" t="s">
        <v>134</v>
      </c>
      <c r="G54" s="5">
        <v>2018</v>
      </c>
      <c r="H54" s="5" t="str">
        <f>CONCATENATE("84240493910")</f>
        <v>84240493910</v>
      </c>
      <c r="I54" s="5" t="s">
        <v>29</v>
      </c>
      <c r="J54" s="5" t="s">
        <v>30</v>
      </c>
      <c r="K54" s="5" t="str">
        <f>CONCATENATE("")</f>
        <v/>
      </c>
      <c r="L54" s="5" t="str">
        <f>CONCATENATE("11 11.2 4b")</f>
        <v>11 11.2 4b</v>
      </c>
      <c r="M54" s="5" t="str">
        <f>CONCATENATE("TDRDNL69C17L500B")</f>
        <v>TDRDNL69C17L500B</v>
      </c>
      <c r="N54" s="5" t="s">
        <v>135</v>
      </c>
      <c r="O54" s="5" t="s">
        <v>124</v>
      </c>
      <c r="P54" s="6">
        <v>44076</v>
      </c>
      <c r="Q54" s="5" t="s">
        <v>31</v>
      </c>
      <c r="R54" s="5" t="s">
        <v>32</v>
      </c>
      <c r="S54" s="5" t="s">
        <v>33</v>
      </c>
      <c r="T54" s="5"/>
      <c r="U54" s="5">
        <v>376.1</v>
      </c>
      <c r="V54" s="5">
        <v>162.16999999999999</v>
      </c>
      <c r="W54" s="5">
        <v>149.76</v>
      </c>
      <c r="X54" s="5">
        <v>0</v>
      </c>
      <c r="Y54" s="5">
        <v>64.17</v>
      </c>
    </row>
    <row r="55" spans="1:25" ht="24.75" x14ac:dyDescent="0.25">
      <c r="A55" s="5" t="s">
        <v>26</v>
      </c>
      <c r="B55" s="5" t="s">
        <v>34</v>
      </c>
      <c r="C55" s="5" t="s">
        <v>44</v>
      </c>
      <c r="D55" s="5" t="s">
        <v>54</v>
      </c>
      <c r="E55" s="5" t="s">
        <v>37</v>
      </c>
      <c r="F55" s="5" t="s">
        <v>134</v>
      </c>
      <c r="G55" s="5">
        <v>2019</v>
      </c>
      <c r="H55" s="5" t="str">
        <f>CONCATENATE("94240236722")</f>
        <v>94240236722</v>
      </c>
      <c r="I55" s="5" t="s">
        <v>29</v>
      </c>
      <c r="J55" s="5" t="s">
        <v>30</v>
      </c>
      <c r="K55" s="5" t="str">
        <f>CONCATENATE("")</f>
        <v/>
      </c>
      <c r="L55" s="5" t="str">
        <f>CONCATENATE("11 11.2 4b")</f>
        <v>11 11.2 4b</v>
      </c>
      <c r="M55" s="5" t="str">
        <f>CONCATENATE("TDRDNL69C17L500B")</f>
        <v>TDRDNL69C17L500B</v>
      </c>
      <c r="N55" s="5" t="s">
        <v>135</v>
      </c>
      <c r="O55" s="5" t="s">
        <v>124</v>
      </c>
      <c r="P55" s="6">
        <v>44076</v>
      </c>
      <c r="Q55" s="5" t="s">
        <v>31</v>
      </c>
      <c r="R55" s="5" t="s">
        <v>32</v>
      </c>
      <c r="S55" s="5" t="s">
        <v>33</v>
      </c>
      <c r="T55" s="5"/>
      <c r="U55" s="5">
        <v>376.08</v>
      </c>
      <c r="V55" s="5">
        <v>162.16999999999999</v>
      </c>
      <c r="W55" s="5">
        <v>149.76</v>
      </c>
      <c r="X55" s="5">
        <v>0</v>
      </c>
      <c r="Y55" s="5">
        <v>64.150000000000006</v>
      </c>
    </row>
    <row r="56" spans="1:25" ht="24.75" x14ac:dyDescent="0.25">
      <c r="A56" s="5" t="s">
        <v>26</v>
      </c>
      <c r="B56" s="5" t="s">
        <v>34</v>
      </c>
      <c r="C56" s="5" t="s">
        <v>44</v>
      </c>
      <c r="D56" s="5" t="s">
        <v>54</v>
      </c>
      <c r="E56" s="5" t="s">
        <v>38</v>
      </c>
      <c r="F56" s="5" t="s">
        <v>136</v>
      </c>
      <c r="G56" s="5">
        <v>2018</v>
      </c>
      <c r="H56" s="5" t="str">
        <f>CONCATENATE("84240597678")</f>
        <v>84240597678</v>
      </c>
      <c r="I56" s="5" t="s">
        <v>29</v>
      </c>
      <c r="J56" s="5" t="s">
        <v>30</v>
      </c>
      <c r="K56" s="5" t="str">
        <f>CONCATENATE("")</f>
        <v/>
      </c>
      <c r="L56" s="5" t="str">
        <f>CONCATENATE("11 11.2 4b")</f>
        <v>11 11.2 4b</v>
      </c>
      <c r="M56" s="5" t="str">
        <f>CONCATENATE("LBNNRC68B11L219G")</f>
        <v>LBNNRC68B11L219G</v>
      </c>
      <c r="N56" s="5" t="s">
        <v>137</v>
      </c>
      <c r="O56" s="5" t="s">
        <v>124</v>
      </c>
      <c r="P56" s="6">
        <v>44076</v>
      </c>
      <c r="Q56" s="5" t="s">
        <v>31</v>
      </c>
      <c r="R56" s="5" t="s">
        <v>32</v>
      </c>
      <c r="S56" s="5" t="s">
        <v>33</v>
      </c>
      <c r="T56" s="5"/>
      <c r="U56" s="5">
        <v>227.2</v>
      </c>
      <c r="V56" s="5">
        <v>97.97</v>
      </c>
      <c r="W56" s="5">
        <v>90.47</v>
      </c>
      <c r="X56" s="5">
        <v>0</v>
      </c>
      <c r="Y56" s="5">
        <v>38.76</v>
      </c>
    </row>
    <row r="57" spans="1:25" ht="24.75" x14ac:dyDescent="0.25">
      <c r="A57" s="5" t="s">
        <v>26</v>
      </c>
      <c r="B57" s="5" t="s">
        <v>34</v>
      </c>
      <c r="C57" s="5" t="s">
        <v>44</v>
      </c>
      <c r="D57" s="5" t="s">
        <v>54</v>
      </c>
      <c r="E57" s="5" t="s">
        <v>38</v>
      </c>
      <c r="F57" s="5" t="s">
        <v>136</v>
      </c>
      <c r="G57" s="5">
        <v>2019</v>
      </c>
      <c r="H57" s="5" t="str">
        <f>CONCATENATE("94240221401")</f>
        <v>94240221401</v>
      </c>
      <c r="I57" s="5" t="s">
        <v>29</v>
      </c>
      <c r="J57" s="5" t="s">
        <v>30</v>
      </c>
      <c r="K57" s="5" t="str">
        <f>CONCATENATE("")</f>
        <v/>
      </c>
      <c r="L57" s="5" t="str">
        <f>CONCATENATE("11 11.2 4b")</f>
        <v>11 11.2 4b</v>
      </c>
      <c r="M57" s="5" t="str">
        <f>CONCATENATE("LBNNRC68B11L219G")</f>
        <v>LBNNRC68B11L219G</v>
      </c>
      <c r="N57" s="5" t="s">
        <v>137</v>
      </c>
      <c r="O57" s="5" t="s">
        <v>124</v>
      </c>
      <c r="P57" s="6">
        <v>44076</v>
      </c>
      <c r="Q57" s="5" t="s">
        <v>31</v>
      </c>
      <c r="R57" s="5" t="s">
        <v>32</v>
      </c>
      <c r="S57" s="5" t="s">
        <v>33</v>
      </c>
      <c r="T57" s="5"/>
      <c r="U57" s="5">
        <v>284.66000000000003</v>
      </c>
      <c r="V57" s="5">
        <v>122.75</v>
      </c>
      <c r="W57" s="5">
        <v>113.35</v>
      </c>
      <c r="X57" s="5">
        <v>0</v>
      </c>
      <c r="Y57" s="5">
        <v>48.56</v>
      </c>
    </row>
    <row r="58" spans="1:25" ht="24.75" x14ac:dyDescent="0.25">
      <c r="A58" s="5" t="s">
        <v>26</v>
      </c>
      <c r="B58" s="5" t="s">
        <v>34</v>
      </c>
      <c r="C58" s="5" t="s">
        <v>44</v>
      </c>
      <c r="D58" s="5" t="s">
        <v>54</v>
      </c>
      <c r="E58" s="5" t="s">
        <v>37</v>
      </c>
      <c r="F58" s="5" t="s">
        <v>134</v>
      </c>
      <c r="G58" s="5">
        <v>2018</v>
      </c>
      <c r="H58" s="5" t="str">
        <f>CONCATENATE("84240525992")</f>
        <v>84240525992</v>
      </c>
      <c r="I58" s="5" t="s">
        <v>29</v>
      </c>
      <c r="J58" s="5" t="s">
        <v>30</v>
      </c>
      <c r="K58" s="5" t="str">
        <f>CONCATENATE("")</f>
        <v/>
      </c>
      <c r="L58" s="5" t="str">
        <f>CONCATENATE("11 11.2 4b")</f>
        <v>11 11.2 4b</v>
      </c>
      <c r="M58" s="5" t="str">
        <f>CONCATENATE("MGNSVN50E13G416Q")</f>
        <v>MGNSVN50E13G416Q</v>
      </c>
      <c r="N58" s="5" t="s">
        <v>138</v>
      </c>
      <c r="O58" s="5" t="s">
        <v>124</v>
      </c>
      <c r="P58" s="6">
        <v>44076</v>
      </c>
      <c r="Q58" s="5" t="s">
        <v>31</v>
      </c>
      <c r="R58" s="5" t="s">
        <v>32</v>
      </c>
      <c r="S58" s="5" t="s">
        <v>33</v>
      </c>
      <c r="T58" s="5"/>
      <c r="U58" s="5">
        <v>192.25</v>
      </c>
      <c r="V58" s="5">
        <v>82.9</v>
      </c>
      <c r="W58" s="5">
        <v>76.55</v>
      </c>
      <c r="X58" s="5">
        <v>0</v>
      </c>
      <c r="Y58" s="5">
        <v>32.799999999999997</v>
      </c>
    </row>
    <row r="59" spans="1:25" ht="24.75" x14ac:dyDescent="0.25">
      <c r="A59" s="5" t="s">
        <v>26</v>
      </c>
      <c r="B59" s="5" t="s">
        <v>34</v>
      </c>
      <c r="C59" s="5" t="s">
        <v>44</v>
      </c>
      <c r="D59" s="5" t="s">
        <v>54</v>
      </c>
      <c r="E59" s="5" t="s">
        <v>37</v>
      </c>
      <c r="F59" s="5" t="s">
        <v>134</v>
      </c>
      <c r="G59" s="5">
        <v>2019</v>
      </c>
      <c r="H59" s="5" t="str">
        <f>CONCATENATE("94240235427")</f>
        <v>94240235427</v>
      </c>
      <c r="I59" s="5" t="s">
        <v>29</v>
      </c>
      <c r="J59" s="5" t="s">
        <v>30</v>
      </c>
      <c r="K59" s="5" t="str">
        <f>CONCATENATE("")</f>
        <v/>
      </c>
      <c r="L59" s="5" t="str">
        <f>CONCATENATE("11 11.2 4b")</f>
        <v>11 11.2 4b</v>
      </c>
      <c r="M59" s="5" t="str">
        <f>CONCATENATE("MGNSVN50E13G416Q")</f>
        <v>MGNSVN50E13G416Q</v>
      </c>
      <c r="N59" s="5" t="s">
        <v>138</v>
      </c>
      <c r="O59" s="5" t="s">
        <v>124</v>
      </c>
      <c r="P59" s="6">
        <v>44076</v>
      </c>
      <c r="Q59" s="5" t="s">
        <v>31</v>
      </c>
      <c r="R59" s="5" t="s">
        <v>32</v>
      </c>
      <c r="S59" s="5" t="s">
        <v>33</v>
      </c>
      <c r="T59" s="5"/>
      <c r="U59" s="5">
        <v>192.31</v>
      </c>
      <c r="V59" s="5">
        <v>82.92</v>
      </c>
      <c r="W59" s="5">
        <v>76.58</v>
      </c>
      <c r="X59" s="5">
        <v>0</v>
      </c>
      <c r="Y59" s="5">
        <v>32.81</v>
      </c>
    </row>
    <row r="60" spans="1:25" ht="24.75" x14ac:dyDescent="0.25">
      <c r="A60" s="5" t="s">
        <v>26</v>
      </c>
      <c r="B60" s="5" t="s">
        <v>34</v>
      </c>
      <c r="C60" s="5" t="s">
        <v>44</v>
      </c>
      <c r="D60" s="5" t="s">
        <v>54</v>
      </c>
      <c r="E60" s="5" t="s">
        <v>37</v>
      </c>
      <c r="F60" s="5" t="s">
        <v>139</v>
      </c>
      <c r="G60" s="5">
        <v>2017</v>
      </c>
      <c r="H60" s="5" t="str">
        <f>CONCATENATE("74240529292")</f>
        <v>74240529292</v>
      </c>
      <c r="I60" s="5" t="s">
        <v>29</v>
      </c>
      <c r="J60" s="5" t="s">
        <v>30</v>
      </c>
      <c r="K60" s="5" t="str">
        <f>CONCATENATE("")</f>
        <v/>
      </c>
      <c r="L60" s="5" t="str">
        <f>CONCATENATE("11 11.2 4b")</f>
        <v>11 11.2 4b</v>
      </c>
      <c r="M60" s="5" t="str">
        <f>CONCATENATE("RBRLSN59B07H809J")</f>
        <v>RBRLSN59B07H809J</v>
      </c>
      <c r="N60" s="5" t="s">
        <v>140</v>
      </c>
      <c r="O60" s="5" t="s">
        <v>124</v>
      </c>
      <c r="P60" s="6">
        <v>44076</v>
      </c>
      <c r="Q60" s="5" t="s">
        <v>31</v>
      </c>
      <c r="R60" s="5" t="s">
        <v>32</v>
      </c>
      <c r="S60" s="5" t="s">
        <v>33</v>
      </c>
      <c r="T60" s="5"/>
      <c r="U60" s="7">
        <v>1122.51</v>
      </c>
      <c r="V60" s="5">
        <v>484.03</v>
      </c>
      <c r="W60" s="5">
        <v>446.98</v>
      </c>
      <c r="X60" s="5">
        <v>0</v>
      </c>
      <c r="Y60" s="5">
        <v>191.5</v>
      </c>
    </row>
    <row r="61" spans="1:25" ht="24.75" x14ac:dyDescent="0.25">
      <c r="A61" s="5" t="s">
        <v>26</v>
      </c>
      <c r="B61" s="5" t="s">
        <v>34</v>
      </c>
      <c r="C61" s="5" t="s">
        <v>44</v>
      </c>
      <c r="D61" s="5" t="s">
        <v>54</v>
      </c>
      <c r="E61" s="5" t="s">
        <v>37</v>
      </c>
      <c r="F61" s="5" t="s">
        <v>139</v>
      </c>
      <c r="G61" s="5">
        <v>2018</v>
      </c>
      <c r="H61" s="5" t="str">
        <f>CONCATENATE("84240732994")</f>
        <v>84240732994</v>
      </c>
      <c r="I61" s="5" t="s">
        <v>29</v>
      </c>
      <c r="J61" s="5" t="s">
        <v>30</v>
      </c>
      <c r="K61" s="5" t="str">
        <f>CONCATENATE("")</f>
        <v/>
      </c>
      <c r="L61" s="5" t="str">
        <f>CONCATENATE("11 11.2 4b")</f>
        <v>11 11.2 4b</v>
      </c>
      <c r="M61" s="5" t="str">
        <f>CONCATENATE("RBRLSN59B07H809J")</f>
        <v>RBRLSN59B07H809J</v>
      </c>
      <c r="N61" s="5" t="s">
        <v>140</v>
      </c>
      <c r="O61" s="5" t="s">
        <v>124</v>
      </c>
      <c r="P61" s="6">
        <v>44076</v>
      </c>
      <c r="Q61" s="5" t="s">
        <v>31</v>
      </c>
      <c r="R61" s="5" t="s">
        <v>32</v>
      </c>
      <c r="S61" s="5" t="s">
        <v>33</v>
      </c>
      <c r="T61" s="5"/>
      <c r="U61" s="7">
        <v>1122.5899999999999</v>
      </c>
      <c r="V61" s="5">
        <v>484.06</v>
      </c>
      <c r="W61" s="5">
        <v>447.02</v>
      </c>
      <c r="X61" s="5">
        <v>0</v>
      </c>
      <c r="Y61" s="5">
        <v>191.51</v>
      </c>
    </row>
    <row r="62" spans="1:25" ht="24.75" x14ac:dyDescent="0.25">
      <c r="A62" s="5" t="s">
        <v>26</v>
      </c>
      <c r="B62" s="5" t="s">
        <v>34</v>
      </c>
      <c r="C62" s="5" t="s">
        <v>44</v>
      </c>
      <c r="D62" s="5" t="s">
        <v>125</v>
      </c>
      <c r="E62" s="5" t="s">
        <v>38</v>
      </c>
      <c r="F62" s="5" t="s">
        <v>141</v>
      </c>
      <c r="G62" s="5">
        <v>2019</v>
      </c>
      <c r="H62" s="5" t="str">
        <f>CONCATENATE("94240478951")</f>
        <v>94240478951</v>
      </c>
      <c r="I62" s="5" t="s">
        <v>29</v>
      </c>
      <c r="J62" s="5" t="s">
        <v>30</v>
      </c>
      <c r="K62" s="5" t="str">
        <f>CONCATENATE("")</f>
        <v/>
      </c>
      <c r="L62" s="5" t="str">
        <f>CONCATENATE("11 11.1 4b")</f>
        <v>11 11.1 4b</v>
      </c>
      <c r="M62" s="5" t="str">
        <f>CONCATENATE("MSSPLA64L22D007O")</f>
        <v>MSSPLA64L22D007O</v>
      </c>
      <c r="N62" s="5" t="s">
        <v>142</v>
      </c>
      <c r="O62" s="5" t="s">
        <v>124</v>
      </c>
      <c r="P62" s="6">
        <v>44076</v>
      </c>
      <c r="Q62" s="5" t="s">
        <v>31</v>
      </c>
      <c r="R62" s="5" t="s">
        <v>32</v>
      </c>
      <c r="S62" s="5" t="s">
        <v>33</v>
      </c>
      <c r="T62" s="5"/>
      <c r="U62" s="5">
        <v>394.4</v>
      </c>
      <c r="V62" s="5">
        <v>170.07</v>
      </c>
      <c r="W62" s="5">
        <v>157.05000000000001</v>
      </c>
      <c r="X62" s="5">
        <v>0</v>
      </c>
      <c r="Y62" s="5">
        <v>67.28</v>
      </c>
    </row>
    <row r="63" spans="1:25" ht="24.75" x14ac:dyDescent="0.25">
      <c r="A63" s="5" t="s">
        <v>26</v>
      </c>
      <c r="B63" s="5" t="s">
        <v>34</v>
      </c>
      <c r="C63" s="5" t="s">
        <v>44</v>
      </c>
      <c r="D63" s="5" t="s">
        <v>125</v>
      </c>
      <c r="E63" s="5" t="s">
        <v>38</v>
      </c>
      <c r="F63" s="5" t="s">
        <v>141</v>
      </c>
      <c r="G63" s="5">
        <v>2017</v>
      </c>
      <c r="H63" s="5" t="str">
        <f>CONCATENATE("74240601158")</f>
        <v>74240601158</v>
      </c>
      <c r="I63" s="5" t="s">
        <v>29</v>
      </c>
      <c r="J63" s="5" t="s">
        <v>30</v>
      </c>
      <c r="K63" s="5" t="str">
        <f>CONCATENATE("")</f>
        <v/>
      </c>
      <c r="L63" s="5" t="str">
        <f>CONCATENATE("11 11.2 4b")</f>
        <v>11 11.2 4b</v>
      </c>
      <c r="M63" s="5" t="str">
        <f>CONCATENATE("TMSMTT86L16I608O")</f>
        <v>TMSMTT86L16I608O</v>
      </c>
      <c r="N63" s="5" t="s">
        <v>143</v>
      </c>
      <c r="O63" s="5" t="s">
        <v>124</v>
      </c>
      <c r="P63" s="6">
        <v>44076</v>
      </c>
      <c r="Q63" s="5" t="s">
        <v>31</v>
      </c>
      <c r="R63" s="5" t="s">
        <v>32</v>
      </c>
      <c r="S63" s="5" t="s">
        <v>33</v>
      </c>
      <c r="T63" s="5"/>
      <c r="U63" s="5">
        <v>403.04</v>
      </c>
      <c r="V63" s="5">
        <v>173.79</v>
      </c>
      <c r="W63" s="5">
        <v>160.49</v>
      </c>
      <c r="X63" s="5">
        <v>0</v>
      </c>
      <c r="Y63" s="5">
        <v>68.760000000000005</v>
      </c>
    </row>
    <row r="64" spans="1:25" ht="24.75" x14ac:dyDescent="0.25">
      <c r="A64" s="5" t="s">
        <v>26</v>
      </c>
      <c r="B64" s="5" t="s">
        <v>34</v>
      </c>
      <c r="C64" s="5" t="s">
        <v>44</v>
      </c>
      <c r="D64" s="5" t="s">
        <v>125</v>
      </c>
      <c r="E64" s="5" t="s">
        <v>38</v>
      </c>
      <c r="F64" s="5" t="s">
        <v>141</v>
      </c>
      <c r="G64" s="5">
        <v>2019</v>
      </c>
      <c r="H64" s="5" t="str">
        <f>CONCATENATE("94240407026")</f>
        <v>94240407026</v>
      </c>
      <c r="I64" s="5" t="s">
        <v>29</v>
      </c>
      <c r="J64" s="5" t="s">
        <v>30</v>
      </c>
      <c r="K64" s="5" t="str">
        <f>CONCATENATE("")</f>
        <v/>
      </c>
      <c r="L64" s="5" t="str">
        <f>CONCATENATE("11 11.2 4b")</f>
        <v>11 11.2 4b</v>
      </c>
      <c r="M64" s="5" t="str">
        <f>CONCATENATE("TMSMTT86L16I608O")</f>
        <v>TMSMTT86L16I608O</v>
      </c>
      <c r="N64" s="5" t="s">
        <v>143</v>
      </c>
      <c r="O64" s="5" t="s">
        <v>124</v>
      </c>
      <c r="P64" s="6">
        <v>44076</v>
      </c>
      <c r="Q64" s="5" t="s">
        <v>31</v>
      </c>
      <c r="R64" s="5" t="s">
        <v>32</v>
      </c>
      <c r="S64" s="5" t="s">
        <v>33</v>
      </c>
      <c r="T64" s="5"/>
      <c r="U64" s="5">
        <v>87.64</v>
      </c>
      <c r="V64" s="5">
        <v>37.79</v>
      </c>
      <c r="W64" s="5">
        <v>34.9</v>
      </c>
      <c r="X64" s="5">
        <v>0</v>
      </c>
      <c r="Y64" s="5">
        <v>14.95</v>
      </c>
    </row>
    <row r="65" spans="1:25" ht="24.75" x14ac:dyDescent="0.25">
      <c r="A65" s="5" t="s">
        <v>26</v>
      </c>
      <c r="B65" s="5" t="s">
        <v>34</v>
      </c>
      <c r="C65" s="5" t="s">
        <v>44</v>
      </c>
      <c r="D65" s="5" t="s">
        <v>54</v>
      </c>
      <c r="E65" s="5" t="s">
        <v>38</v>
      </c>
      <c r="F65" s="5" t="s">
        <v>132</v>
      </c>
      <c r="G65" s="5">
        <v>2018</v>
      </c>
      <c r="H65" s="5" t="str">
        <f>CONCATENATE("84240561393")</f>
        <v>84240561393</v>
      </c>
      <c r="I65" s="5" t="s">
        <v>29</v>
      </c>
      <c r="J65" s="5" t="s">
        <v>30</v>
      </c>
      <c r="K65" s="5" t="str">
        <f>CONCATENATE("")</f>
        <v/>
      </c>
      <c r="L65" s="5" t="str">
        <f>CONCATENATE("11 11.1 4b")</f>
        <v>11 11.1 4b</v>
      </c>
      <c r="M65" s="5" t="str">
        <f>CONCATENATE("02457920417")</f>
        <v>02457920417</v>
      </c>
      <c r="N65" s="5" t="s">
        <v>144</v>
      </c>
      <c r="O65" s="5" t="s">
        <v>124</v>
      </c>
      <c r="P65" s="6">
        <v>44076</v>
      </c>
      <c r="Q65" s="5" t="s">
        <v>31</v>
      </c>
      <c r="R65" s="5" t="s">
        <v>32</v>
      </c>
      <c r="S65" s="5" t="s">
        <v>33</v>
      </c>
      <c r="T65" s="5"/>
      <c r="U65" s="7">
        <v>1359.65</v>
      </c>
      <c r="V65" s="5">
        <v>586.28</v>
      </c>
      <c r="W65" s="5">
        <v>541.41</v>
      </c>
      <c r="X65" s="5">
        <v>0</v>
      </c>
      <c r="Y65" s="5">
        <v>231.96</v>
      </c>
    </row>
    <row r="66" spans="1:25" ht="24.75" x14ac:dyDescent="0.25">
      <c r="A66" s="5" t="s">
        <v>26</v>
      </c>
      <c r="B66" s="5" t="s">
        <v>34</v>
      </c>
      <c r="C66" s="5" t="s">
        <v>44</v>
      </c>
      <c r="D66" s="5" t="s">
        <v>54</v>
      </c>
      <c r="E66" s="5" t="s">
        <v>38</v>
      </c>
      <c r="F66" s="5" t="s">
        <v>132</v>
      </c>
      <c r="G66" s="5">
        <v>2019</v>
      </c>
      <c r="H66" s="5" t="str">
        <f>CONCATENATE("94240882020")</f>
        <v>94240882020</v>
      </c>
      <c r="I66" s="5" t="s">
        <v>29</v>
      </c>
      <c r="J66" s="5" t="s">
        <v>30</v>
      </c>
      <c r="K66" s="5" t="str">
        <f>CONCATENATE("")</f>
        <v/>
      </c>
      <c r="L66" s="5" t="str">
        <f>CONCATENATE("11 11.1 4b")</f>
        <v>11 11.1 4b</v>
      </c>
      <c r="M66" s="5" t="str">
        <f>CONCATENATE("02457920417")</f>
        <v>02457920417</v>
      </c>
      <c r="N66" s="5" t="s">
        <v>144</v>
      </c>
      <c r="O66" s="5" t="s">
        <v>124</v>
      </c>
      <c r="P66" s="6">
        <v>44076</v>
      </c>
      <c r="Q66" s="5" t="s">
        <v>31</v>
      </c>
      <c r="R66" s="5" t="s">
        <v>32</v>
      </c>
      <c r="S66" s="5" t="s">
        <v>33</v>
      </c>
      <c r="T66" s="5"/>
      <c r="U66" s="5">
        <v>351.82</v>
      </c>
      <c r="V66" s="5">
        <v>151.69999999999999</v>
      </c>
      <c r="W66" s="5">
        <v>140.09</v>
      </c>
      <c r="X66" s="5">
        <v>0</v>
      </c>
      <c r="Y66" s="5">
        <v>60.03</v>
      </c>
    </row>
    <row r="67" spans="1:25" ht="24.75" x14ac:dyDescent="0.25">
      <c r="A67" s="5" t="s">
        <v>26</v>
      </c>
      <c r="B67" s="5" t="s">
        <v>34</v>
      </c>
      <c r="C67" s="5" t="s">
        <v>44</v>
      </c>
      <c r="D67" s="5" t="s">
        <v>125</v>
      </c>
      <c r="E67" s="5" t="s">
        <v>37</v>
      </c>
      <c r="F67" s="5" t="s">
        <v>145</v>
      </c>
      <c r="G67" s="5">
        <v>2019</v>
      </c>
      <c r="H67" s="5" t="str">
        <f>CONCATENATE("94240842859")</f>
        <v>94240842859</v>
      </c>
      <c r="I67" s="5" t="s">
        <v>29</v>
      </c>
      <c r="J67" s="5" t="s">
        <v>30</v>
      </c>
      <c r="K67" s="5" t="str">
        <f>CONCATENATE("")</f>
        <v/>
      </c>
      <c r="L67" s="5" t="str">
        <f>CONCATENATE("11 11.2 4b")</f>
        <v>11 11.2 4b</v>
      </c>
      <c r="M67" s="5" t="str">
        <f>CONCATENATE("LDZNDR84P23E388K")</f>
        <v>LDZNDR84P23E388K</v>
      </c>
      <c r="N67" s="5" t="s">
        <v>146</v>
      </c>
      <c r="O67" s="5" t="s">
        <v>124</v>
      </c>
      <c r="P67" s="6">
        <v>44076</v>
      </c>
      <c r="Q67" s="5" t="s">
        <v>31</v>
      </c>
      <c r="R67" s="5" t="s">
        <v>32</v>
      </c>
      <c r="S67" s="5" t="s">
        <v>33</v>
      </c>
      <c r="T67" s="5"/>
      <c r="U67" s="7">
        <v>1000.27</v>
      </c>
      <c r="V67" s="5">
        <v>431.32</v>
      </c>
      <c r="W67" s="5">
        <v>398.31</v>
      </c>
      <c r="X67" s="5">
        <v>0</v>
      </c>
      <c r="Y67" s="5">
        <v>170.64</v>
      </c>
    </row>
    <row r="68" spans="1:25" ht="24.75" x14ac:dyDescent="0.25">
      <c r="A68" s="5" t="s">
        <v>26</v>
      </c>
      <c r="B68" s="5" t="s">
        <v>34</v>
      </c>
      <c r="C68" s="5" t="s">
        <v>44</v>
      </c>
      <c r="D68" s="5" t="s">
        <v>125</v>
      </c>
      <c r="E68" s="5" t="s">
        <v>37</v>
      </c>
      <c r="F68" s="5" t="s">
        <v>147</v>
      </c>
      <c r="G68" s="5">
        <v>2019</v>
      </c>
      <c r="H68" s="5" t="str">
        <f>CONCATENATE("94240428402")</f>
        <v>94240428402</v>
      </c>
      <c r="I68" s="5" t="s">
        <v>29</v>
      </c>
      <c r="J68" s="5" t="s">
        <v>30</v>
      </c>
      <c r="K68" s="5" t="str">
        <f>CONCATENATE("")</f>
        <v/>
      </c>
      <c r="L68" s="5" t="str">
        <f>CONCATENATE("11 11.1 4b")</f>
        <v>11 11.1 4b</v>
      </c>
      <c r="M68" s="5" t="str">
        <f>CONCATENATE("RCRSMN93P13I608O")</f>
        <v>RCRSMN93P13I608O</v>
      </c>
      <c r="N68" s="5" t="s">
        <v>148</v>
      </c>
      <c r="O68" s="5" t="s">
        <v>124</v>
      </c>
      <c r="P68" s="6">
        <v>44076</v>
      </c>
      <c r="Q68" s="5" t="s">
        <v>31</v>
      </c>
      <c r="R68" s="5" t="s">
        <v>32</v>
      </c>
      <c r="S68" s="5" t="s">
        <v>33</v>
      </c>
      <c r="T68" s="5"/>
      <c r="U68" s="7">
        <v>1681.02</v>
      </c>
      <c r="V68" s="5">
        <v>724.86</v>
      </c>
      <c r="W68" s="5">
        <v>669.38</v>
      </c>
      <c r="X68" s="5">
        <v>0</v>
      </c>
      <c r="Y68" s="5">
        <v>286.77999999999997</v>
      </c>
    </row>
    <row r="69" spans="1:25" ht="24.75" x14ac:dyDescent="0.25">
      <c r="A69" s="5" t="s">
        <v>26</v>
      </c>
      <c r="B69" s="5" t="s">
        <v>34</v>
      </c>
      <c r="C69" s="5" t="s">
        <v>44</v>
      </c>
      <c r="D69" s="5" t="s">
        <v>54</v>
      </c>
      <c r="E69" s="5" t="s">
        <v>38</v>
      </c>
      <c r="F69" s="5" t="s">
        <v>149</v>
      </c>
      <c r="G69" s="5">
        <v>2017</v>
      </c>
      <c r="H69" s="5" t="str">
        <f>CONCATENATE("74240185921")</f>
        <v>74240185921</v>
      </c>
      <c r="I69" s="5" t="s">
        <v>29</v>
      </c>
      <c r="J69" s="5" t="s">
        <v>30</v>
      </c>
      <c r="K69" s="5" t="str">
        <f>CONCATENATE("")</f>
        <v/>
      </c>
      <c r="L69" s="5" t="str">
        <f>CONCATENATE("11 11.1 4b")</f>
        <v>11 11.1 4b</v>
      </c>
      <c r="M69" s="5" t="str">
        <f>CONCATENATE("DLLDNC65M31G453L")</f>
        <v>DLLDNC65M31G453L</v>
      </c>
      <c r="N69" s="5" t="s">
        <v>150</v>
      </c>
      <c r="O69" s="5" t="s">
        <v>124</v>
      </c>
      <c r="P69" s="6">
        <v>44076</v>
      </c>
      <c r="Q69" s="5" t="s">
        <v>31</v>
      </c>
      <c r="R69" s="5" t="s">
        <v>32</v>
      </c>
      <c r="S69" s="5" t="s">
        <v>33</v>
      </c>
      <c r="T69" s="5"/>
      <c r="U69" s="5">
        <v>273.02</v>
      </c>
      <c r="V69" s="5">
        <v>117.73</v>
      </c>
      <c r="W69" s="5">
        <v>108.72</v>
      </c>
      <c r="X69" s="5">
        <v>0</v>
      </c>
      <c r="Y69" s="5">
        <v>46.57</v>
      </c>
    </row>
    <row r="70" spans="1:25" ht="24.75" x14ac:dyDescent="0.25">
      <c r="A70" s="5" t="s">
        <v>26</v>
      </c>
      <c r="B70" s="5" t="s">
        <v>34</v>
      </c>
      <c r="C70" s="5" t="s">
        <v>44</v>
      </c>
      <c r="D70" s="5" t="s">
        <v>54</v>
      </c>
      <c r="E70" s="5" t="s">
        <v>38</v>
      </c>
      <c r="F70" s="5" t="s">
        <v>149</v>
      </c>
      <c r="G70" s="5">
        <v>2018</v>
      </c>
      <c r="H70" s="5" t="str">
        <f>CONCATENATE("84240026819")</f>
        <v>84240026819</v>
      </c>
      <c r="I70" s="5" t="s">
        <v>29</v>
      </c>
      <c r="J70" s="5" t="s">
        <v>30</v>
      </c>
      <c r="K70" s="5" t="str">
        <f>CONCATENATE("")</f>
        <v/>
      </c>
      <c r="L70" s="5" t="str">
        <f>CONCATENATE("11 11.1 4b")</f>
        <v>11 11.1 4b</v>
      </c>
      <c r="M70" s="5" t="str">
        <f>CONCATENATE("DLLDNC65M31G453L")</f>
        <v>DLLDNC65M31G453L</v>
      </c>
      <c r="N70" s="5" t="s">
        <v>150</v>
      </c>
      <c r="O70" s="5" t="s">
        <v>124</v>
      </c>
      <c r="P70" s="6">
        <v>44076</v>
      </c>
      <c r="Q70" s="5" t="s">
        <v>31</v>
      </c>
      <c r="R70" s="5" t="s">
        <v>32</v>
      </c>
      <c r="S70" s="5" t="s">
        <v>33</v>
      </c>
      <c r="T70" s="5"/>
      <c r="U70" s="5">
        <v>273</v>
      </c>
      <c r="V70" s="5">
        <v>117.72</v>
      </c>
      <c r="W70" s="5">
        <v>108.71</v>
      </c>
      <c r="X70" s="5">
        <v>0</v>
      </c>
      <c r="Y70" s="5">
        <v>46.57</v>
      </c>
    </row>
    <row r="71" spans="1:25" ht="24.75" x14ac:dyDescent="0.25">
      <c r="A71" s="5" t="s">
        <v>26</v>
      </c>
      <c r="B71" s="5" t="s">
        <v>34</v>
      </c>
      <c r="C71" s="5" t="s">
        <v>44</v>
      </c>
      <c r="D71" s="5" t="s">
        <v>54</v>
      </c>
      <c r="E71" s="5" t="s">
        <v>38</v>
      </c>
      <c r="F71" s="5" t="s">
        <v>149</v>
      </c>
      <c r="G71" s="5">
        <v>2019</v>
      </c>
      <c r="H71" s="5" t="str">
        <f>CONCATENATE("94240130891")</f>
        <v>94240130891</v>
      </c>
      <c r="I71" s="5" t="s">
        <v>29</v>
      </c>
      <c r="J71" s="5" t="s">
        <v>30</v>
      </c>
      <c r="K71" s="5" t="str">
        <f>CONCATENATE("")</f>
        <v/>
      </c>
      <c r="L71" s="5" t="str">
        <f>CONCATENATE("11 11.1 4b")</f>
        <v>11 11.1 4b</v>
      </c>
      <c r="M71" s="5" t="str">
        <f>CONCATENATE("DLLDNC65M31G453L")</f>
        <v>DLLDNC65M31G453L</v>
      </c>
      <c r="N71" s="5" t="s">
        <v>150</v>
      </c>
      <c r="O71" s="5" t="s">
        <v>124</v>
      </c>
      <c r="P71" s="6">
        <v>44076</v>
      </c>
      <c r="Q71" s="5" t="s">
        <v>31</v>
      </c>
      <c r="R71" s="5" t="s">
        <v>32</v>
      </c>
      <c r="S71" s="5" t="s">
        <v>33</v>
      </c>
      <c r="T71" s="5"/>
      <c r="U71" s="5">
        <v>293.52</v>
      </c>
      <c r="V71" s="5">
        <v>126.57</v>
      </c>
      <c r="W71" s="5">
        <v>116.88</v>
      </c>
      <c r="X71" s="5">
        <v>0</v>
      </c>
      <c r="Y71" s="5">
        <v>50.07</v>
      </c>
    </row>
    <row r="72" spans="1:25" ht="24.75" x14ac:dyDescent="0.25">
      <c r="A72" s="5" t="s">
        <v>26</v>
      </c>
      <c r="B72" s="5" t="s">
        <v>34</v>
      </c>
      <c r="C72" s="5" t="s">
        <v>44</v>
      </c>
      <c r="D72" s="5" t="s">
        <v>125</v>
      </c>
      <c r="E72" s="5" t="s">
        <v>38</v>
      </c>
      <c r="F72" s="5" t="s">
        <v>151</v>
      </c>
      <c r="G72" s="5">
        <v>2017</v>
      </c>
      <c r="H72" s="5" t="str">
        <f>CONCATENATE("74241176887")</f>
        <v>74241176887</v>
      </c>
      <c r="I72" s="5" t="s">
        <v>29</v>
      </c>
      <c r="J72" s="5" t="s">
        <v>30</v>
      </c>
      <c r="K72" s="5" t="str">
        <f>CONCATENATE("")</f>
        <v/>
      </c>
      <c r="L72" s="5" t="str">
        <f>CONCATENATE("11 11.2 4b")</f>
        <v>11 11.2 4b</v>
      </c>
      <c r="M72" s="5" t="str">
        <f>CONCATENATE("CPRPRZ70S67F704D")</f>
        <v>CPRPRZ70S67F704D</v>
      </c>
      <c r="N72" s="5" t="s">
        <v>152</v>
      </c>
      <c r="O72" s="5" t="s">
        <v>124</v>
      </c>
      <c r="P72" s="6">
        <v>44076</v>
      </c>
      <c r="Q72" s="5" t="s">
        <v>31</v>
      </c>
      <c r="R72" s="5" t="s">
        <v>32</v>
      </c>
      <c r="S72" s="5" t="s">
        <v>33</v>
      </c>
      <c r="T72" s="5"/>
      <c r="U72" s="5">
        <v>221.52</v>
      </c>
      <c r="V72" s="5">
        <v>95.52</v>
      </c>
      <c r="W72" s="5">
        <v>88.21</v>
      </c>
      <c r="X72" s="5">
        <v>0</v>
      </c>
      <c r="Y72" s="5">
        <v>37.79</v>
      </c>
    </row>
    <row r="73" spans="1:25" ht="24.75" x14ac:dyDescent="0.25">
      <c r="A73" s="5" t="s">
        <v>26</v>
      </c>
      <c r="B73" s="5" t="s">
        <v>34</v>
      </c>
      <c r="C73" s="5" t="s">
        <v>44</v>
      </c>
      <c r="D73" s="5" t="s">
        <v>125</v>
      </c>
      <c r="E73" s="5" t="s">
        <v>38</v>
      </c>
      <c r="F73" s="5" t="s">
        <v>151</v>
      </c>
      <c r="G73" s="5">
        <v>2018</v>
      </c>
      <c r="H73" s="5" t="str">
        <f>CONCATENATE("84240343347")</f>
        <v>84240343347</v>
      </c>
      <c r="I73" s="5" t="s">
        <v>29</v>
      </c>
      <c r="J73" s="5" t="s">
        <v>30</v>
      </c>
      <c r="K73" s="5" t="str">
        <f>CONCATENATE("")</f>
        <v/>
      </c>
      <c r="L73" s="5" t="str">
        <f>CONCATENATE("11 11.2 4b")</f>
        <v>11 11.2 4b</v>
      </c>
      <c r="M73" s="5" t="str">
        <f>CONCATENATE("CPRPRZ70S67F704D")</f>
        <v>CPRPRZ70S67F704D</v>
      </c>
      <c r="N73" s="5" t="s">
        <v>152</v>
      </c>
      <c r="O73" s="5" t="s">
        <v>124</v>
      </c>
      <c r="P73" s="6">
        <v>44076</v>
      </c>
      <c r="Q73" s="5" t="s">
        <v>31</v>
      </c>
      <c r="R73" s="5" t="s">
        <v>32</v>
      </c>
      <c r="S73" s="5" t="s">
        <v>33</v>
      </c>
      <c r="T73" s="5"/>
      <c r="U73" s="5">
        <v>323.58</v>
      </c>
      <c r="V73" s="5">
        <v>139.53</v>
      </c>
      <c r="W73" s="5">
        <v>128.85</v>
      </c>
      <c r="X73" s="5">
        <v>0</v>
      </c>
      <c r="Y73" s="5">
        <v>55.2</v>
      </c>
    </row>
    <row r="74" spans="1:25" ht="24.75" x14ac:dyDescent="0.25">
      <c r="A74" s="5" t="s">
        <v>26</v>
      </c>
      <c r="B74" s="5" t="s">
        <v>34</v>
      </c>
      <c r="C74" s="5" t="s">
        <v>44</v>
      </c>
      <c r="D74" s="5" t="s">
        <v>125</v>
      </c>
      <c r="E74" s="5" t="s">
        <v>38</v>
      </c>
      <c r="F74" s="5" t="s">
        <v>151</v>
      </c>
      <c r="G74" s="5">
        <v>2019</v>
      </c>
      <c r="H74" s="5" t="str">
        <f>CONCATENATE("94240727498")</f>
        <v>94240727498</v>
      </c>
      <c r="I74" s="5" t="s">
        <v>29</v>
      </c>
      <c r="J74" s="5" t="s">
        <v>30</v>
      </c>
      <c r="K74" s="5" t="str">
        <f>CONCATENATE("")</f>
        <v/>
      </c>
      <c r="L74" s="5" t="str">
        <f>CONCATENATE("11 11.2 4b")</f>
        <v>11 11.2 4b</v>
      </c>
      <c r="M74" s="5" t="str">
        <f>CONCATENATE("CPRPRZ70S67F704D")</f>
        <v>CPRPRZ70S67F704D</v>
      </c>
      <c r="N74" s="5" t="s">
        <v>152</v>
      </c>
      <c r="O74" s="5" t="s">
        <v>124</v>
      </c>
      <c r="P74" s="6">
        <v>44076</v>
      </c>
      <c r="Q74" s="5" t="s">
        <v>31</v>
      </c>
      <c r="R74" s="5" t="s">
        <v>32</v>
      </c>
      <c r="S74" s="5" t="s">
        <v>33</v>
      </c>
      <c r="T74" s="5"/>
      <c r="U74" s="5">
        <v>243.78</v>
      </c>
      <c r="V74" s="5">
        <v>105.12</v>
      </c>
      <c r="W74" s="5">
        <v>97.07</v>
      </c>
      <c r="X74" s="5">
        <v>0</v>
      </c>
      <c r="Y74" s="5">
        <v>41.59</v>
      </c>
    </row>
    <row r="75" spans="1:25" ht="24.75" x14ac:dyDescent="0.25">
      <c r="A75" s="5" t="s">
        <v>26</v>
      </c>
      <c r="B75" s="5" t="s">
        <v>34</v>
      </c>
      <c r="C75" s="5" t="s">
        <v>44</v>
      </c>
      <c r="D75" s="5" t="s">
        <v>125</v>
      </c>
      <c r="E75" s="5" t="s">
        <v>38</v>
      </c>
      <c r="F75" s="5" t="s">
        <v>151</v>
      </c>
      <c r="G75" s="5">
        <v>2017</v>
      </c>
      <c r="H75" s="5" t="str">
        <f>CONCATENATE("74241277487")</f>
        <v>74241277487</v>
      </c>
      <c r="I75" s="5" t="s">
        <v>29</v>
      </c>
      <c r="J75" s="5" t="s">
        <v>30</v>
      </c>
      <c r="K75" s="5" t="str">
        <f>CONCATENATE("")</f>
        <v/>
      </c>
      <c r="L75" s="5" t="str">
        <f>CONCATENATE("11 11.2 4b")</f>
        <v>11 11.2 4b</v>
      </c>
      <c r="M75" s="5" t="str">
        <f>CONCATENATE("SCHMRA49E29E388J")</f>
        <v>SCHMRA49E29E388J</v>
      </c>
      <c r="N75" s="5" t="s">
        <v>153</v>
      </c>
      <c r="O75" s="5" t="s">
        <v>124</v>
      </c>
      <c r="P75" s="6">
        <v>44076</v>
      </c>
      <c r="Q75" s="5" t="s">
        <v>31</v>
      </c>
      <c r="R75" s="5" t="s">
        <v>32</v>
      </c>
      <c r="S75" s="5" t="s">
        <v>33</v>
      </c>
      <c r="T75" s="5"/>
      <c r="U75" s="5">
        <v>530.78</v>
      </c>
      <c r="V75" s="5">
        <v>228.87</v>
      </c>
      <c r="W75" s="5">
        <v>211.36</v>
      </c>
      <c r="X75" s="5">
        <v>0</v>
      </c>
      <c r="Y75" s="5">
        <v>90.55</v>
      </c>
    </row>
    <row r="76" spans="1:25" ht="24.75" x14ac:dyDescent="0.25">
      <c r="A76" s="5" t="s">
        <v>26</v>
      </c>
      <c r="B76" s="5" t="s">
        <v>34</v>
      </c>
      <c r="C76" s="5" t="s">
        <v>44</v>
      </c>
      <c r="D76" s="5" t="s">
        <v>125</v>
      </c>
      <c r="E76" s="5" t="s">
        <v>38</v>
      </c>
      <c r="F76" s="5" t="s">
        <v>151</v>
      </c>
      <c r="G76" s="5">
        <v>2019</v>
      </c>
      <c r="H76" s="5" t="str">
        <f>CONCATENATE("94240143571")</f>
        <v>94240143571</v>
      </c>
      <c r="I76" s="5" t="s">
        <v>29</v>
      </c>
      <c r="J76" s="5" t="s">
        <v>30</v>
      </c>
      <c r="K76" s="5" t="str">
        <f>CONCATENATE("")</f>
        <v/>
      </c>
      <c r="L76" s="5" t="str">
        <f>CONCATENATE("11 11.2 4b")</f>
        <v>11 11.2 4b</v>
      </c>
      <c r="M76" s="5" t="str">
        <f>CONCATENATE("SCHMRA49E29E388J")</f>
        <v>SCHMRA49E29E388J</v>
      </c>
      <c r="N76" s="5" t="s">
        <v>153</v>
      </c>
      <c r="O76" s="5" t="s">
        <v>124</v>
      </c>
      <c r="P76" s="6">
        <v>44076</v>
      </c>
      <c r="Q76" s="5" t="s">
        <v>31</v>
      </c>
      <c r="R76" s="5" t="s">
        <v>32</v>
      </c>
      <c r="S76" s="5" t="s">
        <v>33</v>
      </c>
      <c r="T76" s="5"/>
      <c r="U76" s="7">
        <v>1618.71</v>
      </c>
      <c r="V76" s="5">
        <v>697.99</v>
      </c>
      <c r="W76" s="5">
        <v>644.57000000000005</v>
      </c>
      <c r="X76" s="5">
        <v>0</v>
      </c>
      <c r="Y76" s="5">
        <v>276.14999999999998</v>
      </c>
    </row>
    <row r="77" spans="1:25" ht="24.75" x14ac:dyDescent="0.25">
      <c r="A77" s="5" t="s">
        <v>26</v>
      </c>
      <c r="B77" s="5" t="s">
        <v>34</v>
      </c>
      <c r="C77" s="5" t="s">
        <v>44</v>
      </c>
      <c r="D77" s="5" t="s">
        <v>125</v>
      </c>
      <c r="E77" s="5" t="s">
        <v>38</v>
      </c>
      <c r="F77" s="5" t="s">
        <v>151</v>
      </c>
      <c r="G77" s="5">
        <v>2018</v>
      </c>
      <c r="H77" s="5" t="str">
        <f>CONCATENATE("84240709042")</f>
        <v>84240709042</v>
      </c>
      <c r="I77" s="5" t="s">
        <v>29</v>
      </c>
      <c r="J77" s="5" t="s">
        <v>30</v>
      </c>
      <c r="K77" s="5" t="str">
        <f>CONCATENATE("")</f>
        <v/>
      </c>
      <c r="L77" s="5" t="str">
        <f>CONCATENATE("11 11.2 4b")</f>
        <v>11 11.2 4b</v>
      </c>
      <c r="M77" s="5" t="str">
        <f>CONCATENATE("SCHMRA49E29E388J")</f>
        <v>SCHMRA49E29E388J</v>
      </c>
      <c r="N77" s="5" t="s">
        <v>153</v>
      </c>
      <c r="O77" s="5" t="s">
        <v>124</v>
      </c>
      <c r="P77" s="6">
        <v>44076</v>
      </c>
      <c r="Q77" s="5" t="s">
        <v>31</v>
      </c>
      <c r="R77" s="5" t="s">
        <v>32</v>
      </c>
      <c r="S77" s="5" t="s">
        <v>33</v>
      </c>
      <c r="T77" s="5"/>
      <c r="U77" s="7">
        <v>1618.71</v>
      </c>
      <c r="V77" s="5">
        <v>697.99</v>
      </c>
      <c r="W77" s="5">
        <v>644.57000000000005</v>
      </c>
      <c r="X77" s="5">
        <v>0</v>
      </c>
      <c r="Y77" s="5">
        <v>276.14999999999998</v>
      </c>
    </row>
    <row r="78" spans="1:25" ht="24.75" x14ac:dyDescent="0.25">
      <c r="A78" s="5" t="s">
        <v>26</v>
      </c>
      <c r="B78" s="5" t="s">
        <v>34</v>
      </c>
      <c r="C78" s="5" t="s">
        <v>44</v>
      </c>
      <c r="D78" s="5" t="s">
        <v>125</v>
      </c>
      <c r="E78" s="5" t="s">
        <v>38</v>
      </c>
      <c r="F78" s="5" t="s">
        <v>151</v>
      </c>
      <c r="G78" s="5">
        <v>2019</v>
      </c>
      <c r="H78" s="5" t="str">
        <f>CONCATENATE("94240308117")</f>
        <v>94240308117</v>
      </c>
      <c r="I78" s="5" t="s">
        <v>29</v>
      </c>
      <c r="J78" s="5" t="s">
        <v>30</v>
      </c>
      <c r="K78" s="5" t="str">
        <f>CONCATENATE("")</f>
        <v/>
      </c>
      <c r="L78" s="5" t="str">
        <f>CONCATENATE("11 11.1 4b")</f>
        <v>11 11.1 4b</v>
      </c>
      <c r="M78" s="5" t="str">
        <f>CONCATENATE("NGLGLN67R66D451R")</f>
        <v>NGLGLN67R66D451R</v>
      </c>
      <c r="N78" s="5" t="s">
        <v>154</v>
      </c>
      <c r="O78" s="5" t="s">
        <v>124</v>
      </c>
      <c r="P78" s="6">
        <v>44076</v>
      </c>
      <c r="Q78" s="5" t="s">
        <v>31</v>
      </c>
      <c r="R78" s="5" t="s">
        <v>32</v>
      </c>
      <c r="S78" s="5" t="s">
        <v>33</v>
      </c>
      <c r="T78" s="5"/>
      <c r="U78" s="5">
        <v>122.64</v>
      </c>
      <c r="V78" s="5">
        <v>52.88</v>
      </c>
      <c r="W78" s="5">
        <v>48.84</v>
      </c>
      <c r="X78" s="5">
        <v>0</v>
      </c>
      <c r="Y78" s="5">
        <v>20.92</v>
      </c>
    </row>
    <row r="79" spans="1:25" ht="24.75" x14ac:dyDescent="0.25">
      <c r="A79" s="5" t="s">
        <v>26</v>
      </c>
      <c r="B79" s="5" t="s">
        <v>34</v>
      </c>
      <c r="C79" s="5" t="s">
        <v>44</v>
      </c>
      <c r="D79" s="5" t="s">
        <v>125</v>
      </c>
      <c r="E79" s="5" t="s">
        <v>38</v>
      </c>
      <c r="F79" s="5" t="s">
        <v>151</v>
      </c>
      <c r="G79" s="5">
        <v>2017</v>
      </c>
      <c r="H79" s="5" t="str">
        <f>CONCATENATE("74240645239")</f>
        <v>74240645239</v>
      </c>
      <c r="I79" s="5" t="s">
        <v>29</v>
      </c>
      <c r="J79" s="5" t="s">
        <v>30</v>
      </c>
      <c r="K79" s="5" t="str">
        <f>CONCATENATE("")</f>
        <v/>
      </c>
      <c r="L79" s="5" t="str">
        <f>CONCATENATE("11 11.2 4b")</f>
        <v>11 11.2 4b</v>
      </c>
      <c r="M79" s="5" t="str">
        <f>CONCATENATE("PVRMSM71H07D451H")</f>
        <v>PVRMSM71H07D451H</v>
      </c>
      <c r="N79" s="5" t="s">
        <v>155</v>
      </c>
      <c r="O79" s="5" t="s">
        <v>124</v>
      </c>
      <c r="P79" s="6">
        <v>44076</v>
      </c>
      <c r="Q79" s="5" t="s">
        <v>31</v>
      </c>
      <c r="R79" s="5" t="s">
        <v>32</v>
      </c>
      <c r="S79" s="5" t="s">
        <v>33</v>
      </c>
      <c r="T79" s="5"/>
      <c r="U79" s="5">
        <v>37.18</v>
      </c>
      <c r="V79" s="5">
        <v>16.03</v>
      </c>
      <c r="W79" s="5">
        <v>14.81</v>
      </c>
      <c r="X79" s="5">
        <v>0</v>
      </c>
      <c r="Y79" s="5">
        <v>6.34</v>
      </c>
    </row>
    <row r="80" spans="1:25" ht="24.75" x14ac:dyDescent="0.25">
      <c r="A80" s="5" t="s">
        <v>26</v>
      </c>
      <c r="B80" s="5" t="s">
        <v>34</v>
      </c>
      <c r="C80" s="5" t="s">
        <v>44</v>
      </c>
      <c r="D80" s="5" t="s">
        <v>125</v>
      </c>
      <c r="E80" s="5" t="s">
        <v>38</v>
      </c>
      <c r="F80" s="5" t="s">
        <v>156</v>
      </c>
      <c r="G80" s="5">
        <v>2019</v>
      </c>
      <c r="H80" s="5" t="str">
        <f>CONCATENATE("94240811003")</f>
        <v>94240811003</v>
      </c>
      <c r="I80" s="5" t="s">
        <v>29</v>
      </c>
      <c r="J80" s="5" t="s">
        <v>30</v>
      </c>
      <c r="K80" s="5" t="str">
        <f>CONCATENATE("")</f>
        <v/>
      </c>
      <c r="L80" s="5" t="str">
        <f>CONCATENATE("11 11.2 4b")</f>
        <v>11 11.2 4b</v>
      </c>
      <c r="M80" s="5" t="str">
        <f>CONCATENATE("02705660427")</f>
        <v>02705660427</v>
      </c>
      <c r="N80" s="5" t="s">
        <v>157</v>
      </c>
      <c r="O80" s="5" t="s">
        <v>124</v>
      </c>
      <c r="P80" s="6">
        <v>44076</v>
      </c>
      <c r="Q80" s="5" t="s">
        <v>31</v>
      </c>
      <c r="R80" s="5" t="s">
        <v>32</v>
      </c>
      <c r="S80" s="5" t="s">
        <v>33</v>
      </c>
      <c r="T80" s="5"/>
      <c r="U80" s="5">
        <v>316.47000000000003</v>
      </c>
      <c r="V80" s="5">
        <v>136.46</v>
      </c>
      <c r="W80" s="5">
        <v>126.02</v>
      </c>
      <c r="X80" s="5">
        <v>0</v>
      </c>
      <c r="Y80" s="5">
        <v>53.99</v>
      </c>
    </row>
    <row r="81" spans="1:25" ht="24.75" x14ac:dyDescent="0.25">
      <c r="A81" s="5" t="s">
        <v>26</v>
      </c>
      <c r="B81" s="5" t="s">
        <v>34</v>
      </c>
      <c r="C81" s="5" t="s">
        <v>44</v>
      </c>
      <c r="D81" s="5" t="s">
        <v>125</v>
      </c>
      <c r="E81" s="5" t="s">
        <v>37</v>
      </c>
      <c r="F81" s="5" t="s">
        <v>126</v>
      </c>
      <c r="G81" s="5">
        <v>2018</v>
      </c>
      <c r="H81" s="5" t="str">
        <f>CONCATENATE("84240314454")</f>
        <v>84240314454</v>
      </c>
      <c r="I81" s="5" t="s">
        <v>29</v>
      </c>
      <c r="J81" s="5" t="s">
        <v>30</v>
      </c>
      <c r="K81" s="5" t="str">
        <f>CONCATENATE("")</f>
        <v/>
      </c>
      <c r="L81" s="5" t="str">
        <f>CONCATENATE("11 11.1 4b")</f>
        <v>11 11.1 4b</v>
      </c>
      <c r="M81" s="5" t="str">
        <f>CONCATENATE("DDSFNC78M14E690B")</f>
        <v>DDSFNC78M14E690B</v>
      </c>
      <c r="N81" s="5" t="s">
        <v>158</v>
      </c>
      <c r="O81" s="5" t="s">
        <v>124</v>
      </c>
      <c r="P81" s="6">
        <v>44076</v>
      </c>
      <c r="Q81" s="5" t="s">
        <v>31</v>
      </c>
      <c r="R81" s="5" t="s">
        <v>32</v>
      </c>
      <c r="S81" s="5" t="s">
        <v>33</v>
      </c>
      <c r="T81" s="5"/>
      <c r="U81" s="5">
        <v>364.66</v>
      </c>
      <c r="V81" s="5">
        <v>157.24</v>
      </c>
      <c r="W81" s="5">
        <v>145.21</v>
      </c>
      <c r="X81" s="5">
        <v>0</v>
      </c>
      <c r="Y81" s="5">
        <v>62.21</v>
      </c>
    </row>
    <row r="82" spans="1:25" ht="24.75" x14ac:dyDescent="0.25">
      <c r="A82" s="5" t="s">
        <v>26</v>
      </c>
      <c r="B82" s="5" t="s">
        <v>34</v>
      </c>
      <c r="C82" s="5" t="s">
        <v>44</v>
      </c>
      <c r="D82" s="5" t="s">
        <v>125</v>
      </c>
      <c r="E82" s="5" t="s">
        <v>37</v>
      </c>
      <c r="F82" s="5" t="s">
        <v>126</v>
      </c>
      <c r="G82" s="5">
        <v>2019</v>
      </c>
      <c r="H82" s="5" t="str">
        <f>CONCATENATE("94240356686")</f>
        <v>94240356686</v>
      </c>
      <c r="I82" s="5" t="s">
        <v>29</v>
      </c>
      <c r="J82" s="5" t="s">
        <v>30</v>
      </c>
      <c r="K82" s="5" t="str">
        <f>CONCATENATE("")</f>
        <v/>
      </c>
      <c r="L82" s="5" t="str">
        <f>CONCATENATE("11 11.1 4b")</f>
        <v>11 11.1 4b</v>
      </c>
      <c r="M82" s="5" t="str">
        <f>CONCATENATE("DDSFNC78M14E690B")</f>
        <v>DDSFNC78M14E690B</v>
      </c>
      <c r="N82" s="5" t="s">
        <v>158</v>
      </c>
      <c r="O82" s="5" t="s">
        <v>124</v>
      </c>
      <c r="P82" s="6">
        <v>44076</v>
      </c>
      <c r="Q82" s="5" t="s">
        <v>31</v>
      </c>
      <c r="R82" s="5" t="s">
        <v>32</v>
      </c>
      <c r="S82" s="5" t="s">
        <v>33</v>
      </c>
      <c r="T82" s="5"/>
      <c r="U82" s="5">
        <v>364.66</v>
      </c>
      <c r="V82" s="5">
        <v>157.24</v>
      </c>
      <c r="W82" s="5">
        <v>145.21</v>
      </c>
      <c r="X82" s="5">
        <v>0</v>
      </c>
      <c r="Y82" s="5">
        <v>62.21</v>
      </c>
    </row>
    <row r="83" spans="1:25" ht="24.75" x14ac:dyDescent="0.25">
      <c r="A83" s="5" t="s">
        <v>26</v>
      </c>
      <c r="B83" s="5" t="s">
        <v>34</v>
      </c>
      <c r="C83" s="5" t="s">
        <v>44</v>
      </c>
      <c r="D83" s="5" t="s">
        <v>64</v>
      </c>
      <c r="E83" s="5" t="s">
        <v>38</v>
      </c>
      <c r="F83" s="5" t="s">
        <v>79</v>
      </c>
      <c r="G83" s="5">
        <v>2018</v>
      </c>
      <c r="H83" s="5" t="str">
        <f>CONCATENATE("84240017370")</f>
        <v>84240017370</v>
      </c>
      <c r="I83" s="5" t="s">
        <v>29</v>
      </c>
      <c r="J83" s="5" t="s">
        <v>30</v>
      </c>
      <c r="K83" s="5" t="str">
        <f>CONCATENATE("")</f>
        <v/>
      </c>
      <c r="L83" s="5" t="str">
        <f>CONCATENATE("11 11.2 4b")</f>
        <v>11 11.2 4b</v>
      </c>
      <c r="M83" s="5" t="str">
        <f>CONCATENATE("01611940436")</f>
        <v>01611940436</v>
      </c>
      <c r="N83" s="5" t="s">
        <v>159</v>
      </c>
      <c r="O83" s="5" t="s">
        <v>124</v>
      </c>
      <c r="P83" s="6">
        <v>44076</v>
      </c>
      <c r="Q83" s="5" t="s">
        <v>31</v>
      </c>
      <c r="R83" s="5" t="s">
        <v>32</v>
      </c>
      <c r="S83" s="5" t="s">
        <v>33</v>
      </c>
      <c r="T83" s="5"/>
      <c r="U83" s="7">
        <v>1817.98</v>
      </c>
      <c r="V83" s="5">
        <v>783.91</v>
      </c>
      <c r="W83" s="5">
        <v>723.92</v>
      </c>
      <c r="X83" s="5">
        <v>0</v>
      </c>
      <c r="Y83" s="5">
        <v>310.14999999999998</v>
      </c>
    </row>
    <row r="84" spans="1:25" ht="24.75" x14ac:dyDescent="0.25">
      <c r="A84" s="5" t="s">
        <v>26</v>
      </c>
      <c r="B84" s="5" t="s">
        <v>34</v>
      </c>
      <c r="C84" s="5" t="s">
        <v>44</v>
      </c>
      <c r="D84" s="5" t="s">
        <v>54</v>
      </c>
      <c r="E84" s="5" t="s">
        <v>37</v>
      </c>
      <c r="F84" s="5" t="s">
        <v>134</v>
      </c>
      <c r="G84" s="5">
        <v>2017</v>
      </c>
      <c r="H84" s="5" t="str">
        <f>CONCATENATE("74240652870")</f>
        <v>74240652870</v>
      </c>
      <c r="I84" s="5" t="s">
        <v>29</v>
      </c>
      <c r="J84" s="5" t="s">
        <v>30</v>
      </c>
      <c r="K84" s="5" t="str">
        <f>CONCATENATE("")</f>
        <v/>
      </c>
      <c r="L84" s="5" t="str">
        <f>CONCATENATE("11 11.1 4b")</f>
        <v>11 11.1 4b</v>
      </c>
      <c r="M84" s="5" t="str">
        <f>CONCATENATE("02611800414")</f>
        <v>02611800414</v>
      </c>
      <c r="N84" s="5" t="s">
        <v>160</v>
      </c>
      <c r="O84" s="5" t="s">
        <v>124</v>
      </c>
      <c r="P84" s="6">
        <v>44076</v>
      </c>
      <c r="Q84" s="5" t="s">
        <v>31</v>
      </c>
      <c r="R84" s="5" t="s">
        <v>32</v>
      </c>
      <c r="S84" s="5" t="s">
        <v>33</v>
      </c>
      <c r="T84" s="5"/>
      <c r="U84" s="5">
        <v>561.39</v>
      </c>
      <c r="V84" s="5">
        <v>242.07</v>
      </c>
      <c r="W84" s="5">
        <v>223.55</v>
      </c>
      <c r="X84" s="5">
        <v>0</v>
      </c>
      <c r="Y84" s="5">
        <v>95.77</v>
      </c>
    </row>
    <row r="85" spans="1:25" ht="24.75" x14ac:dyDescent="0.25">
      <c r="A85" s="5" t="s">
        <v>26</v>
      </c>
      <c r="B85" s="5" t="s">
        <v>34</v>
      </c>
      <c r="C85" s="5" t="s">
        <v>44</v>
      </c>
      <c r="D85" s="5" t="s">
        <v>54</v>
      </c>
      <c r="E85" s="5" t="s">
        <v>37</v>
      </c>
      <c r="F85" s="5" t="s">
        <v>134</v>
      </c>
      <c r="G85" s="5">
        <v>2018</v>
      </c>
      <c r="H85" s="5" t="str">
        <f>CONCATENATE("84240758411")</f>
        <v>84240758411</v>
      </c>
      <c r="I85" s="5" t="s">
        <v>29</v>
      </c>
      <c r="J85" s="5" t="s">
        <v>30</v>
      </c>
      <c r="K85" s="5" t="str">
        <f>CONCATENATE("")</f>
        <v/>
      </c>
      <c r="L85" s="5" t="str">
        <f>CONCATENATE("11 11.1 4b")</f>
        <v>11 11.1 4b</v>
      </c>
      <c r="M85" s="5" t="str">
        <f>CONCATENATE("02611800414")</f>
        <v>02611800414</v>
      </c>
      <c r="N85" s="5" t="s">
        <v>160</v>
      </c>
      <c r="O85" s="5" t="s">
        <v>124</v>
      </c>
      <c r="P85" s="6">
        <v>44076</v>
      </c>
      <c r="Q85" s="5" t="s">
        <v>31</v>
      </c>
      <c r="R85" s="5" t="s">
        <v>32</v>
      </c>
      <c r="S85" s="5" t="s">
        <v>33</v>
      </c>
      <c r="T85" s="5"/>
      <c r="U85" s="7">
        <v>1229.21</v>
      </c>
      <c r="V85" s="5">
        <v>530.04</v>
      </c>
      <c r="W85" s="5">
        <v>489.47</v>
      </c>
      <c r="X85" s="5">
        <v>0</v>
      </c>
      <c r="Y85" s="5">
        <v>209.7</v>
      </c>
    </row>
    <row r="86" spans="1:25" ht="24.75" x14ac:dyDescent="0.25">
      <c r="A86" s="5" t="s">
        <v>26</v>
      </c>
      <c r="B86" s="5" t="s">
        <v>34</v>
      </c>
      <c r="C86" s="5" t="s">
        <v>44</v>
      </c>
      <c r="D86" s="5" t="s">
        <v>54</v>
      </c>
      <c r="E86" s="5" t="s">
        <v>37</v>
      </c>
      <c r="F86" s="5" t="s">
        <v>134</v>
      </c>
      <c r="G86" s="5">
        <v>2019</v>
      </c>
      <c r="H86" s="5" t="str">
        <f>CONCATENATE("94240420094")</f>
        <v>94240420094</v>
      </c>
      <c r="I86" s="5" t="s">
        <v>29</v>
      </c>
      <c r="J86" s="5" t="s">
        <v>30</v>
      </c>
      <c r="K86" s="5" t="str">
        <f>CONCATENATE("")</f>
        <v/>
      </c>
      <c r="L86" s="5" t="str">
        <f>CONCATENATE("11 11.1 4b")</f>
        <v>11 11.1 4b</v>
      </c>
      <c r="M86" s="5" t="str">
        <f>CONCATENATE("02611800414")</f>
        <v>02611800414</v>
      </c>
      <c r="N86" s="5" t="s">
        <v>160</v>
      </c>
      <c r="O86" s="5" t="s">
        <v>124</v>
      </c>
      <c r="P86" s="6">
        <v>44076</v>
      </c>
      <c r="Q86" s="5" t="s">
        <v>31</v>
      </c>
      <c r="R86" s="5" t="s">
        <v>32</v>
      </c>
      <c r="S86" s="5" t="s">
        <v>33</v>
      </c>
      <c r="T86" s="5"/>
      <c r="U86" s="7">
        <v>2008.4</v>
      </c>
      <c r="V86" s="5">
        <v>866.02</v>
      </c>
      <c r="W86" s="5">
        <v>799.74</v>
      </c>
      <c r="X86" s="5">
        <v>0</v>
      </c>
      <c r="Y86" s="5">
        <v>342.64</v>
      </c>
    </row>
    <row r="87" spans="1:25" ht="24.75" x14ac:dyDescent="0.25">
      <c r="A87" s="5" t="s">
        <v>26</v>
      </c>
      <c r="B87" s="5" t="s">
        <v>34</v>
      </c>
      <c r="C87" s="5" t="s">
        <v>44</v>
      </c>
      <c r="D87" s="5" t="s">
        <v>125</v>
      </c>
      <c r="E87" s="5" t="s">
        <v>38</v>
      </c>
      <c r="F87" s="5" t="s">
        <v>151</v>
      </c>
      <c r="G87" s="5">
        <v>2018</v>
      </c>
      <c r="H87" s="5" t="str">
        <f>CONCATENATE("84240494595")</f>
        <v>84240494595</v>
      </c>
      <c r="I87" s="5" t="s">
        <v>29</v>
      </c>
      <c r="J87" s="5" t="s">
        <v>30</v>
      </c>
      <c r="K87" s="5" t="str">
        <f>CONCATENATE("")</f>
        <v/>
      </c>
      <c r="L87" s="5" t="str">
        <f>CONCATENATE("11 11.1 4b")</f>
        <v>11 11.1 4b</v>
      </c>
      <c r="M87" s="5" t="str">
        <f>CONCATENATE("BNCLCU92C03D451C")</f>
        <v>BNCLCU92C03D451C</v>
      </c>
      <c r="N87" s="5" t="s">
        <v>161</v>
      </c>
      <c r="O87" s="5" t="s">
        <v>124</v>
      </c>
      <c r="P87" s="6">
        <v>44076</v>
      </c>
      <c r="Q87" s="5" t="s">
        <v>31</v>
      </c>
      <c r="R87" s="5" t="s">
        <v>32</v>
      </c>
      <c r="S87" s="5" t="s">
        <v>33</v>
      </c>
      <c r="T87" s="5"/>
      <c r="U87" s="5">
        <v>175.04</v>
      </c>
      <c r="V87" s="5">
        <v>75.48</v>
      </c>
      <c r="W87" s="5">
        <v>69.7</v>
      </c>
      <c r="X87" s="5">
        <v>0</v>
      </c>
      <c r="Y87" s="5">
        <v>29.86</v>
      </c>
    </row>
    <row r="88" spans="1:25" ht="24.75" x14ac:dyDescent="0.25">
      <c r="A88" s="5" t="s">
        <v>26</v>
      </c>
      <c r="B88" s="5" t="s">
        <v>34</v>
      </c>
      <c r="C88" s="5" t="s">
        <v>44</v>
      </c>
      <c r="D88" s="5" t="s">
        <v>125</v>
      </c>
      <c r="E88" s="5" t="s">
        <v>38</v>
      </c>
      <c r="F88" s="5" t="s">
        <v>151</v>
      </c>
      <c r="G88" s="5">
        <v>2019</v>
      </c>
      <c r="H88" s="5" t="str">
        <f>CONCATENATE("94240281637")</f>
        <v>94240281637</v>
      </c>
      <c r="I88" s="5" t="s">
        <v>29</v>
      </c>
      <c r="J88" s="5" t="s">
        <v>30</v>
      </c>
      <c r="K88" s="5" t="str">
        <f>CONCATENATE("")</f>
        <v/>
      </c>
      <c r="L88" s="5" t="str">
        <f>CONCATENATE("11 11.1 4b")</f>
        <v>11 11.1 4b</v>
      </c>
      <c r="M88" s="5" t="str">
        <f>CONCATENATE("BNCLCU92C03D451C")</f>
        <v>BNCLCU92C03D451C</v>
      </c>
      <c r="N88" s="5" t="s">
        <v>161</v>
      </c>
      <c r="O88" s="5" t="s">
        <v>124</v>
      </c>
      <c r="P88" s="6">
        <v>44076</v>
      </c>
      <c r="Q88" s="5" t="s">
        <v>31</v>
      </c>
      <c r="R88" s="5" t="s">
        <v>32</v>
      </c>
      <c r="S88" s="5" t="s">
        <v>33</v>
      </c>
      <c r="T88" s="5"/>
      <c r="U88" s="5">
        <v>227.85</v>
      </c>
      <c r="V88" s="5">
        <v>98.25</v>
      </c>
      <c r="W88" s="5">
        <v>90.73</v>
      </c>
      <c r="X88" s="5">
        <v>0</v>
      </c>
      <c r="Y88" s="5">
        <v>38.869999999999997</v>
      </c>
    </row>
    <row r="89" spans="1:25" ht="24.75" x14ac:dyDescent="0.25">
      <c r="A89" s="5" t="s">
        <v>26</v>
      </c>
      <c r="B89" s="5" t="s">
        <v>34</v>
      </c>
      <c r="C89" s="5" t="s">
        <v>44</v>
      </c>
      <c r="D89" s="5" t="s">
        <v>125</v>
      </c>
      <c r="E89" s="5" t="s">
        <v>38</v>
      </c>
      <c r="F89" s="5" t="s">
        <v>156</v>
      </c>
      <c r="G89" s="5">
        <v>2019</v>
      </c>
      <c r="H89" s="5" t="str">
        <f>CONCATENATE("94240801624")</f>
        <v>94240801624</v>
      </c>
      <c r="I89" s="5" t="s">
        <v>29</v>
      </c>
      <c r="J89" s="5" t="s">
        <v>30</v>
      </c>
      <c r="K89" s="5" t="str">
        <f>CONCATENATE("")</f>
        <v/>
      </c>
      <c r="L89" s="5" t="str">
        <f>CONCATENATE("11 11.1 4b")</f>
        <v>11 11.1 4b</v>
      </c>
      <c r="M89" s="5" t="str">
        <f>CONCATENATE("BNCMCL71S28H501N")</f>
        <v>BNCMCL71S28H501N</v>
      </c>
      <c r="N89" s="5" t="s">
        <v>162</v>
      </c>
      <c r="O89" s="5" t="s">
        <v>124</v>
      </c>
      <c r="P89" s="6">
        <v>44076</v>
      </c>
      <c r="Q89" s="5" t="s">
        <v>31</v>
      </c>
      <c r="R89" s="5" t="s">
        <v>32</v>
      </c>
      <c r="S89" s="5" t="s">
        <v>33</v>
      </c>
      <c r="T89" s="5"/>
      <c r="U89" s="5">
        <v>212.64</v>
      </c>
      <c r="V89" s="5">
        <v>91.69</v>
      </c>
      <c r="W89" s="5">
        <v>84.67</v>
      </c>
      <c r="X89" s="5">
        <v>0</v>
      </c>
      <c r="Y89" s="5">
        <v>36.28</v>
      </c>
    </row>
    <row r="90" spans="1:25" ht="24.75" x14ac:dyDescent="0.25">
      <c r="A90" s="5" t="s">
        <v>26</v>
      </c>
      <c r="B90" s="5" t="s">
        <v>34</v>
      </c>
      <c r="C90" s="5" t="s">
        <v>44</v>
      </c>
      <c r="D90" s="5" t="s">
        <v>125</v>
      </c>
      <c r="E90" s="5" t="s">
        <v>40</v>
      </c>
      <c r="F90" s="5" t="s">
        <v>163</v>
      </c>
      <c r="G90" s="5">
        <v>2019</v>
      </c>
      <c r="H90" s="5" t="str">
        <f>CONCATENATE("94240079981")</f>
        <v>94240079981</v>
      </c>
      <c r="I90" s="5" t="s">
        <v>29</v>
      </c>
      <c r="J90" s="5" t="s">
        <v>30</v>
      </c>
      <c r="K90" s="5" t="str">
        <f>CONCATENATE("")</f>
        <v/>
      </c>
      <c r="L90" s="5" t="str">
        <f>CONCATENATE("11 11.1 4b")</f>
        <v>11 11.1 4b</v>
      </c>
      <c r="M90" s="5" t="str">
        <f>CONCATENATE("LCCSDR78D12D451E")</f>
        <v>LCCSDR78D12D451E</v>
      </c>
      <c r="N90" s="5" t="s">
        <v>164</v>
      </c>
      <c r="O90" s="5" t="s">
        <v>124</v>
      </c>
      <c r="P90" s="6">
        <v>44076</v>
      </c>
      <c r="Q90" s="5" t="s">
        <v>31</v>
      </c>
      <c r="R90" s="5" t="s">
        <v>32</v>
      </c>
      <c r="S90" s="5" t="s">
        <v>33</v>
      </c>
      <c r="T90" s="5"/>
      <c r="U90" s="5">
        <v>342.85</v>
      </c>
      <c r="V90" s="5">
        <v>147.84</v>
      </c>
      <c r="W90" s="5">
        <v>136.52000000000001</v>
      </c>
      <c r="X90" s="5">
        <v>0</v>
      </c>
      <c r="Y90" s="5">
        <v>58.49</v>
      </c>
    </row>
    <row r="91" spans="1:25" ht="24.75" x14ac:dyDescent="0.25">
      <c r="A91" s="5" t="s">
        <v>26</v>
      </c>
      <c r="B91" s="5" t="s">
        <v>34</v>
      </c>
      <c r="C91" s="5" t="s">
        <v>44</v>
      </c>
      <c r="D91" s="5" t="s">
        <v>54</v>
      </c>
      <c r="E91" s="5" t="s">
        <v>37</v>
      </c>
      <c r="F91" s="5" t="s">
        <v>134</v>
      </c>
      <c r="G91" s="5">
        <v>2017</v>
      </c>
      <c r="H91" s="5" t="str">
        <f>CONCATENATE("74240650023")</f>
        <v>74240650023</v>
      </c>
      <c r="I91" s="5" t="s">
        <v>36</v>
      </c>
      <c r="J91" s="5" t="s">
        <v>30</v>
      </c>
      <c r="K91" s="5" t="str">
        <f>CONCATENATE("")</f>
        <v/>
      </c>
      <c r="L91" s="5" t="str">
        <f>CONCATENATE("11 11.2 4b")</f>
        <v>11 11.2 4b</v>
      </c>
      <c r="M91" s="5" t="str">
        <f>CONCATENATE("BRTMRC85D11L500G")</f>
        <v>BRTMRC85D11L500G</v>
      </c>
      <c r="N91" s="5" t="s">
        <v>165</v>
      </c>
      <c r="O91" s="5" t="s">
        <v>124</v>
      </c>
      <c r="P91" s="6">
        <v>44076</v>
      </c>
      <c r="Q91" s="5" t="s">
        <v>31</v>
      </c>
      <c r="R91" s="5" t="s">
        <v>32</v>
      </c>
      <c r="S91" s="5" t="s">
        <v>33</v>
      </c>
      <c r="T91" s="5"/>
      <c r="U91" s="5">
        <v>495.81</v>
      </c>
      <c r="V91" s="5">
        <v>213.79</v>
      </c>
      <c r="W91" s="5">
        <v>197.43</v>
      </c>
      <c r="X91" s="5">
        <v>0</v>
      </c>
      <c r="Y91" s="5">
        <v>84.59</v>
      </c>
    </row>
    <row r="92" spans="1:25" ht="24.75" x14ac:dyDescent="0.25">
      <c r="A92" s="5" t="s">
        <v>26</v>
      </c>
      <c r="B92" s="5" t="s">
        <v>34</v>
      </c>
      <c r="C92" s="5" t="s">
        <v>44</v>
      </c>
      <c r="D92" s="5" t="s">
        <v>54</v>
      </c>
      <c r="E92" s="5" t="s">
        <v>37</v>
      </c>
      <c r="F92" s="5" t="s">
        <v>134</v>
      </c>
      <c r="G92" s="5">
        <v>2018</v>
      </c>
      <c r="H92" s="5" t="str">
        <f>CONCATENATE("84240811459")</f>
        <v>84240811459</v>
      </c>
      <c r="I92" s="5" t="s">
        <v>29</v>
      </c>
      <c r="J92" s="5" t="s">
        <v>30</v>
      </c>
      <c r="K92" s="5" t="str">
        <f>CONCATENATE("")</f>
        <v/>
      </c>
      <c r="L92" s="5" t="str">
        <f>CONCATENATE("11 11.2 4b")</f>
        <v>11 11.2 4b</v>
      </c>
      <c r="M92" s="5" t="str">
        <f>CONCATENATE("BRTMRC85D11L500G")</f>
        <v>BRTMRC85D11L500G</v>
      </c>
      <c r="N92" s="5" t="s">
        <v>165</v>
      </c>
      <c r="O92" s="5" t="s">
        <v>124</v>
      </c>
      <c r="P92" s="6">
        <v>44076</v>
      </c>
      <c r="Q92" s="5" t="s">
        <v>31</v>
      </c>
      <c r="R92" s="5" t="s">
        <v>32</v>
      </c>
      <c r="S92" s="5" t="s">
        <v>33</v>
      </c>
      <c r="T92" s="5"/>
      <c r="U92" s="5">
        <v>345</v>
      </c>
      <c r="V92" s="5">
        <v>148.76</v>
      </c>
      <c r="W92" s="5">
        <v>137.38</v>
      </c>
      <c r="X92" s="5">
        <v>0</v>
      </c>
      <c r="Y92" s="5">
        <v>58.86</v>
      </c>
    </row>
    <row r="93" spans="1:25" ht="24.75" x14ac:dyDescent="0.25">
      <c r="A93" s="5" t="s">
        <v>26</v>
      </c>
      <c r="B93" s="5" t="s">
        <v>34</v>
      </c>
      <c r="C93" s="5" t="s">
        <v>44</v>
      </c>
      <c r="D93" s="5" t="s">
        <v>54</v>
      </c>
      <c r="E93" s="5" t="s">
        <v>37</v>
      </c>
      <c r="F93" s="5" t="s">
        <v>134</v>
      </c>
      <c r="G93" s="5">
        <v>2019</v>
      </c>
      <c r="H93" s="5" t="str">
        <f>CONCATENATE("94241061822")</f>
        <v>94241061822</v>
      </c>
      <c r="I93" s="5" t="s">
        <v>29</v>
      </c>
      <c r="J93" s="5" t="s">
        <v>30</v>
      </c>
      <c r="K93" s="5" t="str">
        <f>CONCATENATE("")</f>
        <v/>
      </c>
      <c r="L93" s="5" t="str">
        <f>CONCATENATE("11 11.2 4b")</f>
        <v>11 11.2 4b</v>
      </c>
      <c r="M93" s="5" t="str">
        <f>CONCATENATE("BRTMRC85D11L500G")</f>
        <v>BRTMRC85D11L500G</v>
      </c>
      <c r="N93" s="5" t="s">
        <v>165</v>
      </c>
      <c r="O93" s="5" t="s">
        <v>124</v>
      </c>
      <c r="P93" s="6">
        <v>44076</v>
      </c>
      <c r="Q93" s="5" t="s">
        <v>31</v>
      </c>
      <c r="R93" s="5" t="s">
        <v>32</v>
      </c>
      <c r="S93" s="5" t="s">
        <v>33</v>
      </c>
      <c r="T93" s="5"/>
      <c r="U93" s="5">
        <v>675.47</v>
      </c>
      <c r="V93" s="5">
        <v>291.26</v>
      </c>
      <c r="W93" s="5">
        <v>268.97000000000003</v>
      </c>
      <c r="X93" s="5">
        <v>0</v>
      </c>
      <c r="Y93" s="5">
        <v>115.24</v>
      </c>
    </row>
    <row r="94" spans="1:25" ht="24.75" x14ac:dyDescent="0.25">
      <c r="A94" s="5" t="s">
        <v>26</v>
      </c>
      <c r="B94" s="5" t="s">
        <v>34</v>
      </c>
      <c r="C94" s="5" t="s">
        <v>44</v>
      </c>
      <c r="D94" s="5" t="s">
        <v>54</v>
      </c>
      <c r="E94" s="5" t="s">
        <v>38</v>
      </c>
      <c r="F94" s="5" t="s">
        <v>136</v>
      </c>
      <c r="G94" s="5">
        <v>2018</v>
      </c>
      <c r="H94" s="5" t="str">
        <f>CONCATENATE("84240596993")</f>
        <v>84240596993</v>
      </c>
      <c r="I94" s="5" t="s">
        <v>29</v>
      </c>
      <c r="J94" s="5" t="s">
        <v>30</v>
      </c>
      <c r="K94" s="5" t="str">
        <f>CONCATENATE("")</f>
        <v/>
      </c>
      <c r="L94" s="5" t="str">
        <f>CONCATENATE("11 11.2 4b")</f>
        <v>11 11.2 4b</v>
      </c>
      <c r="M94" s="5" t="str">
        <f>CONCATENATE("GNNRFO55D11L500N")</f>
        <v>GNNRFO55D11L500N</v>
      </c>
      <c r="N94" s="5" t="s">
        <v>166</v>
      </c>
      <c r="O94" s="5" t="s">
        <v>124</v>
      </c>
      <c r="P94" s="6">
        <v>44076</v>
      </c>
      <c r="Q94" s="5" t="s">
        <v>31</v>
      </c>
      <c r="R94" s="5" t="s">
        <v>32</v>
      </c>
      <c r="S94" s="5" t="s">
        <v>33</v>
      </c>
      <c r="T94" s="5"/>
      <c r="U94" s="5">
        <v>208.46</v>
      </c>
      <c r="V94" s="5">
        <v>89.89</v>
      </c>
      <c r="W94" s="5">
        <v>83.01</v>
      </c>
      <c r="X94" s="5">
        <v>0</v>
      </c>
      <c r="Y94" s="5">
        <v>35.56</v>
      </c>
    </row>
    <row r="95" spans="1:25" ht="24.75" x14ac:dyDescent="0.25">
      <c r="A95" s="5" t="s">
        <v>26</v>
      </c>
      <c r="B95" s="5" t="s">
        <v>34</v>
      </c>
      <c r="C95" s="5" t="s">
        <v>44</v>
      </c>
      <c r="D95" s="5" t="s">
        <v>54</v>
      </c>
      <c r="E95" s="5" t="s">
        <v>38</v>
      </c>
      <c r="F95" s="5" t="s">
        <v>136</v>
      </c>
      <c r="G95" s="5">
        <v>2019</v>
      </c>
      <c r="H95" s="5" t="str">
        <f>CONCATENATE("94240101363")</f>
        <v>94240101363</v>
      </c>
      <c r="I95" s="5" t="s">
        <v>29</v>
      </c>
      <c r="J95" s="5" t="s">
        <v>30</v>
      </c>
      <c r="K95" s="5" t="str">
        <f>CONCATENATE("")</f>
        <v/>
      </c>
      <c r="L95" s="5" t="str">
        <f>CONCATENATE("11 11.2 4b")</f>
        <v>11 11.2 4b</v>
      </c>
      <c r="M95" s="5" t="str">
        <f>CONCATENATE("GNNRFO55D11L500N")</f>
        <v>GNNRFO55D11L500N</v>
      </c>
      <c r="N95" s="5" t="s">
        <v>166</v>
      </c>
      <c r="O95" s="5" t="s">
        <v>124</v>
      </c>
      <c r="P95" s="6">
        <v>44076</v>
      </c>
      <c r="Q95" s="5" t="s">
        <v>31</v>
      </c>
      <c r="R95" s="5" t="s">
        <v>32</v>
      </c>
      <c r="S95" s="5" t="s">
        <v>33</v>
      </c>
      <c r="T95" s="5"/>
      <c r="U95" s="5">
        <v>225.7</v>
      </c>
      <c r="V95" s="5">
        <v>97.32</v>
      </c>
      <c r="W95" s="5">
        <v>89.87</v>
      </c>
      <c r="X95" s="5">
        <v>0</v>
      </c>
      <c r="Y95" s="5">
        <v>38.51</v>
      </c>
    </row>
    <row r="96" spans="1:25" ht="24.75" x14ac:dyDescent="0.25">
      <c r="A96" s="5" t="s">
        <v>26</v>
      </c>
      <c r="B96" s="5" t="s">
        <v>34</v>
      </c>
      <c r="C96" s="5" t="s">
        <v>44</v>
      </c>
      <c r="D96" s="5" t="s">
        <v>54</v>
      </c>
      <c r="E96" s="5" t="s">
        <v>37</v>
      </c>
      <c r="F96" s="5" t="s">
        <v>139</v>
      </c>
      <c r="G96" s="5">
        <v>2019</v>
      </c>
      <c r="H96" s="5" t="str">
        <f>CONCATENATE("94240389307")</f>
        <v>94240389307</v>
      </c>
      <c r="I96" s="5" t="s">
        <v>29</v>
      </c>
      <c r="J96" s="5" t="s">
        <v>30</v>
      </c>
      <c r="K96" s="5" t="str">
        <f>CONCATENATE("")</f>
        <v/>
      </c>
      <c r="L96" s="5" t="str">
        <f>CONCATENATE("11 11.2 4b")</f>
        <v>11 11.2 4b</v>
      </c>
      <c r="M96" s="5" t="str">
        <f>CONCATENATE("RBRLSN59B07H809J")</f>
        <v>RBRLSN59B07H809J</v>
      </c>
      <c r="N96" s="5" t="s">
        <v>140</v>
      </c>
      <c r="O96" s="5" t="s">
        <v>124</v>
      </c>
      <c r="P96" s="6">
        <v>44076</v>
      </c>
      <c r="Q96" s="5" t="s">
        <v>31</v>
      </c>
      <c r="R96" s="5" t="s">
        <v>32</v>
      </c>
      <c r="S96" s="5" t="s">
        <v>33</v>
      </c>
      <c r="T96" s="5"/>
      <c r="U96" s="5">
        <v>667.53</v>
      </c>
      <c r="V96" s="5">
        <v>287.83999999999997</v>
      </c>
      <c r="W96" s="5">
        <v>265.81</v>
      </c>
      <c r="X96" s="5">
        <v>0</v>
      </c>
      <c r="Y96" s="5">
        <v>113.88</v>
      </c>
    </row>
    <row r="97" spans="1:25" ht="24.75" x14ac:dyDescent="0.25">
      <c r="A97" s="5" t="s">
        <v>26</v>
      </c>
      <c r="B97" s="5" t="s">
        <v>34</v>
      </c>
      <c r="C97" s="5" t="s">
        <v>44</v>
      </c>
      <c r="D97" s="5" t="s">
        <v>54</v>
      </c>
      <c r="E97" s="5" t="s">
        <v>38</v>
      </c>
      <c r="F97" s="5" t="s">
        <v>149</v>
      </c>
      <c r="G97" s="5">
        <v>2017</v>
      </c>
      <c r="H97" s="5" t="str">
        <f>CONCATENATE("74240185947")</f>
        <v>74240185947</v>
      </c>
      <c r="I97" s="5" t="s">
        <v>29</v>
      </c>
      <c r="J97" s="5" t="s">
        <v>30</v>
      </c>
      <c r="K97" s="5" t="str">
        <f>CONCATENATE("")</f>
        <v/>
      </c>
      <c r="L97" s="5" t="str">
        <f>CONCATENATE("11 11.1 4b")</f>
        <v>11 11.1 4b</v>
      </c>
      <c r="M97" s="5" t="str">
        <f>CONCATENATE("CPTMNT56A44D791R")</f>
        <v>CPTMNT56A44D791R</v>
      </c>
      <c r="N97" s="5" t="s">
        <v>167</v>
      </c>
      <c r="O97" s="5" t="s">
        <v>124</v>
      </c>
      <c r="P97" s="6">
        <v>44076</v>
      </c>
      <c r="Q97" s="5" t="s">
        <v>31</v>
      </c>
      <c r="R97" s="5" t="s">
        <v>32</v>
      </c>
      <c r="S97" s="5" t="s">
        <v>33</v>
      </c>
      <c r="T97" s="5"/>
      <c r="U97" s="5">
        <v>170</v>
      </c>
      <c r="V97" s="5">
        <v>73.3</v>
      </c>
      <c r="W97" s="5">
        <v>67.69</v>
      </c>
      <c r="X97" s="5">
        <v>0</v>
      </c>
      <c r="Y97" s="5">
        <v>29.01</v>
      </c>
    </row>
    <row r="98" spans="1:25" ht="24.75" x14ac:dyDescent="0.25">
      <c r="A98" s="5" t="s">
        <v>26</v>
      </c>
      <c r="B98" s="5" t="s">
        <v>34</v>
      </c>
      <c r="C98" s="5" t="s">
        <v>44</v>
      </c>
      <c r="D98" s="5" t="s">
        <v>54</v>
      </c>
      <c r="E98" s="5" t="s">
        <v>38</v>
      </c>
      <c r="F98" s="5" t="s">
        <v>149</v>
      </c>
      <c r="G98" s="5">
        <v>2018</v>
      </c>
      <c r="H98" s="5" t="str">
        <f>CONCATENATE("84240026850")</f>
        <v>84240026850</v>
      </c>
      <c r="I98" s="5" t="s">
        <v>29</v>
      </c>
      <c r="J98" s="5" t="s">
        <v>30</v>
      </c>
      <c r="K98" s="5" t="str">
        <f>CONCATENATE("")</f>
        <v/>
      </c>
      <c r="L98" s="5" t="str">
        <f>CONCATENATE("11 11.1 4b")</f>
        <v>11 11.1 4b</v>
      </c>
      <c r="M98" s="5" t="str">
        <f>CONCATENATE("CPTMNT56A44D791R")</f>
        <v>CPTMNT56A44D791R</v>
      </c>
      <c r="N98" s="5" t="s">
        <v>167</v>
      </c>
      <c r="O98" s="5" t="s">
        <v>124</v>
      </c>
      <c r="P98" s="6">
        <v>44076</v>
      </c>
      <c r="Q98" s="5" t="s">
        <v>31</v>
      </c>
      <c r="R98" s="5" t="s">
        <v>32</v>
      </c>
      <c r="S98" s="5" t="s">
        <v>33</v>
      </c>
      <c r="T98" s="5"/>
      <c r="U98" s="5">
        <v>164.22</v>
      </c>
      <c r="V98" s="5">
        <v>70.81</v>
      </c>
      <c r="W98" s="5">
        <v>65.39</v>
      </c>
      <c r="X98" s="5">
        <v>0</v>
      </c>
      <c r="Y98" s="5">
        <v>28.02</v>
      </c>
    </row>
    <row r="99" spans="1:25" ht="24.75" x14ac:dyDescent="0.25">
      <c r="A99" s="5" t="s">
        <v>26</v>
      </c>
      <c r="B99" s="5" t="s">
        <v>34</v>
      </c>
      <c r="C99" s="5" t="s">
        <v>44</v>
      </c>
      <c r="D99" s="5" t="s">
        <v>54</v>
      </c>
      <c r="E99" s="5" t="s">
        <v>38</v>
      </c>
      <c r="F99" s="5" t="s">
        <v>149</v>
      </c>
      <c r="G99" s="5">
        <v>2019</v>
      </c>
      <c r="H99" s="5" t="str">
        <f>CONCATENATE("94240064892")</f>
        <v>94240064892</v>
      </c>
      <c r="I99" s="5" t="s">
        <v>29</v>
      </c>
      <c r="J99" s="5" t="s">
        <v>30</v>
      </c>
      <c r="K99" s="5" t="str">
        <f>CONCATENATE("")</f>
        <v/>
      </c>
      <c r="L99" s="5" t="str">
        <f>CONCATENATE("11 11.1 4b")</f>
        <v>11 11.1 4b</v>
      </c>
      <c r="M99" s="5" t="str">
        <f>CONCATENATE("CPTMNT56A44D791R")</f>
        <v>CPTMNT56A44D791R</v>
      </c>
      <c r="N99" s="5" t="s">
        <v>167</v>
      </c>
      <c r="O99" s="5" t="s">
        <v>124</v>
      </c>
      <c r="P99" s="6">
        <v>44076</v>
      </c>
      <c r="Q99" s="5" t="s">
        <v>31</v>
      </c>
      <c r="R99" s="5" t="s">
        <v>32</v>
      </c>
      <c r="S99" s="5" t="s">
        <v>33</v>
      </c>
      <c r="T99" s="5"/>
      <c r="U99" s="5">
        <v>165.98</v>
      </c>
      <c r="V99" s="5">
        <v>71.569999999999993</v>
      </c>
      <c r="W99" s="5">
        <v>66.09</v>
      </c>
      <c r="X99" s="5">
        <v>0</v>
      </c>
      <c r="Y99" s="5">
        <v>28.32</v>
      </c>
    </row>
    <row r="100" spans="1:25" ht="24.75" x14ac:dyDescent="0.25">
      <c r="A100" s="5" t="s">
        <v>26</v>
      </c>
      <c r="B100" s="5" t="s">
        <v>34</v>
      </c>
      <c r="C100" s="5" t="s">
        <v>44</v>
      </c>
      <c r="D100" s="5" t="s">
        <v>125</v>
      </c>
      <c r="E100" s="5" t="s">
        <v>38</v>
      </c>
      <c r="F100" s="5" t="s">
        <v>151</v>
      </c>
      <c r="G100" s="5">
        <v>2018</v>
      </c>
      <c r="H100" s="5" t="str">
        <f>CONCATENATE("84240709810")</f>
        <v>84240709810</v>
      </c>
      <c r="I100" s="5" t="s">
        <v>29</v>
      </c>
      <c r="J100" s="5" t="s">
        <v>30</v>
      </c>
      <c r="K100" s="5" t="str">
        <f>CONCATENATE("")</f>
        <v/>
      </c>
      <c r="L100" s="5" t="str">
        <f>CONCATENATE("11 11.1 4b")</f>
        <v>11 11.1 4b</v>
      </c>
      <c r="M100" s="5" t="str">
        <f>CONCATENATE("MNRCLD67H16A366B")</f>
        <v>MNRCLD67H16A366B</v>
      </c>
      <c r="N100" s="5" t="s">
        <v>168</v>
      </c>
      <c r="O100" s="5" t="s">
        <v>124</v>
      </c>
      <c r="P100" s="6">
        <v>44076</v>
      </c>
      <c r="Q100" s="5" t="s">
        <v>31</v>
      </c>
      <c r="R100" s="5" t="s">
        <v>32</v>
      </c>
      <c r="S100" s="5" t="s">
        <v>33</v>
      </c>
      <c r="T100" s="5"/>
      <c r="U100" s="5">
        <v>106.6</v>
      </c>
      <c r="V100" s="5">
        <v>45.97</v>
      </c>
      <c r="W100" s="5">
        <v>42.45</v>
      </c>
      <c r="X100" s="5">
        <v>0</v>
      </c>
      <c r="Y100" s="5">
        <v>18.18</v>
      </c>
    </row>
    <row r="101" spans="1:25" ht="24.75" x14ac:dyDescent="0.25">
      <c r="A101" s="5" t="s">
        <v>26</v>
      </c>
      <c r="B101" s="5" t="s">
        <v>34</v>
      </c>
      <c r="C101" s="5" t="s">
        <v>44</v>
      </c>
      <c r="D101" s="5" t="s">
        <v>125</v>
      </c>
      <c r="E101" s="5" t="s">
        <v>38</v>
      </c>
      <c r="F101" s="5" t="s">
        <v>151</v>
      </c>
      <c r="G101" s="5">
        <v>2019</v>
      </c>
      <c r="H101" s="5" t="str">
        <f>CONCATENATE("94240008683")</f>
        <v>94240008683</v>
      </c>
      <c r="I101" s="5" t="s">
        <v>29</v>
      </c>
      <c r="J101" s="5" t="s">
        <v>30</v>
      </c>
      <c r="K101" s="5" t="str">
        <f>CONCATENATE("")</f>
        <v/>
      </c>
      <c r="L101" s="5" t="str">
        <f>CONCATENATE("11 11.1 4b")</f>
        <v>11 11.1 4b</v>
      </c>
      <c r="M101" s="5" t="str">
        <f>CONCATENATE("MNRCLD67H16A366B")</f>
        <v>MNRCLD67H16A366B</v>
      </c>
      <c r="N101" s="5" t="s">
        <v>168</v>
      </c>
      <c r="O101" s="5" t="s">
        <v>124</v>
      </c>
      <c r="P101" s="6">
        <v>44076</v>
      </c>
      <c r="Q101" s="5" t="s">
        <v>31</v>
      </c>
      <c r="R101" s="5" t="s">
        <v>32</v>
      </c>
      <c r="S101" s="5" t="s">
        <v>33</v>
      </c>
      <c r="T101" s="5"/>
      <c r="U101" s="5">
        <v>45.1</v>
      </c>
      <c r="V101" s="5">
        <v>19.45</v>
      </c>
      <c r="W101" s="5">
        <v>17.96</v>
      </c>
      <c r="X101" s="5">
        <v>0</v>
      </c>
      <c r="Y101" s="5">
        <v>7.69</v>
      </c>
    </row>
    <row r="102" spans="1:25" ht="24.75" x14ac:dyDescent="0.25">
      <c r="A102" s="5" t="s">
        <v>26</v>
      </c>
      <c r="B102" s="5" t="s">
        <v>34</v>
      </c>
      <c r="C102" s="5" t="s">
        <v>44</v>
      </c>
      <c r="D102" s="5" t="s">
        <v>54</v>
      </c>
      <c r="E102" s="5" t="s">
        <v>85</v>
      </c>
      <c r="F102" s="5" t="s">
        <v>169</v>
      </c>
      <c r="G102" s="5">
        <v>2018</v>
      </c>
      <c r="H102" s="5" t="str">
        <f>CONCATENATE("84240513857")</f>
        <v>84240513857</v>
      </c>
      <c r="I102" s="5" t="s">
        <v>29</v>
      </c>
      <c r="J102" s="5" t="s">
        <v>30</v>
      </c>
      <c r="K102" s="5" t="str">
        <f>CONCATENATE("")</f>
        <v/>
      </c>
      <c r="L102" s="5" t="str">
        <f>CONCATENATE("11 11.1 4b")</f>
        <v>11 11.1 4b</v>
      </c>
      <c r="M102" s="5" t="str">
        <f>CONCATENATE("02600130419")</f>
        <v>02600130419</v>
      </c>
      <c r="N102" s="5" t="s">
        <v>170</v>
      </c>
      <c r="O102" s="5" t="s">
        <v>124</v>
      </c>
      <c r="P102" s="6">
        <v>44076</v>
      </c>
      <c r="Q102" s="5" t="s">
        <v>31</v>
      </c>
      <c r="R102" s="5" t="s">
        <v>32</v>
      </c>
      <c r="S102" s="5" t="s">
        <v>33</v>
      </c>
      <c r="T102" s="5"/>
      <c r="U102" s="5">
        <v>951.83</v>
      </c>
      <c r="V102" s="5">
        <v>410.43</v>
      </c>
      <c r="W102" s="5">
        <v>379.02</v>
      </c>
      <c r="X102" s="5">
        <v>0</v>
      </c>
      <c r="Y102" s="5">
        <v>162.38</v>
      </c>
    </row>
    <row r="103" spans="1:25" ht="24.75" x14ac:dyDescent="0.25">
      <c r="A103" s="5" t="s">
        <v>26</v>
      </c>
      <c r="B103" s="5" t="s">
        <v>34</v>
      </c>
      <c r="C103" s="5" t="s">
        <v>44</v>
      </c>
      <c r="D103" s="5" t="s">
        <v>54</v>
      </c>
      <c r="E103" s="5" t="s">
        <v>85</v>
      </c>
      <c r="F103" s="5" t="s">
        <v>169</v>
      </c>
      <c r="G103" s="5">
        <v>2019</v>
      </c>
      <c r="H103" s="5" t="str">
        <f>CONCATENATE("94240664394")</f>
        <v>94240664394</v>
      </c>
      <c r="I103" s="5" t="s">
        <v>29</v>
      </c>
      <c r="J103" s="5" t="s">
        <v>30</v>
      </c>
      <c r="K103" s="5" t="str">
        <f>CONCATENATE("")</f>
        <v/>
      </c>
      <c r="L103" s="5" t="str">
        <f>CONCATENATE("11 11.1 4b")</f>
        <v>11 11.1 4b</v>
      </c>
      <c r="M103" s="5" t="str">
        <f>CONCATENATE("02600130419")</f>
        <v>02600130419</v>
      </c>
      <c r="N103" s="5" t="s">
        <v>170</v>
      </c>
      <c r="O103" s="5" t="s">
        <v>124</v>
      </c>
      <c r="P103" s="6">
        <v>44076</v>
      </c>
      <c r="Q103" s="5" t="s">
        <v>31</v>
      </c>
      <c r="R103" s="5" t="s">
        <v>32</v>
      </c>
      <c r="S103" s="5" t="s">
        <v>33</v>
      </c>
      <c r="T103" s="5"/>
      <c r="U103" s="5">
        <v>960.64</v>
      </c>
      <c r="V103" s="5">
        <v>414.23</v>
      </c>
      <c r="W103" s="5">
        <v>382.53</v>
      </c>
      <c r="X103" s="5">
        <v>0</v>
      </c>
      <c r="Y103" s="5">
        <v>163.88</v>
      </c>
    </row>
    <row r="104" spans="1:25" ht="24.75" x14ac:dyDescent="0.25">
      <c r="A104" s="5" t="s">
        <v>26</v>
      </c>
      <c r="B104" s="5" t="s">
        <v>34</v>
      </c>
      <c r="C104" s="5" t="s">
        <v>44</v>
      </c>
      <c r="D104" s="5" t="s">
        <v>54</v>
      </c>
      <c r="E104" s="5" t="s">
        <v>85</v>
      </c>
      <c r="F104" s="5" t="s">
        <v>169</v>
      </c>
      <c r="G104" s="5">
        <v>2017</v>
      </c>
      <c r="H104" s="5" t="str">
        <f>CONCATENATE("74240965884")</f>
        <v>74240965884</v>
      </c>
      <c r="I104" s="5" t="s">
        <v>29</v>
      </c>
      <c r="J104" s="5" t="s">
        <v>30</v>
      </c>
      <c r="K104" s="5" t="str">
        <f>CONCATENATE("")</f>
        <v/>
      </c>
      <c r="L104" s="5" t="str">
        <f>CONCATENATE("11 11.1 4b")</f>
        <v>11 11.1 4b</v>
      </c>
      <c r="M104" s="5" t="str">
        <f>CONCATENATE("02573370414")</f>
        <v>02573370414</v>
      </c>
      <c r="N104" s="5" t="s">
        <v>171</v>
      </c>
      <c r="O104" s="5" t="s">
        <v>124</v>
      </c>
      <c r="P104" s="6">
        <v>44076</v>
      </c>
      <c r="Q104" s="5" t="s">
        <v>31</v>
      </c>
      <c r="R104" s="5" t="s">
        <v>32</v>
      </c>
      <c r="S104" s="5" t="s">
        <v>33</v>
      </c>
      <c r="T104" s="5"/>
      <c r="U104" s="5">
        <v>185.3</v>
      </c>
      <c r="V104" s="5">
        <v>79.900000000000006</v>
      </c>
      <c r="W104" s="5">
        <v>73.790000000000006</v>
      </c>
      <c r="X104" s="5">
        <v>0</v>
      </c>
      <c r="Y104" s="5">
        <v>31.61</v>
      </c>
    </row>
    <row r="105" spans="1:25" ht="24.75" x14ac:dyDescent="0.25">
      <c r="A105" s="5" t="s">
        <v>26</v>
      </c>
      <c r="B105" s="5" t="s">
        <v>34</v>
      </c>
      <c r="C105" s="5" t="s">
        <v>44</v>
      </c>
      <c r="D105" s="5" t="s">
        <v>125</v>
      </c>
      <c r="E105" s="5" t="s">
        <v>38</v>
      </c>
      <c r="F105" s="5" t="s">
        <v>151</v>
      </c>
      <c r="G105" s="5">
        <v>2018</v>
      </c>
      <c r="H105" s="5" t="str">
        <f>CONCATENATE("84240690556")</f>
        <v>84240690556</v>
      </c>
      <c r="I105" s="5" t="s">
        <v>29</v>
      </c>
      <c r="J105" s="5" t="s">
        <v>30</v>
      </c>
      <c r="K105" s="5" t="str">
        <f>CONCATENATE("")</f>
        <v/>
      </c>
      <c r="L105" s="5" t="str">
        <f>CONCATENATE("11 11.2 4b")</f>
        <v>11 11.2 4b</v>
      </c>
      <c r="M105" s="5" t="str">
        <f>CONCATENATE("PCCDNL82T29D451P")</f>
        <v>PCCDNL82T29D451P</v>
      </c>
      <c r="N105" s="5" t="s">
        <v>172</v>
      </c>
      <c r="O105" s="5" t="s">
        <v>124</v>
      </c>
      <c r="P105" s="6">
        <v>44076</v>
      </c>
      <c r="Q105" s="5" t="s">
        <v>31</v>
      </c>
      <c r="R105" s="5" t="s">
        <v>32</v>
      </c>
      <c r="S105" s="5" t="s">
        <v>33</v>
      </c>
      <c r="T105" s="5"/>
      <c r="U105" s="7">
        <v>2146.5300000000002</v>
      </c>
      <c r="V105" s="5">
        <v>925.58</v>
      </c>
      <c r="W105" s="5">
        <v>854.75</v>
      </c>
      <c r="X105" s="5">
        <v>0</v>
      </c>
      <c r="Y105" s="5">
        <v>366.2</v>
      </c>
    </row>
    <row r="106" spans="1:25" ht="24.75" x14ac:dyDescent="0.25">
      <c r="A106" s="5" t="s">
        <v>26</v>
      </c>
      <c r="B106" s="5" t="s">
        <v>34</v>
      </c>
      <c r="C106" s="5" t="s">
        <v>44</v>
      </c>
      <c r="D106" s="5" t="s">
        <v>125</v>
      </c>
      <c r="E106" s="5" t="s">
        <v>38</v>
      </c>
      <c r="F106" s="5" t="s">
        <v>151</v>
      </c>
      <c r="G106" s="5">
        <v>2019</v>
      </c>
      <c r="H106" s="5" t="str">
        <f>CONCATENATE("94240643208")</f>
        <v>94240643208</v>
      </c>
      <c r="I106" s="5" t="s">
        <v>29</v>
      </c>
      <c r="J106" s="5" t="s">
        <v>30</v>
      </c>
      <c r="K106" s="5" t="str">
        <f>CONCATENATE("")</f>
        <v/>
      </c>
      <c r="L106" s="5" t="str">
        <f>CONCATENATE("11 11.2 4b")</f>
        <v>11 11.2 4b</v>
      </c>
      <c r="M106" s="5" t="str">
        <f>CONCATENATE("PCCDNL82T29D451P")</f>
        <v>PCCDNL82T29D451P</v>
      </c>
      <c r="N106" s="5" t="s">
        <v>172</v>
      </c>
      <c r="O106" s="5" t="s">
        <v>124</v>
      </c>
      <c r="P106" s="6">
        <v>44076</v>
      </c>
      <c r="Q106" s="5" t="s">
        <v>31</v>
      </c>
      <c r="R106" s="5" t="s">
        <v>32</v>
      </c>
      <c r="S106" s="5" t="s">
        <v>33</v>
      </c>
      <c r="T106" s="5"/>
      <c r="U106" s="7">
        <v>2141.08</v>
      </c>
      <c r="V106" s="5">
        <v>923.23</v>
      </c>
      <c r="W106" s="5">
        <v>852.58</v>
      </c>
      <c r="X106" s="5">
        <v>0</v>
      </c>
      <c r="Y106" s="5">
        <v>365.27</v>
      </c>
    </row>
    <row r="107" spans="1:25" ht="24.75" x14ac:dyDescent="0.25">
      <c r="A107" s="5" t="s">
        <v>26</v>
      </c>
      <c r="B107" s="5" t="s">
        <v>34</v>
      </c>
      <c r="C107" s="5" t="s">
        <v>44</v>
      </c>
      <c r="D107" s="5" t="s">
        <v>125</v>
      </c>
      <c r="E107" s="5" t="s">
        <v>38</v>
      </c>
      <c r="F107" s="5" t="s">
        <v>156</v>
      </c>
      <c r="G107" s="5">
        <v>2019</v>
      </c>
      <c r="H107" s="5" t="str">
        <f>CONCATENATE("94240008501")</f>
        <v>94240008501</v>
      </c>
      <c r="I107" s="5" t="s">
        <v>29</v>
      </c>
      <c r="J107" s="5" t="s">
        <v>30</v>
      </c>
      <c r="K107" s="5" t="str">
        <f>CONCATENATE("")</f>
        <v/>
      </c>
      <c r="L107" s="5" t="str">
        <f>CONCATENATE("11 11.2 4b")</f>
        <v>11 11.2 4b</v>
      </c>
      <c r="M107" s="5" t="str">
        <f>CONCATENATE("SLTRRT58B19Z120W")</f>
        <v>SLTRRT58B19Z120W</v>
      </c>
      <c r="N107" s="5" t="s">
        <v>173</v>
      </c>
      <c r="O107" s="5" t="s">
        <v>124</v>
      </c>
      <c r="P107" s="6">
        <v>44076</v>
      </c>
      <c r="Q107" s="5" t="s">
        <v>31</v>
      </c>
      <c r="R107" s="5" t="s">
        <v>32</v>
      </c>
      <c r="S107" s="5" t="s">
        <v>33</v>
      </c>
      <c r="T107" s="5"/>
      <c r="U107" s="5">
        <v>196.6</v>
      </c>
      <c r="V107" s="5">
        <v>84.77</v>
      </c>
      <c r="W107" s="5">
        <v>78.290000000000006</v>
      </c>
      <c r="X107" s="5">
        <v>0</v>
      </c>
      <c r="Y107" s="5">
        <v>33.54</v>
      </c>
    </row>
    <row r="108" spans="1:25" ht="24.75" x14ac:dyDescent="0.25">
      <c r="A108" s="5" t="s">
        <v>26</v>
      </c>
      <c r="B108" s="5" t="s">
        <v>34</v>
      </c>
      <c r="C108" s="5" t="s">
        <v>44</v>
      </c>
      <c r="D108" s="5" t="s">
        <v>125</v>
      </c>
      <c r="E108" s="5" t="s">
        <v>38</v>
      </c>
      <c r="F108" s="5" t="s">
        <v>156</v>
      </c>
      <c r="G108" s="5">
        <v>2019</v>
      </c>
      <c r="H108" s="5" t="str">
        <f>CONCATENATE("94240813728")</f>
        <v>94240813728</v>
      </c>
      <c r="I108" s="5" t="s">
        <v>29</v>
      </c>
      <c r="J108" s="5" t="s">
        <v>30</v>
      </c>
      <c r="K108" s="5" t="str">
        <f>CONCATENATE("")</f>
        <v/>
      </c>
      <c r="L108" s="5" t="str">
        <f>CONCATENATE("11 11.2 4b")</f>
        <v>11 11.2 4b</v>
      </c>
      <c r="M108" s="5" t="str">
        <f>CONCATENATE("ZCCRLL63A48E388M")</f>
        <v>ZCCRLL63A48E388M</v>
      </c>
      <c r="N108" s="5" t="s">
        <v>174</v>
      </c>
      <c r="O108" s="5" t="s">
        <v>124</v>
      </c>
      <c r="P108" s="6">
        <v>44076</v>
      </c>
      <c r="Q108" s="5" t="s">
        <v>31</v>
      </c>
      <c r="R108" s="5" t="s">
        <v>32</v>
      </c>
      <c r="S108" s="5" t="s">
        <v>33</v>
      </c>
      <c r="T108" s="5"/>
      <c r="U108" s="7">
        <v>1078.47</v>
      </c>
      <c r="V108" s="5">
        <v>465.04</v>
      </c>
      <c r="W108" s="5">
        <v>429.45</v>
      </c>
      <c r="X108" s="5">
        <v>0</v>
      </c>
      <c r="Y108" s="5">
        <v>183.98</v>
      </c>
    </row>
    <row r="109" spans="1:25" ht="24.75" x14ac:dyDescent="0.25">
      <c r="A109" s="5" t="s">
        <v>26</v>
      </c>
      <c r="B109" s="5" t="s">
        <v>34</v>
      </c>
      <c r="C109" s="5" t="s">
        <v>44</v>
      </c>
      <c r="D109" s="5" t="s">
        <v>125</v>
      </c>
      <c r="E109" s="5" t="s">
        <v>37</v>
      </c>
      <c r="F109" s="5" t="s">
        <v>145</v>
      </c>
      <c r="G109" s="5">
        <v>2019</v>
      </c>
      <c r="H109" s="5" t="str">
        <f>CONCATENATE("94240741374")</f>
        <v>94240741374</v>
      </c>
      <c r="I109" s="5" t="s">
        <v>29</v>
      </c>
      <c r="J109" s="5" t="s">
        <v>30</v>
      </c>
      <c r="K109" s="5" t="str">
        <f>CONCATENATE("")</f>
        <v/>
      </c>
      <c r="L109" s="5" t="str">
        <f>CONCATENATE("11 11.2 4b")</f>
        <v>11 11.2 4b</v>
      </c>
      <c r="M109" s="5" t="str">
        <f>CONCATENATE("CRTNRC64P10A271R")</f>
        <v>CRTNRC64P10A271R</v>
      </c>
      <c r="N109" s="5" t="s">
        <v>175</v>
      </c>
      <c r="O109" s="5" t="s">
        <v>124</v>
      </c>
      <c r="P109" s="6">
        <v>44076</v>
      </c>
      <c r="Q109" s="5" t="s">
        <v>31</v>
      </c>
      <c r="R109" s="5" t="s">
        <v>32</v>
      </c>
      <c r="S109" s="5" t="s">
        <v>33</v>
      </c>
      <c r="T109" s="5"/>
      <c r="U109" s="7">
        <v>7571.88</v>
      </c>
      <c r="V109" s="7">
        <v>3264.99</v>
      </c>
      <c r="W109" s="7">
        <v>3015.12</v>
      </c>
      <c r="X109" s="5">
        <v>0</v>
      </c>
      <c r="Y109" s="7">
        <v>1291.77</v>
      </c>
    </row>
    <row r="110" spans="1:25" ht="24.75" x14ac:dyDescent="0.25">
      <c r="A110" s="5" t="s">
        <v>26</v>
      </c>
      <c r="B110" s="5" t="s">
        <v>34</v>
      </c>
      <c r="C110" s="5" t="s">
        <v>44</v>
      </c>
      <c r="D110" s="5" t="s">
        <v>54</v>
      </c>
      <c r="E110" s="5" t="s">
        <v>38</v>
      </c>
      <c r="F110" s="5" t="s">
        <v>176</v>
      </c>
      <c r="G110" s="5">
        <v>2018</v>
      </c>
      <c r="H110" s="5" t="str">
        <f>CONCATENATE("84240684252")</f>
        <v>84240684252</v>
      </c>
      <c r="I110" s="5" t="s">
        <v>29</v>
      </c>
      <c r="J110" s="5" t="s">
        <v>30</v>
      </c>
      <c r="K110" s="5" t="str">
        <f>CONCATENATE("")</f>
        <v/>
      </c>
      <c r="L110" s="5" t="str">
        <f>CONCATENATE("11 11.2 4b")</f>
        <v>11 11.2 4b</v>
      </c>
      <c r="M110" s="5" t="str">
        <f>CONCATENATE("SVLNDR73S08G479M")</f>
        <v>SVLNDR73S08G479M</v>
      </c>
      <c r="N110" s="5" t="s">
        <v>177</v>
      </c>
      <c r="O110" s="5" t="s">
        <v>124</v>
      </c>
      <c r="P110" s="6">
        <v>44076</v>
      </c>
      <c r="Q110" s="5" t="s">
        <v>31</v>
      </c>
      <c r="R110" s="5" t="s">
        <v>32</v>
      </c>
      <c r="S110" s="5" t="s">
        <v>33</v>
      </c>
      <c r="T110" s="5"/>
      <c r="U110" s="5">
        <v>947.29</v>
      </c>
      <c r="V110" s="5">
        <v>408.47</v>
      </c>
      <c r="W110" s="5">
        <v>377.21</v>
      </c>
      <c r="X110" s="5">
        <v>0</v>
      </c>
      <c r="Y110" s="5">
        <v>161.61000000000001</v>
      </c>
    </row>
    <row r="111" spans="1:25" ht="24.75" x14ac:dyDescent="0.25">
      <c r="A111" s="5" t="s">
        <v>26</v>
      </c>
      <c r="B111" s="5" t="s">
        <v>34</v>
      </c>
      <c r="C111" s="5" t="s">
        <v>44</v>
      </c>
      <c r="D111" s="5" t="s">
        <v>54</v>
      </c>
      <c r="E111" s="5" t="s">
        <v>38</v>
      </c>
      <c r="F111" s="5" t="s">
        <v>176</v>
      </c>
      <c r="G111" s="5">
        <v>2019</v>
      </c>
      <c r="H111" s="5" t="str">
        <f>CONCATENATE("94240904634")</f>
        <v>94240904634</v>
      </c>
      <c r="I111" s="5" t="s">
        <v>29</v>
      </c>
      <c r="J111" s="5" t="s">
        <v>30</v>
      </c>
      <c r="K111" s="5" t="str">
        <f>CONCATENATE("")</f>
        <v/>
      </c>
      <c r="L111" s="5" t="str">
        <f>CONCATENATE("11 11.2 4b")</f>
        <v>11 11.2 4b</v>
      </c>
      <c r="M111" s="5" t="str">
        <f>CONCATENATE("SVLNDR73S08G479M")</f>
        <v>SVLNDR73S08G479M</v>
      </c>
      <c r="N111" s="5" t="s">
        <v>177</v>
      </c>
      <c r="O111" s="5" t="s">
        <v>124</v>
      </c>
      <c r="P111" s="6">
        <v>44076</v>
      </c>
      <c r="Q111" s="5" t="s">
        <v>31</v>
      </c>
      <c r="R111" s="5" t="s">
        <v>32</v>
      </c>
      <c r="S111" s="5" t="s">
        <v>33</v>
      </c>
      <c r="T111" s="5"/>
      <c r="U111" s="7">
        <v>1285.96</v>
      </c>
      <c r="V111" s="5">
        <v>554.51</v>
      </c>
      <c r="W111" s="5">
        <v>512.07000000000005</v>
      </c>
      <c r="X111" s="5">
        <v>0</v>
      </c>
      <c r="Y111" s="5">
        <v>219.38</v>
      </c>
    </row>
    <row r="112" spans="1:25" ht="24.75" x14ac:dyDescent="0.25">
      <c r="A112" s="5" t="s">
        <v>26</v>
      </c>
      <c r="B112" s="5" t="s">
        <v>27</v>
      </c>
      <c r="C112" s="5" t="s">
        <v>44</v>
      </c>
      <c r="D112" s="5" t="s">
        <v>45</v>
      </c>
      <c r="E112" s="5" t="s">
        <v>28</v>
      </c>
      <c r="F112" s="5" t="s">
        <v>28</v>
      </c>
      <c r="G112" s="5">
        <v>2017</v>
      </c>
      <c r="H112" s="5" t="str">
        <f>CONCATENATE("94270174470")</f>
        <v>94270174470</v>
      </c>
      <c r="I112" s="5" t="s">
        <v>36</v>
      </c>
      <c r="J112" s="5" t="s">
        <v>30</v>
      </c>
      <c r="K112" s="5" t="str">
        <f>CONCATENATE("")</f>
        <v/>
      </c>
      <c r="L112" s="5" t="str">
        <f>CONCATENATE("1 1.1 2a")</f>
        <v>1 1.1 2a</v>
      </c>
      <c r="M112" s="5" t="str">
        <f>CONCATENATE("02051370423")</f>
        <v>02051370423</v>
      </c>
      <c r="N112" s="5" t="s">
        <v>178</v>
      </c>
      <c r="O112" s="5" t="s">
        <v>179</v>
      </c>
      <c r="P112" s="6">
        <v>44076</v>
      </c>
      <c r="Q112" s="5" t="s">
        <v>31</v>
      </c>
      <c r="R112" s="5" t="s">
        <v>32</v>
      </c>
      <c r="S112" s="5" t="s">
        <v>33</v>
      </c>
      <c r="T112" s="5"/>
      <c r="U112" s="7">
        <v>15549.19</v>
      </c>
      <c r="V112" s="7">
        <v>6704.81</v>
      </c>
      <c r="W112" s="7">
        <v>6191.69</v>
      </c>
      <c r="X112" s="5">
        <v>0</v>
      </c>
      <c r="Y112" s="7">
        <v>2652.69</v>
      </c>
    </row>
    <row r="113" spans="1:25" ht="24.75" x14ac:dyDescent="0.25">
      <c r="A113" s="5" t="s">
        <v>26</v>
      </c>
      <c r="B113" s="5" t="s">
        <v>34</v>
      </c>
      <c r="C113" s="5" t="s">
        <v>44</v>
      </c>
      <c r="D113" s="5" t="s">
        <v>125</v>
      </c>
      <c r="E113" s="5" t="s">
        <v>38</v>
      </c>
      <c r="F113" s="5" t="s">
        <v>151</v>
      </c>
      <c r="G113" s="5">
        <v>2019</v>
      </c>
      <c r="H113" s="5" t="str">
        <f>CONCATENATE("94240276538")</f>
        <v>94240276538</v>
      </c>
      <c r="I113" s="5" t="s">
        <v>29</v>
      </c>
      <c r="J113" s="5" t="s">
        <v>30</v>
      </c>
      <c r="K113" s="5" t="str">
        <f>CONCATENATE("")</f>
        <v/>
      </c>
      <c r="L113" s="5" t="str">
        <f>CONCATENATE("11 11.2 4b")</f>
        <v>11 11.2 4b</v>
      </c>
      <c r="M113" s="5" t="str">
        <f>CONCATENATE("STRSVN52B65D451B")</f>
        <v>STRSVN52B65D451B</v>
      </c>
      <c r="N113" s="5" t="s">
        <v>180</v>
      </c>
      <c r="O113" s="5" t="s">
        <v>124</v>
      </c>
      <c r="P113" s="6">
        <v>44076</v>
      </c>
      <c r="Q113" s="5" t="s">
        <v>31</v>
      </c>
      <c r="R113" s="5" t="s">
        <v>32</v>
      </c>
      <c r="S113" s="5" t="s">
        <v>33</v>
      </c>
      <c r="T113" s="5"/>
      <c r="U113" s="5">
        <v>272.17</v>
      </c>
      <c r="V113" s="5">
        <v>117.36</v>
      </c>
      <c r="W113" s="5">
        <v>108.38</v>
      </c>
      <c r="X113" s="5">
        <v>0</v>
      </c>
      <c r="Y113" s="5">
        <v>46.43</v>
      </c>
    </row>
    <row r="114" spans="1:25" ht="24.75" x14ac:dyDescent="0.25">
      <c r="A114" s="5" t="s">
        <v>26</v>
      </c>
      <c r="B114" s="5" t="s">
        <v>34</v>
      </c>
      <c r="C114" s="5" t="s">
        <v>44</v>
      </c>
      <c r="D114" s="5" t="s">
        <v>54</v>
      </c>
      <c r="E114" s="5" t="s">
        <v>85</v>
      </c>
      <c r="F114" s="5" t="s">
        <v>169</v>
      </c>
      <c r="G114" s="5">
        <v>2017</v>
      </c>
      <c r="H114" s="5" t="str">
        <f>CONCATENATE("74240016522")</f>
        <v>74240016522</v>
      </c>
      <c r="I114" s="5" t="s">
        <v>29</v>
      </c>
      <c r="J114" s="5" t="s">
        <v>30</v>
      </c>
      <c r="K114" s="5" t="str">
        <f>CONCATENATE("")</f>
        <v/>
      </c>
      <c r="L114" s="5" t="str">
        <f>CONCATENATE("11 11.1 4b")</f>
        <v>11 11.1 4b</v>
      </c>
      <c r="M114" s="5" t="str">
        <f>CONCATENATE("BCCGRL70E28I459S")</f>
        <v>BCCGRL70E28I459S</v>
      </c>
      <c r="N114" s="5" t="s">
        <v>181</v>
      </c>
      <c r="O114" s="5" t="s">
        <v>124</v>
      </c>
      <c r="P114" s="6">
        <v>44076</v>
      </c>
      <c r="Q114" s="5" t="s">
        <v>31</v>
      </c>
      <c r="R114" s="5" t="s">
        <v>32</v>
      </c>
      <c r="S114" s="5" t="s">
        <v>33</v>
      </c>
      <c r="T114" s="5"/>
      <c r="U114" s="7">
        <v>2272.79</v>
      </c>
      <c r="V114" s="5">
        <v>980.03</v>
      </c>
      <c r="W114" s="5">
        <v>905.02</v>
      </c>
      <c r="X114" s="5">
        <v>0</v>
      </c>
      <c r="Y114" s="5">
        <v>387.74</v>
      </c>
    </row>
    <row r="115" spans="1:25" ht="24.75" x14ac:dyDescent="0.25">
      <c r="A115" s="5" t="s">
        <v>26</v>
      </c>
      <c r="B115" s="5" t="s">
        <v>34</v>
      </c>
      <c r="C115" s="5" t="s">
        <v>44</v>
      </c>
      <c r="D115" s="5" t="s">
        <v>54</v>
      </c>
      <c r="E115" s="5" t="s">
        <v>85</v>
      </c>
      <c r="F115" s="5" t="s">
        <v>169</v>
      </c>
      <c r="G115" s="5">
        <v>2018</v>
      </c>
      <c r="H115" s="5" t="str">
        <f>CONCATENATE("84241021579")</f>
        <v>84241021579</v>
      </c>
      <c r="I115" s="5" t="s">
        <v>29</v>
      </c>
      <c r="J115" s="5" t="s">
        <v>30</v>
      </c>
      <c r="K115" s="5" t="str">
        <f>CONCATENATE("")</f>
        <v/>
      </c>
      <c r="L115" s="5" t="str">
        <f>CONCATENATE("11 11.1 4b")</f>
        <v>11 11.1 4b</v>
      </c>
      <c r="M115" s="5" t="str">
        <f>CONCATENATE("BCCGRL70E28I459S")</f>
        <v>BCCGRL70E28I459S</v>
      </c>
      <c r="N115" s="5" t="s">
        <v>181</v>
      </c>
      <c r="O115" s="5" t="s">
        <v>124</v>
      </c>
      <c r="P115" s="6">
        <v>44076</v>
      </c>
      <c r="Q115" s="5" t="s">
        <v>31</v>
      </c>
      <c r="R115" s="5" t="s">
        <v>32</v>
      </c>
      <c r="S115" s="5" t="s">
        <v>33</v>
      </c>
      <c r="T115" s="5"/>
      <c r="U115" s="7">
        <v>1792.99</v>
      </c>
      <c r="V115" s="5">
        <v>773.14</v>
      </c>
      <c r="W115" s="5">
        <v>713.97</v>
      </c>
      <c r="X115" s="5">
        <v>0</v>
      </c>
      <c r="Y115" s="5">
        <v>305.88</v>
      </c>
    </row>
    <row r="116" spans="1:25" ht="24.75" x14ac:dyDescent="0.25">
      <c r="A116" s="5" t="s">
        <v>26</v>
      </c>
      <c r="B116" s="5" t="s">
        <v>34</v>
      </c>
      <c r="C116" s="5" t="s">
        <v>44</v>
      </c>
      <c r="D116" s="5" t="s">
        <v>54</v>
      </c>
      <c r="E116" s="5" t="s">
        <v>85</v>
      </c>
      <c r="F116" s="5" t="s">
        <v>169</v>
      </c>
      <c r="G116" s="5">
        <v>2019</v>
      </c>
      <c r="H116" s="5" t="str">
        <f>CONCATENATE("94240285414")</f>
        <v>94240285414</v>
      </c>
      <c r="I116" s="5" t="s">
        <v>29</v>
      </c>
      <c r="J116" s="5" t="s">
        <v>30</v>
      </c>
      <c r="K116" s="5" t="str">
        <f>CONCATENATE("")</f>
        <v/>
      </c>
      <c r="L116" s="5" t="str">
        <f>CONCATENATE("11 11.1 4b")</f>
        <v>11 11.1 4b</v>
      </c>
      <c r="M116" s="5" t="str">
        <f>CONCATENATE("BCCGRL70E28I459S")</f>
        <v>BCCGRL70E28I459S</v>
      </c>
      <c r="N116" s="5" t="s">
        <v>181</v>
      </c>
      <c r="O116" s="5" t="s">
        <v>124</v>
      </c>
      <c r="P116" s="6">
        <v>44076</v>
      </c>
      <c r="Q116" s="5" t="s">
        <v>31</v>
      </c>
      <c r="R116" s="5" t="s">
        <v>32</v>
      </c>
      <c r="S116" s="5" t="s">
        <v>33</v>
      </c>
      <c r="T116" s="5"/>
      <c r="U116" s="7">
        <v>2983.53</v>
      </c>
      <c r="V116" s="7">
        <v>1286.5</v>
      </c>
      <c r="W116" s="7">
        <v>1188.04</v>
      </c>
      <c r="X116" s="5">
        <v>0</v>
      </c>
      <c r="Y116" s="5">
        <v>508.99</v>
      </c>
    </row>
    <row r="117" spans="1:25" ht="24.75" x14ac:dyDescent="0.25">
      <c r="A117" s="5" t="s">
        <v>26</v>
      </c>
      <c r="B117" s="5" t="s">
        <v>34</v>
      </c>
      <c r="C117" s="5" t="s">
        <v>44</v>
      </c>
      <c r="D117" s="5" t="s">
        <v>125</v>
      </c>
      <c r="E117" s="5" t="s">
        <v>37</v>
      </c>
      <c r="F117" s="5" t="s">
        <v>126</v>
      </c>
      <c r="G117" s="5">
        <v>2019</v>
      </c>
      <c r="H117" s="5" t="str">
        <f>CONCATENATE("94240881980")</f>
        <v>94240881980</v>
      </c>
      <c r="I117" s="5" t="s">
        <v>29</v>
      </c>
      <c r="J117" s="5" t="s">
        <v>30</v>
      </c>
      <c r="K117" s="5" t="str">
        <f>CONCATENATE("")</f>
        <v/>
      </c>
      <c r="L117" s="5" t="str">
        <f>CONCATENATE("11 11.2 4b")</f>
        <v>11 11.2 4b</v>
      </c>
      <c r="M117" s="5" t="str">
        <f>CONCATENATE("00758850424")</f>
        <v>00758850424</v>
      </c>
      <c r="N117" s="5" t="s">
        <v>182</v>
      </c>
      <c r="O117" s="5" t="s">
        <v>124</v>
      </c>
      <c r="P117" s="6">
        <v>44076</v>
      </c>
      <c r="Q117" s="5" t="s">
        <v>31</v>
      </c>
      <c r="R117" s="5" t="s">
        <v>32</v>
      </c>
      <c r="S117" s="5" t="s">
        <v>33</v>
      </c>
      <c r="T117" s="5"/>
      <c r="U117" s="5">
        <v>771.03</v>
      </c>
      <c r="V117" s="5">
        <v>332.47</v>
      </c>
      <c r="W117" s="5">
        <v>307.02</v>
      </c>
      <c r="X117" s="5">
        <v>0</v>
      </c>
      <c r="Y117" s="5">
        <v>131.54</v>
      </c>
    </row>
    <row r="118" spans="1:25" ht="24.75" x14ac:dyDescent="0.25">
      <c r="A118" s="5" t="s">
        <v>26</v>
      </c>
      <c r="B118" s="5" t="s">
        <v>34</v>
      </c>
      <c r="C118" s="5" t="s">
        <v>44</v>
      </c>
      <c r="D118" s="5" t="s">
        <v>54</v>
      </c>
      <c r="E118" s="5" t="s">
        <v>37</v>
      </c>
      <c r="F118" s="5" t="s">
        <v>139</v>
      </c>
      <c r="G118" s="5">
        <v>2018</v>
      </c>
      <c r="H118" s="5" t="str">
        <f>CONCATENATE("84241676984")</f>
        <v>84241676984</v>
      </c>
      <c r="I118" s="5" t="s">
        <v>29</v>
      </c>
      <c r="J118" s="5" t="s">
        <v>30</v>
      </c>
      <c r="K118" s="5" t="str">
        <f>CONCATENATE("")</f>
        <v/>
      </c>
      <c r="L118" s="5" t="str">
        <f>CONCATENATE("11 11.2 4b")</f>
        <v>11 11.2 4b</v>
      </c>
      <c r="M118" s="5" t="str">
        <f>CONCATENATE("00647890417")</f>
        <v>00647890417</v>
      </c>
      <c r="N118" s="5" t="s">
        <v>183</v>
      </c>
      <c r="O118" s="5" t="s">
        <v>124</v>
      </c>
      <c r="P118" s="6">
        <v>44076</v>
      </c>
      <c r="Q118" s="5" t="s">
        <v>31</v>
      </c>
      <c r="R118" s="5" t="s">
        <v>32</v>
      </c>
      <c r="S118" s="5" t="s">
        <v>33</v>
      </c>
      <c r="T118" s="5"/>
      <c r="U118" s="7">
        <v>17893.88</v>
      </c>
      <c r="V118" s="7">
        <v>7715.84</v>
      </c>
      <c r="W118" s="7">
        <v>7125.34</v>
      </c>
      <c r="X118" s="5">
        <v>0</v>
      </c>
      <c r="Y118" s="7">
        <v>3052.7</v>
      </c>
    </row>
    <row r="119" spans="1:25" ht="24.75" x14ac:dyDescent="0.25">
      <c r="A119" s="5" t="s">
        <v>26</v>
      </c>
      <c r="B119" s="5" t="s">
        <v>34</v>
      </c>
      <c r="C119" s="5" t="s">
        <v>44</v>
      </c>
      <c r="D119" s="5" t="s">
        <v>54</v>
      </c>
      <c r="E119" s="5" t="s">
        <v>38</v>
      </c>
      <c r="F119" s="5" t="s">
        <v>149</v>
      </c>
      <c r="G119" s="5">
        <v>2019</v>
      </c>
      <c r="H119" s="5" t="str">
        <f>CONCATENATE("94240064975")</f>
        <v>94240064975</v>
      </c>
      <c r="I119" s="5" t="s">
        <v>29</v>
      </c>
      <c r="J119" s="5" t="s">
        <v>30</v>
      </c>
      <c r="K119" s="5" t="str">
        <f>CONCATENATE("")</f>
        <v/>
      </c>
      <c r="L119" s="5" t="str">
        <f>CONCATENATE("11 11.2 4b")</f>
        <v>11 11.2 4b</v>
      </c>
      <c r="M119" s="5" t="str">
        <f>CONCATENATE("BRNLML56P56C523N")</f>
        <v>BRNLML56P56C523N</v>
      </c>
      <c r="N119" s="5" t="s">
        <v>184</v>
      </c>
      <c r="O119" s="5" t="s">
        <v>124</v>
      </c>
      <c r="P119" s="6">
        <v>44076</v>
      </c>
      <c r="Q119" s="5" t="s">
        <v>31</v>
      </c>
      <c r="R119" s="5" t="s">
        <v>32</v>
      </c>
      <c r="S119" s="5" t="s">
        <v>33</v>
      </c>
      <c r="T119" s="5"/>
      <c r="U119" s="5">
        <v>324.08999999999997</v>
      </c>
      <c r="V119" s="5">
        <v>139.75</v>
      </c>
      <c r="W119" s="5">
        <v>129.05000000000001</v>
      </c>
      <c r="X119" s="5">
        <v>0</v>
      </c>
      <c r="Y119" s="5">
        <v>55.29</v>
      </c>
    </row>
    <row r="120" spans="1:25" ht="24.75" x14ac:dyDescent="0.25">
      <c r="A120" s="5" t="s">
        <v>26</v>
      </c>
      <c r="B120" s="5" t="s">
        <v>34</v>
      </c>
      <c r="C120" s="5" t="s">
        <v>44</v>
      </c>
      <c r="D120" s="5" t="s">
        <v>54</v>
      </c>
      <c r="E120" s="5" t="s">
        <v>38</v>
      </c>
      <c r="F120" s="5" t="s">
        <v>149</v>
      </c>
      <c r="G120" s="5">
        <v>2017</v>
      </c>
      <c r="H120" s="5" t="str">
        <f>CONCATENATE("74240451141")</f>
        <v>74240451141</v>
      </c>
      <c r="I120" s="5" t="s">
        <v>29</v>
      </c>
      <c r="J120" s="5" t="s">
        <v>30</v>
      </c>
      <c r="K120" s="5" t="str">
        <f>CONCATENATE("")</f>
        <v/>
      </c>
      <c r="L120" s="5" t="str">
        <f>CONCATENATE("11 11.2 4b")</f>
        <v>11 11.2 4b</v>
      </c>
      <c r="M120" s="5" t="str">
        <f>CONCATENATE("BRNLML56P56C523N")</f>
        <v>BRNLML56P56C523N</v>
      </c>
      <c r="N120" s="5" t="s">
        <v>184</v>
      </c>
      <c r="O120" s="5" t="s">
        <v>124</v>
      </c>
      <c r="P120" s="6">
        <v>44076</v>
      </c>
      <c r="Q120" s="5" t="s">
        <v>31</v>
      </c>
      <c r="R120" s="5" t="s">
        <v>32</v>
      </c>
      <c r="S120" s="5" t="s">
        <v>33</v>
      </c>
      <c r="T120" s="5"/>
      <c r="U120" s="5">
        <v>136.41</v>
      </c>
      <c r="V120" s="5">
        <v>58.82</v>
      </c>
      <c r="W120" s="5">
        <v>54.32</v>
      </c>
      <c r="X120" s="5">
        <v>0</v>
      </c>
      <c r="Y120" s="5">
        <v>23.27</v>
      </c>
    </row>
    <row r="121" spans="1:25" ht="24.75" x14ac:dyDescent="0.25">
      <c r="A121" s="5" t="s">
        <v>26</v>
      </c>
      <c r="B121" s="5" t="s">
        <v>34</v>
      </c>
      <c r="C121" s="5" t="s">
        <v>44</v>
      </c>
      <c r="D121" s="5" t="s">
        <v>54</v>
      </c>
      <c r="E121" s="5" t="s">
        <v>38</v>
      </c>
      <c r="F121" s="5" t="s">
        <v>149</v>
      </c>
      <c r="G121" s="5">
        <v>2018</v>
      </c>
      <c r="H121" s="5" t="str">
        <f>CONCATENATE("84240041297")</f>
        <v>84240041297</v>
      </c>
      <c r="I121" s="5" t="s">
        <v>29</v>
      </c>
      <c r="J121" s="5" t="s">
        <v>30</v>
      </c>
      <c r="K121" s="5" t="str">
        <f>CONCATENATE("")</f>
        <v/>
      </c>
      <c r="L121" s="5" t="str">
        <f>CONCATENATE("11 11.2 4b")</f>
        <v>11 11.2 4b</v>
      </c>
      <c r="M121" s="5" t="str">
        <f>CONCATENATE("BRNLML56P56C523N")</f>
        <v>BRNLML56P56C523N</v>
      </c>
      <c r="N121" s="5" t="s">
        <v>184</v>
      </c>
      <c r="O121" s="5" t="s">
        <v>124</v>
      </c>
      <c r="P121" s="6">
        <v>44076</v>
      </c>
      <c r="Q121" s="5" t="s">
        <v>31</v>
      </c>
      <c r="R121" s="5" t="s">
        <v>32</v>
      </c>
      <c r="S121" s="5" t="s">
        <v>33</v>
      </c>
      <c r="T121" s="5"/>
      <c r="U121" s="5">
        <v>404.12</v>
      </c>
      <c r="V121" s="5">
        <v>174.26</v>
      </c>
      <c r="W121" s="5">
        <v>160.91999999999999</v>
      </c>
      <c r="X121" s="5">
        <v>0</v>
      </c>
      <c r="Y121" s="5">
        <v>68.94</v>
      </c>
    </row>
    <row r="122" spans="1:25" ht="24.75" x14ac:dyDescent="0.25">
      <c r="A122" s="5" t="s">
        <v>26</v>
      </c>
      <c r="B122" s="5" t="s">
        <v>34</v>
      </c>
      <c r="C122" s="5" t="s">
        <v>44</v>
      </c>
      <c r="D122" s="5" t="s">
        <v>54</v>
      </c>
      <c r="E122" s="5" t="s">
        <v>38</v>
      </c>
      <c r="F122" s="5" t="s">
        <v>136</v>
      </c>
      <c r="G122" s="5">
        <v>2018</v>
      </c>
      <c r="H122" s="5" t="str">
        <f>CONCATENATE("84240680425")</f>
        <v>84240680425</v>
      </c>
      <c r="I122" s="5" t="s">
        <v>29</v>
      </c>
      <c r="J122" s="5" t="s">
        <v>30</v>
      </c>
      <c r="K122" s="5" t="str">
        <f>CONCATENATE("")</f>
        <v/>
      </c>
      <c r="L122" s="5" t="str">
        <f>CONCATENATE("11 11.1 4b")</f>
        <v>11 11.1 4b</v>
      </c>
      <c r="M122" s="5" t="str">
        <f>CONCATENATE("CNDSMN72H54B352M")</f>
        <v>CNDSMN72H54B352M</v>
      </c>
      <c r="N122" s="5" t="s">
        <v>185</v>
      </c>
      <c r="O122" s="5" t="s">
        <v>124</v>
      </c>
      <c r="P122" s="6">
        <v>44076</v>
      </c>
      <c r="Q122" s="5" t="s">
        <v>31</v>
      </c>
      <c r="R122" s="5" t="s">
        <v>32</v>
      </c>
      <c r="S122" s="5" t="s">
        <v>33</v>
      </c>
      <c r="T122" s="5"/>
      <c r="U122" s="5">
        <v>896.11</v>
      </c>
      <c r="V122" s="5">
        <v>386.4</v>
      </c>
      <c r="W122" s="5">
        <v>356.83</v>
      </c>
      <c r="X122" s="5">
        <v>0</v>
      </c>
      <c r="Y122" s="5">
        <v>152.88</v>
      </c>
    </row>
    <row r="123" spans="1:25" ht="24.75" x14ac:dyDescent="0.25">
      <c r="A123" s="5" t="s">
        <v>26</v>
      </c>
      <c r="B123" s="5" t="s">
        <v>34</v>
      </c>
      <c r="C123" s="5" t="s">
        <v>44</v>
      </c>
      <c r="D123" s="5" t="s">
        <v>54</v>
      </c>
      <c r="E123" s="5" t="s">
        <v>38</v>
      </c>
      <c r="F123" s="5" t="s">
        <v>136</v>
      </c>
      <c r="G123" s="5">
        <v>2019</v>
      </c>
      <c r="H123" s="5" t="str">
        <f>CONCATENATE("94240252687")</f>
        <v>94240252687</v>
      </c>
      <c r="I123" s="5" t="s">
        <v>29</v>
      </c>
      <c r="J123" s="5" t="s">
        <v>30</v>
      </c>
      <c r="K123" s="5" t="str">
        <f>CONCATENATE("")</f>
        <v/>
      </c>
      <c r="L123" s="5" t="str">
        <f>CONCATENATE("11 11.1 4b")</f>
        <v>11 11.1 4b</v>
      </c>
      <c r="M123" s="5" t="str">
        <f>CONCATENATE("CNDSMN72H54B352M")</f>
        <v>CNDSMN72H54B352M</v>
      </c>
      <c r="N123" s="5" t="s">
        <v>185</v>
      </c>
      <c r="O123" s="5" t="s">
        <v>124</v>
      </c>
      <c r="P123" s="6">
        <v>44076</v>
      </c>
      <c r="Q123" s="5" t="s">
        <v>31</v>
      </c>
      <c r="R123" s="5" t="s">
        <v>32</v>
      </c>
      <c r="S123" s="5" t="s">
        <v>33</v>
      </c>
      <c r="T123" s="5"/>
      <c r="U123" s="5">
        <v>588.22</v>
      </c>
      <c r="V123" s="5">
        <v>253.64</v>
      </c>
      <c r="W123" s="5">
        <v>234.23</v>
      </c>
      <c r="X123" s="5">
        <v>0</v>
      </c>
      <c r="Y123" s="5">
        <v>100.35</v>
      </c>
    </row>
    <row r="124" spans="1:25" ht="24.75" x14ac:dyDescent="0.25">
      <c r="A124" s="5" t="s">
        <v>26</v>
      </c>
      <c r="B124" s="5" t="s">
        <v>34</v>
      </c>
      <c r="C124" s="5" t="s">
        <v>44</v>
      </c>
      <c r="D124" s="5" t="s">
        <v>54</v>
      </c>
      <c r="E124" s="5" t="s">
        <v>85</v>
      </c>
      <c r="F124" s="5" t="s">
        <v>169</v>
      </c>
      <c r="G124" s="5">
        <v>2018</v>
      </c>
      <c r="H124" s="5" t="str">
        <f>CONCATENATE("84240375877")</f>
        <v>84240375877</v>
      </c>
      <c r="I124" s="5" t="s">
        <v>29</v>
      </c>
      <c r="J124" s="5" t="s">
        <v>30</v>
      </c>
      <c r="K124" s="5" t="str">
        <f>CONCATENATE("")</f>
        <v/>
      </c>
      <c r="L124" s="5" t="str">
        <f>CONCATENATE("11 11.1 4b")</f>
        <v>11 11.1 4b</v>
      </c>
      <c r="M124" s="5" t="str">
        <f>CONCATENATE("02573370414")</f>
        <v>02573370414</v>
      </c>
      <c r="N124" s="5" t="s">
        <v>171</v>
      </c>
      <c r="O124" s="5" t="s">
        <v>124</v>
      </c>
      <c r="P124" s="6">
        <v>44076</v>
      </c>
      <c r="Q124" s="5" t="s">
        <v>31</v>
      </c>
      <c r="R124" s="5" t="s">
        <v>32</v>
      </c>
      <c r="S124" s="5" t="s">
        <v>33</v>
      </c>
      <c r="T124" s="5"/>
      <c r="U124" s="5">
        <v>129.76</v>
      </c>
      <c r="V124" s="5">
        <v>55.95</v>
      </c>
      <c r="W124" s="5">
        <v>51.67</v>
      </c>
      <c r="X124" s="5">
        <v>0</v>
      </c>
      <c r="Y124" s="5">
        <v>22.14</v>
      </c>
    </row>
    <row r="125" spans="1:25" ht="24.75" x14ac:dyDescent="0.25">
      <c r="A125" s="5" t="s">
        <v>26</v>
      </c>
      <c r="B125" s="5" t="s">
        <v>34</v>
      </c>
      <c r="C125" s="5" t="s">
        <v>44</v>
      </c>
      <c r="D125" s="5" t="s">
        <v>54</v>
      </c>
      <c r="E125" s="5" t="s">
        <v>85</v>
      </c>
      <c r="F125" s="5" t="s">
        <v>169</v>
      </c>
      <c r="G125" s="5">
        <v>2019</v>
      </c>
      <c r="H125" s="5" t="str">
        <f>CONCATENATE("94241021347")</f>
        <v>94241021347</v>
      </c>
      <c r="I125" s="5" t="s">
        <v>29</v>
      </c>
      <c r="J125" s="5" t="s">
        <v>30</v>
      </c>
      <c r="K125" s="5" t="str">
        <f>CONCATENATE("")</f>
        <v/>
      </c>
      <c r="L125" s="5" t="str">
        <f>CONCATENATE("11 11.1 4b")</f>
        <v>11 11.1 4b</v>
      </c>
      <c r="M125" s="5" t="str">
        <f>CONCATENATE("02573370414")</f>
        <v>02573370414</v>
      </c>
      <c r="N125" s="5" t="s">
        <v>171</v>
      </c>
      <c r="O125" s="5" t="s">
        <v>124</v>
      </c>
      <c r="P125" s="6">
        <v>44076</v>
      </c>
      <c r="Q125" s="5" t="s">
        <v>31</v>
      </c>
      <c r="R125" s="5" t="s">
        <v>32</v>
      </c>
      <c r="S125" s="5" t="s">
        <v>33</v>
      </c>
      <c r="T125" s="5"/>
      <c r="U125" s="5">
        <v>199</v>
      </c>
      <c r="V125" s="5">
        <v>85.81</v>
      </c>
      <c r="W125" s="5">
        <v>79.239999999999995</v>
      </c>
      <c r="X125" s="5">
        <v>0</v>
      </c>
      <c r="Y125" s="5">
        <v>33.950000000000003</v>
      </c>
    </row>
    <row r="126" spans="1:25" ht="24.75" x14ac:dyDescent="0.25">
      <c r="A126" s="5" t="s">
        <v>26</v>
      </c>
      <c r="B126" s="5" t="s">
        <v>34</v>
      </c>
      <c r="C126" s="5" t="s">
        <v>44</v>
      </c>
      <c r="D126" s="5" t="s">
        <v>54</v>
      </c>
      <c r="E126" s="5" t="s">
        <v>38</v>
      </c>
      <c r="F126" s="5" t="s">
        <v>136</v>
      </c>
      <c r="G126" s="5">
        <v>2018</v>
      </c>
      <c r="H126" s="5" t="str">
        <f>CONCATENATE("84240595623")</f>
        <v>84240595623</v>
      </c>
      <c r="I126" s="5" t="s">
        <v>29</v>
      </c>
      <c r="J126" s="5" t="s">
        <v>30</v>
      </c>
      <c r="K126" s="5" t="str">
        <f>CONCATENATE("")</f>
        <v/>
      </c>
      <c r="L126" s="5" t="str">
        <f>CONCATENATE("11 11.1 4b")</f>
        <v>11 11.1 4b</v>
      </c>
      <c r="M126" s="5" t="str">
        <f>CONCATENATE("RTNGNN64L17G514A")</f>
        <v>RTNGNN64L17G514A</v>
      </c>
      <c r="N126" s="5" t="s">
        <v>186</v>
      </c>
      <c r="O126" s="5" t="s">
        <v>124</v>
      </c>
      <c r="P126" s="6">
        <v>44076</v>
      </c>
      <c r="Q126" s="5" t="s">
        <v>31</v>
      </c>
      <c r="R126" s="5" t="s">
        <v>32</v>
      </c>
      <c r="S126" s="5" t="s">
        <v>33</v>
      </c>
      <c r="T126" s="5"/>
      <c r="U126" s="5">
        <v>882.81</v>
      </c>
      <c r="V126" s="5">
        <v>380.67</v>
      </c>
      <c r="W126" s="5">
        <v>351.53</v>
      </c>
      <c r="X126" s="5">
        <v>0</v>
      </c>
      <c r="Y126" s="5">
        <v>150.61000000000001</v>
      </c>
    </row>
    <row r="127" spans="1:25" ht="24.75" x14ac:dyDescent="0.25">
      <c r="A127" s="5" t="s">
        <v>26</v>
      </c>
      <c r="B127" s="5" t="s">
        <v>34</v>
      </c>
      <c r="C127" s="5" t="s">
        <v>44</v>
      </c>
      <c r="D127" s="5" t="s">
        <v>54</v>
      </c>
      <c r="E127" s="5" t="s">
        <v>38</v>
      </c>
      <c r="F127" s="5" t="s">
        <v>136</v>
      </c>
      <c r="G127" s="5">
        <v>2019</v>
      </c>
      <c r="H127" s="5" t="str">
        <f>CONCATENATE("94240147796")</f>
        <v>94240147796</v>
      </c>
      <c r="I127" s="5" t="s">
        <v>29</v>
      </c>
      <c r="J127" s="5" t="s">
        <v>30</v>
      </c>
      <c r="K127" s="5" t="str">
        <f>CONCATENATE("")</f>
        <v/>
      </c>
      <c r="L127" s="5" t="str">
        <f>CONCATENATE("11 11.1 4b")</f>
        <v>11 11.1 4b</v>
      </c>
      <c r="M127" s="5" t="str">
        <f>CONCATENATE("RTNGNN64L17G514A")</f>
        <v>RTNGNN64L17G514A</v>
      </c>
      <c r="N127" s="5" t="s">
        <v>186</v>
      </c>
      <c r="O127" s="5" t="s">
        <v>124</v>
      </c>
      <c r="P127" s="6">
        <v>44076</v>
      </c>
      <c r="Q127" s="5" t="s">
        <v>31</v>
      </c>
      <c r="R127" s="5" t="s">
        <v>32</v>
      </c>
      <c r="S127" s="5" t="s">
        <v>33</v>
      </c>
      <c r="T127" s="5"/>
      <c r="U127" s="5">
        <v>882.81</v>
      </c>
      <c r="V127" s="5">
        <v>380.67</v>
      </c>
      <c r="W127" s="5">
        <v>351.53</v>
      </c>
      <c r="X127" s="5">
        <v>0</v>
      </c>
      <c r="Y127" s="5">
        <v>150.61000000000001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ferrazzano</dc:creator>
  <cp:lastModifiedBy>ferrazzano</cp:lastModifiedBy>
  <dcterms:created xsi:type="dcterms:W3CDTF">2020-09-24T15:14:42Z</dcterms:created>
  <dcterms:modified xsi:type="dcterms:W3CDTF">2020-09-24T15:15:24Z</dcterms:modified>
</cp:coreProperties>
</file>