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ckup_completo\BACKUP_cartella_Documenti\INVIO_DECRETI_A_REGIONIeCAA\Programmazione_2014-2020 (Settore 70-88)\Decreto n. 189\"/>
    </mc:Choice>
  </mc:AlternateContent>
  <xr:revisionPtr revIDLastSave="0" documentId="8_{765D6468-7CE3-4226-94EC-6996543637E8}" xr6:coauthVersionLast="31" xr6:coauthVersionMax="31" xr10:uidLastSave="{00000000-0000-0000-0000-000000000000}"/>
  <bookViews>
    <workbookView xWindow="0" yWindow="0" windowWidth="28800" windowHeight="11925" xr2:uid="{C9E13ABD-ABF8-4640-ABC5-252141E1F852}"/>
  </bookViews>
  <sheets>
    <sheet name="Dettaglio_Domande_Pagabili_AGEA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7" i="1" l="1"/>
  <c r="L57" i="1"/>
  <c r="K57" i="1"/>
  <c r="H57" i="1"/>
  <c r="M56" i="1"/>
  <c r="L56" i="1"/>
  <c r="K56" i="1"/>
  <c r="H56" i="1"/>
  <c r="M55" i="1"/>
  <c r="L55" i="1"/>
  <c r="K55" i="1"/>
  <c r="H55" i="1"/>
  <c r="M54" i="1"/>
  <c r="L54" i="1"/>
  <c r="K54" i="1"/>
  <c r="H54" i="1"/>
  <c r="M53" i="1"/>
  <c r="L53" i="1"/>
  <c r="K53" i="1"/>
  <c r="H53" i="1"/>
  <c r="M52" i="1"/>
  <c r="L52" i="1"/>
  <c r="K52" i="1"/>
  <c r="H52" i="1"/>
  <c r="M51" i="1"/>
  <c r="L51" i="1"/>
  <c r="K51" i="1"/>
  <c r="H51" i="1"/>
  <c r="M50" i="1"/>
  <c r="L50" i="1"/>
  <c r="K50" i="1"/>
  <c r="H50" i="1"/>
  <c r="M49" i="1"/>
  <c r="L49" i="1"/>
  <c r="K49" i="1"/>
  <c r="H49" i="1"/>
  <c r="M48" i="1"/>
  <c r="L48" i="1"/>
  <c r="K48" i="1"/>
  <c r="H48" i="1"/>
  <c r="M47" i="1"/>
  <c r="L47" i="1"/>
  <c r="K47" i="1"/>
  <c r="H47" i="1"/>
  <c r="M46" i="1"/>
  <c r="L46" i="1"/>
  <c r="K46" i="1"/>
  <c r="H46" i="1"/>
  <c r="M45" i="1"/>
  <c r="L45" i="1"/>
  <c r="K45" i="1"/>
  <c r="H45" i="1"/>
  <c r="M44" i="1"/>
  <c r="L44" i="1"/>
  <c r="K44" i="1"/>
  <c r="H44" i="1"/>
  <c r="M43" i="1"/>
  <c r="L43" i="1"/>
  <c r="K43" i="1"/>
  <c r="H43" i="1"/>
  <c r="M42" i="1"/>
  <c r="L42" i="1"/>
  <c r="K42" i="1"/>
  <c r="H42" i="1"/>
  <c r="M41" i="1"/>
  <c r="L41" i="1"/>
  <c r="K41" i="1"/>
  <c r="H41" i="1"/>
  <c r="M40" i="1"/>
  <c r="L40" i="1"/>
  <c r="K40" i="1"/>
  <c r="H40" i="1"/>
  <c r="M39" i="1"/>
  <c r="L39" i="1"/>
  <c r="K39" i="1"/>
  <c r="H39" i="1"/>
  <c r="M38" i="1"/>
  <c r="L38" i="1"/>
  <c r="K38" i="1"/>
  <c r="H38" i="1"/>
  <c r="M37" i="1"/>
  <c r="L37" i="1"/>
  <c r="K37" i="1"/>
  <c r="H37" i="1"/>
  <c r="M36" i="1"/>
  <c r="L36" i="1"/>
  <c r="K36" i="1"/>
  <c r="H36" i="1"/>
  <c r="M35" i="1"/>
  <c r="L35" i="1"/>
  <c r="K35" i="1"/>
  <c r="H35" i="1"/>
  <c r="M34" i="1"/>
  <c r="L34" i="1"/>
  <c r="K34" i="1"/>
  <c r="H34" i="1"/>
  <c r="M33" i="1"/>
  <c r="L33" i="1"/>
  <c r="K33" i="1"/>
  <c r="H33" i="1"/>
  <c r="M32" i="1"/>
  <c r="L32" i="1"/>
  <c r="K32" i="1"/>
  <c r="H32" i="1"/>
  <c r="M31" i="1"/>
  <c r="L31" i="1"/>
  <c r="K31" i="1"/>
  <c r="H31" i="1"/>
  <c r="M30" i="1"/>
  <c r="L30" i="1"/>
  <c r="K30" i="1"/>
  <c r="H30" i="1"/>
  <c r="M29" i="1"/>
  <c r="L29" i="1"/>
  <c r="K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<sst xmlns="http://schemas.openxmlformats.org/spreadsheetml/2006/main" count="727" uniqueCount="124">
  <si>
    <t>Dettaglio Domande Pagabili Decreto 189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</si>
  <si>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</si>
  <si>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</si>
  <si>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</si>
  <si>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</si>
  <si>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</si>
  <si>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</si>
  <si>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</si>
  <si>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</si>
  <si>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</si>
  <si>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</si>
  <si>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</si>
  <si>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</si>
  <si>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</si>
  <si>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</si>
  <si>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</si>
  <si>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</si>
  <si>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</si>
  <si>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</si>
  <si>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</si>
  <si>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</si>
  <si>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</si>
  <si>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</si>
  <si>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</si>
  <si>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</si>
  <si>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</si>
  <si>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Strutturali</t>
  </si>
  <si>
    <t>CAA Coldiretti srl</t>
  </si>
  <si>
    <t>NO</t>
  </si>
  <si>
    <t>In Liquidazione</t>
  </si>
  <si>
    <t>Saldo</t>
  </si>
  <si>
    <t>Co-Finanziato</t>
  </si>
  <si>
    <t>CAA CIA srl</t>
  </si>
  <si>
    <t>SAL</t>
  </si>
  <si>
    <t>SI</t>
  </si>
  <si>
    <t>Misure a Superficie</t>
  </si>
  <si>
    <t>CAA Confagricoltura srl</t>
  </si>
  <si>
    <t>CAA-CAF AGRI S.R.L.</t>
  </si>
  <si>
    <t>Nuova Programmazione</t>
  </si>
  <si>
    <t>CAA UNICAA srl</t>
  </si>
  <si>
    <t>CAA LiberiAgricoltori srl già CAA AGCI srl</t>
  </si>
  <si>
    <t>CAA Liberi Professionisti srl</t>
  </si>
  <si>
    <t>MARCHE</t>
  </si>
  <si>
    <t>SERV. DEC. AGRICOLTURA E ALIMENTAZIONE - ANCONA</t>
  </si>
  <si>
    <t>CAA Coldiretti - ANCONA - 002</t>
  </si>
  <si>
    <t>SOCIETA' AGRICOLA IL GELSO DEI FRATELLI COFANI DI COFANI LUCA E MICHEL</t>
  </si>
  <si>
    <t>AGEA.ASR.2018.1339328</t>
  </si>
  <si>
    <t>SERV. DEC. AGRICOLTURA E ALIMENTAZIONE - PESARO</t>
  </si>
  <si>
    <t>CAA CIA - PESARO E URBINO - 007</t>
  </si>
  <si>
    <t>PIERSIMONI GIAMPIERO</t>
  </si>
  <si>
    <t>SERV. DEC. AGRICOLTURA E ALIM. - MACERATA</t>
  </si>
  <si>
    <t>CAA Coldiretti - MACERATA - 017</t>
  </si>
  <si>
    <t>CANCELLIERI GIOVANNI</t>
  </si>
  <si>
    <t>PONTANI GIULIANO</t>
  </si>
  <si>
    <t>CAA LiberiAgricoltori - MACERATA - 002</t>
  </si>
  <si>
    <t>MAGGI NAZZARENO</t>
  </si>
  <si>
    <t>CAA CIA - MACERATA - 001</t>
  </si>
  <si>
    <t>MERLINI RAFFAELE</t>
  </si>
  <si>
    <t>CAA CIA - ANCONA - 005</t>
  </si>
  <si>
    <t>MARCUCCI DANIELE</t>
  </si>
  <si>
    <t>PACCAPELO MARCO</t>
  </si>
  <si>
    <t>PACIAROTTI ATTILIO</t>
  </si>
  <si>
    <t>CAA CAF AGRI - ANCONA - 225</t>
  </si>
  <si>
    <t>PELATELLI GRAZIANO</t>
  </si>
  <si>
    <t>RICCIONI NATALE</t>
  </si>
  <si>
    <t>RUGGERI STEFANO</t>
  </si>
  <si>
    <t>SASSI GIACOMO</t>
  </si>
  <si>
    <t>SOCIETA' AGRICOLA SEMPLICE DI SANTELLINI BRUNELLA E SANTELLINI LORELLA</t>
  </si>
  <si>
    <t>CAA LiberiAgricoltori - PESARO E URBINO - 001</t>
  </si>
  <si>
    <t>ABR SOCIETA' AGRICOLA A R.L.</t>
  </si>
  <si>
    <t>MOCCI MAURIZIO</t>
  </si>
  <si>
    <t>ZAMPETTI PIETRO</t>
  </si>
  <si>
    <t>CAA Confagricoltura - PESARO E URBINO - 001</t>
  </si>
  <si>
    <t>SALTARELLI GIUSEPPE &amp; MIGIANI PASQUALE SOCIETA' AGRICOLA S.S.</t>
  </si>
  <si>
    <t>CAA CIA - PESARO E URBINO - 006</t>
  </si>
  <si>
    <t>SOCIETA' AGRICOLA BRUSCIA S.S</t>
  </si>
  <si>
    <t>CARSETTI DINA</t>
  </si>
  <si>
    <t>CAA CIA - PESARO E URBINO - 005</t>
  </si>
  <si>
    <t>PAGANELLI GIACOMO</t>
  </si>
  <si>
    <t>ROMAGNOLI GIANCARLO</t>
  </si>
  <si>
    <t>TURCHI FABIO</t>
  </si>
  <si>
    <t>CAA CIA - PESARO E URBINO - 002</t>
  </si>
  <si>
    <t>RASCHINI LORENZO</t>
  </si>
  <si>
    <t>VALCIMARA ANGELO</t>
  </si>
  <si>
    <t>CAA Coldiretti - ANCONA - 005</t>
  </si>
  <si>
    <t>VESCOVI MARIO</t>
  </si>
  <si>
    <t>MARIANI PAOLO</t>
  </si>
  <si>
    <t>CAA Coldiretti - PERUGIA - 006</t>
  </si>
  <si>
    <t>AZIENDA AGRICOLA ALESSANDRI SOCIETA' SEMPLICE</t>
  </si>
  <si>
    <t>CARAFFA MARIA</t>
  </si>
  <si>
    <t>LATINI LIANA</t>
  </si>
  <si>
    <t>S.C.A.V.V. SOCIETA' COOPERATIVA AGRICOLA VALLE VERDE</t>
  </si>
  <si>
    <t>STEFANELLI STEFANIA</t>
  </si>
  <si>
    <t>TANCINI ORAZIO</t>
  </si>
  <si>
    <t>BAIONI ARMANDO</t>
  </si>
  <si>
    <t>GASPARI LORIS</t>
  </si>
  <si>
    <t>PAGANELLI GIANFRANCO</t>
  </si>
  <si>
    <t>CAA Coldiretti - PESARO E URBINO - 001</t>
  </si>
  <si>
    <t>AGOSTINI LUIGINA</t>
  </si>
  <si>
    <t>BALDUCCI LUIGI</t>
  </si>
  <si>
    <t>CAA LiberiAgricoltori - MACERATA - 001</t>
  </si>
  <si>
    <t>SOCIETA' AGR. PENTA DI MENGONI TERESITA E C. S.S.</t>
  </si>
  <si>
    <t>GAGLIARDI RENZO</t>
  </si>
  <si>
    <t>MOGIANI ROSILIO</t>
  </si>
  <si>
    <t>MANIERI ANGELO</t>
  </si>
  <si>
    <t>SANTINELLI BRUNO</t>
  </si>
  <si>
    <t>TANGANELLI FRANCA</t>
  </si>
  <si>
    <t>PALADINI LUCA</t>
  </si>
  <si>
    <t>TRIONFETTI UMBERTO</t>
  </si>
  <si>
    <t>CAA Coldiretti - PESARO E URBINO - 010</t>
  </si>
  <si>
    <t>BRUSCAGLIA NAZZARENO</t>
  </si>
  <si>
    <t>SILVESTRI FRANCESCO</t>
  </si>
  <si>
    <t>ABDYRRAHMANI MAJLINDA</t>
  </si>
  <si>
    <t>ALESSANDRONI MARIA-PAOLA</t>
  </si>
  <si>
    <t>ARPINI MIRKO</t>
  </si>
  <si>
    <t>SERV. DEC. AGRICOLTURA E ALIM. -ASCOLI PICENO</t>
  </si>
  <si>
    <t>CAA UNICAA - ASCOLI PICENO - 004</t>
  </si>
  <si>
    <t>MAZZONI STEFANO</t>
  </si>
  <si>
    <t>AGEA.ASR.2018.1344439</t>
  </si>
  <si>
    <t>CAA Liberi Prof.- PESARO E URBINO - 001</t>
  </si>
  <si>
    <t>CAPECCI ALESSANDRO</t>
  </si>
  <si>
    <t>AGEA.ASR.2018.1344556</t>
  </si>
  <si>
    <t>MARINO STEFANO</t>
  </si>
  <si>
    <t>AGEA.ASR.2018.1344436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</si>
</sst>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Font="1"/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4" fontId="2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C1FB0-4E5A-4C8C-A32C-E37E1B2DEE53}">
  <dimension ref="A1:X57"/>
  <sheetViews>
    <sheetView showGridLines="0" tabSelected="1" workbookViewId="0">
      <selection activeCell="F68" sqref="F68"/>
    </sheetView>
  </sheetViews>
  <sheetFormatPr defaultRowHeight="15" x14ac:dyDescent="0.25"/>
  <cols>
    <col min="1" max="1" width="15.5703125" style="4" bestFit="1" customWidth="1"/>
    <col min="2" max="2" width="16.28515625" style="4" bestFit="1" customWidth="1"/>
    <col min="3" max="3" width="18.42578125" style="4" bestFit="1" customWidth="1"/>
    <col min="4" max="4" width="36.5703125" style="4" bestFit="1" customWidth="1"/>
    <col min="5" max="5" width="32.42578125" style="4" bestFit="1" customWidth="1"/>
    <col min="6" max="6" width="36.42578125" style="4" bestFit="1" customWidth="1"/>
    <col min="7" max="7" width="8.42578125" style="4" bestFit="1" customWidth="1"/>
    <col min="8" max="8" width="12.7109375" style="4" bestFit="1" customWidth="1"/>
    <col min="9" max="9" width="21.140625" style="4" bestFit="1" customWidth="1"/>
    <col min="10" max="10" width="20.140625" style="4" bestFit="1" customWidth="1"/>
    <col min="11" max="12" width="17" style="4" bestFit="1" customWidth="1"/>
    <col min="13" max="13" width="18.140625" style="4" bestFit="1" customWidth="1"/>
    <col min="14" max="14" width="36.5703125" style="4" bestFit="1" customWidth="1"/>
    <col min="15" max="15" width="18.85546875" style="4" bestFit="1" customWidth="1"/>
    <col min="16" max="16" width="23" style="4" bestFit="1" customWidth="1"/>
    <col min="17" max="17" width="16.28515625" style="4" bestFit="1" customWidth="1"/>
    <col min="18" max="18" width="17.85546875" style="4" bestFit="1" customWidth="1"/>
    <col min="19" max="19" width="20.28515625" style="4" bestFit="1" customWidth="1"/>
    <col min="20" max="20" width="18.42578125" style="4" bestFit="1" customWidth="1"/>
    <col min="21" max="21" width="24.5703125" style="4" bestFit="1" customWidth="1"/>
    <col min="22" max="23" width="27.140625" style="4" bestFit="1" customWidth="1"/>
    <col min="24" max="24" width="33.85546875" style="4" bestFit="1" customWidth="1"/>
    <col min="25" max="16384" width="9.140625" style="4"/>
  </cols>
  <sheetData>
    <row r="1" spans="1:24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</row>
    <row r="2" spans="1:24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 x14ac:dyDescent="0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  <c r="U3" s="5" t="s">
        <v>21</v>
      </c>
      <c r="V3" s="5" t="s">
        <v>22</v>
      </c>
      <c r="W3" s="5" t="s">
        <v>23</v>
      </c>
      <c r="X3" s="5" t="s">
        <v>24</v>
      </c>
    </row>
    <row r="4" spans="1:24" ht="24.75" x14ac:dyDescent="0.25">
      <c r="A4" s="6" t="s">
        <v>25</v>
      </c>
      <c r="B4" s="6" t="s">
        <v>35</v>
      </c>
      <c r="C4" s="6" t="s">
        <v>42</v>
      </c>
      <c r="D4" s="6" t="s">
        <v>43</v>
      </c>
      <c r="E4" s="6" t="s">
        <v>27</v>
      </c>
      <c r="F4" s="6" t="s">
        <v>44</v>
      </c>
      <c r="G4" s="6">
        <v>2017</v>
      </c>
      <c r="H4" s="6" t="str">
        <f>CONCATENATE("74210499559")</f>
        <v>74210499559</v>
      </c>
      <c r="I4" s="6" t="s">
        <v>28</v>
      </c>
      <c r="J4" s="6" t="s">
        <v>38</v>
      </c>
      <c r="K4" s="6" t="str">
        <f>CONCATENATE("")</f>
        <v/>
      </c>
      <c r="L4" s="6" t="str">
        <f>CONCATENATE("13 13.1 4a")</f>
        <v>13 13.1 4a</v>
      </c>
      <c r="M4" s="6" t="str">
        <f>CONCATENATE("02711460424")</f>
        <v>02711460424</v>
      </c>
      <c r="N4" s="6" t="s">
        <v>45</v>
      </c>
      <c r="O4" s="6" t="s">
        <v>46</v>
      </c>
      <c r="P4" s="7">
        <v>43322</v>
      </c>
      <c r="Q4" s="6" t="s">
        <v>29</v>
      </c>
      <c r="R4" s="6" t="s">
        <v>30</v>
      </c>
      <c r="S4" s="6" t="s">
        <v>31</v>
      </c>
      <c r="T4" s="8">
        <v>5400</v>
      </c>
      <c r="U4" s="8">
        <v>2328.48</v>
      </c>
      <c r="V4" s="8">
        <v>2150.2800000000002</v>
      </c>
      <c r="W4" s="6">
        <v>0</v>
      </c>
      <c r="X4" s="6">
        <v>921.24</v>
      </c>
    </row>
    <row r="5" spans="1:24" ht="24.75" x14ac:dyDescent="0.25">
      <c r="A5" s="6" t="s">
        <v>25</v>
      </c>
      <c r="B5" s="6" t="s">
        <v>35</v>
      </c>
      <c r="C5" s="6" t="s">
        <v>42</v>
      </c>
      <c r="D5" s="6" t="s">
        <v>47</v>
      </c>
      <c r="E5" s="6" t="s">
        <v>32</v>
      </c>
      <c r="F5" s="6" t="s">
        <v>48</v>
      </c>
      <c r="G5" s="6">
        <v>2017</v>
      </c>
      <c r="H5" s="6" t="str">
        <f>CONCATENATE("74210392762")</f>
        <v>74210392762</v>
      </c>
      <c r="I5" s="6" t="s">
        <v>28</v>
      </c>
      <c r="J5" s="6" t="s">
        <v>38</v>
      </c>
      <c r="K5" s="6" t="str">
        <f>CONCATENATE("")</f>
        <v/>
      </c>
      <c r="L5" s="6" t="str">
        <f>CONCATENATE("13 13.1 4a")</f>
        <v>13 13.1 4a</v>
      </c>
      <c r="M5" s="6" t="str">
        <f>CONCATENATE("PRSGPR64E10G453L")</f>
        <v>PRSGPR64E10G453L</v>
      </c>
      <c r="N5" s="6" t="s">
        <v>49</v>
      </c>
      <c r="O5" s="6" t="s">
        <v>46</v>
      </c>
      <c r="P5" s="7">
        <v>43322</v>
      </c>
      <c r="Q5" s="6" t="s">
        <v>29</v>
      </c>
      <c r="R5" s="6" t="s">
        <v>30</v>
      </c>
      <c r="S5" s="6" t="s">
        <v>31</v>
      </c>
      <c r="T5" s="6">
        <v>257.23</v>
      </c>
      <c r="U5" s="6">
        <v>110.92</v>
      </c>
      <c r="V5" s="6">
        <v>102.43</v>
      </c>
      <c r="W5" s="6">
        <v>0</v>
      </c>
      <c r="X5" s="6">
        <v>43.88</v>
      </c>
    </row>
    <row r="6" spans="1:24" x14ac:dyDescent="0.25">
      <c r="A6" s="6" t="s">
        <v>25</v>
      </c>
      <c r="B6" s="6" t="s">
        <v>35</v>
      </c>
      <c r="C6" s="6" t="s">
        <v>42</v>
      </c>
      <c r="D6" s="6" t="s">
        <v>50</v>
      </c>
      <c r="E6" s="6" t="s">
        <v>27</v>
      </c>
      <c r="F6" s="6" t="s">
        <v>51</v>
      </c>
      <c r="G6" s="6">
        <v>2016</v>
      </c>
      <c r="H6" s="6" t="str">
        <f>CONCATENATE("64210511966")</f>
        <v>64210511966</v>
      </c>
      <c r="I6" s="6" t="s">
        <v>28</v>
      </c>
      <c r="J6" s="6" t="s">
        <v>38</v>
      </c>
      <c r="K6" s="6" t="str">
        <f>CONCATENATE("")</f>
        <v/>
      </c>
      <c r="L6" s="6" t="str">
        <f>CONCATENATE("13 13.1 4a")</f>
        <v>13 13.1 4a</v>
      </c>
      <c r="M6" s="6" t="str">
        <f>CONCATENATE("CNCGNN56S16I661I")</f>
        <v>CNCGNN56S16I661I</v>
      </c>
      <c r="N6" s="6" t="s">
        <v>52</v>
      </c>
      <c r="O6" s="6" t="s">
        <v>46</v>
      </c>
      <c r="P6" s="7">
        <v>43322</v>
      </c>
      <c r="Q6" s="6" t="s">
        <v>29</v>
      </c>
      <c r="R6" s="6" t="s">
        <v>30</v>
      </c>
      <c r="S6" s="6" t="s">
        <v>31</v>
      </c>
      <c r="T6" s="6">
        <v>910.13</v>
      </c>
      <c r="U6" s="6">
        <v>392.45</v>
      </c>
      <c r="V6" s="6">
        <v>362.41</v>
      </c>
      <c r="W6" s="6">
        <v>0</v>
      </c>
      <c r="X6" s="6">
        <v>155.27000000000001</v>
      </c>
    </row>
    <row r="7" spans="1:24" x14ac:dyDescent="0.25">
      <c r="A7" s="6" t="s">
        <v>25</v>
      </c>
      <c r="B7" s="6" t="s">
        <v>35</v>
      </c>
      <c r="C7" s="6" t="s">
        <v>42</v>
      </c>
      <c r="D7" s="6" t="s">
        <v>50</v>
      </c>
      <c r="E7" s="6" t="s">
        <v>27</v>
      </c>
      <c r="F7" s="6" t="s">
        <v>51</v>
      </c>
      <c r="G7" s="6">
        <v>2017</v>
      </c>
      <c r="H7" s="6" t="str">
        <f>CONCATENATE("74210220013")</f>
        <v>74210220013</v>
      </c>
      <c r="I7" s="6" t="s">
        <v>34</v>
      </c>
      <c r="J7" s="6" t="s">
        <v>38</v>
      </c>
      <c r="K7" s="6" t="str">
        <f>CONCATENATE("")</f>
        <v/>
      </c>
      <c r="L7" s="6" t="str">
        <f>CONCATENATE("13 13.1 4a")</f>
        <v>13 13.1 4a</v>
      </c>
      <c r="M7" s="6" t="str">
        <f>CONCATENATE("PNTGLN68L15F460L")</f>
        <v>PNTGLN68L15F460L</v>
      </c>
      <c r="N7" s="6" t="s">
        <v>53</v>
      </c>
      <c r="O7" s="6" t="s">
        <v>46</v>
      </c>
      <c r="P7" s="7">
        <v>43322</v>
      </c>
      <c r="Q7" s="6" t="s">
        <v>29</v>
      </c>
      <c r="R7" s="6" t="s">
        <v>30</v>
      </c>
      <c r="S7" s="6" t="s">
        <v>31</v>
      </c>
      <c r="T7" s="8">
        <v>4934.3</v>
      </c>
      <c r="U7" s="8">
        <v>2127.67</v>
      </c>
      <c r="V7" s="8">
        <v>1964.84</v>
      </c>
      <c r="W7" s="6">
        <v>0</v>
      </c>
      <c r="X7" s="6">
        <v>841.79</v>
      </c>
    </row>
    <row r="8" spans="1:24" x14ac:dyDescent="0.25">
      <c r="A8" s="6" t="s">
        <v>25</v>
      </c>
      <c r="B8" s="6" t="s">
        <v>35</v>
      </c>
      <c r="C8" s="6" t="s">
        <v>42</v>
      </c>
      <c r="D8" s="6" t="s">
        <v>50</v>
      </c>
      <c r="E8" s="6" t="s">
        <v>40</v>
      </c>
      <c r="F8" s="6" t="s">
        <v>54</v>
      </c>
      <c r="G8" s="6">
        <v>2016</v>
      </c>
      <c r="H8" s="6" t="str">
        <f>CONCATENATE("64210656415")</f>
        <v>64210656415</v>
      </c>
      <c r="I8" s="6" t="s">
        <v>28</v>
      </c>
      <c r="J8" s="6" t="s">
        <v>38</v>
      </c>
      <c r="K8" s="6" t="str">
        <f>CONCATENATE("")</f>
        <v/>
      </c>
      <c r="L8" s="6" t="str">
        <f>CONCATENATE("13 13.1 4a")</f>
        <v>13 13.1 4a</v>
      </c>
      <c r="M8" s="6" t="str">
        <f>CONCATENATE("MGGNZR49E24I661D")</f>
        <v>MGGNZR49E24I661D</v>
      </c>
      <c r="N8" s="6" t="s">
        <v>55</v>
      </c>
      <c r="O8" s="6" t="s">
        <v>46</v>
      </c>
      <c r="P8" s="7">
        <v>43322</v>
      </c>
      <c r="Q8" s="6" t="s">
        <v>29</v>
      </c>
      <c r="R8" s="6" t="s">
        <v>30</v>
      </c>
      <c r="S8" s="6" t="s">
        <v>31</v>
      </c>
      <c r="T8" s="8">
        <v>3112.45</v>
      </c>
      <c r="U8" s="8">
        <v>1342.09</v>
      </c>
      <c r="V8" s="8">
        <v>1239.3800000000001</v>
      </c>
      <c r="W8" s="6">
        <v>0</v>
      </c>
      <c r="X8" s="6">
        <v>530.98</v>
      </c>
    </row>
    <row r="9" spans="1:24" x14ac:dyDescent="0.25">
      <c r="A9" s="6" t="s">
        <v>25</v>
      </c>
      <c r="B9" s="6" t="s">
        <v>35</v>
      </c>
      <c r="C9" s="6" t="s">
        <v>42</v>
      </c>
      <c r="D9" s="6" t="s">
        <v>50</v>
      </c>
      <c r="E9" s="6" t="s">
        <v>32</v>
      </c>
      <c r="F9" s="6" t="s">
        <v>56</v>
      </c>
      <c r="G9" s="6">
        <v>2016</v>
      </c>
      <c r="H9" s="6" t="str">
        <f>CONCATENATE("64211719022")</f>
        <v>64211719022</v>
      </c>
      <c r="I9" s="6" t="s">
        <v>28</v>
      </c>
      <c r="J9" s="6" t="s">
        <v>38</v>
      </c>
      <c r="K9" s="6" t="str">
        <f>CONCATENATE("")</f>
        <v/>
      </c>
      <c r="L9" s="6" t="str">
        <f>CONCATENATE("13 13.1 4a")</f>
        <v>13 13.1 4a</v>
      </c>
      <c r="M9" s="6" t="str">
        <f>CONCATENATE("MRLRFL26S11B562Z")</f>
        <v>MRLRFL26S11B562Z</v>
      </c>
      <c r="N9" s="6" t="s">
        <v>57</v>
      </c>
      <c r="O9" s="6" t="s">
        <v>46</v>
      </c>
      <c r="P9" s="7">
        <v>43322</v>
      </c>
      <c r="Q9" s="6" t="s">
        <v>29</v>
      </c>
      <c r="R9" s="6" t="s">
        <v>30</v>
      </c>
      <c r="S9" s="6" t="s">
        <v>31</v>
      </c>
      <c r="T9" s="8">
        <v>1192.99</v>
      </c>
      <c r="U9" s="6">
        <v>514.41999999999996</v>
      </c>
      <c r="V9" s="6">
        <v>475.05</v>
      </c>
      <c r="W9" s="6">
        <v>0</v>
      </c>
      <c r="X9" s="6">
        <v>203.52</v>
      </c>
    </row>
    <row r="10" spans="1:24" ht="24.75" x14ac:dyDescent="0.25">
      <c r="A10" s="6" t="s">
        <v>25</v>
      </c>
      <c r="B10" s="6" t="s">
        <v>35</v>
      </c>
      <c r="C10" s="6" t="s">
        <v>42</v>
      </c>
      <c r="D10" s="6" t="s">
        <v>43</v>
      </c>
      <c r="E10" s="6" t="s">
        <v>32</v>
      </c>
      <c r="F10" s="6" t="s">
        <v>58</v>
      </c>
      <c r="G10" s="6">
        <v>2017</v>
      </c>
      <c r="H10" s="6" t="str">
        <f>CONCATENATE("74210598616")</f>
        <v>74210598616</v>
      </c>
      <c r="I10" s="6" t="s">
        <v>28</v>
      </c>
      <c r="J10" s="6" t="s">
        <v>38</v>
      </c>
      <c r="K10" s="6" t="str">
        <f>CONCATENATE("")</f>
        <v/>
      </c>
      <c r="L10" s="6" t="str">
        <f>CONCATENATE("13 13.1 4a")</f>
        <v>13 13.1 4a</v>
      </c>
      <c r="M10" s="6" t="str">
        <f>CONCATENATE("MRCDNL81R16I608E")</f>
        <v>MRCDNL81R16I608E</v>
      </c>
      <c r="N10" s="6" t="s">
        <v>59</v>
      </c>
      <c r="O10" s="6" t="s">
        <v>46</v>
      </c>
      <c r="P10" s="7">
        <v>43322</v>
      </c>
      <c r="Q10" s="6" t="s">
        <v>29</v>
      </c>
      <c r="R10" s="6" t="s">
        <v>30</v>
      </c>
      <c r="S10" s="6" t="s">
        <v>31</v>
      </c>
      <c r="T10" s="6">
        <v>601.08000000000004</v>
      </c>
      <c r="U10" s="6">
        <v>259.19</v>
      </c>
      <c r="V10" s="6">
        <v>239.35</v>
      </c>
      <c r="W10" s="6">
        <v>0</v>
      </c>
      <c r="X10" s="6">
        <v>102.54</v>
      </c>
    </row>
    <row r="11" spans="1:24" ht="24.75" x14ac:dyDescent="0.25">
      <c r="A11" s="6" t="s">
        <v>25</v>
      </c>
      <c r="B11" s="6" t="s">
        <v>35</v>
      </c>
      <c r="C11" s="6" t="s">
        <v>42</v>
      </c>
      <c r="D11" s="6" t="s">
        <v>43</v>
      </c>
      <c r="E11" s="6" t="s">
        <v>27</v>
      </c>
      <c r="F11" s="6" t="s">
        <v>44</v>
      </c>
      <c r="G11" s="6">
        <v>2017</v>
      </c>
      <c r="H11" s="6" t="str">
        <f>CONCATENATE("74210503657")</f>
        <v>74210503657</v>
      </c>
      <c r="I11" s="6" t="s">
        <v>28</v>
      </c>
      <c r="J11" s="6" t="s">
        <v>38</v>
      </c>
      <c r="K11" s="6" t="str">
        <f>CONCATENATE("")</f>
        <v/>
      </c>
      <c r="L11" s="6" t="str">
        <f>CONCATENATE("13 13.1 4a")</f>
        <v>13 13.1 4a</v>
      </c>
      <c r="M11" s="6" t="str">
        <f>CONCATENATE("PCCMRC85D13H501N")</f>
        <v>PCCMRC85D13H501N</v>
      </c>
      <c r="N11" s="6" t="s">
        <v>60</v>
      </c>
      <c r="O11" s="6" t="s">
        <v>46</v>
      </c>
      <c r="P11" s="7">
        <v>43322</v>
      </c>
      <c r="Q11" s="6" t="s">
        <v>29</v>
      </c>
      <c r="R11" s="6" t="s">
        <v>30</v>
      </c>
      <c r="S11" s="6" t="s">
        <v>31</v>
      </c>
      <c r="T11" s="8">
        <v>1316.72</v>
      </c>
      <c r="U11" s="6">
        <v>567.77</v>
      </c>
      <c r="V11" s="6">
        <v>524.32000000000005</v>
      </c>
      <c r="W11" s="6">
        <v>0</v>
      </c>
      <c r="X11" s="6">
        <v>224.63</v>
      </c>
    </row>
    <row r="12" spans="1:24" ht="24.75" x14ac:dyDescent="0.25">
      <c r="A12" s="6" t="s">
        <v>25</v>
      </c>
      <c r="B12" s="6" t="s">
        <v>35</v>
      </c>
      <c r="C12" s="6" t="s">
        <v>42</v>
      </c>
      <c r="D12" s="6" t="s">
        <v>43</v>
      </c>
      <c r="E12" s="6" t="s">
        <v>27</v>
      </c>
      <c r="F12" s="6" t="s">
        <v>44</v>
      </c>
      <c r="G12" s="6">
        <v>2017</v>
      </c>
      <c r="H12" s="6" t="str">
        <f>CONCATENATE("74210671587")</f>
        <v>74210671587</v>
      </c>
      <c r="I12" s="6" t="s">
        <v>28</v>
      </c>
      <c r="J12" s="6" t="s">
        <v>38</v>
      </c>
      <c r="K12" s="6" t="str">
        <f>CONCATENATE("")</f>
        <v/>
      </c>
      <c r="L12" s="6" t="str">
        <f>CONCATENATE("13 13.1 4a")</f>
        <v>13 13.1 4a</v>
      </c>
      <c r="M12" s="6" t="str">
        <f>CONCATENATE("PCRTTL84T19D451D")</f>
        <v>PCRTTL84T19D451D</v>
      </c>
      <c r="N12" s="6" t="s">
        <v>61</v>
      </c>
      <c r="O12" s="6" t="s">
        <v>46</v>
      </c>
      <c r="P12" s="7">
        <v>43322</v>
      </c>
      <c r="Q12" s="6" t="s">
        <v>29</v>
      </c>
      <c r="R12" s="6" t="s">
        <v>30</v>
      </c>
      <c r="S12" s="6" t="s">
        <v>31</v>
      </c>
      <c r="T12" s="8">
        <v>5400</v>
      </c>
      <c r="U12" s="8">
        <v>2328.48</v>
      </c>
      <c r="V12" s="8">
        <v>2150.2800000000002</v>
      </c>
      <c r="W12" s="6">
        <v>0</v>
      </c>
      <c r="X12" s="6">
        <v>921.24</v>
      </c>
    </row>
    <row r="13" spans="1:24" ht="24.75" x14ac:dyDescent="0.25">
      <c r="A13" s="6" t="s">
        <v>25</v>
      </c>
      <c r="B13" s="6" t="s">
        <v>35</v>
      </c>
      <c r="C13" s="6" t="s">
        <v>42</v>
      </c>
      <c r="D13" s="6" t="s">
        <v>43</v>
      </c>
      <c r="E13" s="6" t="s">
        <v>37</v>
      </c>
      <c r="F13" s="6" t="s">
        <v>62</v>
      </c>
      <c r="G13" s="6">
        <v>2017</v>
      </c>
      <c r="H13" s="6" t="str">
        <f>CONCATENATE("74210335969")</f>
        <v>74210335969</v>
      </c>
      <c r="I13" s="6" t="s">
        <v>28</v>
      </c>
      <c r="J13" s="6" t="s">
        <v>38</v>
      </c>
      <c r="K13" s="6" t="str">
        <f>CONCATENATE("")</f>
        <v/>
      </c>
      <c r="L13" s="6" t="str">
        <f>CONCATENATE("13 13.1 4a")</f>
        <v>13 13.1 4a</v>
      </c>
      <c r="M13" s="6" t="str">
        <f>CONCATENATE("PLTGZN65R17D211V")</f>
        <v>PLTGZN65R17D211V</v>
      </c>
      <c r="N13" s="6" t="s">
        <v>63</v>
      </c>
      <c r="O13" s="6" t="s">
        <v>46</v>
      </c>
      <c r="P13" s="7">
        <v>43322</v>
      </c>
      <c r="Q13" s="6" t="s">
        <v>29</v>
      </c>
      <c r="R13" s="6" t="s">
        <v>30</v>
      </c>
      <c r="S13" s="6" t="s">
        <v>31</v>
      </c>
      <c r="T13" s="8">
        <v>1286.77</v>
      </c>
      <c r="U13" s="6">
        <v>554.86</v>
      </c>
      <c r="V13" s="6">
        <v>512.39</v>
      </c>
      <c r="W13" s="6">
        <v>0</v>
      </c>
      <c r="X13" s="6">
        <v>219.52</v>
      </c>
    </row>
    <row r="14" spans="1:24" ht="24.75" x14ac:dyDescent="0.25">
      <c r="A14" s="6" t="s">
        <v>25</v>
      </c>
      <c r="B14" s="6" t="s">
        <v>35</v>
      </c>
      <c r="C14" s="6" t="s">
        <v>42</v>
      </c>
      <c r="D14" s="6" t="s">
        <v>43</v>
      </c>
      <c r="E14" s="6" t="s">
        <v>27</v>
      </c>
      <c r="F14" s="6" t="s">
        <v>44</v>
      </c>
      <c r="G14" s="6">
        <v>2017</v>
      </c>
      <c r="H14" s="6" t="str">
        <f>CONCATENATE("74210962374")</f>
        <v>74210962374</v>
      </c>
      <c r="I14" s="6" t="s">
        <v>28</v>
      </c>
      <c r="J14" s="6" t="s">
        <v>38</v>
      </c>
      <c r="K14" s="6" t="str">
        <f>CONCATENATE("")</f>
        <v/>
      </c>
      <c r="L14" s="6" t="str">
        <f>CONCATENATE("13 13.1 4a")</f>
        <v>13 13.1 4a</v>
      </c>
      <c r="M14" s="6" t="str">
        <f>CONCATENATE("RCCNTL36T23D451C")</f>
        <v>RCCNTL36T23D451C</v>
      </c>
      <c r="N14" s="6" t="s">
        <v>64</v>
      </c>
      <c r="O14" s="6" t="s">
        <v>46</v>
      </c>
      <c r="P14" s="7">
        <v>43322</v>
      </c>
      <c r="Q14" s="6" t="s">
        <v>29</v>
      </c>
      <c r="R14" s="6" t="s">
        <v>30</v>
      </c>
      <c r="S14" s="6" t="s">
        <v>31</v>
      </c>
      <c r="T14" s="8">
        <v>2204.7399999999998</v>
      </c>
      <c r="U14" s="6">
        <v>950.68</v>
      </c>
      <c r="V14" s="6">
        <v>877.93</v>
      </c>
      <c r="W14" s="6">
        <v>0</v>
      </c>
      <c r="X14" s="6">
        <v>376.13</v>
      </c>
    </row>
    <row r="15" spans="1:24" ht="24.75" x14ac:dyDescent="0.25">
      <c r="A15" s="6" t="s">
        <v>25</v>
      </c>
      <c r="B15" s="6" t="s">
        <v>35</v>
      </c>
      <c r="C15" s="6" t="s">
        <v>42</v>
      </c>
      <c r="D15" s="6" t="s">
        <v>43</v>
      </c>
      <c r="E15" s="6" t="s">
        <v>27</v>
      </c>
      <c r="F15" s="6" t="s">
        <v>44</v>
      </c>
      <c r="G15" s="6">
        <v>2017</v>
      </c>
      <c r="H15" s="6" t="str">
        <f>CONCATENATE("74210543778")</f>
        <v>74210543778</v>
      </c>
      <c r="I15" s="6" t="s">
        <v>28</v>
      </c>
      <c r="J15" s="6" t="s">
        <v>38</v>
      </c>
      <c r="K15" s="6" t="str">
        <f>CONCATENATE("")</f>
        <v/>
      </c>
      <c r="L15" s="6" t="str">
        <f>CONCATENATE("13 13.1 4a")</f>
        <v>13 13.1 4a</v>
      </c>
      <c r="M15" s="6" t="str">
        <f>CONCATENATE("RGGSFN77S24D451H")</f>
        <v>RGGSFN77S24D451H</v>
      </c>
      <c r="N15" s="6" t="s">
        <v>65</v>
      </c>
      <c r="O15" s="6" t="s">
        <v>46</v>
      </c>
      <c r="P15" s="7">
        <v>43322</v>
      </c>
      <c r="Q15" s="6" t="s">
        <v>29</v>
      </c>
      <c r="R15" s="6" t="s">
        <v>30</v>
      </c>
      <c r="S15" s="6" t="s">
        <v>31</v>
      </c>
      <c r="T15" s="8">
        <v>5400</v>
      </c>
      <c r="U15" s="8">
        <v>2328.48</v>
      </c>
      <c r="V15" s="8">
        <v>2150.2800000000002</v>
      </c>
      <c r="W15" s="6">
        <v>0</v>
      </c>
      <c r="X15" s="6">
        <v>921.24</v>
      </c>
    </row>
    <row r="16" spans="1:24" ht="24.75" x14ac:dyDescent="0.25">
      <c r="A16" s="6" t="s">
        <v>25</v>
      </c>
      <c r="B16" s="6" t="s">
        <v>35</v>
      </c>
      <c r="C16" s="6" t="s">
        <v>42</v>
      </c>
      <c r="D16" s="6" t="s">
        <v>43</v>
      </c>
      <c r="E16" s="6" t="s">
        <v>27</v>
      </c>
      <c r="F16" s="6" t="s">
        <v>44</v>
      </c>
      <c r="G16" s="6">
        <v>2017</v>
      </c>
      <c r="H16" s="6" t="str">
        <f>CONCATENATE("74210591710")</f>
        <v>74210591710</v>
      </c>
      <c r="I16" s="6" t="s">
        <v>28</v>
      </c>
      <c r="J16" s="6" t="s">
        <v>38</v>
      </c>
      <c r="K16" s="6" t="str">
        <f>CONCATENATE("")</f>
        <v/>
      </c>
      <c r="L16" s="6" t="str">
        <f>CONCATENATE("13 13.1 4a")</f>
        <v>13 13.1 4a</v>
      </c>
      <c r="M16" s="6" t="str">
        <f>CONCATENATE("SSSGCM63L12D451G")</f>
        <v>SSSGCM63L12D451G</v>
      </c>
      <c r="N16" s="6" t="s">
        <v>66</v>
      </c>
      <c r="O16" s="6" t="s">
        <v>46</v>
      </c>
      <c r="P16" s="7">
        <v>43322</v>
      </c>
      <c r="Q16" s="6" t="s">
        <v>29</v>
      </c>
      <c r="R16" s="6" t="s">
        <v>30</v>
      </c>
      <c r="S16" s="6" t="s">
        <v>31</v>
      </c>
      <c r="T16" s="6">
        <v>457</v>
      </c>
      <c r="U16" s="6">
        <v>197.06</v>
      </c>
      <c r="V16" s="6">
        <v>181.98</v>
      </c>
      <c r="W16" s="6">
        <v>0</v>
      </c>
      <c r="X16" s="6">
        <v>77.959999999999994</v>
      </c>
    </row>
    <row r="17" spans="1:24" ht="24.75" x14ac:dyDescent="0.25">
      <c r="A17" s="6" t="s">
        <v>25</v>
      </c>
      <c r="B17" s="6" t="s">
        <v>35</v>
      </c>
      <c r="C17" s="6" t="s">
        <v>42</v>
      </c>
      <c r="D17" s="6" t="s">
        <v>43</v>
      </c>
      <c r="E17" s="6" t="s">
        <v>27</v>
      </c>
      <c r="F17" s="6" t="s">
        <v>44</v>
      </c>
      <c r="G17" s="6">
        <v>2017</v>
      </c>
      <c r="H17" s="6" t="str">
        <f>CONCATENATE("74210491978")</f>
        <v>74210491978</v>
      </c>
      <c r="I17" s="6" t="s">
        <v>28</v>
      </c>
      <c r="J17" s="6" t="s">
        <v>38</v>
      </c>
      <c r="K17" s="6" t="str">
        <f>CONCATENATE("")</f>
        <v/>
      </c>
      <c r="L17" s="6" t="str">
        <f>CONCATENATE("13 13.1 4a")</f>
        <v>13 13.1 4a</v>
      </c>
      <c r="M17" s="6" t="str">
        <f>CONCATENATE("02730650427")</f>
        <v>02730650427</v>
      </c>
      <c r="N17" s="6" t="s">
        <v>67</v>
      </c>
      <c r="O17" s="6" t="s">
        <v>46</v>
      </c>
      <c r="P17" s="7">
        <v>43322</v>
      </c>
      <c r="Q17" s="6" t="s">
        <v>29</v>
      </c>
      <c r="R17" s="6" t="s">
        <v>30</v>
      </c>
      <c r="S17" s="6" t="s">
        <v>31</v>
      </c>
      <c r="T17" s="6">
        <v>630.84</v>
      </c>
      <c r="U17" s="6">
        <v>272.02</v>
      </c>
      <c r="V17" s="6">
        <v>251.2</v>
      </c>
      <c r="W17" s="6">
        <v>0</v>
      </c>
      <c r="X17" s="6">
        <v>107.62</v>
      </c>
    </row>
    <row r="18" spans="1:24" ht="24.75" x14ac:dyDescent="0.25">
      <c r="A18" s="6" t="s">
        <v>25</v>
      </c>
      <c r="B18" s="6" t="s">
        <v>35</v>
      </c>
      <c r="C18" s="6" t="s">
        <v>42</v>
      </c>
      <c r="D18" s="6" t="s">
        <v>47</v>
      </c>
      <c r="E18" s="6" t="s">
        <v>40</v>
      </c>
      <c r="F18" s="6" t="s">
        <v>68</v>
      </c>
      <c r="G18" s="6">
        <v>2017</v>
      </c>
      <c r="H18" s="6" t="str">
        <f>CONCATENATE("74210685496")</f>
        <v>74210685496</v>
      </c>
      <c r="I18" s="6" t="s">
        <v>28</v>
      </c>
      <c r="J18" s="6" t="s">
        <v>38</v>
      </c>
      <c r="K18" s="6" t="str">
        <f>CONCATENATE("")</f>
        <v/>
      </c>
      <c r="L18" s="6" t="str">
        <f>CONCATENATE("13 13.1 4a")</f>
        <v>13 13.1 4a</v>
      </c>
      <c r="M18" s="6" t="str">
        <f>CONCATENATE("01329340416")</f>
        <v>01329340416</v>
      </c>
      <c r="N18" s="6" t="s">
        <v>69</v>
      </c>
      <c r="O18" s="6" t="s">
        <v>46</v>
      </c>
      <c r="P18" s="7">
        <v>43322</v>
      </c>
      <c r="Q18" s="6" t="s">
        <v>29</v>
      </c>
      <c r="R18" s="6" t="s">
        <v>30</v>
      </c>
      <c r="S18" s="6" t="s">
        <v>31</v>
      </c>
      <c r="T18" s="8">
        <v>3857.43</v>
      </c>
      <c r="U18" s="8">
        <v>1663.32</v>
      </c>
      <c r="V18" s="8">
        <v>1536.03</v>
      </c>
      <c r="W18" s="6">
        <v>0</v>
      </c>
      <c r="X18" s="6">
        <v>658.08</v>
      </c>
    </row>
    <row r="19" spans="1:24" x14ac:dyDescent="0.25">
      <c r="A19" s="6" t="s">
        <v>25</v>
      </c>
      <c r="B19" s="6" t="s">
        <v>35</v>
      </c>
      <c r="C19" s="6" t="s">
        <v>42</v>
      </c>
      <c r="D19" s="6" t="s">
        <v>50</v>
      </c>
      <c r="E19" s="6" t="s">
        <v>27</v>
      </c>
      <c r="F19" s="6" t="s">
        <v>51</v>
      </c>
      <c r="G19" s="6">
        <v>2016</v>
      </c>
      <c r="H19" s="6" t="str">
        <f>CONCATENATE("64210523060")</f>
        <v>64210523060</v>
      </c>
      <c r="I19" s="6" t="s">
        <v>28</v>
      </c>
      <c r="J19" s="6" t="s">
        <v>38</v>
      </c>
      <c r="K19" s="6" t="str">
        <f>CONCATENATE("")</f>
        <v/>
      </c>
      <c r="L19" s="6" t="str">
        <f>CONCATENATE("13 13.1 4a")</f>
        <v>13 13.1 4a</v>
      </c>
      <c r="M19" s="6" t="str">
        <f>CONCATENATE("MCCMRZ56C06I661I")</f>
        <v>MCCMRZ56C06I661I</v>
      </c>
      <c r="N19" s="6" t="s">
        <v>70</v>
      </c>
      <c r="O19" s="6" t="s">
        <v>46</v>
      </c>
      <c r="P19" s="7">
        <v>43322</v>
      </c>
      <c r="Q19" s="6" t="s">
        <v>29</v>
      </c>
      <c r="R19" s="6" t="s">
        <v>30</v>
      </c>
      <c r="S19" s="6" t="s">
        <v>31</v>
      </c>
      <c r="T19" s="6">
        <v>29.72</v>
      </c>
      <c r="U19" s="6">
        <v>12.82</v>
      </c>
      <c r="V19" s="6">
        <v>11.83</v>
      </c>
      <c r="W19" s="6">
        <v>0</v>
      </c>
      <c r="X19" s="6">
        <v>5.07</v>
      </c>
    </row>
    <row r="20" spans="1:24" ht="24.75" x14ac:dyDescent="0.25">
      <c r="A20" s="6" t="s">
        <v>25</v>
      </c>
      <c r="B20" s="6" t="s">
        <v>35</v>
      </c>
      <c r="C20" s="6" t="s">
        <v>42</v>
      </c>
      <c r="D20" s="6" t="s">
        <v>43</v>
      </c>
      <c r="E20" s="6" t="s">
        <v>27</v>
      </c>
      <c r="F20" s="6" t="s">
        <v>44</v>
      </c>
      <c r="G20" s="6">
        <v>2017</v>
      </c>
      <c r="H20" s="6" t="str">
        <f>CONCATENATE("74211056283")</f>
        <v>74211056283</v>
      </c>
      <c r="I20" s="6" t="s">
        <v>28</v>
      </c>
      <c r="J20" s="6" t="s">
        <v>38</v>
      </c>
      <c r="K20" s="6" t="str">
        <f>CONCATENATE("")</f>
        <v/>
      </c>
      <c r="L20" s="6" t="str">
        <f>CONCATENATE("13 13.1 4a")</f>
        <v>13 13.1 4a</v>
      </c>
      <c r="M20" s="6" t="str">
        <f>CONCATENATE("ZMPPTR49B21D451R")</f>
        <v>ZMPPTR49B21D451R</v>
      </c>
      <c r="N20" s="6" t="s">
        <v>71</v>
      </c>
      <c r="O20" s="6" t="s">
        <v>46</v>
      </c>
      <c r="P20" s="7">
        <v>43322</v>
      </c>
      <c r="Q20" s="6" t="s">
        <v>29</v>
      </c>
      <c r="R20" s="6" t="s">
        <v>30</v>
      </c>
      <c r="S20" s="6" t="s">
        <v>31</v>
      </c>
      <c r="T20" s="6">
        <v>234.48</v>
      </c>
      <c r="U20" s="6">
        <v>101.11</v>
      </c>
      <c r="V20" s="6">
        <v>93.37</v>
      </c>
      <c r="W20" s="6">
        <v>0</v>
      </c>
      <c r="X20" s="6">
        <v>40</v>
      </c>
    </row>
    <row r="21" spans="1:24" ht="24.75" x14ac:dyDescent="0.25">
      <c r="A21" s="6" t="s">
        <v>25</v>
      </c>
      <c r="B21" s="6" t="s">
        <v>35</v>
      </c>
      <c r="C21" s="6" t="s">
        <v>42</v>
      </c>
      <c r="D21" s="6" t="s">
        <v>47</v>
      </c>
      <c r="E21" s="6" t="s">
        <v>36</v>
      </c>
      <c r="F21" s="6" t="s">
        <v>72</v>
      </c>
      <c r="G21" s="6">
        <v>2016</v>
      </c>
      <c r="H21" s="6" t="str">
        <f>CONCATENATE("64211131996")</f>
        <v>64211131996</v>
      </c>
      <c r="I21" s="6" t="s">
        <v>28</v>
      </c>
      <c r="J21" s="6" t="s">
        <v>38</v>
      </c>
      <c r="K21" s="6" t="str">
        <f>CONCATENATE("")</f>
        <v/>
      </c>
      <c r="L21" s="6" t="str">
        <f>CONCATENATE("13 13.1 4a")</f>
        <v>13 13.1 4a</v>
      </c>
      <c r="M21" s="6" t="str">
        <f>CONCATENATE("00100850411")</f>
        <v>00100850411</v>
      </c>
      <c r="N21" s="6" t="s">
        <v>73</v>
      </c>
      <c r="O21" s="6" t="s">
        <v>46</v>
      </c>
      <c r="P21" s="7">
        <v>43322</v>
      </c>
      <c r="Q21" s="6" t="s">
        <v>29</v>
      </c>
      <c r="R21" s="6" t="s">
        <v>30</v>
      </c>
      <c r="S21" s="6" t="s">
        <v>31</v>
      </c>
      <c r="T21" s="6">
        <v>972</v>
      </c>
      <c r="U21" s="6">
        <v>419.13</v>
      </c>
      <c r="V21" s="6">
        <v>387.05</v>
      </c>
      <c r="W21" s="6">
        <v>0</v>
      </c>
      <c r="X21" s="6">
        <v>165.82</v>
      </c>
    </row>
    <row r="22" spans="1:24" ht="24.75" x14ac:dyDescent="0.25">
      <c r="A22" s="6" t="s">
        <v>25</v>
      </c>
      <c r="B22" s="6" t="s">
        <v>35</v>
      </c>
      <c r="C22" s="6" t="s">
        <v>42</v>
      </c>
      <c r="D22" s="6" t="s">
        <v>47</v>
      </c>
      <c r="E22" s="6" t="s">
        <v>32</v>
      </c>
      <c r="F22" s="6" t="s">
        <v>74</v>
      </c>
      <c r="G22" s="6">
        <v>2016</v>
      </c>
      <c r="H22" s="6" t="str">
        <f>CONCATENATE("64210611618")</f>
        <v>64210611618</v>
      </c>
      <c r="I22" s="6" t="s">
        <v>28</v>
      </c>
      <c r="J22" s="6" t="s">
        <v>38</v>
      </c>
      <c r="K22" s="6" t="str">
        <f>CONCATENATE("")</f>
        <v/>
      </c>
      <c r="L22" s="6" t="str">
        <f>CONCATENATE("13 13.1 4a")</f>
        <v>13 13.1 4a</v>
      </c>
      <c r="M22" s="6" t="str">
        <f>CONCATENATE("01057570416")</f>
        <v>01057570416</v>
      </c>
      <c r="N22" s="6" t="s">
        <v>75</v>
      </c>
      <c r="O22" s="6" t="s">
        <v>46</v>
      </c>
      <c r="P22" s="7">
        <v>43322</v>
      </c>
      <c r="Q22" s="6" t="s">
        <v>29</v>
      </c>
      <c r="R22" s="6" t="s">
        <v>30</v>
      </c>
      <c r="S22" s="6" t="s">
        <v>31</v>
      </c>
      <c r="T22" s="6">
        <v>559.63</v>
      </c>
      <c r="U22" s="6">
        <v>241.31</v>
      </c>
      <c r="V22" s="6">
        <v>222.84</v>
      </c>
      <c r="W22" s="6">
        <v>0</v>
      </c>
      <c r="X22" s="6">
        <v>95.48</v>
      </c>
    </row>
    <row r="23" spans="1:24" x14ac:dyDescent="0.25">
      <c r="A23" s="6" t="s">
        <v>25</v>
      </c>
      <c r="B23" s="6" t="s">
        <v>35</v>
      </c>
      <c r="C23" s="6" t="s">
        <v>42</v>
      </c>
      <c r="D23" s="6" t="s">
        <v>50</v>
      </c>
      <c r="E23" s="6" t="s">
        <v>40</v>
      </c>
      <c r="F23" s="6" t="s">
        <v>54</v>
      </c>
      <c r="G23" s="6">
        <v>2017</v>
      </c>
      <c r="H23" s="6" t="str">
        <f>CONCATENATE("74210164997")</f>
        <v>74210164997</v>
      </c>
      <c r="I23" s="6" t="s">
        <v>28</v>
      </c>
      <c r="J23" s="6" t="s">
        <v>38</v>
      </c>
      <c r="K23" s="6" t="str">
        <f>CONCATENATE("")</f>
        <v/>
      </c>
      <c r="L23" s="6" t="str">
        <f>CONCATENATE("13 13.1 4a")</f>
        <v>13 13.1 4a</v>
      </c>
      <c r="M23" s="6" t="str">
        <f>CONCATENATE("CRSDNI50B44D429W")</f>
        <v>CRSDNI50B44D429W</v>
      </c>
      <c r="N23" s="6" t="s">
        <v>76</v>
      </c>
      <c r="O23" s="6" t="s">
        <v>46</v>
      </c>
      <c r="P23" s="7">
        <v>43322</v>
      </c>
      <c r="Q23" s="6" t="s">
        <v>29</v>
      </c>
      <c r="R23" s="6" t="s">
        <v>30</v>
      </c>
      <c r="S23" s="6" t="s">
        <v>31</v>
      </c>
      <c r="T23" s="6">
        <v>268.43</v>
      </c>
      <c r="U23" s="6">
        <v>115.75</v>
      </c>
      <c r="V23" s="6">
        <v>106.89</v>
      </c>
      <c r="W23" s="6">
        <v>0</v>
      </c>
      <c r="X23" s="6">
        <v>45.79</v>
      </c>
    </row>
    <row r="24" spans="1:24" ht="24.75" x14ac:dyDescent="0.25">
      <c r="A24" s="6" t="s">
        <v>25</v>
      </c>
      <c r="B24" s="6" t="s">
        <v>35</v>
      </c>
      <c r="C24" s="6" t="s">
        <v>42</v>
      </c>
      <c r="D24" s="6" t="s">
        <v>47</v>
      </c>
      <c r="E24" s="6" t="s">
        <v>32</v>
      </c>
      <c r="F24" s="6" t="s">
        <v>77</v>
      </c>
      <c r="G24" s="6">
        <v>2017</v>
      </c>
      <c r="H24" s="6" t="str">
        <f>CONCATENATE("74210701939")</f>
        <v>74210701939</v>
      </c>
      <c r="I24" s="6" t="s">
        <v>28</v>
      </c>
      <c r="J24" s="6" t="s">
        <v>38</v>
      </c>
      <c r="K24" s="6" t="str">
        <f>CONCATENATE("")</f>
        <v/>
      </c>
      <c r="L24" s="6" t="str">
        <f>CONCATENATE("13 13.1 4a")</f>
        <v>13 13.1 4a</v>
      </c>
      <c r="M24" s="6" t="str">
        <f>CONCATENATE("PGNGCM98P07A271J")</f>
        <v>PGNGCM98P07A271J</v>
      </c>
      <c r="N24" s="6" t="s">
        <v>78</v>
      </c>
      <c r="O24" s="6" t="s">
        <v>46</v>
      </c>
      <c r="P24" s="7">
        <v>43322</v>
      </c>
      <c r="Q24" s="6" t="s">
        <v>29</v>
      </c>
      <c r="R24" s="6" t="s">
        <v>30</v>
      </c>
      <c r="S24" s="6" t="s">
        <v>31</v>
      </c>
      <c r="T24" s="6">
        <v>817.51</v>
      </c>
      <c r="U24" s="6">
        <v>352.51</v>
      </c>
      <c r="V24" s="6">
        <v>325.52999999999997</v>
      </c>
      <c r="W24" s="6">
        <v>0</v>
      </c>
      <c r="X24" s="6">
        <v>139.47</v>
      </c>
    </row>
    <row r="25" spans="1:24" ht="24.75" x14ac:dyDescent="0.25">
      <c r="A25" s="6" t="s">
        <v>25</v>
      </c>
      <c r="B25" s="6" t="s">
        <v>35</v>
      </c>
      <c r="C25" s="6" t="s">
        <v>42</v>
      </c>
      <c r="D25" s="6" t="s">
        <v>43</v>
      </c>
      <c r="E25" s="6" t="s">
        <v>32</v>
      </c>
      <c r="F25" s="6" t="s">
        <v>58</v>
      </c>
      <c r="G25" s="6">
        <v>2017</v>
      </c>
      <c r="H25" s="6" t="str">
        <f>CONCATENATE("74210264797")</f>
        <v>74210264797</v>
      </c>
      <c r="I25" s="6" t="s">
        <v>28</v>
      </c>
      <c r="J25" s="6" t="s">
        <v>38</v>
      </c>
      <c r="K25" s="6" t="str">
        <f>CONCATENATE("")</f>
        <v/>
      </c>
      <c r="L25" s="6" t="str">
        <f>CONCATENATE("13 13.1 4a")</f>
        <v>13 13.1 4a</v>
      </c>
      <c r="M25" s="6" t="str">
        <f>CONCATENATE("RMGGCR70M18D211X")</f>
        <v>RMGGCR70M18D211X</v>
      </c>
      <c r="N25" s="6" t="s">
        <v>79</v>
      </c>
      <c r="O25" s="6" t="s">
        <v>46</v>
      </c>
      <c r="P25" s="7">
        <v>43322</v>
      </c>
      <c r="Q25" s="6" t="s">
        <v>29</v>
      </c>
      <c r="R25" s="6" t="s">
        <v>30</v>
      </c>
      <c r="S25" s="6" t="s">
        <v>31</v>
      </c>
      <c r="T25" s="8">
        <v>1140.26</v>
      </c>
      <c r="U25" s="6">
        <v>491.68</v>
      </c>
      <c r="V25" s="6">
        <v>454.05</v>
      </c>
      <c r="W25" s="6">
        <v>0</v>
      </c>
      <c r="X25" s="6">
        <v>194.53</v>
      </c>
    </row>
    <row r="26" spans="1:24" ht="24.75" x14ac:dyDescent="0.25">
      <c r="A26" s="6" t="s">
        <v>25</v>
      </c>
      <c r="B26" s="6" t="s">
        <v>35</v>
      </c>
      <c r="C26" s="6" t="s">
        <v>42</v>
      </c>
      <c r="D26" s="6" t="s">
        <v>43</v>
      </c>
      <c r="E26" s="6" t="s">
        <v>27</v>
      </c>
      <c r="F26" s="6" t="s">
        <v>44</v>
      </c>
      <c r="G26" s="6">
        <v>2017</v>
      </c>
      <c r="H26" s="6" t="str">
        <f>CONCATENATE("74210393166")</f>
        <v>74210393166</v>
      </c>
      <c r="I26" s="6" t="s">
        <v>28</v>
      </c>
      <c r="J26" s="6" t="s">
        <v>38</v>
      </c>
      <c r="K26" s="6" t="str">
        <f>CONCATENATE("")</f>
        <v/>
      </c>
      <c r="L26" s="6" t="str">
        <f>CONCATENATE("13 13.1 4a")</f>
        <v>13 13.1 4a</v>
      </c>
      <c r="M26" s="6" t="str">
        <f>CONCATENATE("TRCFBA65S20A329C")</f>
        <v>TRCFBA65S20A329C</v>
      </c>
      <c r="N26" s="6" t="s">
        <v>80</v>
      </c>
      <c r="O26" s="6" t="s">
        <v>46</v>
      </c>
      <c r="P26" s="7">
        <v>43322</v>
      </c>
      <c r="Q26" s="6" t="s">
        <v>29</v>
      </c>
      <c r="R26" s="6" t="s">
        <v>30</v>
      </c>
      <c r="S26" s="6" t="s">
        <v>31</v>
      </c>
      <c r="T26" s="8">
        <v>1476.46</v>
      </c>
      <c r="U26" s="6">
        <v>636.65</v>
      </c>
      <c r="V26" s="6">
        <v>587.92999999999995</v>
      </c>
      <c r="W26" s="6">
        <v>0</v>
      </c>
      <c r="X26" s="6">
        <v>251.88</v>
      </c>
    </row>
    <row r="27" spans="1:24" ht="24.75" x14ac:dyDescent="0.25">
      <c r="A27" s="6" t="s">
        <v>25</v>
      </c>
      <c r="B27" s="6" t="s">
        <v>35</v>
      </c>
      <c r="C27" s="6" t="s">
        <v>42</v>
      </c>
      <c r="D27" s="6" t="s">
        <v>47</v>
      </c>
      <c r="E27" s="6" t="s">
        <v>32</v>
      </c>
      <c r="F27" s="6" t="s">
        <v>81</v>
      </c>
      <c r="G27" s="6">
        <v>2017</v>
      </c>
      <c r="H27" s="6" t="str">
        <f>CONCATENATE("74210458787")</f>
        <v>74210458787</v>
      </c>
      <c r="I27" s="6" t="s">
        <v>28</v>
      </c>
      <c r="J27" s="6" t="s">
        <v>38</v>
      </c>
      <c r="K27" s="6" t="str">
        <f>CONCATENATE("")</f>
        <v/>
      </c>
      <c r="L27" s="6" t="str">
        <f>CONCATENATE("13 13.1 4a")</f>
        <v>13 13.1 4a</v>
      </c>
      <c r="M27" s="6" t="str">
        <f>CONCATENATE("RSCLNZ67E25F715N")</f>
        <v>RSCLNZ67E25F715N</v>
      </c>
      <c r="N27" s="6" t="s">
        <v>82</v>
      </c>
      <c r="O27" s="6" t="s">
        <v>46</v>
      </c>
      <c r="P27" s="7">
        <v>43322</v>
      </c>
      <c r="Q27" s="6" t="s">
        <v>29</v>
      </c>
      <c r="R27" s="6" t="s">
        <v>30</v>
      </c>
      <c r="S27" s="6" t="s">
        <v>31</v>
      </c>
      <c r="T27" s="8">
        <v>3771.79</v>
      </c>
      <c r="U27" s="8">
        <v>1626.4</v>
      </c>
      <c r="V27" s="8">
        <v>1501.93</v>
      </c>
      <c r="W27" s="6">
        <v>0</v>
      </c>
      <c r="X27" s="6">
        <v>643.46</v>
      </c>
    </row>
    <row r="28" spans="1:24" ht="24.75" x14ac:dyDescent="0.25">
      <c r="A28" s="6" t="s">
        <v>25</v>
      </c>
      <c r="B28" s="6" t="s">
        <v>35</v>
      </c>
      <c r="C28" s="6" t="s">
        <v>42</v>
      </c>
      <c r="D28" s="6" t="s">
        <v>43</v>
      </c>
      <c r="E28" s="6" t="s">
        <v>27</v>
      </c>
      <c r="F28" s="6" t="s">
        <v>44</v>
      </c>
      <c r="G28" s="6">
        <v>2017</v>
      </c>
      <c r="H28" s="6" t="str">
        <f>CONCATENATE("74210393364")</f>
        <v>74210393364</v>
      </c>
      <c r="I28" s="6" t="s">
        <v>28</v>
      </c>
      <c r="J28" s="6" t="s">
        <v>38</v>
      </c>
      <c r="K28" s="6" t="str">
        <f>CONCATENATE("")</f>
        <v/>
      </c>
      <c r="L28" s="6" t="str">
        <f>CONCATENATE("13 13.1 4a")</f>
        <v>13 13.1 4a</v>
      </c>
      <c r="M28" s="6" t="str">
        <f>CONCATENATE("VLCNGL76A26E388O")</f>
        <v>VLCNGL76A26E388O</v>
      </c>
      <c r="N28" s="6" t="s">
        <v>83</v>
      </c>
      <c r="O28" s="6" t="s">
        <v>46</v>
      </c>
      <c r="P28" s="7">
        <v>43322</v>
      </c>
      <c r="Q28" s="6" t="s">
        <v>29</v>
      </c>
      <c r="R28" s="6" t="s">
        <v>30</v>
      </c>
      <c r="S28" s="6" t="s">
        <v>31</v>
      </c>
      <c r="T28" s="6">
        <v>348.55</v>
      </c>
      <c r="U28" s="6">
        <v>150.29</v>
      </c>
      <c r="V28" s="6">
        <v>138.79</v>
      </c>
      <c r="W28" s="6">
        <v>0</v>
      </c>
      <c r="X28" s="6">
        <v>59.47</v>
      </c>
    </row>
    <row r="29" spans="1:24" ht="24.75" x14ac:dyDescent="0.25">
      <c r="A29" s="6" t="s">
        <v>25</v>
      </c>
      <c r="B29" s="6" t="s">
        <v>35</v>
      </c>
      <c r="C29" s="6" t="s">
        <v>42</v>
      </c>
      <c r="D29" s="6" t="s">
        <v>43</v>
      </c>
      <c r="E29" s="6" t="s">
        <v>27</v>
      </c>
      <c r="F29" s="6" t="s">
        <v>84</v>
      </c>
      <c r="G29" s="6">
        <v>2017</v>
      </c>
      <c r="H29" s="6" t="str">
        <f>CONCATENATE("74210650102")</f>
        <v>74210650102</v>
      </c>
      <c r="I29" s="6" t="s">
        <v>28</v>
      </c>
      <c r="J29" s="6" t="s">
        <v>38</v>
      </c>
      <c r="K29" s="6" t="str">
        <f>CONCATENATE("")</f>
        <v/>
      </c>
      <c r="L29" s="6" t="str">
        <f>CONCATENATE("13 13.1 4a")</f>
        <v>13 13.1 4a</v>
      </c>
      <c r="M29" s="6" t="str">
        <f>CONCATENATE("VSCMRA57B04D965V")</f>
        <v>VSCMRA57B04D965V</v>
      </c>
      <c r="N29" s="6" t="s">
        <v>85</v>
      </c>
      <c r="O29" s="6" t="s">
        <v>46</v>
      </c>
      <c r="P29" s="7">
        <v>43322</v>
      </c>
      <c r="Q29" s="6" t="s">
        <v>29</v>
      </c>
      <c r="R29" s="6" t="s">
        <v>30</v>
      </c>
      <c r="S29" s="6" t="s">
        <v>31</v>
      </c>
      <c r="T29" s="6">
        <v>293.08999999999997</v>
      </c>
      <c r="U29" s="6">
        <v>126.38</v>
      </c>
      <c r="V29" s="6">
        <v>116.71</v>
      </c>
      <c r="W29" s="6">
        <v>0</v>
      </c>
      <c r="X29" s="6">
        <v>50</v>
      </c>
    </row>
    <row r="30" spans="1:24" ht="24.75" x14ac:dyDescent="0.25">
      <c r="A30" s="6" t="s">
        <v>25</v>
      </c>
      <c r="B30" s="6" t="s">
        <v>35</v>
      </c>
      <c r="C30" s="6" t="s">
        <v>42</v>
      </c>
      <c r="D30" s="6" t="s">
        <v>47</v>
      </c>
      <c r="E30" s="6" t="s">
        <v>32</v>
      </c>
      <c r="F30" s="6" t="s">
        <v>48</v>
      </c>
      <c r="G30" s="6">
        <v>2017</v>
      </c>
      <c r="H30" s="6" t="str">
        <f>CONCATENATE("74210394917")</f>
        <v>74210394917</v>
      </c>
      <c r="I30" s="6" t="s">
        <v>28</v>
      </c>
      <c r="J30" s="6" t="s">
        <v>38</v>
      </c>
      <c r="K30" s="6" t="str">
        <f>CONCATENATE("")</f>
        <v/>
      </c>
      <c r="L30" s="6" t="str">
        <f>CONCATENATE("13 13.1 4a")</f>
        <v>13 13.1 4a</v>
      </c>
      <c r="M30" s="6" t="str">
        <f>CONCATENATE("MRNPLA67A18A740J")</f>
        <v>MRNPLA67A18A740J</v>
      </c>
      <c r="N30" s="6" t="s">
        <v>86</v>
      </c>
      <c r="O30" s="6" t="s">
        <v>46</v>
      </c>
      <c r="P30" s="7">
        <v>43322</v>
      </c>
      <c r="Q30" s="6" t="s">
        <v>29</v>
      </c>
      <c r="R30" s="6" t="s">
        <v>30</v>
      </c>
      <c r="S30" s="6" t="s">
        <v>31</v>
      </c>
      <c r="T30" s="6">
        <v>433.08</v>
      </c>
      <c r="U30" s="6">
        <v>186.74</v>
      </c>
      <c r="V30" s="6">
        <v>172.45</v>
      </c>
      <c r="W30" s="6">
        <v>0</v>
      </c>
      <c r="X30" s="6">
        <v>73.89</v>
      </c>
    </row>
    <row r="31" spans="1:24" ht="24.75" x14ac:dyDescent="0.25">
      <c r="A31" s="6" t="s">
        <v>25</v>
      </c>
      <c r="B31" s="6" t="s">
        <v>35</v>
      </c>
      <c r="C31" s="6" t="s">
        <v>42</v>
      </c>
      <c r="D31" s="6" t="s">
        <v>50</v>
      </c>
      <c r="E31" s="6" t="s">
        <v>27</v>
      </c>
      <c r="F31" s="6" t="s">
        <v>87</v>
      </c>
      <c r="G31" s="6">
        <v>2017</v>
      </c>
      <c r="H31" s="6" t="str">
        <f>CONCATENATE("74210649153")</f>
        <v>74210649153</v>
      </c>
      <c r="I31" s="6" t="s">
        <v>28</v>
      </c>
      <c r="J31" s="6" t="s">
        <v>38</v>
      </c>
      <c r="K31" s="6" t="str">
        <f>CONCATENATE("")</f>
        <v/>
      </c>
      <c r="L31" s="6" t="str">
        <f>CONCATENATE("13 13.1 4a")</f>
        <v>13 13.1 4a</v>
      </c>
      <c r="M31" s="6" t="str">
        <f>CONCATENATE("02527190546")</f>
        <v>02527190546</v>
      </c>
      <c r="N31" s="6" t="s">
        <v>88</v>
      </c>
      <c r="O31" s="6" t="s">
        <v>46</v>
      </c>
      <c r="P31" s="7">
        <v>43322</v>
      </c>
      <c r="Q31" s="6" t="s">
        <v>29</v>
      </c>
      <c r="R31" s="6" t="s">
        <v>30</v>
      </c>
      <c r="S31" s="6" t="s">
        <v>31</v>
      </c>
      <c r="T31" s="8">
        <v>4946.8999999999996</v>
      </c>
      <c r="U31" s="8">
        <v>2133.1</v>
      </c>
      <c r="V31" s="8">
        <v>1969.86</v>
      </c>
      <c r="W31" s="6">
        <v>0</v>
      </c>
      <c r="X31" s="6">
        <v>843.94</v>
      </c>
    </row>
    <row r="32" spans="1:24" x14ac:dyDescent="0.25">
      <c r="A32" s="6" t="s">
        <v>25</v>
      </c>
      <c r="B32" s="6" t="s">
        <v>35</v>
      </c>
      <c r="C32" s="6" t="s">
        <v>42</v>
      </c>
      <c r="D32" s="6" t="s">
        <v>50</v>
      </c>
      <c r="E32" s="6" t="s">
        <v>27</v>
      </c>
      <c r="F32" s="6" t="s">
        <v>51</v>
      </c>
      <c r="G32" s="6">
        <v>2017</v>
      </c>
      <c r="H32" s="6" t="str">
        <f>CONCATENATE("74210071580")</f>
        <v>74210071580</v>
      </c>
      <c r="I32" s="6" t="s">
        <v>28</v>
      </c>
      <c r="J32" s="6" t="s">
        <v>38</v>
      </c>
      <c r="K32" s="6" t="str">
        <f>CONCATENATE("")</f>
        <v/>
      </c>
      <c r="L32" s="6" t="str">
        <f>CONCATENATE("13 13.1 4a")</f>
        <v>13 13.1 4a</v>
      </c>
      <c r="M32" s="6" t="str">
        <f>CONCATENATE("CRFMRA51M48M078T")</f>
        <v>CRFMRA51M48M078T</v>
      </c>
      <c r="N32" s="6" t="s">
        <v>89</v>
      </c>
      <c r="O32" s="6" t="s">
        <v>46</v>
      </c>
      <c r="P32" s="7">
        <v>43322</v>
      </c>
      <c r="Q32" s="6" t="s">
        <v>29</v>
      </c>
      <c r="R32" s="6" t="s">
        <v>30</v>
      </c>
      <c r="S32" s="6" t="s">
        <v>31</v>
      </c>
      <c r="T32" s="8">
        <v>5400</v>
      </c>
      <c r="U32" s="8">
        <v>2328.48</v>
      </c>
      <c r="V32" s="8">
        <v>2150.2800000000002</v>
      </c>
      <c r="W32" s="6">
        <v>0</v>
      </c>
      <c r="X32" s="6">
        <v>921.24</v>
      </c>
    </row>
    <row r="33" spans="1:24" x14ac:dyDescent="0.25">
      <c r="A33" s="6" t="s">
        <v>25</v>
      </c>
      <c r="B33" s="6" t="s">
        <v>35</v>
      </c>
      <c r="C33" s="6" t="s">
        <v>42</v>
      </c>
      <c r="D33" s="6" t="s">
        <v>50</v>
      </c>
      <c r="E33" s="6" t="s">
        <v>40</v>
      </c>
      <c r="F33" s="6" t="s">
        <v>54</v>
      </c>
      <c r="G33" s="6">
        <v>2017</v>
      </c>
      <c r="H33" s="6" t="str">
        <f>CONCATENATE("74210267873")</f>
        <v>74210267873</v>
      </c>
      <c r="I33" s="6" t="s">
        <v>28</v>
      </c>
      <c r="J33" s="6" t="s">
        <v>38</v>
      </c>
      <c r="K33" s="6" t="str">
        <f>CONCATENATE("")</f>
        <v/>
      </c>
      <c r="L33" s="6" t="str">
        <f>CONCATENATE("13 13.1 4a")</f>
        <v>13 13.1 4a</v>
      </c>
      <c r="M33" s="6" t="str">
        <f>CONCATENATE("LTNLNI39A56B474P")</f>
        <v>LTNLNI39A56B474P</v>
      </c>
      <c r="N33" s="6" t="s">
        <v>90</v>
      </c>
      <c r="O33" s="6" t="s">
        <v>46</v>
      </c>
      <c r="P33" s="7">
        <v>43322</v>
      </c>
      <c r="Q33" s="6" t="s">
        <v>29</v>
      </c>
      <c r="R33" s="6" t="s">
        <v>30</v>
      </c>
      <c r="S33" s="6" t="s">
        <v>31</v>
      </c>
      <c r="T33" s="8">
        <v>3609.35</v>
      </c>
      <c r="U33" s="8">
        <v>1556.35</v>
      </c>
      <c r="V33" s="8">
        <v>1437.24</v>
      </c>
      <c r="W33" s="6">
        <v>0</v>
      </c>
      <c r="X33" s="6">
        <v>615.76</v>
      </c>
    </row>
    <row r="34" spans="1:24" ht="24.75" x14ac:dyDescent="0.25">
      <c r="A34" s="6" t="s">
        <v>25</v>
      </c>
      <c r="B34" s="6" t="s">
        <v>35</v>
      </c>
      <c r="C34" s="6" t="s">
        <v>42</v>
      </c>
      <c r="D34" s="6" t="s">
        <v>50</v>
      </c>
      <c r="E34" s="6" t="s">
        <v>40</v>
      </c>
      <c r="F34" s="6" t="s">
        <v>54</v>
      </c>
      <c r="G34" s="6">
        <v>2017</v>
      </c>
      <c r="H34" s="6" t="str">
        <f>CONCATENATE("74210208778")</f>
        <v>74210208778</v>
      </c>
      <c r="I34" s="6" t="s">
        <v>28</v>
      </c>
      <c r="J34" s="6" t="s">
        <v>38</v>
      </c>
      <c r="K34" s="6" t="str">
        <f>CONCATENATE("")</f>
        <v/>
      </c>
      <c r="L34" s="6" t="str">
        <f>CONCATENATE("13 13.1 4a")</f>
        <v>13 13.1 4a</v>
      </c>
      <c r="M34" s="6" t="str">
        <f>CONCATENATE("00139690432")</f>
        <v>00139690432</v>
      </c>
      <c r="N34" s="6" t="s">
        <v>91</v>
      </c>
      <c r="O34" s="6" t="s">
        <v>46</v>
      </c>
      <c r="P34" s="7">
        <v>43322</v>
      </c>
      <c r="Q34" s="6" t="s">
        <v>29</v>
      </c>
      <c r="R34" s="6" t="s">
        <v>30</v>
      </c>
      <c r="S34" s="6" t="s">
        <v>31</v>
      </c>
      <c r="T34" s="8">
        <v>5400</v>
      </c>
      <c r="U34" s="8">
        <v>2328.48</v>
      </c>
      <c r="V34" s="8">
        <v>2150.2800000000002</v>
      </c>
      <c r="W34" s="6">
        <v>0</v>
      </c>
      <c r="X34" s="6">
        <v>921.24</v>
      </c>
    </row>
    <row r="35" spans="1:24" ht="24.75" x14ac:dyDescent="0.25">
      <c r="A35" s="6" t="s">
        <v>25</v>
      </c>
      <c r="B35" s="6" t="s">
        <v>35</v>
      </c>
      <c r="C35" s="6" t="s">
        <v>42</v>
      </c>
      <c r="D35" s="6" t="s">
        <v>43</v>
      </c>
      <c r="E35" s="6" t="s">
        <v>27</v>
      </c>
      <c r="F35" s="6" t="s">
        <v>84</v>
      </c>
      <c r="G35" s="6">
        <v>2017</v>
      </c>
      <c r="H35" s="6" t="str">
        <f>CONCATENATE("74210387143")</f>
        <v>74210387143</v>
      </c>
      <c r="I35" s="6" t="s">
        <v>28</v>
      </c>
      <c r="J35" s="6" t="s">
        <v>38</v>
      </c>
      <c r="K35" s="6" t="str">
        <f>CONCATENATE("")</f>
        <v/>
      </c>
      <c r="L35" s="6" t="str">
        <f>CONCATENATE("13 13.1 4a")</f>
        <v>13 13.1 4a</v>
      </c>
      <c r="M35" s="6" t="str">
        <f>CONCATENATE("STFSFN56M41G453A")</f>
        <v>STFSFN56M41G453A</v>
      </c>
      <c r="N35" s="6" t="s">
        <v>92</v>
      </c>
      <c r="O35" s="6" t="s">
        <v>46</v>
      </c>
      <c r="P35" s="7">
        <v>43322</v>
      </c>
      <c r="Q35" s="6" t="s">
        <v>29</v>
      </c>
      <c r="R35" s="6" t="s">
        <v>30</v>
      </c>
      <c r="S35" s="6" t="s">
        <v>31</v>
      </c>
      <c r="T35" s="6">
        <v>315.64</v>
      </c>
      <c r="U35" s="6">
        <v>136.1</v>
      </c>
      <c r="V35" s="6">
        <v>125.69</v>
      </c>
      <c r="W35" s="6">
        <v>0</v>
      </c>
      <c r="X35" s="6">
        <v>53.85</v>
      </c>
    </row>
    <row r="36" spans="1:24" ht="24.75" x14ac:dyDescent="0.25">
      <c r="A36" s="6" t="s">
        <v>25</v>
      </c>
      <c r="B36" s="6" t="s">
        <v>35</v>
      </c>
      <c r="C36" s="6" t="s">
        <v>42</v>
      </c>
      <c r="D36" s="6" t="s">
        <v>47</v>
      </c>
      <c r="E36" s="6" t="s">
        <v>32</v>
      </c>
      <c r="F36" s="6" t="s">
        <v>81</v>
      </c>
      <c r="G36" s="6">
        <v>2017</v>
      </c>
      <c r="H36" s="6" t="str">
        <f>CONCATENATE("74210963281")</f>
        <v>74210963281</v>
      </c>
      <c r="I36" s="6" t="s">
        <v>34</v>
      </c>
      <c r="J36" s="6" t="s">
        <v>38</v>
      </c>
      <c r="K36" s="6" t="str">
        <f>CONCATENATE("")</f>
        <v/>
      </c>
      <c r="L36" s="6" t="str">
        <f>CONCATENATE("13 13.1 4a")</f>
        <v>13 13.1 4a</v>
      </c>
      <c r="M36" s="6" t="str">
        <f>CONCATENATE("TNCRZO63D08L500Z")</f>
        <v>TNCRZO63D08L500Z</v>
      </c>
      <c r="N36" s="6" t="s">
        <v>93</v>
      </c>
      <c r="O36" s="6" t="s">
        <v>46</v>
      </c>
      <c r="P36" s="7">
        <v>43322</v>
      </c>
      <c r="Q36" s="6" t="s">
        <v>29</v>
      </c>
      <c r="R36" s="6" t="s">
        <v>30</v>
      </c>
      <c r="S36" s="6" t="s">
        <v>31</v>
      </c>
      <c r="T36" s="8">
        <v>3615.94</v>
      </c>
      <c r="U36" s="8">
        <v>1559.19</v>
      </c>
      <c r="V36" s="8">
        <v>1439.87</v>
      </c>
      <c r="W36" s="6">
        <v>0</v>
      </c>
      <c r="X36" s="6">
        <v>616.88</v>
      </c>
    </row>
    <row r="37" spans="1:24" ht="24.75" x14ac:dyDescent="0.25">
      <c r="A37" s="6" t="s">
        <v>25</v>
      </c>
      <c r="B37" s="6" t="s">
        <v>35</v>
      </c>
      <c r="C37" s="6" t="s">
        <v>42</v>
      </c>
      <c r="D37" s="6" t="s">
        <v>43</v>
      </c>
      <c r="E37" s="6" t="s">
        <v>32</v>
      </c>
      <c r="F37" s="6" t="s">
        <v>58</v>
      </c>
      <c r="G37" s="6">
        <v>2017</v>
      </c>
      <c r="H37" s="6" t="str">
        <f>CONCATENATE("74210605775")</f>
        <v>74210605775</v>
      </c>
      <c r="I37" s="6" t="s">
        <v>28</v>
      </c>
      <c r="J37" s="6" t="s">
        <v>38</v>
      </c>
      <c r="K37" s="6" t="str">
        <f>CONCATENATE("")</f>
        <v/>
      </c>
      <c r="L37" s="6" t="str">
        <f>CONCATENATE("13 13.1 4a")</f>
        <v>13 13.1 4a</v>
      </c>
      <c r="M37" s="6" t="str">
        <f>CONCATENATE("BNARND28R12D965U")</f>
        <v>BNARND28R12D965U</v>
      </c>
      <c r="N37" s="6" t="s">
        <v>94</v>
      </c>
      <c r="O37" s="6" t="s">
        <v>46</v>
      </c>
      <c r="P37" s="7">
        <v>43322</v>
      </c>
      <c r="Q37" s="6" t="s">
        <v>29</v>
      </c>
      <c r="R37" s="6" t="s">
        <v>30</v>
      </c>
      <c r="S37" s="6" t="s">
        <v>31</v>
      </c>
      <c r="T37" s="8">
        <v>1542.85</v>
      </c>
      <c r="U37" s="6">
        <v>665.28</v>
      </c>
      <c r="V37" s="6">
        <v>614.36</v>
      </c>
      <c r="W37" s="6">
        <v>0</v>
      </c>
      <c r="X37" s="6">
        <v>263.20999999999998</v>
      </c>
    </row>
    <row r="38" spans="1:24" ht="24.75" x14ac:dyDescent="0.25">
      <c r="A38" s="6" t="s">
        <v>25</v>
      </c>
      <c r="B38" s="6" t="s">
        <v>35</v>
      </c>
      <c r="C38" s="6" t="s">
        <v>42</v>
      </c>
      <c r="D38" s="6" t="s">
        <v>47</v>
      </c>
      <c r="E38" s="6" t="s">
        <v>32</v>
      </c>
      <c r="F38" s="6" t="s">
        <v>81</v>
      </c>
      <c r="G38" s="6">
        <v>2017</v>
      </c>
      <c r="H38" s="6" t="str">
        <f>CONCATENATE("74210700543")</f>
        <v>74210700543</v>
      </c>
      <c r="I38" s="6" t="s">
        <v>34</v>
      </c>
      <c r="J38" s="6" t="s">
        <v>38</v>
      </c>
      <c r="K38" s="6" t="str">
        <f>CONCATENATE("")</f>
        <v/>
      </c>
      <c r="L38" s="6" t="str">
        <f>CONCATENATE("13 13.1 4a")</f>
        <v>13 13.1 4a</v>
      </c>
      <c r="M38" s="6" t="str">
        <f>CONCATENATE("GSPLRS78C27L500R")</f>
        <v>GSPLRS78C27L500R</v>
      </c>
      <c r="N38" s="6" t="s">
        <v>95</v>
      </c>
      <c r="O38" s="6" t="s">
        <v>46</v>
      </c>
      <c r="P38" s="7">
        <v>43322</v>
      </c>
      <c r="Q38" s="6" t="s">
        <v>29</v>
      </c>
      <c r="R38" s="6" t="s">
        <v>30</v>
      </c>
      <c r="S38" s="6" t="s">
        <v>31</v>
      </c>
      <c r="T38" s="8">
        <v>3341.44</v>
      </c>
      <c r="U38" s="8">
        <v>1440.83</v>
      </c>
      <c r="V38" s="8">
        <v>1330.56</v>
      </c>
      <c r="W38" s="6">
        <v>0</v>
      </c>
      <c r="X38" s="6">
        <v>570.04999999999995</v>
      </c>
    </row>
    <row r="39" spans="1:24" ht="24.75" x14ac:dyDescent="0.25">
      <c r="A39" s="6" t="s">
        <v>25</v>
      </c>
      <c r="B39" s="6" t="s">
        <v>35</v>
      </c>
      <c r="C39" s="6" t="s">
        <v>42</v>
      </c>
      <c r="D39" s="6" t="s">
        <v>47</v>
      </c>
      <c r="E39" s="6" t="s">
        <v>32</v>
      </c>
      <c r="F39" s="6" t="s">
        <v>81</v>
      </c>
      <c r="G39" s="6">
        <v>2017</v>
      </c>
      <c r="H39" s="6" t="str">
        <f>CONCATENATE("74210115932")</f>
        <v>74210115932</v>
      </c>
      <c r="I39" s="6" t="s">
        <v>34</v>
      </c>
      <c r="J39" s="6" t="s">
        <v>38</v>
      </c>
      <c r="K39" s="6" t="str">
        <f>CONCATENATE("")</f>
        <v/>
      </c>
      <c r="L39" s="6" t="str">
        <f>CONCATENATE("13 13.1 4a")</f>
        <v>13 13.1 4a</v>
      </c>
      <c r="M39" s="6" t="str">
        <f>CONCATENATE("PGNGFR45T25L500D")</f>
        <v>PGNGFR45T25L500D</v>
      </c>
      <c r="N39" s="6" t="s">
        <v>96</v>
      </c>
      <c r="O39" s="6" t="s">
        <v>46</v>
      </c>
      <c r="P39" s="7">
        <v>43322</v>
      </c>
      <c r="Q39" s="6" t="s">
        <v>29</v>
      </c>
      <c r="R39" s="6" t="s">
        <v>30</v>
      </c>
      <c r="S39" s="6" t="s">
        <v>31</v>
      </c>
      <c r="T39" s="6">
        <v>477.11</v>
      </c>
      <c r="U39" s="6">
        <v>205.73</v>
      </c>
      <c r="V39" s="6">
        <v>189.99</v>
      </c>
      <c r="W39" s="6">
        <v>0</v>
      </c>
      <c r="X39" s="6">
        <v>81.39</v>
      </c>
    </row>
    <row r="40" spans="1:24" ht="24.75" x14ac:dyDescent="0.25">
      <c r="A40" s="6" t="s">
        <v>25</v>
      </c>
      <c r="B40" s="6" t="s">
        <v>35</v>
      </c>
      <c r="C40" s="6" t="s">
        <v>42</v>
      </c>
      <c r="D40" s="6" t="s">
        <v>47</v>
      </c>
      <c r="E40" s="6" t="s">
        <v>27</v>
      </c>
      <c r="F40" s="6" t="s">
        <v>97</v>
      </c>
      <c r="G40" s="6">
        <v>2017</v>
      </c>
      <c r="H40" s="6" t="str">
        <f>CONCATENATE("74210513458")</f>
        <v>74210513458</v>
      </c>
      <c r="I40" s="6" t="s">
        <v>28</v>
      </c>
      <c r="J40" s="6" t="s">
        <v>38</v>
      </c>
      <c r="K40" s="6" t="str">
        <f>CONCATENATE("")</f>
        <v/>
      </c>
      <c r="L40" s="6" t="str">
        <f>CONCATENATE("13 13.1 4a")</f>
        <v>13 13.1 4a</v>
      </c>
      <c r="M40" s="6" t="str">
        <f>CONCATENATE("GSTLGN53E48B352W")</f>
        <v>GSTLGN53E48B352W</v>
      </c>
      <c r="N40" s="6" t="s">
        <v>98</v>
      </c>
      <c r="O40" s="6" t="s">
        <v>46</v>
      </c>
      <c r="P40" s="7">
        <v>43322</v>
      </c>
      <c r="Q40" s="6" t="s">
        <v>29</v>
      </c>
      <c r="R40" s="6" t="s">
        <v>30</v>
      </c>
      <c r="S40" s="6" t="s">
        <v>31</v>
      </c>
      <c r="T40" s="8">
        <v>1608.01</v>
      </c>
      <c r="U40" s="6">
        <v>693.37</v>
      </c>
      <c r="V40" s="6">
        <v>640.30999999999995</v>
      </c>
      <c r="W40" s="6">
        <v>0</v>
      </c>
      <c r="X40" s="6">
        <v>274.33</v>
      </c>
    </row>
    <row r="41" spans="1:24" ht="24.75" x14ac:dyDescent="0.25">
      <c r="A41" s="6" t="s">
        <v>25</v>
      </c>
      <c r="B41" s="6" t="s">
        <v>35</v>
      </c>
      <c r="C41" s="6" t="s">
        <v>42</v>
      </c>
      <c r="D41" s="6" t="s">
        <v>43</v>
      </c>
      <c r="E41" s="6" t="s">
        <v>27</v>
      </c>
      <c r="F41" s="6" t="s">
        <v>44</v>
      </c>
      <c r="G41" s="6">
        <v>2017</v>
      </c>
      <c r="H41" s="6" t="str">
        <f>CONCATENATE("74210044348")</f>
        <v>74210044348</v>
      </c>
      <c r="I41" s="6" t="s">
        <v>28</v>
      </c>
      <c r="J41" s="6" t="s">
        <v>38</v>
      </c>
      <c r="K41" s="6" t="str">
        <f>CONCATENATE("")</f>
        <v/>
      </c>
      <c r="L41" s="6" t="str">
        <f>CONCATENATE("13 13.1 4a")</f>
        <v>13 13.1 4a</v>
      </c>
      <c r="M41" s="6" t="str">
        <f>CONCATENATE("BLDLGU59B02D451E")</f>
        <v>BLDLGU59B02D451E</v>
      </c>
      <c r="N41" s="6" t="s">
        <v>99</v>
      </c>
      <c r="O41" s="6" t="s">
        <v>46</v>
      </c>
      <c r="P41" s="7">
        <v>43322</v>
      </c>
      <c r="Q41" s="6" t="s">
        <v>29</v>
      </c>
      <c r="R41" s="6" t="s">
        <v>30</v>
      </c>
      <c r="S41" s="6" t="s">
        <v>31</v>
      </c>
      <c r="T41" s="6">
        <v>336.95</v>
      </c>
      <c r="U41" s="6">
        <v>145.29</v>
      </c>
      <c r="V41" s="6">
        <v>134.16999999999999</v>
      </c>
      <c r="W41" s="6">
        <v>0</v>
      </c>
      <c r="X41" s="6">
        <v>57.49</v>
      </c>
    </row>
    <row r="42" spans="1:24" ht="24.75" x14ac:dyDescent="0.25">
      <c r="A42" s="6" t="s">
        <v>25</v>
      </c>
      <c r="B42" s="6" t="s">
        <v>35</v>
      </c>
      <c r="C42" s="6" t="s">
        <v>42</v>
      </c>
      <c r="D42" s="6" t="s">
        <v>50</v>
      </c>
      <c r="E42" s="6" t="s">
        <v>40</v>
      </c>
      <c r="F42" s="6" t="s">
        <v>100</v>
      </c>
      <c r="G42" s="6">
        <v>2016</v>
      </c>
      <c r="H42" s="6" t="str">
        <f>CONCATENATE("64211088659")</f>
        <v>64211088659</v>
      </c>
      <c r="I42" s="6" t="s">
        <v>28</v>
      </c>
      <c r="J42" s="6" t="s">
        <v>38</v>
      </c>
      <c r="K42" s="6" t="str">
        <f>CONCATENATE("")</f>
        <v/>
      </c>
      <c r="L42" s="6" t="str">
        <f>CONCATENATE("13 13.1 4a")</f>
        <v>13 13.1 4a</v>
      </c>
      <c r="M42" s="6" t="str">
        <f>CONCATENATE("01629060433")</f>
        <v>01629060433</v>
      </c>
      <c r="N42" s="6" t="s">
        <v>101</v>
      </c>
      <c r="O42" s="6" t="s">
        <v>46</v>
      </c>
      <c r="P42" s="7">
        <v>43322</v>
      </c>
      <c r="Q42" s="6" t="s">
        <v>29</v>
      </c>
      <c r="R42" s="6" t="s">
        <v>30</v>
      </c>
      <c r="S42" s="6" t="s">
        <v>31</v>
      </c>
      <c r="T42" s="8">
        <v>1112.01</v>
      </c>
      <c r="U42" s="6">
        <v>479.5</v>
      </c>
      <c r="V42" s="6">
        <v>442.8</v>
      </c>
      <c r="W42" s="6">
        <v>0</v>
      </c>
      <c r="X42" s="6">
        <v>189.71</v>
      </c>
    </row>
    <row r="43" spans="1:24" x14ac:dyDescent="0.25">
      <c r="A43" s="6" t="s">
        <v>25</v>
      </c>
      <c r="B43" s="6" t="s">
        <v>35</v>
      </c>
      <c r="C43" s="6" t="s">
        <v>42</v>
      </c>
      <c r="D43" s="6" t="s">
        <v>50</v>
      </c>
      <c r="E43" s="6" t="s">
        <v>27</v>
      </c>
      <c r="F43" s="6" t="s">
        <v>51</v>
      </c>
      <c r="G43" s="6">
        <v>2016</v>
      </c>
      <c r="H43" s="6" t="str">
        <f>CONCATENATE("64210519977")</f>
        <v>64210519977</v>
      </c>
      <c r="I43" s="6" t="s">
        <v>28</v>
      </c>
      <c r="J43" s="6" t="s">
        <v>38</v>
      </c>
      <c r="K43" s="6" t="str">
        <f>CONCATENATE("")</f>
        <v/>
      </c>
      <c r="L43" s="6" t="str">
        <f>CONCATENATE("13 13.1 4a")</f>
        <v>13 13.1 4a</v>
      </c>
      <c r="M43" s="6" t="str">
        <f>CONCATENATE("GGLRNZ60L25I661U")</f>
        <v>GGLRNZ60L25I661U</v>
      </c>
      <c r="N43" s="6" t="s">
        <v>102</v>
      </c>
      <c r="O43" s="6" t="s">
        <v>46</v>
      </c>
      <c r="P43" s="7">
        <v>43322</v>
      </c>
      <c r="Q43" s="6" t="s">
        <v>29</v>
      </c>
      <c r="R43" s="6" t="s">
        <v>30</v>
      </c>
      <c r="S43" s="6" t="s">
        <v>31</v>
      </c>
      <c r="T43" s="6">
        <v>715.92</v>
      </c>
      <c r="U43" s="6">
        <v>308.7</v>
      </c>
      <c r="V43" s="6">
        <v>285.08</v>
      </c>
      <c r="W43" s="6">
        <v>0</v>
      </c>
      <c r="X43" s="6">
        <v>122.14</v>
      </c>
    </row>
    <row r="44" spans="1:24" ht="24.75" x14ac:dyDescent="0.25">
      <c r="A44" s="6" t="s">
        <v>25</v>
      </c>
      <c r="B44" s="6" t="s">
        <v>35</v>
      </c>
      <c r="C44" s="6" t="s">
        <v>42</v>
      </c>
      <c r="D44" s="6" t="s">
        <v>43</v>
      </c>
      <c r="E44" s="6" t="s">
        <v>27</v>
      </c>
      <c r="F44" s="6" t="s">
        <v>44</v>
      </c>
      <c r="G44" s="6">
        <v>2017</v>
      </c>
      <c r="H44" s="6" t="str">
        <f>CONCATENATE("74210353327")</f>
        <v>74210353327</v>
      </c>
      <c r="I44" s="6" t="s">
        <v>28</v>
      </c>
      <c r="J44" s="6" t="s">
        <v>38</v>
      </c>
      <c r="K44" s="6" t="str">
        <f>CONCATENATE("")</f>
        <v/>
      </c>
      <c r="L44" s="6" t="str">
        <f>CONCATENATE("13 13.1 4a")</f>
        <v>13 13.1 4a</v>
      </c>
      <c r="M44" s="6" t="str">
        <f>CONCATENATE("MGNRSL56B29D451N")</f>
        <v>MGNRSL56B29D451N</v>
      </c>
      <c r="N44" s="6" t="s">
        <v>103</v>
      </c>
      <c r="O44" s="6" t="s">
        <v>46</v>
      </c>
      <c r="P44" s="7">
        <v>43322</v>
      </c>
      <c r="Q44" s="6" t="s">
        <v>29</v>
      </c>
      <c r="R44" s="6" t="s">
        <v>30</v>
      </c>
      <c r="S44" s="6" t="s">
        <v>31</v>
      </c>
      <c r="T44" s="6">
        <v>887.88</v>
      </c>
      <c r="U44" s="6">
        <v>382.85</v>
      </c>
      <c r="V44" s="6">
        <v>353.55</v>
      </c>
      <c r="W44" s="6">
        <v>0</v>
      </c>
      <c r="X44" s="6">
        <v>151.47999999999999</v>
      </c>
    </row>
    <row r="45" spans="1:24" ht="24.75" x14ac:dyDescent="0.25">
      <c r="A45" s="6" t="s">
        <v>25</v>
      </c>
      <c r="B45" s="6" t="s">
        <v>35</v>
      </c>
      <c r="C45" s="6" t="s">
        <v>42</v>
      </c>
      <c r="D45" s="6" t="s">
        <v>43</v>
      </c>
      <c r="E45" s="6" t="s">
        <v>27</v>
      </c>
      <c r="F45" s="6" t="s">
        <v>84</v>
      </c>
      <c r="G45" s="6">
        <v>2017</v>
      </c>
      <c r="H45" s="6" t="str">
        <f>CONCATENATE("74210327172")</f>
        <v>74210327172</v>
      </c>
      <c r="I45" s="6" t="s">
        <v>28</v>
      </c>
      <c r="J45" s="6" t="s">
        <v>38</v>
      </c>
      <c r="K45" s="6" t="str">
        <f>CONCATENATE("")</f>
        <v/>
      </c>
      <c r="L45" s="6" t="str">
        <f>CONCATENATE("13 13.1 4a")</f>
        <v>13 13.1 4a</v>
      </c>
      <c r="M45" s="6" t="str">
        <f>CONCATENATE("MNRNGL51R23A366H")</f>
        <v>MNRNGL51R23A366H</v>
      </c>
      <c r="N45" s="6" t="s">
        <v>104</v>
      </c>
      <c r="O45" s="6" t="s">
        <v>46</v>
      </c>
      <c r="P45" s="7">
        <v>43322</v>
      </c>
      <c r="Q45" s="6" t="s">
        <v>29</v>
      </c>
      <c r="R45" s="6" t="s">
        <v>30</v>
      </c>
      <c r="S45" s="6" t="s">
        <v>31</v>
      </c>
      <c r="T45" s="6">
        <v>665.89</v>
      </c>
      <c r="U45" s="6">
        <v>287.13</v>
      </c>
      <c r="V45" s="6">
        <v>265.16000000000003</v>
      </c>
      <c r="W45" s="6">
        <v>0</v>
      </c>
      <c r="X45" s="6">
        <v>113.6</v>
      </c>
    </row>
    <row r="46" spans="1:24" ht="24.75" x14ac:dyDescent="0.25">
      <c r="A46" s="6" t="s">
        <v>25</v>
      </c>
      <c r="B46" s="6" t="s">
        <v>35</v>
      </c>
      <c r="C46" s="6" t="s">
        <v>42</v>
      </c>
      <c r="D46" s="6" t="s">
        <v>43</v>
      </c>
      <c r="E46" s="6" t="s">
        <v>27</v>
      </c>
      <c r="F46" s="6" t="s">
        <v>84</v>
      </c>
      <c r="G46" s="6">
        <v>2017</v>
      </c>
      <c r="H46" s="6" t="str">
        <f>CONCATENATE("74210385303")</f>
        <v>74210385303</v>
      </c>
      <c r="I46" s="6" t="s">
        <v>28</v>
      </c>
      <c r="J46" s="6" t="s">
        <v>38</v>
      </c>
      <c r="K46" s="6" t="str">
        <f>CONCATENATE("")</f>
        <v/>
      </c>
      <c r="L46" s="6" t="str">
        <f>CONCATENATE("13 13.1 4a")</f>
        <v>13 13.1 4a</v>
      </c>
      <c r="M46" s="6" t="str">
        <f>CONCATENATE("SNTBRN45A21I461X")</f>
        <v>SNTBRN45A21I461X</v>
      </c>
      <c r="N46" s="6" t="s">
        <v>105</v>
      </c>
      <c r="O46" s="6" t="s">
        <v>46</v>
      </c>
      <c r="P46" s="7">
        <v>43322</v>
      </c>
      <c r="Q46" s="6" t="s">
        <v>29</v>
      </c>
      <c r="R46" s="6" t="s">
        <v>30</v>
      </c>
      <c r="S46" s="6" t="s">
        <v>31</v>
      </c>
      <c r="T46" s="6">
        <v>437.52</v>
      </c>
      <c r="U46" s="6">
        <v>188.66</v>
      </c>
      <c r="V46" s="6">
        <v>174.22</v>
      </c>
      <c r="W46" s="6">
        <v>0</v>
      </c>
      <c r="X46" s="6">
        <v>74.64</v>
      </c>
    </row>
    <row r="47" spans="1:24" ht="24.75" x14ac:dyDescent="0.25">
      <c r="A47" s="6" t="s">
        <v>25</v>
      </c>
      <c r="B47" s="6" t="s">
        <v>35</v>
      </c>
      <c r="C47" s="6" t="s">
        <v>42</v>
      </c>
      <c r="D47" s="6" t="s">
        <v>43</v>
      </c>
      <c r="E47" s="6" t="s">
        <v>27</v>
      </c>
      <c r="F47" s="6" t="s">
        <v>84</v>
      </c>
      <c r="G47" s="6">
        <v>2017</v>
      </c>
      <c r="H47" s="6" t="str">
        <f>CONCATENATE("74210387465")</f>
        <v>74210387465</v>
      </c>
      <c r="I47" s="6" t="s">
        <v>28</v>
      </c>
      <c r="J47" s="6" t="s">
        <v>38</v>
      </c>
      <c r="K47" s="6" t="str">
        <f>CONCATENATE("")</f>
        <v/>
      </c>
      <c r="L47" s="6" t="str">
        <f>CONCATENATE("13 13.1 4a")</f>
        <v>13 13.1 4a</v>
      </c>
      <c r="M47" s="6" t="str">
        <f>CONCATENATE("TNGFNC38A45I461V")</f>
        <v>TNGFNC38A45I461V</v>
      </c>
      <c r="N47" s="6" t="s">
        <v>106</v>
      </c>
      <c r="O47" s="6" t="s">
        <v>46</v>
      </c>
      <c r="P47" s="7">
        <v>43322</v>
      </c>
      <c r="Q47" s="6" t="s">
        <v>29</v>
      </c>
      <c r="R47" s="6" t="s">
        <v>30</v>
      </c>
      <c r="S47" s="6" t="s">
        <v>31</v>
      </c>
      <c r="T47" s="6">
        <v>970.64</v>
      </c>
      <c r="U47" s="6">
        <v>418.54</v>
      </c>
      <c r="V47" s="6">
        <v>386.51</v>
      </c>
      <c r="W47" s="6">
        <v>0</v>
      </c>
      <c r="X47" s="6">
        <v>165.59</v>
      </c>
    </row>
    <row r="48" spans="1:24" ht="24.75" x14ac:dyDescent="0.25">
      <c r="A48" s="6" t="s">
        <v>25</v>
      </c>
      <c r="B48" s="6" t="s">
        <v>35</v>
      </c>
      <c r="C48" s="6" t="s">
        <v>42</v>
      </c>
      <c r="D48" s="6" t="s">
        <v>43</v>
      </c>
      <c r="E48" s="6" t="s">
        <v>27</v>
      </c>
      <c r="F48" s="6" t="s">
        <v>84</v>
      </c>
      <c r="G48" s="6">
        <v>2017</v>
      </c>
      <c r="H48" s="6" t="str">
        <f>CONCATENATE("74210361726")</f>
        <v>74210361726</v>
      </c>
      <c r="I48" s="6" t="s">
        <v>28</v>
      </c>
      <c r="J48" s="6" t="s">
        <v>38</v>
      </c>
      <c r="K48" s="6" t="str">
        <f>CONCATENATE("")</f>
        <v/>
      </c>
      <c r="L48" s="6" t="str">
        <f>CONCATENATE("13 13.1 4a")</f>
        <v>13 13.1 4a</v>
      </c>
      <c r="M48" s="6" t="str">
        <f>CONCATENATE("PLDLCU73M03I461V")</f>
        <v>PLDLCU73M03I461V</v>
      </c>
      <c r="N48" s="6" t="s">
        <v>107</v>
      </c>
      <c r="O48" s="6" t="s">
        <v>46</v>
      </c>
      <c r="P48" s="7">
        <v>43322</v>
      </c>
      <c r="Q48" s="6" t="s">
        <v>29</v>
      </c>
      <c r="R48" s="6" t="s">
        <v>30</v>
      </c>
      <c r="S48" s="6" t="s">
        <v>31</v>
      </c>
      <c r="T48" s="6">
        <v>462.56</v>
      </c>
      <c r="U48" s="6">
        <v>199.46</v>
      </c>
      <c r="V48" s="6">
        <v>184.19</v>
      </c>
      <c r="W48" s="6">
        <v>0</v>
      </c>
      <c r="X48" s="6">
        <v>78.91</v>
      </c>
    </row>
    <row r="49" spans="1:24" ht="24.75" x14ac:dyDescent="0.25">
      <c r="A49" s="6" t="s">
        <v>25</v>
      </c>
      <c r="B49" s="6" t="s">
        <v>35</v>
      </c>
      <c r="C49" s="6" t="s">
        <v>42</v>
      </c>
      <c r="D49" s="6" t="s">
        <v>43</v>
      </c>
      <c r="E49" s="6" t="s">
        <v>27</v>
      </c>
      <c r="F49" s="6" t="s">
        <v>84</v>
      </c>
      <c r="G49" s="6">
        <v>2017</v>
      </c>
      <c r="H49" s="6" t="str">
        <f>CONCATENATE("74210261157")</f>
        <v>74210261157</v>
      </c>
      <c r="I49" s="6" t="s">
        <v>28</v>
      </c>
      <c r="J49" s="6" t="s">
        <v>38</v>
      </c>
      <c r="K49" s="6" t="str">
        <f>CONCATENATE("")</f>
        <v/>
      </c>
      <c r="L49" s="6" t="str">
        <f>CONCATENATE("13 13.1 4a")</f>
        <v>13 13.1 4a</v>
      </c>
      <c r="M49" s="6" t="str">
        <f>CONCATENATE("TRNMRT41C26I461P")</f>
        <v>TRNMRT41C26I461P</v>
      </c>
      <c r="N49" s="6" t="s">
        <v>108</v>
      </c>
      <c r="O49" s="6" t="s">
        <v>46</v>
      </c>
      <c r="P49" s="7">
        <v>43322</v>
      </c>
      <c r="Q49" s="6" t="s">
        <v>29</v>
      </c>
      <c r="R49" s="6" t="s">
        <v>30</v>
      </c>
      <c r="S49" s="6" t="s">
        <v>31</v>
      </c>
      <c r="T49" s="6">
        <v>317.05</v>
      </c>
      <c r="U49" s="6">
        <v>136.71</v>
      </c>
      <c r="V49" s="6">
        <v>126.25</v>
      </c>
      <c r="W49" s="6">
        <v>0</v>
      </c>
      <c r="X49" s="6">
        <v>54.09</v>
      </c>
    </row>
    <row r="50" spans="1:24" ht="24.75" x14ac:dyDescent="0.25">
      <c r="A50" s="6" t="s">
        <v>25</v>
      </c>
      <c r="B50" s="6" t="s">
        <v>35</v>
      </c>
      <c r="C50" s="6" t="s">
        <v>42</v>
      </c>
      <c r="D50" s="6" t="s">
        <v>47</v>
      </c>
      <c r="E50" s="6" t="s">
        <v>27</v>
      </c>
      <c r="F50" s="6" t="s">
        <v>109</v>
      </c>
      <c r="G50" s="6">
        <v>2017</v>
      </c>
      <c r="H50" s="6" t="str">
        <f>CONCATENATE("74210225145")</f>
        <v>74210225145</v>
      </c>
      <c r="I50" s="6" t="s">
        <v>34</v>
      </c>
      <c r="J50" s="6" t="s">
        <v>38</v>
      </c>
      <c r="K50" s="6" t="str">
        <f>CONCATENATE("")</f>
        <v/>
      </c>
      <c r="L50" s="6" t="str">
        <f>CONCATENATE("13 13.1 4a")</f>
        <v>13 13.1 4a</v>
      </c>
      <c r="M50" s="6" t="str">
        <f>CONCATENATE("BRSNZR36B22I287K")</f>
        <v>BRSNZR36B22I287K</v>
      </c>
      <c r="N50" s="6" t="s">
        <v>110</v>
      </c>
      <c r="O50" s="6" t="s">
        <v>46</v>
      </c>
      <c r="P50" s="7">
        <v>43322</v>
      </c>
      <c r="Q50" s="6" t="s">
        <v>29</v>
      </c>
      <c r="R50" s="6" t="s">
        <v>30</v>
      </c>
      <c r="S50" s="6" t="s">
        <v>31</v>
      </c>
      <c r="T50" s="8">
        <v>1567.72</v>
      </c>
      <c r="U50" s="6">
        <v>676</v>
      </c>
      <c r="V50" s="6">
        <v>624.27</v>
      </c>
      <c r="W50" s="6">
        <v>0</v>
      </c>
      <c r="X50" s="6">
        <v>267.45</v>
      </c>
    </row>
    <row r="51" spans="1:24" ht="24.75" x14ac:dyDescent="0.25">
      <c r="A51" s="6" t="s">
        <v>25</v>
      </c>
      <c r="B51" s="6" t="s">
        <v>35</v>
      </c>
      <c r="C51" s="6" t="s">
        <v>42</v>
      </c>
      <c r="D51" s="6" t="s">
        <v>47</v>
      </c>
      <c r="E51" s="6" t="s">
        <v>32</v>
      </c>
      <c r="F51" s="6" t="s">
        <v>81</v>
      </c>
      <c r="G51" s="6">
        <v>2017</v>
      </c>
      <c r="H51" s="6" t="str">
        <f>CONCATENATE("74210259474")</f>
        <v>74210259474</v>
      </c>
      <c r="I51" s="6" t="s">
        <v>34</v>
      </c>
      <c r="J51" s="6" t="s">
        <v>38</v>
      </c>
      <c r="K51" s="6" t="str">
        <f>CONCATENATE("")</f>
        <v/>
      </c>
      <c r="L51" s="6" t="str">
        <f>CONCATENATE("13 13.1 4a")</f>
        <v>13 13.1 4a</v>
      </c>
      <c r="M51" s="6" t="str">
        <f>CONCATENATE("SLVFNC57L03L500M")</f>
        <v>SLVFNC57L03L500M</v>
      </c>
      <c r="N51" s="6" t="s">
        <v>111</v>
      </c>
      <c r="O51" s="6" t="s">
        <v>46</v>
      </c>
      <c r="P51" s="7">
        <v>43322</v>
      </c>
      <c r="Q51" s="6" t="s">
        <v>29</v>
      </c>
      <c r="R51" s="6" t="s">
        <v>30</v>
      </c>
      <c r="S51" s="6" t="s">
        <v>31</v>
      </c>
      <c r="T51" s="8">
        <v>3435.37</v>
      </c>
      <c r="U51" s="8">
        <v>1481.33</v>
      </c>
      <c r="V51" s="8">
        <v>1367.96</v>
      </c>
      <c r="W51" s="6">
        <v>0</v>
      </c>
      <c r="X51" s="6">
        <v>586.08000000000004</v>
      </c>
    </row>
    <row r="52" spans="1:24" ht="24.75" x14ac:dyDescent="0.25">
      <c r="A52" s="6" t="s">
        <v>25</v>
      </c>
      <c r="B52" s="6" t="s">
        <v>35</v>
      </c>
      <c r="C52" s="6" t="s">
        <v>42</v>
      </c>
      <c r="D52" s="6" t="s">
        <v>43</v>
      </c>
      <c r="E52" s="6" t="s">
        <v>32</v>
      </c>
      <c r="F52" s="6" t="s">
        <v>58</v>
      </c>
      <c r="G52" s="6">
        <v>2017</v>
      </c>
      <c r="H52" s="6" t="str">
        <f>CONCATENATE("74210530304")</f>
        <v>74210530304</v>
      </c>
      <c r="I52" s="6" t="s">
        <v>28</v>
      </c>
      <c r="J52" s="6" t="s">
        <v>38</v>
      </c>
      <c r="K52" s="6" t="str">
        <f>CONCATENATE("")</f>
        <v/>
      </c>
      <c r="L52" s="6" t="str">
        <f>CONCATENATE("13 13.1 4a")</f>
        <v>13 13.1 4a</v>
      </c>
      <c r="M52" s="6" t="str">
        <f>CONCATENATE("BDYMLN71E42Z100O")</f>
        <v>BDYMLN71E42Z100O</v>
      </c>
      <c r="N52" s="6" t="s">
        <v>112</v>
      </c>
      <c r="O52" s="6" t="s">
        <v>46</v>
      </c>
      <c r="P52" s="7">
        <v>43322</v>
      </c>
      <c r="Q52" s="6" t="s">
        <v>29</v>
      </c>
      <c r="R52" s="6" t="s">
        <v>30</v>
      </c>
      <c r="S52" s="6" t="s">
        <v>31</v>
      </c>
      <c r="T52" s="8">
        <v>2206.7800000000002</v>
      </c>
      <c r="U52" s="6">
        <v>951.56</v>
      </c>
      <c r="V52" s="6">
        <v>878.74</v>
      </c>
      <c r="W52" s="6">
        <v>0</v>
      </c>
      <c r="X52" s="6">
        <v>376.48</v>
      </c>
    </row>
    <row r="53" spans="1:24" ht="24.75" x14ac:dyDescent="0.25">
      <c r="A53" s="6" t="s">
        <v>25</v>
      </c>
      <c r="B53" s="6" t="s">
        <v>35</v>
      </c>
      <c r="C53" s="6" t="s">
        <v>42</v>
      </c>
      <c r="D53" s="6" t="s">
        <v>43</v>
      </c>
      <c r="E53" s="6" t="s">
        <v>32</v>
      </c>
      <c r="F53" s="6" t="s">
        <v>58</v>
      </c>
      <c r="G53" s="6">
        <v>2017</v>
      </c>
      <c r="H53" s="6" t="str">
        <f>CONCATENATE("74210180043")</f>
        <v>74210180043</v>
      </c>
      <c r="I53" s="6" t="s">
        <v>28</v>
      </c>
      <c r="J53" s="6" t="s">
        <v>38</v>
      </c>
      <c r="K53" s="6" t="str">
        <f>CONCATENATE("")</f>
        <v/>
      </c>
      <c r="L53" s="6" t="str">
        <f>CONCATENATE("13 13.1 4a")</f>
        <v>13 13.1 4a</v>
      </c>
      <c r="M53" s="6" t="str">
        <f>CONCATENATE("LSSMPL61H69I653Z")</f>
        <v>LSSMPL61H69I653Z</v>
      </c>
      <c r="N53" s="6" t="s">
        <v>113</v>
      </c>
      <c r="O53" s="6" t="s">
        <v>46</v>
      </c>
      <c r="P53" s="7">
        <v>43322</v>
      </c>
      <c r="Q53" s="6" t="s">
        <v>29</v>
      </c>
      <c r="R53" s="6" t="s">
        <v>30</v>
      </c>
      <c r="S53" s="6" t="s">
        <v>31</v>
      </c>
      <c r="T53" s="8">
        <v>1089.3</v>
      </c>
      <c r="U53" s="6">
        <v>469.71</v>
      </c>
      <c r="V53" s="6">
        <v>433.76</v>
      </c>
      <c r="W53" s="6">
        <v>0</v>
      </c>
      <c r="X53" s="6">
        <v>185.83</v>
      </c>
    </row>
    <row r="54" spans="1:24" ht="24.75" x14ac:dyDescent="0.25">
      <c r="A54" s="6" t="s">
        <v>25</v>
      </c>
      <c r="B54" s="6" t="s">
        <v>35</v>
      </c>
      <c r="C54" s="6" t="s">
        <v>42</v>
      </c>
      <c r="D54" s="6" t="s">
        <v>43</v>
      </c>
      <c r="E54" s="6" t="s">
        <v>27</v>
      </c>
      <c r="F54" s="6" t="s">
        <v>44</v>
      </c>
      <c r="G54" s="6">
        <v>2017</v>
      </c>
      <c r="H54" s="6" t="str">
        <f>CONCATENATE("74210541947")</f>
        <v>74210541947</v>
      </c>
      <c r="I54" s="6" t="s">
        <v>28</v>
      </c>
      <c r="J54" s="6" t="s">
        <v>38</v>
      </c>
      <c r="K54" s="6" t="str">
        <f>CONCATENATE("")</f>
        <v/>
      </c>
      <c r="L54" s="6" t="str">
        <f>CONCATENATE("13 13.1 4a")</f>
        <v>13 13.1 4a</v>
      </c>
      <c r="M54" s="6" t="str">
        <f>CONCATENATE("RPNMRK79T31B474M")</f>
        <v>RPNMRK79T31B474M</v>
      </c>
      <c r="N54" s="6" t="s">
        <v>114</v>
      </c>
      <c r="O54" s="6" t="s">
        <v>46</v>
      </c>
      <c r="P54" s="7">
        <v>43322</v>
      </c>
      <c r="Q54" s="6" t="s">
        <v>29</v>
      </c>
      <c r="R54" s="6" t="s">
        <v>30</v>
      </c>
      <c r="S54" s="6" t="s">
        <v>31</v>
      </c>
      <c r="T54" s="8">
        <v>3643.3</v>
      </c>
      <c r="U54" s="8">
        <v>1570.99</v>
      </c>
      <c r="V54" s="8">
        <v>1450.76</v>
      </c>
      <c r="W54" s="6">
        <v>0</v>
      </c>
      <c r="X54" s="6">
        <v>621.54999999999995</v>
      </c>
    </row>
    <row r="55" spans="1:24" ht="24.75" x14ac:dyDescent="0.25">
      <c r="A55" s="6" t="s">
        <v>25</v>
      </c>
      <c r="B55" s="6" t="s">
        <v>26</v>
      </c>
      <c r="C55" s="6" t="s">
        <v>42</v>
      </c>
      <c r="D55" s="6" t="s">
        <v>115</v>
      </c>
      <c r="E55" s="6" t="s">
        <v>39</v>
      </c>
      <c r="F55" s="6" t="s">
        <v>116</v>
      </c>
      <c r="G55" s="6">
        <v>2017</v>
      </c>
      <c r="H55" s="6" t="str">
        <f>CONCATENATE("84270073038")</f>
        <v>84270073038</v>
      </c>
      <c r="I55" s="6" t="s">
        <v>28</v>
      </c>
      <c r="J55" s="6" t="s">
        <v>38</v>
      </c>
      <c r="K55" s="6" t="str">
        <f>CONCATENATE("")</f>
        <v/>
      </c>
      <c r="L55" s="6" t="str">
        <f>CONCATENATE("4 4.1 2a")</f>
        <v>4 4.1 2a</v>
      </c>
      <c r="M55" s="6" t="str">
        <f>CONCATENATE("MZZSFN89D15H769C")</f>
        <v>MZZSFN89D15H769C</v>
      </c>
      <c r="N55" s="6" t="s">
        <v>117</v>
      </c>
      <c r="O55" s="6" t="s">
        <v>118</v>
      </c>
      <c r="P55" s="7">
        <v>43322</v>
      </c>
      <c r="Q55" s="6" t="s">
        <v>29</v>
      </c>
      <c r="R55" s="6" t="s">
        <v>33</v>
      </c>
      <c r="S55" s="6" t="s">
        <v>31</v>
      </c>
      <c r="T55" s="8">
        <v>60880.26</v>
      </c>
      <c r="U55" s="8">
        <v>26251.57</v>
      </c>
      <c r="V55" s="8">
        <v>24242.52</v>
      </c>
      <c r="W55" s="6">
        <v>0</v>
      </c>
      <c r="X55" s="8">
        <v>10386.17</v>
      </c>
    </row>
    <row r="56" spans="1:24" ht="24.75" x14ac:dyDescent="0.25">
      <c r="A56" s="6" t="s">
        <v>25</v>
      </c>
      <c r="B56" s="6" t="s">
        <v>26</v>
      </c>
      <c r="C56" s="6" t="s">
        <v>42</v>
      </c>
      <c r="D56" s="6" t="s">
        <v>47</v>
      </c>
      <c r="E56" s="6" t="s">
        <v>41</v>
      </c>
      <c r="F56" s="6" t="s">
        <v>119</v>
      </c>
      <c r="G56" s="6">
        <v>2017</v>
      </c>
      <c r="H56" s="6" t="str">
        <f>CONCATENATE("84270073814")</f>
        <v>84270073814</v>
      </c>
      <c r="I56" s="6" t="s">
        <v>28</v>
      </c>
      <c r="J56" s="6" t="s">
        <v>38</v>
      </c>
      <c r="K56" s="6" t="str">
        <f>CONCATENATE("")</f>
        <v/>
      </c>
      <c r="L56" s="6" t="str">
        <f>CONCATENATE("4 4.1 2a")</f>
        <v>4 4.1 2a</v>
      </c>
      <c r="M56" s="6" t="str">
        <f>CONCATENATE("CPCLSN79S15G479A")</f>
        <v>CPCLSN79S15G479A</v>
      </c>
      <c r="N56" s="6" t="s">
        <v>120</v>
      </c>
      <c r="O56" s="6" t="s">
        <v>121</v>
      </c>
      <c r="P56" s="7">
        <v>43322</v>
      </c>
      <c r="Q56" s="6" t="s">
        <v>29</v>
      </c>
      <c r="R56" s="6" t="s">
        <v>30</v>
      </c>
      <c r="S56" s="6" t="s">
        <v>31</v>
      </c>
      <c r="T56" s="8">
        <v>36604.449999999997</v>
      </c>
      <c r="U56" s="8">
        <v>15783.84</v>
      </c>
      <c r="V56" s="8">
        <v>14575.89</v>
      </c>
      <c r="W56" s="6">
        <v>0</v>
      </c>
      <c r="X56" s="8">
        <v>6244.72</v>
      </c>
    </row>
    <row r="57" spans="1:24" ht="24.75" x14ac:dyDescent="0.25">
      <c r="A57" s="6" t="s">
        <v>25</v>
      </c>
      <c r="B57" s="6" t="s">
        <v>26</v>
      </c>
      <c r="C57" s="6" t="s">
        <v>42</v>
      </c>
      <c r="D57" s="6" t="s">
        <v>43</v>
      </c>
      <c r="E57" s="6" t="s">
        <v>27</v>
      </c>
      <c r="F57" s="6" t="s">
        <v>44</v>
      </c>
      <c r="G57" s="6">
        <v>2017</v>
      </c>
      <c r="H57" s="6" t="str">
        <f>CONCATENATE("84270072766")</f>
        <v>84270072766</v>
      </c>
      <c r="I57" s="6" t="s">
        <v>28</v>
      </c>
      <c r="J57" s="6" t="s">
        <v>38</v>
      </c>
      <c r="K57" s="6" t="str">
        <f>CONCATENATE("")</f>
        <v/>
      </c>
      <c r="L57" s="6" t="str">
        <f>CONCATENATE("6 6.4 2a")</f>
        <v>6 6.4 2a</v>
      </c>
      <c r="M57" s="6" t="str">
        <f>CONCATENATE("MRNSFN86B21E882G")</f>
        <v>MRNSFN86B21E882G</v>
      </c>
      <c r="N57" s="6" t="s">
        <v>122</v>
      </c>
      <c r="O57" s="6" t="s">
        <v>123</v>
      </c>
      <c r="P57" s="7">
        <v>43322</v>
      </c>
      <c r="Q57" s="6" t="s">
        <v>29</v>
      </c>
      <c r="R57" s="6" t="s">
        <v>33</v>
      </c>
      <c r="S57" s="6" t="s">
        <v>31</v>
      </c>
      <c r="T57" s="8">
        <v>21781.200000000001</v>
      </c>
      <c r="U57" s="8">
        <v>9392.0499999999993</v>
      </c>
      <c r="V57" s="8">
        <v>8673.27</v>
      </c>
      <c r="W57" s="6">
        <v>0</v>
      </c>
      <c r="X57" s="8">
        <v>3715.88</v>
      </c>
    </row>
  </sheetData>
  <mergeCells count="2">
    <mergeCell ref="A1:X1"/>
    <mergeCell ref="A2:X2"/>
  </mergeCells>
  <pageMargins left="0.75" right="0.75" top="1" bottom="1" header="0.5" footer="0.5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2018-08-30T10:42:31Z</dcterms:created>
  <dcterms:modified xsi:type="dcterms:W3CDTF">2018-08-30T10:43:19Z</dcterms:modified>
</cp:coreProperties>
</file>