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76\"/>
    </mc:Choice>
  </mc:AlternateContent>
  <xr:revisionPtr revIDLastSave="0" documentId="8_{DAE41364-40E4-40B6-A3A6-CE2F8D259754}" xr6:coauthVersionLast="31" xr6:coauthVersionMax="31" xr10:uidLastSave="{00000000-0000-0000-0000-000000000000}"/>
  <bookViews>
    <workbookView xWindow="0" yWindow="0" windowWidth="28800" windowHeight="10725" xr2:uid="{114CE711-9E96-4394-9767-95ADE47B444C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8" i="1" l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<sst xmlns="http://schemas.openxmlformats.org/spreadsheetml/2006/main" count="1165" uniqueCount="162">
  <si>
    <t>Dettaglio Domande Pagabili Decreto 176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</si>
  <si>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</si>
  <si>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</si>
  <si>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</si>
  <si>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</si>
  <si>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</si>
  <si>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</si>
  <si>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</si>
  <si>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</si>
  <si>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</si>
  <si>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</si>
  <si>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</si>
  <si>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</si>
  <si>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</si>
  <si>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</si>
  <si>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</si>
  <si>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</si>
  <si>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</si>
  <si>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</si>
  <si>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</si>
  <si>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</si>
  <si>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</si>
  <si>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</si>
  <si>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</si>
  <si>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</si>
  <si>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</si>
  <si>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</si>
  <si>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</si>
  <si>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</si>
  <si>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Nuova Programmazione</t>
  </si>
  <si>
    <t>In Liquidazione</t>
  </si>
  <si>
    <t>Saldo</t>
  </si>
  <si>
    <t>Co-Finanziato</t>
  </si>
  <si>
    <t>CAA CIA srl</t>
  </si>
  <si>
    <t>CAA Coldiretti srl</t>
  </si>
  <si>
    <t>CAA LiberiAgricoltori srl già CAA AGCI srl</t>
  </si>
  <si>
    <t>CAA-CAF AGRI S.R.L.</t>
  </si>
  <si>
    <t>MARCHE</t>
  </si>
  <si>
    <t>SERV. DEC. AGRICOLTURA E ALIM. - MACERATA</t>
  </si>
  <si>
    <t>CAA LiberiAgricoltori - MACERATA - 003</t>
  </si>
  <si>
    <t>RICCIONI STEFANO</t>
  </si>
  <si>
    <t>SERV. DEC. AGRICOLTURA E ALIMENTAZIONE - PESARO</t>
  </si>
  <si>
    <t>CAA CIA - PESARO E URBINO - 002</t>
  </si>
  <si>
    <t>RASCHINI LORENZO</t>
  </si>
  <si>
    <t>IN PROPRIO</t>
  </si>
  <si>
    <t>MATTEI SIMONE</t>
  </si>
  <si>
    <t>CAA Confagricoltura - MACERATA - 001</t>
  </si>
  <si>
    <t>SOCIETA' AGRICOLA RIPOSATI GIANNINO E ALDER JANETTE ELISABETH SOCIETA'</t>
  </si>
  <si>
    <t>CAA Coldiretti - MACERATA - 017</t>
  </si>
  <si>
    <t>SOCIETA' AGRICOLA PISELLI PIETRO E C. SOC. SEMPLICE</t>
  </si>
  <si>
    <t>SOCIETA' AGRICOLA PASTORELLO DI CUPI DI CIAMMARUCHI ARCANGELO E C. S.S</t>
  </si>
  <si>
    <t>AGOSTINI FEDERICO</t>
  </si>
  <si>
    <t>CAA Coldiretti - MACERATA - 007</t>
  </si>
  <si>
    <t>GENTILI ROMANO</t>
  </si>
  <si>
    <t>SERV. DEC. AGRICOLTURA E ALIM. -ASCOLI PICENO</t>
  </si>
  <si>
    <t>CAA CAF AGRI - ASCOLI PICENO - 222</t>
  </si>
  <si>
    <t>VITTORI PIETRO</t>
  </si>
  <si>
    <t>CAA Coldiretti - PESARO E URBINO - 010</t>
  </si>
  <si>
    <t>SOCIETA' AGRICOLA ROMANINI DOMENICO E ALESSANDRO SOCIETA' SEMPLIC E</t>
  </si>
  <si>
    <t>BRUSCHI ADOLFO</t>
  </si>
  <si>
    <t>SERV. DEC. AGRICOLTURA E ALIMENTAZIONE - ANCONA</t>
  </si>
  <si>
    <t>CAA Coldiretti - ANCONA - 002</t>
  </si>
  <si>
    <t>TURCHI FABIO</t>
  </si>
  <si>
    <t>CAA Coldiretti - PESARO E URBINO - 004</t>
  </si>
  <si>
    <t>SOCIETA' AGRICOLA BALDACCIONI GIANNI E ROBERTO SS</t>
  </si>
  <si>
    <t>FERRI MATTIA</t>
  </si>
  <si>
    <t>CAA LiberiAgricoltori - MACERATA - 002</t>
  </si>
  <si>
    <t>CONVERSINI LUCIANO</t>
  </si>
  <si>
    <t>SOCIETA' AGRICOLA GIOIA S.S.</t>
  </si>
  <si>
    <t>SOCIETA' AGRICOLA TERRA E SAPORI DI BALDACCIONI ROMINA E RAIMONDO S.S.</t>
  </si>
  <si>
    <t>PACCUSSE GIANNI</t>
  </si>
  <si>
    <t>FATTORI LUISA</t>
  </si>
  <si>
    <t>ANTENUCCI MAURO</t>
  </si>
  <si>
    <t>CAA Confagricoltura - PESARO E URBINO - 001</t>
  </si>
  <si>
    <t>ADVERSI ELISABETTA</t>
  </si>
  <si>
    <t>CARAFFA POMPONIO</t>
  </si>
  <si>
    <t>ANGELI MIRKO</t>
  </si>
  <si>
    <t>PALOMBI TONINO</t>
  </si>
  <si>
    <t>FEDELI CHIARINA</t>
  </si>
  <si>
    <t>CARSETTI PASQUALE</t>
  </si>
  <si>
    <t>CRISPICIANI SARA</t>
  </si>
  <si>
    <t>CORRADINI LUIGI</t>
  </si>
  <si>
    <t>SOCIETA' AGRICOLA - LUCARINI AUGUSTO E C. S.S.</t>
  </si>
  <si>
    <t>FEDELI EZIO</t>
  </si>
  <si>
    <t>FIECCHI LUDOVICO</t>
  </si>
  <si>
    <t>FORTI FABIO</t>
  </si>
  <si>
    <t>MARTELLI DANIELE</t>
  </si>
  <si>
    <t>CAA Coldiretti - PESARO E URBINO - 001</t>
  </si>
  <si>
    <t>FARRIS CHIARA</t>
  </si>
  <si>
    <t>MARIANI MARTA</t>
  </si>
  <si>
    <t>GIOVAGNOLI STEFANO</t>
  </si>
  <si>
    <t>CAA Coldiretti - PESARO E URBINO - 006</t>
  </si>
  <si>
    <t>3 A AZIENDE AGRICOLE ASSOCIATE SCARL</t>
  </si>
  <si>
    <t>SOCIETA' AGRICOLA GIROLAMI STEFANIA E SONIA S.S.</t>
  </si>
  <si>
    <t>SOCIETA' AGRICOLA BIO DI NUCCELLI BARBARA E SERENA S.R.L.</t>
  </si>
  <si>
    <t>CANCELLIERI AUGUSTO</t>
  </si>
  <si>
    <t>BENEDETTI CLAUDIO</t>
  </si>
  <si>
    <t>SOCIETA AGRICOLA BLASI RICCARDO E ROBERTO SS</t>
  </si>
  <si>
    <t>CAA CIA - PESARO E URBINO - 007</t>
  </si>
  <si>
    <t>ARCANGELETTI GIULIO</t>
  </si>
  <si>
    <t>DIOTALEVI MAURIZIO</t>
  </si>
  <si>
    <t>ARPINI MIRKO</t>
  </si>
  <si>
    <t>SOCIETA' AGRICOLA FAGGETI DI DIOTALEVI LUANA E C. S.S.</t>
  </si>
  <si>
    <t>MARIANI FRANCESCO MASSIMO</t>
  </si>
  <si>
    <t>CAA CIA - ANCONA - 005</t>
  </si>
  <si>
    <t>MURA SALVATORE</t>
  </si>
  <si>
    <t>BAIOCCO MARIO</t>
  </si>
  <si>
    <t>AZIENDA AGRICOLA VENZANO DI URBINATI GABRIELE E FABRIZIO S.S</t>
  </si>
  <si>
    <t>PECCI DANIELE</t>
  </si>
  <si>
    <t>CAA Liberi Professionisti srl</t>
  </si>
  <si>
    <t>CAA Liberi Prof.- PESARO E URBINO - 001</t>
  </si>
  <si>
    <t>URBINELLI MARIA LAURA</t>
  </si>
  <si>
    <t>RIVELLI MARIO</t>
  </si>
  <si>
    <t>FABRIZI FAUSTO</t>
  </si>
  <si>
    <t>SAN ROMUALDO COOPERATIVA AGRICOLA A RESPONSABILITA' LIMITATA</t>
  </si>
  <si>
    <t>PEPARELLO VITTORIO</t>
  </si>
  <si>
    <t>SOCIETA' AGRICOLA FABRIZI VENANZO FABRIZIO E LIBERTI ENZA S.S.</t>
  </si>
  <si>
    <t>SOCIETA' AGRICOLA ANGELI SOCIETA' SEMPLICE</t>
  </si>
  <si>
    <t>SANTONI FRANCESCA</t>
  </si>
  <si>
    <t>CAA CAF AGRI - PESARO E URBINO - 222</t>
  </si>
  <si>
    <t>FINOCCHI FABRIZIO</t>
  </si>
  <si>
    <t>CAA LiberiAgricoltori - MACERATA - 001</t>
  </si>
  <si>
    <t>SOCIETA' AGRICOLA FIECCHI ADOLFO SOC. SEMPLICE</t>
  </si>
  <si>
    <t>CALIENDI ENRICO</t>
  </si>
  <si>
    <t>CALIENDI FRANCESCO</t>
  </si>
  <si>
    <t>CAA CAF AGRI - PESARO E URBINO - 221</t>
  </si>
  <si>
    <t>CONTADINI ANNA MARIA</t>
  </si>
  <si>
    <t>BENZI ERALDO</t>
  </si>
  <si>
    <t>SOCIETA' AGRICOLA BENEDETTI MASSIMO E NAZZARENO SS</t>
  </si>
  <si>
    <t>VENTURI ANTONIO</t>
  </si>
  <si>
    <t>SOCIETA' AGRICOLA F.LLI CORAZZINI S.S.</t>
  </si>
  <si>
    <t>SOCIETA' AGRICOLA MATTEI GIOVANNI &amp; MATTEO S.S.</t>
  </si>
  <si>
    <t>MATTEI MAURO</t>
  </si>
  <si>
    <t>GIANNINI ALFREDO</t>
  </si>
  <si>
    <t>STRADA PAOLO</t>
  </si>
  <si>
    <t>GRADL SIEGFRIED MAX</t>
  </si>
  <si>
    <t>GAGGINI GIULIANA</t>
  </si>
  <si>
    <t>CAA LiberiAgricoltori - PESARO E URBINO - 002</t>
  </si>
  <si>
    <t>SOCIETA' AGRICOLA CAMPORESI S.S.</t>
  </si>
  <si>
    <t>FILIPPINI ERMENEGILDO</t>
  </si>
  <si>
    <t>MAURIZI LUIGINO</t>
  </si>
  <si>
    <t>CAA Coldiretti - PESARO E URBINO - 008</t>
  </si>
  <si>
    <t>SOCIETA' AGRICOLA TIBERI FEDERICO &amp; C. SOCIETA' SEMPLICE</t>
  </si>
  <si>
    <t>SOCIETA' AGRICOLA MINUTELLI S.S. DI BARBIERI MASSIMO &amp; C.</t>
  </si>
  <si>
    <t>CAA CIA - PESARO E URBINO - 008</t>
  </si>
  <si>
    <t>BERARDI FABRIZIO</t>
  </si>
  <si>
    <t>SOCIETA' AGRICOLA ABC DI GUERRA S.S.</t>
  </si>
  <si>
    <t>COSTANTINI ANTONIO</t>
  </si>
  <si>
    <t>MAGNONI DOMENICO</t>
  </si>
  <si>
    <t>BRICCA PIERANGELO</t>
  </si>
  <si>
    <t>POLIDORI FRANCO</t>
  </si>
  <si>
    <t>AMBROSIO ARCANGELO</t>
  </si>
  <si>
    <t>DOMINICI RITA</t>
  </si>
  <si>
    <t>PIETRINI GRAZIANO</t>
  </si>
  <si>
    <t>CAA CAF AGRI - ANCONA - 225</t>
  </si>
  <si>
    <t>IMPRESA AGRICOLA VITO CELESTE &amp; C.</t>
  </si>
  <si>
    <t>CALISTI GIAN CARLO</t>
  </si>
  <si>
    <t>GAROSI MANUELA</t>
  </si>
  <si>
    <t>GAGGINI ANNA MARIA</t>
  </si>
  <si>
    <t>ROSSI PIER PAOLO</t>
  </si>
  <si>
    <t>BEBI EMILIO</t>
  </si>
  <si>
    <t>BERARDI GIANCARLO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</si>
</sst>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CCA7-8B00-4495-83B2-2C2E4A00CEA0}">
  <dimension ref="A1:X98"/>
  <sheetViews>
    <sheetView showGridLines="0" tabSelected="1" workbookViewId="0">
      <selection activeCell="E103" sqref="E103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7109375" style="4" bestFit="1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x14ac:dyDescent="0.25">
      <c r="A4" s="6" t="s">
        <v>25</v>
      </c>
      <c r="B4" s="6" t="s">
        <v>26</v>
      </c>
      <c r="C4" s="6" t="s">
        <v>37</v>
      </c>
      <c r="D4" s="6" t="s">
        <v>38</v>
      </c>
      <c r="E4" s="6" t="s">
        <v>35</v>
      </c>
      <c r="F4" s="6" t="s">
        <v>39</v>
      </c>
      <c r="G4" s="6">
        <v>2017</v>
      </c>
      <c r="H4" s="6" t="str">
        <f>CONCATENATE("74240094859")</f>
        <v>74240094859</v>
      </c>
      <c r="I4" s="6" t="s">
        <v>28</v>
      </c>
      <c r="J4" s="6" t="s">
        <v>29</v>
      </c>
      <c r="K4" s="6" t="str">
        <f>CONCATENATE("")</f>
        <v/>
      </c>
      <c r="L4" s="6" t="str">
        <f>CONCATENATE("14 14.1 3a")</f>
        <v>14 14.1 3a</v>
      </c>
      <c r="M4" s="6" t="str">
        <f>CONCATENATE("RCCSFN79A06I156Z")</f>
        <v>RCCSFN79A06I156Z</v>
      </c>
      <c r="N4" s="6" t="s">
        <v>40</v>
      </c>
      <c r="O4" s="6"/>
      <c r="P4" s="7">
        <v>43284</v>
      </c>
      <c r="Q4" s="6" t="s">
        <v>30</v>
      </c>
      <c r="R4" s="6" t="s">
        <v>31</v>
      </c>
      <c r="S4" s="6" t="s">
        <v>32</v>
      </c>
      <c r="T4" s="8">
        <v>14284.4</v>
      </c>
      <c r="U4" s="8">
        <v>6159.43</v>
      </c>
      <c r="V4" s="8">
        <v>5688.05</v>
      </c>
      <c r="W4" s="6">
        <v>0</v>
      </c>
      <c r="X4" s="8">
        <v>2436.92</v>
      </c>
    </row>
    <row r="5" spans="1:24" ht="24.75" x14ac:dyDescent="0.25">
      <c r="A5" s="6" t="s">
        <v>25</v>
      </c>
      <c r="B5" s="6" t="s">
        <v>26</v>
      </c>
      <c r="C5" s="6" t="s">
        <v>37</v>
      </c>
      <c r="D5" s="6" t="s">
        <v>41</v>
      </c>
      <c r="E5" s="6" t="s">
        <v>33</v>
      </c>
      <c r="F5" s="6" t="s">
        <v>42</v>
      </c>
      <c r="G5" s="6">
        <v>2017</v>
      </c>
      <c r="H5" s="6" t="str">
        <f>CONCATENATE("74240192422")</f>
        <v>74240192422</v>
      </c>
      <c r="I5" s="6" t="s">
        <v>28</v>
      </c>
      <c r="J5" s="6" t="s">
        <v>29</v>
      </c>
      <c r="K5" s="6" t="str">
        <f>CONCATENATE("")</f>
        <v/>
      </c>
      <c r="L5" s="6" t="str">
        <f>CONCATENATE("14 14.1 3a")</f>
        <v>14 14.1 3a</v>
      </c>
      <c r="M5" s="6" t="str">
        <f>CONCATENATE("RSCLNZ67E25F715N")</f>
        <v>RSCLNZ67E25F715N</v>
      </c>
      <c r="N5" s="6" t="s">
        <v>43</v>
      </c>
      <c r="O5" s="6"/>
      <c r="P5" s="7">
        <v>43284</v>
      </c>
      <c r="Q5" s="6" t="s">
        <v>30</v>
      </c>
      <c r="R5" s="6" t="s">
        <v>31</v>
      </c>
      <c r="S5" s="6" t="s">
        <v>32</v>
      </c>
      <c r="T5" s="8">
        <v>15856.65</v>
      </c>
      <c r="U5" s="8">
        <v>6837.39</v>
      </c>
      <c r="V5" s="8">
        <v>6314.12</v>
      </c>
      <c r="W5" s="6">
        <v>0</v>
      </c>
      <c r="X5" s="8">
        <v>2705.14</v>
      </c>
    </row>
    <row r="6" spans="1:24" ht="24.75" x14ac:dyDescent="0.25">
      <c r="A6" s="6" t="s">
        <v>25</v>
      </c>
      <c r="B6" s="6" t="s">
        <v>26</v>
      </c>
      <c r="C6" s="6" t="s">
        <v>37</v>
      </c>
      <c r="D6" s="6" t="s">
        <v>41</v>
      </c>
      <c r="E6" s="6" t="s">
        <v>44</v>
      </c>
      <c r="F6" s="6" t="s">
        <v>44</v>
      </c>
      <c r="G6" s="6">
        <v>2017</v>
      </c>
      <c r="H6" s="6" t="str">
        <f>CONCATENATE("74240912951")</f>
        <v>74240912951</v>
      </c>
      <c r="I6" s="6" t="s">
        <v>28</v>
      </c>
      <c r="J6" s="6" t="s">
        <v>29</v>
      </c>
      <c r="K6" s="6" t="str">
        <f>CONCATENATE("")</f>
        <v/>
      </c>
      <c r="L6" s="6" t="str">
        <f>CONCATENATE("14 14.1 3a")</f>
        <v>14 14.1 3a</v>
      </c>
      <c r="M6" s="6" t="str">
        <f>CONCATENATE("MTTSMN70S19I459M")</f>
        <v>MTTSMN70S19I459M</v>
      </c>
      <c r="N6" s="6" t="s">
        <v>45</v>
      </c>
      <c r="O6" s="6"/>
      <c r="P6" s="7">
        <v>43284</v>
      </c>
      <c r="Q6" s="6" t="s">
        <v>30</v>
      </c>
      <c r="R6" s="6" t="s">
        <v>31</v>
      </c>
      <c r="S6" s="6" t="s">
        <v>32</v>
      </c>
      <c r="T6" s="8">
        <v>14268.18</v>
      </c>
      <c r="U6" s="8">
        <v>6152.44</v>
      </c>
      <c r="V6" s="8">
        <v>5681.59</v>
      </c>
      <c r="W6" s="6">
        <v>0</v>
      </c>
      <c r="X6" s="8">
        <v>2434.15</v>
      </c>
    </row>
    <row r="7" spans="1:24" ht="24.75" x14ac:dyDescent="0.25">
      <c r="A7" s="6" t="s">
        <v>25</v>
      </c>
      <c r="B7" s="6" t="s">
        <v>26</v>
      </c>
      <c r="C7" s="6" t="s">
        <v>37</v>
      </c>
      <c r="D7" s="6" t="s">
        <v>38</v>
      </c>
      <c r="E7" s="6" t="s">
        <v>27</v>
      </c>
      <c r="F7" s="6" t="s">
        <v>46</v>
      </c>
      <c r="G7" s="6">
        <v>2017</v>
      </c>
      <c r="H7" s="6" t="str">
        <f>CONCATENATE("74240778329")</f>
        <v>74240778329</v>
      </c>
      <c r="I7" s="6" t="s">
        <v>28</v>
      </c>
      <c r="J7" s="6" t="s">
        <v>29</v>
      </c>
      <c r="K7" s="6" t="str">
        <f>CONCATENATE("")</f>
        <v/>
      </c>
      <c r="L7" s="6" t="str">
        <f>CONCATENATE("14 14.1 3a")</f>
        <v>14 14.1 3a</v>
      </c>
      <c r="M7" s="6" t="str">
        <f>CONCATENATE("00811080431")</f>
        <v>00811080431</v>
      </c>
      <c r="N7" s="6" t="s">
        <v>47</v>
      </c>
      <c r="O7" s="6"/>
      <c r="P7" s="7">
        <v>43284</v>
      </c>
      <c r="Q7" s="6" t="s">
        <v>30</v>
      </c>
      <c r="R7" s="6" t="s">
        <v>31</v>
      </c>
      <c r="S7" s="6" t="s">
        <v>32</v>
      </c>
      <c r="T7" s="8">
        <v>4228</v>
      </c>
      <c r="U7" s="8">
        <v>1823.11</v>
      </c>
      <c r="V7" s="8">
        <v>1683.59</v>
      </c>
      <c r="W7" s="6">
        <v>0</v>
      </c>
      <c r="X7" s="6">
        <v>721.3</v>
      </c>
    </row>
    <row r="8" spans="1:24" ht="24.75" x14ac:dyDescent="0.25">
      <c r="A8" s="6" t="s">
        <v>25</v>
      </c>
      <c r="B8" s="6" t="s">
        <v>26</v>
      </c>
      <c r="C8" s="6" t="s">
        <v>37</v>
      </c>
      <c r="D8" s="6" t="s">
        <v>38</v>
      </c>
      <c r="E8" s="6" t="s">
        <v>34</v>
      </c>
      <c r="F8" s="6" t="s">
        <v>48</v>
      </c>
      <c r="G8" s="6">
        <v>2017</v>
      </c>
      <c r="H8" s="6" t="str">
        <f>CONCATENATE("74240792874")</f>
        <v>74240792874</v>
      </c>
      <c r="I8" s="6" t="s">
        <v>28</v>
      </c>
      <c r="J8" s="6" t="s">
        <v>29</v>
      </c>
      <c r="K8" s="6" t="str">
        <f>CONCATENATE("")</f>
        <v/>
      </c>
      <c r="L8" s="6" t="str">
        <f>CONCATENATE("14 14.1 3a")</f>
        <v>14 14.1 3a</v>
      </c>
      <c r="M8" s="6" t="str">
        <f>CONCATENATE("00395910433")</f>
        <v>00395910433</v>
      </c>
      <c r="N8" s="6" t="s">
        <v>49</v>
      </c>
      <c r="O8" s="6"/>
      <c r="P8" s="7">
        <v>43284</v>
      </c>
      <c r="Q8" s="6" t="s">
        <v>30</v>
      </c>
      <c r="R8" s="6" t="s">
        <v>31</v>
      </c>
      <c r="S8" s="6" t="s">
        <v>32</v>
      </c>
      <c r="T8" s="8">
        <v>22998.799999999999</v>
      </c>
      <c r="U8" s="8">
        <v>9917.08</v>
      </c>
      <c r="V8" s="8">
        <v>9158.1200000000008</v>
      </c>
      <c r="W8" s="6">
        <v>0</v>
      </c>
      <c r="X8" s="8">
        <v>3923.6</v>
      </c>
    </row>
    <row r="9" spans="1:24" ht="24.75" x14ac:dyDescent="0.25">
      <c r="A9" s="6" t="s">
        <v>25</v>
      </c>
      <c r="B9" s="6" t="s">
        <v>26</v>
      </c>
      <c r="C9" s="6" t="s">
        <v>37</v>
      </c>
      <c r="D9" s="6" t="s">
        <v>38</v>
      </c>
      <c r="E9" s="6" t="s">
        <v>34</v>
      </c>
      <c r="F9" s="6" t="s">
        <v>48</v>
      </c>
      <c r="G9" s="6">
        <v>2017</v>
      </c>
      <c r="H9" s="6" t="str">
        <f>CONCATENATE("74240792676")</f>
        <v>74240792676</v>
      </c>
      <c r="I9" s="6" t="s">
        <v>28</v>
      </c>
      <c r="J9" s="6" t="s">
        <v>29</v>
      </c>
      <c r="K9" s="6" t="str">
        <f>CONCATENATE("")</f>
        <v/>
      </c>
      <c r="L9" s="6" t="str">
        <f>CONCATENATE("14 14.1 3a")</f>
        <v>14 14.1 3a</v>
      </c>
      <c r="M9" s="6" t="str">
        <f>CONCATENATE("01710950435")</f>
        <v>01710950435</v>
      </c>
      <c r="N9" s="6" t="s">
        <v>50</v>
      </c>
      <c r="O9" s="6"/>
      <c r="P9" s="7">
        <v>43284</v>
      </c>
      <c r="Q9" s="6" t="s">
        <v>30</v>
      </c>
      <c r="R9" s="6" t="s">
        <v>31</v>
      </c>
      <c r="S9" s="6" t="s">
        <v>32</v>
      </c>
      <c r="T9" s="8">
        <v>17350</v>
      </c>
      <c r="U9" s="8">
        <v>7481.32</v>
      </c>
      <c r="V9" s="8">
        <v>6908.77</v>
      </c>
      <c r="W9" s="6">
        <v>0</v>
      </c>
      <c r="X9" s="8">
        <v>2959.91</v>
      </c>
    </row>
    <row r="10" spans="1:24" ht="24.75" x14ac:dyDescent="0.25">
      <c r="A10" s="6" t="s">
        <v>25</v>
      </c>
      <c r="B10" s="6" t="s">
        <v>26</v>
      </c>
      <c r="C10" s="6" t="s">
        <v>37</v>
      </c>
      <c r="D10" s="6" t="s">
        <v>41</v>
      </c>
      <c r="E10" s="6" t="s">
        <v>33</v>
      </c>
      <c r="F10" s="6" t="s">
        <v>42</v>
      </c>
      <c r="G10" s="6">
        <v>2017</v>
      </c>
      <c r="H10" s="6" t="str">
        <f>CONCATENATE("74240896337")</f>
        <v>74240896337</v>
      </c>
      <c r="I10" s="6" t="s">
        <v>28</v>
      </c>
      <c r="J10" s="6" t="s">
        <v>29</v>
      </c>
      <c r="K10" s="6" t="str">
        <f>CONCATENATE("")</f>
        <v/>
      </c>
      <c r="L10" s="6" t="str">
        <f>CONCATENATE("14 14.1 3a")</f>
        <v>14 14.1 3a</v>
      </c>
      <c r="M10" s="6" t="str">
        <f>CONCATENATE("GSTFRC74M11D488L")</f>
        <v>GSTFRC74M11D488L</v>
      </c>
      <c r="N10" s="6" t="s">
        <v>51</v>
      </c>
      <c r="O10" s="6"/>
      <c r="P10" s="7">
        <v>43284</v>
      </c>
      <c r="Q10" s="6" t="s">
        <v>30</v>
      </c>
      <c r="R10" s="6" t="s">
        <v>31</v>
      </c>
      <c r="S10" s="6" t="s">
        <v>32</v>
      </c>
      <c r="T10" s="8">
        <v>10378.6</v>
      </c>
      <c r="U10" s="8">
        <v>4475.25</v>
      </c>
      <c r="V10" s="8">
        <v>4132.76</v>
      </c>
      <c r="W10" s="6">
        <v>0</v>
      </c>
      <c r="X10" s="8">
        <v>1770.59</v>
      </c>
    </row>
    <row r="11" spans="1:24" x14ac:dyDescent="0.25">
      <c r="A11" s="6" t="s">
        <v>25</v>
      </c>
      <c r="B11" s="6" t="s">
        <v>26</v>
      </c>
      <c r="C11" s="6" t="s">
        <v>37</v>
      </c>
      <c r="D11" s="6" t="s">
        <v>38</v>
      </c>
      <c r="E11" s="6" t="s">
        <v>34</v>
      </c>
      <c r="F11" s="6" t="s">
        <v>52</v>
      </c>
      <c r="G11" s="6">
        <v>2017</v>
      </c>
      <c r="H11" s="6" t="str">
        <f>CONCATENATE("74240862214")</f>
        <v>74240862214</v>
      </c>
      <c r="I11" s="6" t="s">
        <v>28</v>
      </c>
      <c r="J11" s="6" t="s">
        <v>29</v>
      </c>
      <c r="K11" s="6" t="str">
        <f>CONCATENATE("")</f>
        <v/>
      </c>
      <c r="L11" s="6" t="str">
        <f>CONCATENATE("14 14.1 3a")</f>
        <v>14 14.1 3a</v>
      </c>
      <c r="M11" s="6" t="str">
        <f>CONCATENATE("GNTRMN51T29I436U")</f>
        <v>GNTRMN51T29I436U</v>
      </c>
      <c r="N11" s="6" t="s">
        <v>53</v>
      </c>
      <c r="O11" s="6"/>
      <c r="P11" s="7">
        <v>43284</v>
      </c>
      <c r="Q11" s="6" t="s">
        <v>30</v>
      </c>
      <c r="R11" s="6" t="s">
        <v>31</v>
      </c>
      <c r="S11" s="6" t="s">
        <v>32</v>
      </c>
      <c r="T11" s="8">
        <v>16469</v>
      </c>
      <c r="U11" s="8">
        <v>7101.43</v>
      </c>
      <c r="V11" s="8">
        <v>6557.96</v>
      </c>
      <c r="W11" s="6">
        <v>0</v>
      </c>
      <c r="X11" s="8">
        <v>2809.61</v>
      </c>
    </row>
    <row r="12" spans="1:24" ht="24.75" x14ac:dyDescent="0.25">
      <c r="A12" s="6" t="s">
        <v>25</v>
      </c>
      <c r="B12" s="6" t="s">
        <v>26</v>
      </c>
      <c r="C12" s="6" t="s">
        <v>37</v>
      </c>
      <c r="D12" s="6" t="s">
        <v>54</v>
      </c>
      <c r="E12" s="6" t="s">
        <v>36</v>
      </c>
      <c r="F12" s="6" t="s">
        <v>55</v>
      </c>
      <c r="G12" s="6">
        <v>2017</v>
      </c>
      <c r="H12" s="6" t="str">
        <f>CONCATENATE("74240912449")</f>
        <v>74240912449</v>
      </c>
      <c r="I12" s="6" t="s">
        <v>28</v>
      </c>
      <c r="J12" s="6" t="s">
        <v>29</v>
      </c>
      <c r="K12" s="6" t="str">
        <f>CONCATENATE("")</f>
        <v/>
      </c>
      <c r="L12" s="6" t="str">
        <f>CONCATENATE("14 14.1 3a")</f>
        <v>14 14.1 3a</v>
      </c>
      <c r="M12" s="6" t="str">
        <f>CONCATENATE("VTTPTR35H17C935T")</f>
        <v>VTTPTR35H17C935T</v>
      </c>
      <c r="N12" s="6" t="s">
        <v>56</v>
      </c>
      <c r="O12" s="6"/>
      <c r="P12" s="7">
        <v>43284</v>
      </c>
      <c r="Q12" s="6" t="s">
        <v>30</v>
      </c>
      <c r="R12" s="6" t="s">
        <v>31</v>
      </c>
      <c r="S12" s="6" t="s">
        <v>32</v>
      </c>
      <c r="T12" s="8">
        <v>4754.5</v>
      </c>
      <c r="U12" s="8">
        <v>2050.14</v>
      </c>
      <c r="V12" s="8">
        <v>1893.24</v>
      </c>
      <c r="W12" s="6">
        <v>0</v>
      </c>
      <c r="X12" s="6">
        <v>811.12</v>
      </c>
    </row>
    <row r="13" spans="1:24" ht="24.75" x14ac:dyDescent="0.25">
      <c r="A13" s="6" t="s">
        <v>25</v>
      </c>
      <c r="B13" s="6" t="s">
        <v>26</v>
      </c>
      <c r="C13" s="6" t="s">
        <v>37</v>
      </c>
      <c r="D13" s="6" t="s">
        <v>41</v>
      </c>
      <c r="E13" s="6" t="s">
        <v>34</v>
      </c>
      <c r="F13" s="6" t="s">
        <v>57</v>
      </c>
      <c r="G13" s="6">
        <v>2017</v>
      </c>
      <c r="H13" s="6" t="str">
        <f>CONCATENATE("74240855853")</f>
        <v>74240855853</v>
      </c>
      <c r="I13" s="6" t="s">
        <v>28</v>
      </c>
      <c r="J13" s="6" t="s">
        <v>29</v>
      </c>
      <c r="K13" s="6" t="str">
        <f>CONCATENATE("")</f>
        <v/>
      </c>
      <c r="L13" s="6" t="str">
        <f>CONCATENATE("14 14.1 3a")</f>
        <v>14 14.1 3a</v>
      </c>
      <c r="M13" s="6" t="str">
        <f>CONCATENATE("01358310413")</f>
        <v>01358310413</v>
      </c>
      <c r="N13" s="6" t="s">
        <v>58</v>
      </c>
      <c r="O13" s="6"/>
      <c r="P13" s="7">
        <v>43284</v>
      </c>
      <c r="Q13" s="6" t="s">
        <v>30</v>
      </c>
      <c r="R13" s="6" t="s">
        <v>31</v>
      </c>
      <c r="S13" s="6" t="s">
        <v>32</v>
      </c>
      <c r="T13" s="8">
        <v>14608.78</v>
      </c>
      <c r="U13" s="8">
        <v>6299.31</v>
      </c>
      <c r="V13" s="8">
        <v>5817.22</v>
      </c>
      <c r="W13" s="6">
        <v>0</v>
      </c>
      <c r="X13" s="8">
        <v>2492.25</v>
      </c>
    </row>
    <row r="14" spans="1:24" x14ac:dyDescent="0.25">
      <c r="A14" s="6" t="s">
        <v>25</v>
      </c>
      <c r="B14" s="6" t="s">
        <v>26</v>
      </c>
      <c r="C14" s="6" t="s">
        <v>37</v>
      </c>
      <c r="D14" s="6" t="s">
        <v>38</v>
      </c>
      <c r="E14" s="6" t="s">
        <v>34</v>
      </c>
      <c r="F14" s="6" t="s">
        <v>52</v>
      </c>
      <c r="G14" s="6">
        <v>2017</v>
      </c>
      <c r="H14" s="6" t="str">
        <f>CONCATENATE("74240862560")</f>
        <v>74240862560</v>
      </c>
      <c r="I14" s="6" t="s">
        <v>28</v>
      </c>
      <c r="J14" s="6" t="s">
        <v>29</v>
      </c>
      <c r="K14" s="6" t="str">
        <f>CONCATENATE("")</f>
        <v/>
      </c>
      <c r="L14" s="6" t="str">
        <f>CONCATENATE("14 14.1 3a")</f>
        <v>14 14.1 3a</v>
      </c>
      <c r="M14" s="6" t="str">
        <f>CONCATENATE("BRSDLF63E06I436O")</f>
        <v>BRSDLF63E06I436O</v>
      </c>
      <c r="N14" s="6" t="s">
        <v>59</v>
      </c>
      <c r="O14" s="6"/>
      <c r="P14" s="7">
        <v>43284</v>
      </c>
      <c r="Q14" s="6" t="s">
        <v>30</v>
      </c>
      <c r="R14" s="6" t="s">
        <v>31</v>
      </c>
      <c r="S14" s="6" t="s">
        <v>32</v>
      </c>
      <c r="T14" s="8">
        <v>33350</v>
      </c>
      <c r="U14" s="8">
        <v>14380.52</v>
      </c>
      <c r="V14" s="8">
        <v>13279.97</v>
      </c>
      <c r="W14" s="6">
        <v>0</v>
      </c>
      <c r="X14" s="8">
        <v>5689.51</v>
      </c>
    </row>
    <row r="15" spans="1:24" ht="24.75" x14ac:dyDescent="0.25">
      <c r="A15" s="6" t="s">
        <v>25</v>
      </c>
      <c r="B15" s="6" t="s">
        <v>26</v>
      </c>
      <c r="C15" s="6" t="s">
        <v>37</v>
      </c>
      <c r="D15" s="6" t="s">
        <v>60</v>
      </c>
      <c r="E15" s="6" t="s">
        <v>34</v>
      </c>
      <c r="F15" s="6" t="s">
        <v>61</v>
      </c>
      <c r="G15" s="6">
        <v>2017</v>
      </c>
      <c r="H15" s="6" t="str">
        <f>CONCATENATE("74241149868")</f>
        <v>74241149868</v>
      </c>
      <c r="I15" s="6" t="s">
        <v>28</v>
      </c>
      <c r="J15" s="6" t="s">
        <v>29</v>
      </c>
      <c r="K15" s="6" t="str">
        <f>CONCATENATE("")</f>
        <v/>
      </c>
      <c r="L15" s="6" t="str">
        <f>CONCATENATE("14 14.1 3a")</f>
        <v>14 14.1 3a</v>
      </c>
      <c r="M15" s="6" t="str">
        <f>CONCATENATE("TRCFBA65S20A329C")</f>
        <v>TRCFBA65S20A329C</v>
      </c>
      <c r="N15" s="6" t="s">
        <v>62</v>
      </c>
      <c r="O15" s="6"/>
      <c r="P15" s="7">
        <v>43284</v>
      </c>
      <c r="Q15" s="6" t="s">
        <v>30</v>
      </c>
      <c r="R15" s="6" t="s">
        <v>31</v>
      </c>
      <c r="S15" s="6" t="s">
        <v>32</v>
      </c>
      <c r="T15" s="8">
        <v>6490</v>
      </c>
      <c r="U15" s="8">
        <v>2798.49</v>
      </c>
      <c r="V15" s="8">
        <v>2584.3200000000002</v>
      </c>
      <c r="W15" s="6">
        <v>0</v>
      </c>
      <c r="X15" s="8">
        <v>1107.19</v>
      </c>
    </row>
    <row r="16" spans="1:24" ht="24.75" x14ac:dyDescent="0.25">
      <c r="A16" s="6" t="s">
        <v>25</v>
      </c>
      <c r="B16" s="6" t="s">
        <v>26</v>
      </c>
      <c r="C16" s="6" t="s">
        <v>37</v>
      </c>
      <c r="D16" s="6" t="s">
        <v>41</v>
      </c>
      <c r="E16" s="6" t="s">
        <v>34</v>
      </c>
      <c r="F16" s="6" t="s">
        <v>63</v>
      </c>
      <c r="G16" s="6">
        <v>2017</v>
      </c>
      <c r="H16" s="6" t="str">
        <f>CONCATENATE("74240186044")</f>
        <v>74240186044</v>
      </c>
      <c r="I16" s="6" t="s">
        <v>28</v>
      </c>
      <c r="J16" s="6" t="s">
        <v>29</v>
      </c>
      <c r="K16" s="6" t="str">
        <f>CONCATENATE("")</f>
        <v/>
      </c>
      <c r="L16" s="6" t="str">
        <f>CONCATENATE("14 14.1 3a")</f>
        <v>14 14.1 3a</v>
      </c>
      <c r="M16" s="6" t="str">
        <f>CONCATENATE("02010570410")</f>
        <v>02010570410</v>
      </c>
      <c r="N16" s="6" t="s">
        <v>64</v>
      </c>
      <c r="O16" s="6"/>
      <c r="P16" s="7">
        <v>43284</v>
      </c>
      <c r="Q16" s="6" t="s">
        <v>30</v>
      </c>
      <c r="R16" s="6" t="s">
        <v>31</v>
      </c>
      <c r="S16" s="6" t="s">
        <v>32</v>
      </c>
      <c r="T16" s="8">
        <v>29841.4</v>
      </c>
      <c r="U16" s="8">
        <v>12867.61</v>
      </c>
      <c r="V16" s="8">
        <v>11882.85</v>
      </c>
      <c r="W16" s="6">
        <v>0</v>
      </c>
      <c r="X16" s="8">
        <v>5090.9399999999996</v>
      </c>
    </row>
    <row r="17" spans="1:24" ht="24.75" x14ac:dyDescent="0.25">
      <c r="A17" s="6" t="s">
        <v>25</v>
      </c>
      <c r="B17" s="6" t="s">
        <v>26</v>
      </c>
      <c r="C17" s="6" t="s">
        <v>37</v>
      </c>
      <c r="D17" s="6" t="s">
        <v>41</v>
      </c>
      <c r="E17" s="6" t="s">
        <v>33</v>
      </c>
      <c r="F17" s="6" t="s">
        <v>42</v>
      </c>
      <c r="G17" s="6">
        <v>2017</v>
      </c>
      <c r="H17" s="6" t="str">
        <f>CONCATENATE("74240193347")</f>
        <v>74240193347</v>
      </c>
      <c r="I17" s="6" t="s">
        <v>28</v>
      </c>
      <c r="J17" s="6" t="s">
        <v>29</v>
      </c>
      <c r="K17" s="6" t="str">
        <f>CONCATENATE("")</f>
        <v/>
      </c>
      <c r="L17" s="6" t="str">
        <f>CONCATENATE("14 14.1 3a")</f>
        <v>14 14.1 3a</v>
      </c>
      <c r="M17" s="6" t="str">
        <f>CONCATENATE("FRRMTT86A19F137A")</f>
        <v>FRRMTT86A19F137A</v>
      </c>
      <c r="N17" s="6" t="s">
        <v>65</v>
      </c>
      <c r="O17" s="6"/>
      <c r="P17" s="7">
        <v>43284</v>
      </c>
      <c r="Q17" s="6" t="s">
        <v>30</v>
      </c>
      <c r="R17" s="6" t="s">
        <v>31</v>
      </c>
      <c r="S17" s="6" t="s">
        <v>32</v>
      </c>
      <c r="T17" s="8">
        <v>5847.21</v>
      </c>
      <c r="U17" s="8">
        <v>2521.3200000000002</v>
      </c>
      <c r="V17" s="8">
        <v>2328.36</v>
      </c>
      <c r="W17" s="6">
        <v>0</v>
      </c>
      <c r="X17" s="6">
        <v>997.53</v>
      </c>
    </row>
    <row r="18" spans="1:24" x14ac:dyDescent="0.25">
      <c r="A18" s="6" t="s">
        <v>25</v>
      </c>
      <c r="B18" s="6" t="s">
        <v>26</v>
      </c>
      <c r="C18" s="6" t="s">
        <v>37</v>
      </c>
      <c r="D18" s="6" t="s">
        <v>38</v>
      </c>
      <c r="E18" s="6" t="s">
        <v>35</v>
      </c>
      <c r="F18" s="6" t="s">
        <v>66</v>
      </c>
      <c r="G18" s="6">
        <v>2017</v>
      </c>
      <c r="H18" s="6" t="str">
        <f>CONCATENATE("74240343314")</f>
        <v>74240343314</v>
      </c>
      <c r="I18" s="6" t="s">
        <v>28</v>
      </c>
      <c r="J18" s="6" t="s">
        <v>29</v>
      </c>
      <c r="K18" s="6" t="str">
        <f>CONCATENATE("")</f>
        <v/>
      </c>
      <c r="L18" s="6" t="str">
        <f>CONCATENATE("14 14.1 3a")</f>
        <v>14 14.1 3a</v>
      </c>
      <c r="M18" s="6" t="str">
        <f>CONCATENATE("CNVLCN66T09B474J")</f>
        <v>CNVLCN66T09B474J</v>
      </c>
      <c r="N18" s="6" t="s">
        <v>67</v>
      </c>
      <c r="O18" s="6"/>
      <c r="P18" s="7">
        <v>43284</v>
      </c>
      <c r="Q18" s="6" t="s">
        <v>30</v>
      </c>
      <c r="R18" s="6" t="s">
        <v>31</v>
      </c>
      <c r="S18" s="6" t="s">
        <v>32</v>
      </c>
      <c r="T18" s="8">
        <v>6035.88</v>
      </c>
      <c r="U18" s="8">
        <v>2602.67</v>
      </c>
      <c r="V18" s="8">
        <v>2403.4899999999998</v>
      </c>
      <c r="W18" s="6">
        <v>0</v>
      </c>
      <c r="X18" s="8">
        <v>1029.72</v>
      </c>
    </row>
    <row r="19" spans="1:24" ht="24.75" x14ac:dyDescent="0.25">
      <c r="A19" s="6" t="s">
        <v>25</v>
      </c>
      <c r="B19" s="6" t="s">
        <v>26</v>
      </c>
      <c r="C19" s="6" t="s">
        <v>37</v>
      </c>
      <c r="D19" s="6" t="s">
        <v>60</v>
      </c>
      <c r="E19" s="6" t="s">
        <v>34</v>
      </c>
      <c r="F19" s="6" t="s">
        <v>61</v>
      </c>
      <c r="G19" s="6">
        <v>2017</v>
      </c>
      <c r="H19" s="6" t="str">
        <f>CONCATENATE("74240479753")</f>
        <v>74240479753</v>
      </c>
      <c r="I19" s="6" t="s">
        <v>28</v>
      </c>
      <c r="J19" s="6" t="s">
        <v>29</v>
      </c>
      <c r="K19" s="6" t="str">
        <f>CONCATENATE("")</f>
        <v/>
      </c>
      <c r="L19" s="6" t="str">
        <f>CONCATENATE("14 14.1 3a")</f>
        <v>14 14.1 3a</v>
      </c>
      <c r="M19" s="6" t="str">
        <f>CONCATENATE("02395070424")</f>
        <v>02395070424</v>
      </c>
      <c r="N19" s="6" t="s">
        <v>68</v>
      </c>
      <c r="O19" s="6"/>
      <c r="P19" s="7">
        <v>43284</v>
      </c>
      <c r="Q19" s="6" t="s">
        <v>30</v>
      </c>
      <c r="R19" s="6" t="s">
        <v>31</v>
      </c>
      <c r="S19" s="6" t="s">
        <v>32</v>
      </c>
      <c r="T19" s="8">
        <v>9890</v>
      </c>
      <c r="U19" s="8">
        <v>4264.57</v>
      </c>
      <c r="V19" s="8">
        <v>3938.2</v>
      </c>
      <c r="W19" s="6">
        <v>0</v>
      </c>
      <c r="X19" s="8">
        <v>1687.23</v>
      </c>
    </row>
    <row r="20" spans="1:24" ht="24.75" x14ac:dyDescent="0.25">
      <c r="A20" s="6" t="s">
        <v>25</v>
      </c>
      <c r="B20" s="6" t="s">
        <v>26</v>
      </c>
      <c r="C20" s="6" t="s">
        <v>37</v>
      </c>
      <c r="D20" s="6" t="s">
        <v>41</v>
      </c>
      <c r="E20" s="6" t="s">
        <v>34</v>
      </c>
      <c r="F20" s="6" t="s">
        <v>63</v>
      </c>
      <c r="G20" s="6">
        <v>2017</v>
      </c>
      <c r="H20" s="6" t="str">
        <f>CONCATENATE("74240417548")</f>
        <v>74240417548</v>
      </c>
      <c r="I20" s="6" t="s">
        <v>28</v>
      </c>
      <c r="J20" s="6" t="s">
        <v>29</v>
      </c>
      <c r="K20" s="6" t="str">
        <f>CONCATENATE("")</f>
        <v/>
      </c>
      <c r="L20" s="6" t="str">
        <f>CONCATENATE("14 14.1 3a")</f>
        <v>14 14.1 3a</v>
      </c>
      <c r="M20" s="6" t="str">
        <f>CONCATENATE("00984410415")</f>
        <v>00984410415</v>
      </c>
      <c r="N20" s="6" t="s">
        <v>69</v>
      </c>
      <c r="O20" s="6"/>
      <c r="P20" s="7">
        <v>43284</v>
      </c>
      <c r="Q20" s="6" t="s">
        <v>30</v>
      </c>
      <c r="R20" s="6" t="s">
        <v>31</v>
      </c>
      <c r="S20" s="6" t="s">
        <v>32</v>
      </c>
      <c r="T20" s="8">
        <v>26663.8</v>
      </c>
      <c r="U20" s="8">
        <v>11497.43</v>
      </c>
      <c r="V20" s="8">
        <v>10617.53</v>
      </c>
      <c r="W20" s="6">
        <v>0</v>
      </c>
      <c r="X20" s="8">
        <v>4548.84</v>
      </c>
    </row>
    <row r="21" spans="1:24" x14ac:dyDescent="0.25">
      <c r="A21" s="6" t="s">
        <v>25</v>
      </c>
      <c r="B21" s="6" t="s">
        <v>26</v>
      </c>
      <c r="C21" s="6" t="s">
        <v>37</v>
      </c>
      <c r="D21" s="6" t="s">
        <v>38</v>
      </c>
      <c r="E21" s="6" t="s">
        <v>34</v>
      </c>
      <c r="F21" s="6" t="s">
        <v>52</v>
      </c>
      <c r="G21" s="6">
        <v>2017</v>
      </c>
      <c r="H21" s="6" t="str">
        <f>CONCATENATE("74240892583")</f>
        <v>74240892583</v>
      </c>
      <c r="I21" s="6" t="s">
        <v>28</v>
      </c>
      <c r="J21" s="6" t="s">
        <v>29</v>
      </c>
      <c r="K21" s="6" t="str">
        <f>CONCATENATE("")</f>
        <v/>
      </c>
      <c r="L21" s="6" t="str">
        <f>CONCATENATE("14 14.1 3a")</f>
        <v>14 14.1 3a</v>
      </c>
      <c r="M21" s="6" t="str">
        <f>CONCATENATE("PCCGNN75R08D211D")</f>
        <v>PCCGNN75R08D211D</v>
      </c>
      <c r="N21" s="6" t="s">
        <v>70</v>
      </c>
      <c r="O21" s="6"/>
      <c r="P21" s="7">
        <v>43284</v>
      </c>
      <c r="Q21" s="6" t="s">
        <v>30</v>
      </c>
      <c r="R21" s="6" t="s">
        <v>31</v>
      </c>
      <c r="S21" s="6" t="s">
        <v>32</v>
      </c>
      <c r="T21" s="8">
        <v>15450</v>
      </c>
      <c r="U21" s="8">
        <v>6662.04</v>
      </c>
      <c r="V21" s="8">
        <v>6152.19</v>
      </c>
      <c r="W21" s="6">
        <v>0</v>
      </c>
      <c r="X21" s="8">
        <v>2635.77</v>
      </c>
    </row>
    <row r="22" spans="1:24" x14ac:dyDescent="0.25">
      <c r="A22" s="6" t="s">
        <v>25</v>
      </c>
      <c r="B22" s="6" t="s">
        <v>26</v>
      </c>
      <c r="C22" s="6" t="s">
        <v>37</v>
      </c>
      <c r="D22" s="6" t="s">
        <v>38</v>
      </c>
      <c r="E22" s="6" t="s">
        <v>34</v>
      </c>
      <c r="F22" s="6" t="s">
        <v>52</v>
      </c>
      <c r="G22" s="6">
        <v>2017</v>
      </c>
      <c r="H22" s="6" t="str">
        <f>CONCATENATE("74240916739")</f>
        <v>74240916739</v>
      </c>
      <c r="I22" s="6" t="s">
        <v>28</v>
      </c>
      <c r="J22" s="6" t="s">
        <v>29</v>
      </c>
      <c r="K22" s="6" t="str">
        <f>CONCATENATE("")</f>
        <v/>
      </c>
      <c r="L22" s="6" t="str">
        <f>CONCATENATE("14 14.1 3a")</f>
        <v>14 14.1 3a</v>
      </c>
      <c r="M22" s="6" t="str">
        <f>CONCATENATE("FTTLSU42L54I436X")</f>
        <v>FTTLSU42L54I436X</v>
      </c>
      <c r="N22" s="6" t="s">
        <v>71</v>
      </c>
      <c r="O22" s="6"/>
      <c r="P22" s="7">
        <v>43284</v>
      </c>
      <c r="Q22" s="6" t="s">
        <v>30</v>
      </c>
      <c r="R22" s="6" t="s">
        <v>31</v>
      </c>
      <c r="S22" s="6" t="s">
        <v>32</v>
      </c>
      <c r="T22" s="8">
        <v>6141.8</v>
      </c>
      <c r="U22" s="8">
        <v>2648.34</v>
      </c>
      <c r="V22" s="8">
        <v>2445.66</v>
      </c>
      <c r="W22" s="6">
        <v>0</v>
      </c>
      <c r="X22" s="8">
        <v>1047.8</v>
      </c>
    </row>
    <row r="23" spans="1:24" x14ac:dyDescent="0.25">
      <c r="A23" s="6" t="s">
        <v>25</v>
      </c>
      <c r="B23" s="6" t="s">
        <v>26</v>
      </c>
      <c r="C23" s="6" t="s">
        <v>37</v>
      </c>
      <c r="D23" s="6" t="s">
        <v>38</v>
      </c>
      <c r="E23" s="6" t="s">
        <v>34</v>
      </c>
      <c r="F23" s="6" t="s">
        <v>52</v>
      </c>
      <c r="G23" s="6">
        <v>2017</v>
      </c>
      <c r="H23" s="6" t="str">
        <f>CONCATENATE("74240862552")</f>
        <v>74240862552</v>
      </c>
      <c r="I23" s="6" t="s">
        <v>28</v>
      </c>
      <c r="J23" s="6" t="s">
        <v>29</v>
      </c>
      <c r="K23" s="6" t="str">
        <f>CONCATENATE("")</f>
        <v/>
      </c>
      <c r="L23" s="6" t="str">
        <f>CONCATENATE("14 14.1 3a")</f>
        <v>14 14.1 3a</v>
      </c>
      <c r="M23" s="6" t="str">
        <f>CONCATENATE("NTNMRA80P13L191Z")</f>
        <v>NTNMRA80P13L191Z</v>
      </c>
      <c r="N23" s="6" t="s">
        <v>72</v>
      </c>
      <c r="O23" s="6"/>
      <c r="P23" s="7">
        <v>43284</v>
      </c>
      <c r="Q23" s="6" t="s">
        <v>30</v>
      </c>
      <c r="R23" s="6" t="s">
        <v>31</v>
      </c>
      <c r="S23" s="6" t="s">
        <v>32</v>
      </c>
      <c r="T23" s="8">
        <v>5840</v>
      </c>
      <c r="U23" s="8">
        <v>2518.21</v>
      </c>
      <c r="V23" s="8">
        <v>2325.4899999999998</v>
      </c>
      <c r="W23" s="6">
        <v>0</v>
      </c>
      <c r="X23" s="6">
        <v>996.3</v>
      </c>
    </row>
    <row r="24" spans="1:24" ht="24.75" x14ac:dyDescent="0.25">
      <c r="A24" s="6" t="s">
        <v>25</v>
      </c>
      <c r="B24" s="6" t="s">
        <v>26</v>
      </c>
      <c r="C24" s="6" t="s">
        <v>37</v>
      </c>
      <c r="D24" s="6" t="s">
        <v>41</v>
      </c>
      <c r="E24" s="6" t="s">
        <v>27</v>
      </c>
      <c r="F24" s="6" t="s">
        <v>73</v>
      </c>
      <c r="G24" s="6">
        <v>2017</v>
      </c>
      <c r="H24" s="6" t="str">
        <f>CONCATENATE("74240944715")</f>
        <v>74240944715</v>
      </c>
      <c r="I24" s="6" t="s">
        <v>28</v>
      </c>
      <c r="J24" s="6" t="s">
        <v>29</v>
      </c>
      <c r="K24" s="6" t="str">
        <f>CONCATENATE("")</f>
        <v/>
      </c>
      <c r="L24" s="6" t="str">
        <f>CONCATENATE("14 14.1 3a")</f>
        <v>14 14.1 3a</v>
      </c>
      <c r="M24" s="6" t="str">
        <f>CONCATENATE("DVRLBT64R52G479Q")</f>
        <v>DVRLBT64R52G479Q</v>
      </c>
      <c r="N24" s="6" t="s">
        <v>74</v>
      </c>
      <c r="O24" s="6"/>
      <c r="P24" s="7">
        <v>43284</v>
      </c>
      <c r="Q24" s="6" t="s">
        <v>30</v>
      </c>
      <c r="R24" s="6" t="s">
        <v>31</v>
      </c>
      <c r="S24" s="6" t="s">
        <v>32</v>
      </c>
      <c r="T24" s="8">
        <v>33350</v>
      </c>
      <c r="U24" s="8">
        <v>14380.52</v>
      </c>
      <c r="V24" s="8">
        <v>13279.97</v>
      </c>
      <c r="W24" s="6">
        <v>0</v>
      </c>
      <c r="X24" s="8">
        <v>5689.51</v>
      </c>
    </row>
    <row r="25" spans="1:24" x14ac:dyDescent="0.25">
      <c r="A25" s="6" t="s">
        <v>25</v>
      </c>
      <c r="B25" s="6" t="s">
        <v>26</v>
      </c>
      <c r="C25" s="6" t="s">
        <v>37</v>
      </c>
      <c r="D25" s="6" t="s">
        <v>38</v>
      </c>
      <c r="E25" s="6" t="s">
        <v>35</v>
      </c>
      <c r="F25" s="6" t="s">
        <v>39</v>
      </c>
      <c r="G25" s="6">
        <v>2017</v>
      </c>
      <c r="H25" s="6" t="str">
        <f>CONCATENATE("74240270434")</f>
        <v>74240270434</v>
      </c>
      <c r="I25" s="6" t="s">
        <v>28</v>
      </c>
      <c r="J25" s="6" t="s">
        <v>29</v>
      </c>
      <c r="K25" s="6" t="str">
        <f>CONCATENATE("")</f>
        <v/>
      </c>
      <c r="L25" s="6" t="str">
        <f>CONCATENATE("14 14.1 3a")</f>
        <v>14 14.1 3a</v>
      </c>
      <c r="M25" s="6" t="str">
        <f>CONCATENATE("CRFPPN66A10M078Z")</f>
        <v>CRFPPN66A10M078Z</v>
      </c>
      <c r="N25" s="6" t="s">
        <v>75</v>
      </c>
      <c r="O25" s="6"/>
      <c r="P25" s="7">
        <v>43284</v>
      </c>
      <c r="Q25" s="6" t="s">
        <v>30</v>
      </c>
      <c r="R25" s="6" t="s">
        <v>31</v>
      </c>
      <c r="S25" s="6" t="s">
        <v>32</v>
      </c>
      <c r="T25" s="8">
        <v>18786</v>
      </c>
      <c r="U25" s="8">
        <v>8100.52</v>
      </c>
      <c r="V25" s="8">
        <v>7480.59</v>
      </c>
      <c r="W25" s="6">
        <v>0</v>
      </c>
      <c r="X25" s="8">
        <v>3204.89</v>
      </c>
    </row>
    <row r="26" spans="1:24" x14ac:dyDescent="0.25">
      <c r="A26" s="6" t="s">
        <v>25</v>
      </c>
      <c r="B26" s="6" t="s">
        <v>26</v>
      </c>
      <c r="C26" s="6" t="s">
        <v>37</v>
      </c>
      <c r="D26" s="6" t="s">
        <v>38</v>
      </c>
      <c r="E26" s="6" t="s">
        <v>34</v>
      </c>
      <c r="F26" s="6" t="s">
        <v>48</v>
      </c>
      <c r="G26" s="6">
        <v>2017</v>
      </c>
      <c r="H26" s="6" t="str">
        <f>CONCATENATE("74240805833")</f>
        <v>74240805833</v>
      </c>
      <c r="I26" s="6" t="s">
        <v>28</v>
      </c>
      <c r="J26" s="6" t="s">
        <v>29</v>
      </c>
      <c r="K26" s="6" t="str">
        <f>CONCATENATE("")</f>
        <v/>
      </c>
      <c r="L26" s="6" t="str">
        <f>CONCATENATE("14 14.1 3a")</f>
        <v>14 14.1 3a</v>
      </c>
      <c r="M26" s="6" t="str">
        <f>CONCATENATE("NGLMRK78A11B474J")</f>
        <v>NGLMRK78A11B474J</v>
      </c>
      <c r="N26" s="6" t="s">
        <v>76</v>
      </c>
      <c r="O26" s="6"/>
      <c r="P26" s="7">
        <v>43284</v>
      </c>
      <c r="Q26" s="6" t="s">
        <v>30</v>
      </c>
      <c r="R26" s="6" t="s">
        <v>31</v>
      </c>
      <c r="S26" s="6" t="s">
        <v>32</v>
      </c>
      <c r="T26" s="8">
        <v>3533.2</v>
      </c>
      <c r="U26" s="8">
        <v>1523.52</v>
      </c>
      <c r="V26" s="8">
        <v>1406.92</v>
      </c>
      <c r="W26" s="6">
        <v>0</v>
      </c>
      <c r="X26" s="6">
        <v>602.76</v>
      </c>
    </row>
    <row r="27" spans="1:24" x14ac:dyDescent="0.25">
      <c r="A27" s="6" t="s">
        <v>25</v>
      </c>
      <c r="B27" s="6" t="s">
        <v>26</v>
      </c>
      <c r="C27" s="6" t="s">
        <v>37</v>
      </c>
      <c r="D27" s="6" t="s">
        <v>38</v>
      </c>
      <c r="E27" s="6" t="s">
        <v>34</v>
      </c>
      <c r="F27" s="6" t="s">
        <v>48</v>
      </c>
      <c r="G27" s="6">
        <v>2017</v>
      </c>
      <c r="H27" s="6" t="str">
        <f>CONCATENATE("74240790704")</f>
        <v>74240790704</v>
      </c>
      <c r="I27" s="6" t="s">
        <v>28</v>
      </c>
      <c r="J27" s="6" t="s">
        <v>29</v>
      </c>
      <c r="K27" s="6" t="str">
        <f>CONCATENATE("")</f>
        <v/>
      </c>
      <c r="L27" s="6" t="str">
        <f>CONCATENATE("14 14.1 3a")</f>
        <v>14 14.1 3a</v>
      </c>
      <c r="M27" s="6" t="str">
        <f>CONCATENATE("PLMTNN63D27G637N")</f>
        <v>PLMTNN63D27G637N</v>
      </c>
      <c r="N27" s="6" t="s">
        <v>77</v>
      </c>
      <c r="O27" s="6"/>
      <c r="P27" s="7">
        <v>43284</v>
      </c>
      <c r="Q27" s="6" t="s">
        <v>30</v>
      </c>
      <c r="R27" s="6" t="s">
        <v>31</v>
      </c>
      <c r="S27" s="6" t="s">
        <v>32</v>
      </c>
      <c r="T27" s="8">
        <v>7098.55</v>
      </c>
      <c r="U27" s="8">
        <v>3060.89</v>
      </c>
      <c r="V27" s="8">
        <v>2826.64</v>
      </c>
      <c r="W27" s="6">
        <v>0</v>
      </c>
      <c r="X27" s="8">
        <v>1211.02</v>
      </c>
    </row>
    <row r="28" spans="1:24" x14ac:dyDescent="0.25">
      <c r="A28" s="6" t="s">
        <v>25</v>
      </c>
      <c r="B28" s="6" t="s">
        <v>26</v>
      </c>
      <c r="C28" s="6" t="s">
        <v>37</v>
      </c>
      <c r="D28" s="6" t="s">
        <v>38</v>
      </c>
      <c r="E28" s="6" t="s">
        <v>34</v>
      </c>
      <c r="F28" s="6" t="s">
        <v>48</v>
      </c>
      <c r="G28" s="6">
        <v>2017</v>
      </c>
      <c r="H28" s="6" t="str">
        <f>CONCATENATE("74240788955")</f>
        <v>74240788955</v>
      </c>
      <c r="I28" s="6" t="s">
        <v>28</v>
      </c>
      <c r="J28" s="6" t="s">
        <v>29</v>
      </c>
      <c r="K28" s="6" t="str">
        <f>CONCATENATE("")</f>
        <v/>
      </c>
      <c r="L28" s="6" t="str">
        <f>CONCATENATE("14 14.1 3a")</f>
        <v>14 14.1 3a</v>
      </c>
      <c r="M28" s="6" t="str">
        <f>CONCATENATE("FDLCRN51E71I661Y")</f>
        <v>FDLCRN51E71I661Y</v>
      </c>
      <c r="N28" s="6" t="s">
        <v>78</v>
      </c>
      <c r="O28" s="6"/>
      <c r="P28" s="7">
        <v>43284</v>
      </c>
      <c r="Q28" s="6" t="s">
        <v>30</v>
      </c>
      <c r="R28" s="6" t="s">
        <v>31</v>
      </c>
      <c r="S28" s="6" t="s">
        <v>32</v>
      </c>
      <c r="T28" s="8">
        <v>14946.4</v>
      </c>
      <c r="U28" s="8">
        <v>6444.89</v>
      </c>
      <c r="V28" s="8">
        <v>5951.66</v>
      </c>
      <c r="W28" s="6">
        <v>0</v>
      </c>
      <c r="X28" s="8">
        <v>2549.85</v>
      </c>
    </row>
    <row r="29" spans="1:24" x14ac:dyDescent="0.25">
      <c r="A29" s="6" t="s">
        <v>25</v>
      </c>
      <c r="B29" s="6" t="s">
        <v>26</v>
      </c>
      <c r="C29" s="6" t="s">
        <v>37</v>
      </c>
      <c r="D29" s="6" t="s">
        <v>38</v>
      </c>
      <c r="E29" s="6" t="s">
        <v>34</v>
      </c>
      <c r="F29" s="6" t="s">
        <v>48</v>
      </c>
      <c r="G29" s="6">
        <v>2017</v>
      </c>
      <c r="H29" s="6" t="str">
        <f>CONCATENATE("74240787643")</f>
        <v>74240787643</v>
      </c>
      <c r="I29" s="6" t="s">
        <v>28</v>
      </c>
      <c r="J29" s="6" t="s">
        <v>29</v>
      </c>
      <c r="K29" s="6" t="str">
        <f>CONCATENATE("")</f>
        <v/>
      </c>
      <c r="L29" s="6" t="str">
        <f>CONCATENATE("14 14.1 3a")</f>
        <v>14 14.1 3a</v>
      </c>
      <c r="M29" s="6" t="str">
        <f>CONCATENATE("CRSPQL70B12F051W")</f>
        <v>CRSPQL70B12F051W</v>
      </c>
      <c r="N29" s="6" t="s">
        <v>79</v>
      </c>
      <c r="O29" s="6"/>
      <c r="P29" s="7">
        <v>43284</v>
      </c>
      <c r="Q29" s="6" t="s">
        <v>30</v>
      </c>
      <c r="R29" s="6" t="s">
        <v>31</v>
      </c>
      <c r="S29" s="6" t="s">
        <v>32</v>
      </c>
      <c r="T29" s="8">
        <v>4578.68</v>
      </c>
      <c r="U29" s="8">
        <v>1974.33</v>
      </c>
      <c r="V29" s="8">
        <v>1823.23</v>
      </c>
      <c r="W29" s="6">
        <v>0</v>
      </c>
      <c r="X29" s="6">
        <v>781.12</v>
      </c>
    </row>
    <row r="30" spans="1:24" x14ac:dyDescent="0.25">
      <c r="A30" s="6" t="s">
        <v>25</v>
      </c>
      <c r="B30" s="6" t="s">
        <v>26</v>
      </c>
      <c r="C30" s="6" t="s">
        <v>37</v>
      </c>
      <c r="D30" s="6" t="s">
        <v>38</v>
      </c>
      <c r="E30" s="6" t="s">
        <v>34</v>
      </c>
      <c r="F30" s="6" t="s">
        <v>48</v>
      </c>
      <c r="G30" s="6">
        <v>2017</v>
      </c>
      <c r="H30" s="6" t="str">
        <f>CONCATENATE("74240788500")</f>
        <v>74240788500</v>
      </c>
      <c r="I30" s="6" t="s">
        <v>28</v>
      </c>
      <c r="J30" s="6" t="s">
        <v>29</v>
      </c>
      <c r="K30" s="6" t="str">
        <f>CONCATENATE("")</f>
        <v/>
      </c>
      <c r="L30" s="6" t="str">
        <f>CONCATENATE("14 14.1 3a")</f>
        <v>14 14.1 3a</v>
      </c>
      <c r="M30" s="6" t="str">
        <f>CONCATENATE("CRSSRA89H64B474Q")</f>
        <v>CRSSRA89H64B474Q</v>
      </c>
      <c r="N30" s="6" t="s">
        <v>80</v>
      </c>
      <c r="O30" s="6"/>
      <c r="P30" s="7">
        <v>43284</v>
      </c>
      <c r="Q30" s="6" t="s">
        <v>30</v>
      </c>
      <c r="R30" s="6" t="s">
        <v>31</v>
      </c>
      <c r="S30" s="6" t="s">
        <v>32</v>
      </c>
      <c r="T30" s="8">
        <v>15012.6</v>
      </c>
      <c r="U30" s="8">
        <v>6473.43</v>
      </c>
      <c r="V30" s="8">
        <v>5978.02</v>
      </c>
      <c r="W30" s="6">
        <v>0</v>
      </c>
      <c r="X30" s="8">
        <v>2561.15</v>
      </c>
    </row>
    <row r="31" spans="1:24" x14ac:dyDescent="0.25">
      <c r="A31" s="6" t="s">
        <v>25</v>
      </c>
      <c r="B31" s="6" t="s">
        <v>26</v>
      </c>
      <c r="C31" s="6" t="s">
        <v>37</v>
      </c>
      <c r="D31" s="6" t="s">
        <v>38</v>
      </c>
      <c r="E31" s="6" t="s">
        <v>34</v>
      </c>
      <c r="F31" s="6" t="s">
        <v>48</v>
      </c>
      <c r="G31" s="6">
        <v>2017</v>
      </c>
      <c r="H31" s="6" t="str">
        <f>CONCATENATE("74240787742")</f>
        <v>74240787742</v>
      </c>
      <c r="I31" s="6" t="s">
        <v>28</v>
      </c>
      <c r="J31" s="6" t="s">
        <v>29</v>
      </c>
      <c r="K31" s="6" t="str">
        <f>CONCATENATE("")</f>
        <v/>
      </c>
      <c r="L31" s="6" t="str">
        <f>CONCATENATE("14 14.1 3a")</f>
        <v>14 14.1 3a</v>
      </c>
      <c r="M31" s="6" t="str">
        <f>CONCATENATE("CRRLGU66B11D628H")</f>
        <v>CRRLGU66B11D628H</v>
      </c>
      <c r="N31" s="6" t="s">
        <v>81</v>
      </c>
      <c r="O31" s="6"/>
      <c r="P31" s="7">
        <v>43284</v>
      </c>
      <c r="Q31" s="6" t="s">
        <v>30</v>
      </c>
      <c r="R31" s="6" t="s">
        <v>31</v>
      </c>
      <c r="S31" s="6" t="s">
        <v>32</v>
      </c>
      <c r="T31" s="8">
        <v>18047.87</v>
      </c>
      <c r="U31" s="8">
        <v>7782.24</v>
      </c>
      <c r="V31" s="8">
        <v>7186.66</v>
      </c>
      <c r="W31" s="6">
        <v>0</v>
      </c>
      <c r="X31" s="8">
        <v>3078.97</v>
      </c>
    </row>
    <row r="32" spans="1:24" ht="24.75" x14ac:dyDescent="0.25">
      <c r="A32" s="6" t="s">
        <v>25</v>
      </c>
      <c r="B32" s="6" t="s">
        <v>26</v>
      </c>
      <c r="C32" s="6" t="s">
        <v>37</v>
      </c>
      <c r="D32" s="6" t="s">
        <v>38</v>
      </c>
      <c r="E32" s="6" t="s">
        <v>34</v>
      </c>
      <c r="F32" s="6" t="s">
        <v>48</v>
      </c>
      <c r="G32" s="6">
        <v>2017</v>
      </c>
      <c r="H32" s="6" t="str">
        <f>CONCATENATE("74240792353")</f>
        <v>74240792353</v>
      </c>
      <c r="I32" s="6" t="s">
        <v>28</v>
      </c>
      <c r="J32" s="6" t="s">
        <v>29</v>
      </c>
      <c r="K32" s="6" t="str">
        <f>CONCATENATE("")</f>
        <v/>
      </c>
      <c r="L32" s="6" t="str">
        <f>CONCATENATE("14 14.1 3a")</f>
        <v>14 14.1 3a</v>
      </c>
      <c r="M32" s="6" t="str">
        <f>CONCATENATE("01015260431")</f>
        <v>01015260431</v>
      </c>
      <c r="N32" s="6" t="s">
        <v>82</v>
      </c>
      <c r="O32" s="6"/>
      <c r="P32" s="7">
        <v>43284</v>
      </c>
      <c r="Q32" s="6" t="s">
        <v>30</v>
      </c>
      <c r="R32" s="6" t="s">
        <v>31</v>
      </c>
      <c r="S32" s="6" t="s">
        <v>32</v>
      </c>
      <c r="T32" s="8">
        <v>32158.400000000001</v>
      </c>
      <c r="U32" s="8">
        <v>13866.7</v>
      </c>
      <c r="V32" s="8">
        <v>12805.47</v>
      </c>
      <c r="W32" s="6">
        <v>0</v>
      </c>
      <c r="X32" s="8">
        <v>5486.23</v>
      </c>
    </row>
    <row r="33" spans="1:24" x14ac:dyDescent="0.25">
      <c r="A33" s="6" t="s">
        <v>25</v>
      </c>
      <c r="B33" s="6" t="s">
        <v>26</v>
      </c>
      <c r="C33" s="6" t="s">
        <v>37</v>
      </c>
      <c r="D33" s="6" t="s">
        <v>38</v>
      </c>
      <c r="E33" s="6" t="s">
        <v>34</v>
      </c>
      <c r="F33" s="6" t="s">
        <v>48</v>
      </c>
      <c r="G33" s="6">
        <v>2017</v>
      </c>
      <c r="H33" s="6" t="str">
        <f>CONCATENATE("74240789383")</f>
        <v>74240789383</v>
      </c>
      <c r="I33" s="6" t="s">
        <v>28</v>
      </c>
      <c r="J33" s="6" t="s">
        <v>29</v>
      </c>
      <c r="K33" s="6" t="str">
        <f>CONCATENATE("")</f>
        <v/>
      </c>
      <c r="L33" s="6" t="str">
        <f>CONCATENATE("14 14.1 3a")</f>
        <v>14 14.1 3a</v>
      </c>
      <c r="M33" s="6" t="str">
        <f>CONCATENATE("FDLZEI48B19I661A")</f>
        <v>FDLZEI48B19I661A</v>
      </c>
      <c r="N33" s="6" t="s">
        <v>83</v>
      </c>
      <c r="O33" s="6"/>
      <c r="P33" s="7">
        <v>43284</v>
      </c>
      <c r="Q33" s="6" t="s">
        <v>30</v>
      </c>
      <c r="R33" s="6" t="s">
        <v>31</v>
      </c>
      <c r="S33" s="6" t="s">
        <v>32</v>
      </c>
      <c r="T33" s="8">
        <v>5612.2</v>
      </c>
      <c r="U33" s="8">
        <v>2419.98</v>
      </c>
      <c r="V33" s="8">
        <v>2234.7800000000002</v>
      </c>
      <c r="W33" s="6">
        <v>0</v>
      </c>
      <c r="X33" s="6">
        <v>957.44</v>
      </c>
    </row>
    <row r="34" spans="1:24" x14ac:dyDescent="0.25">
      <c r="A34" s="6" t="s">
        <v>25</v>
      </c>
      <c r="B34" s="6" t="s">
        <v>26</v>
      </c>
      <c r="C34" s="6" t="s">
        <v>37</v>
      </c>
      <c r="D34" s="6" t="s">
        <v>38</v>
      </c>
      <c r="E34" s="6" t="s">
        <v>34</v>
      </c>
      <c r="F34" s="6" t="s">
        <v>48</v>
      </c>
      <c r="G34" s="6">
        <v>2017</v>
      </c>
      <c r="H34" s="6" t="str">
        <f>CONCATENATE("74240789961")</f>
        <v>74240789961</v>
      </c>
      <c r="I34" s="6" t="s">
        <v>28</v>
      </c>
      <c r="J34" s="6" t="s">
        <v>29</v>
      </c>
      <c r="K34" s="6" t="str">
        <f>CONCATENATE("")</f>
        <v/>
      </c>
      <c r="L34" s="6" t="str">
        <f>CONCATENATE("14 14.1 3a")</f>
        <v>14 14.1 3a</v>
      </c>
      <c r="M34" s="6" t="str">
        <f>CONCATENATE("FCCLVC66M27F460S")</f>
        <v>FCCLVC66M27F460S</v>
      </c>
      <c r="N34" s="6" t="s">
        <v>84</v>
      </c>
      <c r="O34" s="6"/>
      <c r="P34" s="7">
        <v>43284</v>
      </c>
      <c r="Q34" s="6" t="s">
        <v>30</v>
      </c>
      <c r="R34" s="6" t="s">
        <v>31</v>
      </c>
      <c r="S34" s="6" t="s">
        <v>32</v>
      </c>
      <c r="T34" s="8">
        <v>11151.25</v>
      </c>
      <c r="U34" s="8">
        <v>4808.42</v>
      </c>
      <c r="V34" s="8">
        <v>4440.43</v>
      </c>
      <c r="W34" s="6">
        <v>0</v>
      </c>
      <c r="X34" s="8">
        <v>1902.4</v>
      </c>
    </row>
    <row r="35" spans="1:24" x14ac:dyDescent="0.25">
      <c r="A35" s="6" t="s">
        <v>25</v>
      </c>
      <c r="B35" s="6" t="s">
        <v>26</v>
      </c>
      <c r="C35" s="6" t="s">
        <v>37</v>
      </c>
      <c r="D35" s="6" t="s">
        <v>38</v>
      </c>
      <c r="E35" s="6" t="s">
        <v>34</v>
      </c>
      <c r="F35" s="6" t="s">
        <v>52</v>
      </c>
      <c r="G35" s="6">
        <v>2017</v>
      </c>
      <c r="H35" s="6" t="str">
        <f>CONCATENATE("74240916994")</f>
        <v>74240916994</v>
      </c>
      <c r="I35" s="6" t="s">
        <v>28</v>
      </c>
      <c r="J35" s="6" t="s">
        <v>29</v>
      </c>
      <c r="K35" s="6" t="str">
        <f>CONCATENATE("")</f>
        <v/>
      </c>
      <c r="L35" s="6" t="str">
        <f>CONCATENATE("14 14.1 3a")</f>
        <v>14 14.1 3a</v>
      </c>
      <c r="M35" s="6" t="str">
        <f>CONCATENATE("FRTFBA66T16I436F")</f>
        <v>FRTFBA66T16I436F</v>
      </c>
      <c r="N35" s="6" t="s">
        <v>85</v>
      </c>
      <c r="O35" s="6"/>
      <c r="P35" s="7">
        <v>43284</v>
      </c>
      <c r="Q35" s="6" t="s">
        <v>30</v>
      </c>
      <c r="R35" s="6" t="s">
        <v>31</v>
      </c>
      <c r="S35" s="6" t="s">
        <v>32</v>
      </c>
      <c r="T35" s="8">
        <v>4486.8</v>
      </c>
      <c r="U35" s="8">
        <v>1934.71</v>
      </c>
      <c r="V35" s="8">
        <v>1786.64</v>
      </c>
      <c r="W35" s="6">
        <v>0</v>
      </c>
      <c r="X35" s="6">
        <v>765.45</v>
      </c>
    </row>
    <row r="36" spans="1:24" ht="24.75" x14ac:dyDescent="0.25">
      <c r="A36" s="6" t="s">
        <v>25</v>
      </c>
      <c r="B36" s="6" t="s">
        <v>26</v>
      </c>
      <c r="C36" s="6" t="s">
        <v>37</v>
      </c>
      <c r="D36" s="6" t="s">
        <v>41</v>
      </c>
      <c r="E36" s="6" t="s">
        <v>44</v>
      </c>
      <c r="F36" s="6" t="s">
        <v>44</v>
      </c>
      <c r="G36" s="6">
        <v>2017</v>
      </c>
      <c r="H36" s="6" t="str">
        <f>CONCATENATE("74240922513")</f>
        <v>74240922513</v>
      </c>
      <c r="I36" s="6" t="s">
        <v>28</v>
      </c>
      <c r="J36" s="6" t="s">
        <v>29</v>
      </c>
      <c r="K36" s="6" t="str">
        <f>CONCATENATE("")</f>
        <v/>
      </c>
      <c r="L36" s="6" t="str">
        <f>CONCATENATE("14 14.1 3a")</f>
        <v>14 14.1 3a</v>
      </c>
      <c r="M36" s="6" t="str">
        <f>CONCATENATE("MRTDNL86S18I459B")</f>
        <v>MRTDNL86S18I459B</v>
      </c>
      <c r="N36" s="6" t="s">
        <v>86</v>
      </c>
      <c r="O36" s="6"/>
      <c r="P36" s="7">
        <v>43284</v>
      </c>
      <c r="Q36" s="6" t="s">
        <v>30</v>
      </c>
      <c r="R36" s="6" t="s">
        <v>31</v>
      </c>
      <c r="S36" s="6" t="s">
        <v>32</v>
      </c>
      <c r="T36" s="8">
        <v>27420</v>
      </c>
      <c r="U36" s="8">
        <v>11823.5</v>
      </c>
      <c r="V36" s="8">
        <v>10918.64</v>
      </c>
      <c r="W36" s="6">
        <v>0</v>
      </c>
      <c r="X36" s="8">
        <v>4677.8599999999997</v>
      </c>
    </row>
    <row r="37" spans="1:24" ht="24.75" x14ac:dyDescent="0.25">
      <c r="A37" s="6" t="s">
        <v>25</v>
      </c>
      <c r="B37" s="6" t="s">
        <v>26</v>
      </c>
      <c r="C37" s="6" t="s">
        <v>37</v>
      </c>
      <c r="D37" s="6" t="s">
        <v>41</v>
      </c>
      <c r="E37" s="6" t="s">
        <v>34</v>
      </c>
      <c r="F37" s="6" t="s">
        <v>87</v>
      </c>
      <c r="G37" s="6">
        <v>2017</v>
      </c>
      <c r="H37" s="6" t="str">
        <f>CONCATENATE("74240137484")</f>
        <v>74240137484</v>
      </c>
      <c r="I37" s="6" t="s">
        <v>28</v>
      </c>
      <c r="J37" s="6" t="s">
        <v>29</v>
      </c>
      <c r="K37" s="6" t="str">
        <f>CONCATENATE("")</f>
        <v/>
      </c>
      <c r="L37" s="6" t="str">
        <f>CONCATENATE("14 14.1 3a")</f>
        <v>14 14.1 3a</v>
      </c>
      <c r="M37" s="6" t="str">
        <f>CONCATENATE("FRRCHR86M54B352T")</f>
        <v>FRRCHR86M54B352T</v>
      </c>
      <c r="N37" s="6" t="s">
        <v>88</v>
      </c>
      <c r="O37" s="6"/>
      <c r="P37" s="7">
        <v>43284</v>
      </c>
      <c r="Q37" s="6" t="s">
        <v>30</v>
      </c>
      <c r="R37" s="6" t="s">
        <v>31</v>
      </c>
      <c r="S37" s="6" t="s">
        <v>32</v>
      </c>
      <c r="T37" s="8">
        <v>5149.1499999999996</v>
      </c>
      <c r="U37" s="8">
        <v>2220.31</v>
      </c>
      <c r="V37" s="8">
        <v>2050.39</v>
      </c>
      <c r="W37" s="6">
        <v>0</v>
      </c>
      <c r="X37" s="6">
        <v>878.45</v>
      </c>
    </row>
    <row r="38" spans="1:24" ht="24.75" x14ac:dyDescent="0.25">
      <c r="A38" s="6" t="s">
        <v>25</v>
      </c>
      <c r="B38" s="6" t="s">
        <v>26</v>
      </c>
      <c r="C38" s="6" t="s">
        <v>37</v>
      </c>
      <c r="D38" s="6" t="s">
        <v>41</v>
      </c>
      <c r="E38" s="6" t="s">
        <v>34</v>
      </c>
      <c r="F38" s="6" t="s">
        <v>63</v>
      </c>
      <c r="G38" s="6">
        <v>2017</v>
      </c>
      <c r="H38" s="6" t="str">
        <f>CONCATENATE("74240186200")</f>
        <v>74240186200</v>
      </c>
      <c r="I38" s="6" t="s">
        <v>28</v>
      </c>
      <c r="J38" s="6" t="s">
        <v>29</v>
      </c>
      <c r="K38" s="6" t="str">
        <f>CONCATENATE("")</f>
        <v/>
      </c>
      <c r="L38" s="6" t="str">
        <f>CONCATENATE("14 14.1 3a")</f>
        <v>14 14.1 3a</v>
      </c>
      <c r="M38" s="6" t="str">
        <f>CONCATENATE("MRNMRT60B64A740Q")</f>
        <v>MRNMRT60B64A740Q</v>
      </c>
      <c r="N38" s="6" t="s">
        <v>89</v>
      </c>
      <c r="O38" s="6"/>
      <c r="P38" s="7">
        <v>43284</v>
      </c>
      <c r="Q38" s="6" t="s">
        <v>30</v>
      </c>
      <c r="R38" s="6" t="s">
        <v>31</v>
      </c>
      <c r="S38" s="6" t="s">
        <v>32</v>
      </c>
      <c r="T38" s="8">
        <v>10511</v>
      </c>
      <c r="U38" s="8">
        <v>4532.34</v>
      </c>
      <c r="V38" s="8">
        <v>4185.4799999999996</v>
      </c>
      <c r="W38" s="6">
        <v>0</v>
      </c>
      <c r="X38" s="8">
        <v>1793.18</v>
      </c>
    </row>
    <row r="39" spans="1:24" ht="24.75" x14ac:dyDescent="0.25">
      <c r="A39" s="6" t="s">
        <v>25</v>
      </c>
      <c r="B39" s="6" t="s">
        <v>26</v>
      </c>
      <c r="C39" s="6" t="s">
        <v>37</v>
      </c>
      <c r="D39" s="6" t="s">
        <v>41</v>
      </c>
      <c r="E39" s="6" t="s">
        <v>34</v>
      </c>
      <c r="F39" s="6" t="s">
        <v>63</v>
      </c>
      <c r="G39" s="6">
        <v>2017</v>
      </c>
      <c r="H39" s="6" t="str">
        <f>CONCATENATE("74240186374")</f>
        <v>74240186374</v>
      </c>
      <c r="I39" s="6" t="s">
        <v>28</v>
      </c>
      <c r="J39" s="6" t="s">
        <v>29</v>
      </c>
      <c r="K39" s="6" t="str">
        <f>CONCATENATE("")</f>
        <v/>
      </c>
      <c r="L39" s="6" t="str">
        <f>CONCATENATE("14 14.1 3a")</f>
        <v>14 14.1 3a</v>
      </c>
      <c r="M39" s="6" t="str">
        <f>CONCATENATE("GVGSFN62D18E785Z")</f>
        <v>GVGSFN62D18E785Z</v>
      </c>
      <c r="N39" s="6" t="s">
        <v>90</v>
      </c>
      <c r="O39" s="6"/>
      <c r="P39" s="7">
        <v>43284</v>
      </c>
      <c r="Q39" s="6" t="s">
        <v>30</v>
      </c>
      <c r="R39" s="6" t="s">
        <v>31</v>
      </c>
      <c r="S39" s="6" t="s">
        <v>32</v>
      </c>
      <c r="T39" s="8">
        <v>8856</v>
      </c>
      <c r="U39" s="8">
        <v>3818.71</v>
      </c>
      <c r="V39" s="8">
        <v>3526.46</v>
      </c>
      <c r="W39" s="6">
        <v>0</v>
      </c>
      <c r="X39" s="8">
        <v>1510.83</v>
      </c>
    </row>
    <row r="40" spans="1:24" ht="24.75" x14ac:dyDescent="0.25">
      <c r="A40" s="6" t="s">
        <v>25</v>
      </c>
      <c r="B40" s="6" t="s">
        <v>26</v>
      </c>
      <c r="C40" s="6" t="s">
        <v>37</v>
      </c>
      <c r="D40" s="6" t="s">
        <v>41</v>
      </c>
      <c r="E40" s="6" t="s">
        <v>34</v>
      </c>
      <c r="F40" s="6" t="s">
        <v>91</v>
      </c>
      <c r="G40" s="6">
        <v>2017</v>
      </c>
      <c r="H40" s="6" t="str">
        <f>CONCATENATE("74240606959")</f>
        <v>74240606959</v>
      </c>
      <c r="I40" s="6" t="s">
        <v>28</v>
      </c>
      <c r="J40" s="6" t="s">
        <v>29</v>
      </c>
      <c r="K40" s="6" t="str">
        <f>CONCATENATE("")</f>
        <v/>
      </c>
      <c r="L40" s="6" t="str">
        <f>CONCATENATE("14 14.1 3a")</f>
        <v>14 14.1 3a</v>
      </c>
      <c r="M40" s="6" t="str">
        <f>CONCATENATE("00398210419")</f>
        <v>00398210419</v>
      </c>
      <c r="N40" s="6" t="s">
        <v>92</v>
      </c>
      <c r="O40" s="6"/>
      <c r="P40" s="7">
        <v>43284</v>
      </c>
      <c r="Q40" s="6" t="s">
        <v>30</v>
      </c>
      <c r="R40" s="6" t="s">
        <v>31</v>
      </c>
      <c r="S40" s="6" t="s">
        <v>32</v>
      </c>
      <c r="T40" s="8">
        <v>33350</v>
      </c>
      <c r="U40" s="8">
        <v>14380.52</v>
      </c>
      <c r="V40" s="8">
        <v>13279.97</v>
      </c>
      <c r="W40" s="6">
        <v>0</v>
      </c>
      <c r="X40" s="8">
        <v>5689.51</v>
      </c>
    </row>
    <row r="41" spans="1:24" ht="24.75" x14ac:dyDescent="0.25">
      <c r="A41" s="6" t="s">
        <v>25</v>
      </c>
      <c r="B41" s="6" t="s">
        <v>26</v>
      </c>
      <c r="C41" s="6" t="s">
        <v>37</v>
      </c>
      <c r="D41" s="6" t="s">
        <v>38</v>
      </c>
      <c r="E41" s="6" t="s">
        <v>44</v>
      </c>
      <c r="F41" s="6" t="s">
        <v>44</v>
      </c>
      <c r="G41" s="6">
        <v>2017</v>
      </c>
      <c r="H41" s="6" t="str">
        <f>CONCATENATE("74240596432")</f>
        <v>74240596432</v>
      </c>
      <c r="I41" s="6" t="s">
        <v>28</v>
      </c>
      <c r="J41" s="6" t="s">
        <v>29</v>
      </c>
      <c r="K41" s="6" t="str">
        <f>CONCATENATE("")</f>
        <v/>
      </c>
      <c r="L41" s="6" t="str">
        <f>CONCATENATE("14 14.1 3a")</f>
        <v>14 14.1 3a</v>
      </c>
      <c r="M41" s="6" t="str">
        <f>CONCATENATE("01297880435")</f>
        <v>01297880435</v>
      </c>
      <c r="N41" s="6" t="s">
        <v>93</v>
      </c>
      <c r="O41" s="6"/>
      <c r="P41" s="7">
        <v>43284</v>
      </c>
      <c r="Q41" s="6" t="s">
        <v>30</v>
      </c>
      <c r="R41" s="6" t="s">
        <v>31</v>
      </c>
      <c r="S41" s="6" t="s">
        <v>32</v>
      </c>
      <c r="T41" s="8">
        <v>23751</v>
      </c>
      <c r="U41" s="8">
        <v>10241.43</v>
      </c>
      <c r="V41" s="8">
        <v>9457.65</v>
      </c>
      <c r="W41" s="6">
        <v>0</v>
      </c>
      <c r="X41" s="8">
        <v>4051.92</v>
      </c>
    </row>
    <row r="42" spans="1:24" ht="24.75" x14ac:dyDescent="0.25">
      <c r="A42" s="6" t="s">
        <v>25</v>
      </c>
      <c r="B42" s="6" t="s">
        <v>26</v>
      </c>
      <c r="C42" s="6" t="s">
        <v>37</v>
      </c>
      <c r="D42" s="6" t="s">
        <v>38</v>
      </c>
      <c r="E42" s="6" t="s">
        <v>35</v>
      </c>
      <c r="F42" s="6" t="s">
        <v>39</v>
      </c>
      <c r="G42" s="6">
        <v>2017</v>
      </c>
      <c r="H42" s="6" t="str">
        <f>CONCATENATE("74240398920")</f>
        <v>74240398920</v>
      </c>
      <c r="I42" s="6" t="s">
        <v>28</v>
      </c>
      <c r="J42" s="6" t="s">
        <v>29</v>
      </c>
      <c r="K42" s="6" t="str">
        <f>CONCATENATE("")</f>
        <v/>
      </c>
      <c r="L42" s="6" t="str">
        <f>CONCATENATE("14 14.1 3a")</f>
        <v>14 14.1 3a</v>
      </c>
      <c r="M42" s="6" t="str">
        <f>CONCATENATE("01916370438")</f>
        <v>01916370438</v>
      </c>
      <c r="N42" s="6" t="s">
        <v>94</v>
      </c>
      <c r="O42" s="6"/>
      <c r="P42" s="7">
        <v>43284</v>
      </c>
      <c r="Q42" s="6" t="s">
        <v>30</v>
      </c>
      <c r="R42" s="6" t="s">
        <v>31</v>
      </c>
      <c r="S42" s="6" t="s">
        <v>32</v>
      </c>
      <c r="T42" s="8">
        <v>16730</v>
      </c>
      <c r="U42" s="8">
        <v>7213.98</v>
      </c>
      <c r="V42" s="8">
        <v>6661.89</v>
      </c>
      <c r="W42" s="6">
        <v>0</v>
      </c>
      <c r="X42" s="8">
        <v>2854.13</v>
      </c>
    </row>
    <row r="43" spans="1:24" ht="24.75" x14ac:dyDescent="0.25">
      <c r="A43" s="6" t="s">
        <v>25</v>
      </c>
      <c r="B43" s="6" t="s">
        <v>26</v>
      </c>
      <c r="C43" s="6" t="s">
        <v>37</v>
      </c>
      <c r="D43" s="6" t="s">
        <v>41</v>
      </c>
      <c r="E43" s="6" t="s">
        <v>34</v>
      </c>
      <c r="F43" s="6" t="s">
        <v>87</v>
      </c>
      <c r="G43" s="6">
        <v>2017</v>
      </c>
      <c r="H43" s="6" t="str">
        <f>CONCATENATE("74240810262")</f>
        <v>74240810262</v>
      </c>
      <c r="I43" s="6" t="s">
        <v>28</v>
      </c>
      <c r="J43" s="6" t="s">
        <v>29</v>
      </c>
      <c r="K43" s="6" t="str">
        <f>CONCATENATE("")</f>
        <v/>
      </c>
      <c r="L43" s="6" t="str">
        <f>CONCATENATE("14 14.1 3a")</f>
        <v>14 14.1 3a</v>
      </c>
      <c r="M43" s="6" t="str">
        <f>CONCATENATE("CNCGST75M02B352T")</f>
        <v>CNCGST75M02B352T</v>
      </c>
      <c r="N43" s="6" t="s">
        <v>95</v>
      </c>
      <c r="O43" s="6"/>
      <c r="P43" s="7">
        <v>43284</v>
      </c>
      <c r="Q43" s="6" t="s">
        <v>30</v>
      </c>
      <c r="R43" s="6" t="s">
        <v>31</v>
      </c>
      <c r="S43" s="6" t="s">
        <v>32</v>
      </c>
      <c r="T43" s="8">
        <v>25670.799999999999</v>
      </c>
      <c r="U43" s="8">
        <v>11069.25</v>
      </c>
      <c r="V43" s="8">
        <v>10222.11</v>
      </c>
      <c r="W43" s="6">
        <v>0</v>
      </c>
      <c r="X43" s="8">
        <v>4379.4399999999996</v>
      </c>
    </row>
    <row r="44" spans="1:24" ht="24.75" x14ac:dyDescent="0.25">
      <c r="A44" s="6" t="s">
        <v>25</v>
      </c>
      <c r="B44" s="6" t="s">
        <v>26</v>
      </c>
      <c r="C44" s="6" t="s">
        <v>37</v>
      </c>
      <c r="D44" s="6" t="s">
        <v>41</v>
      </c>
      <c r="E44" s="6" t="s">
        <v>34</v>
      </c>
      <c r="F44" s="6" t="s">
        <v>57</v>
      </c>
      <c r="G44" s="6">
        <v>2017</v>
      </c>
      <c r="H44" s="6" t="str">
        <f>CONCATENATE("74240856042")</f>
        <v>74240856042</v>
      </c>
      <c r="I44" s="6" t="s">
        <v>28</v>
      </c>
      <c r="J44" s="6" t="s">
        <v>29</v>
      </c>
      <c r="K44" s="6" t="str">
        <f>CONCATENATE("")</f>
        <v/>
      </c>
      <c r="L44" s="6" t="str">
        <f>CONCATENATE("14 14.1 3a")</f>
        <v>14 14.1 3a</v>
      </c>
      <c r="M44" s="6" t="str">
        <f>CONCATENATE("BNDCLD68E05I287I")</f>
        <v>BNDCLD68E05I287I</v>
      </c>
      <c r="N44" s="6" t="s">
        <v>96</v>
      </c>
      <c r="O44" s="6"/>
      <c r="P44" s="7">
        <v>43284</v>
      </c>
      <c r="Q44" s="6" t="s">
        <v>30</v>
      </c>
      <c r="R44" s="6" t="s">
        <v>31</v>
      </c>
      <c r="S44" s="6" t="s">
        <v>32</v>
      </c>
      <c r="T44" s="8">
        <v>14416.8</v>
      </c>
      <c r="U44" s="8">
        <v>6216.52</v>
      </c>
      <c r="V44" s="8">
        <v>5740.77</v>
      </c>
      <c r="W44" s="6">
        <v>0</v>
      </c>
      <c r="X44" s="8">
        <v>2459.5100000000002</v>
      </c>
    </row>
    <row r="45" spans="1:24" ht="24.75" x14ac:dyDescent="0.25">
      <c r="A45" s="6" t="s">
        <v>25</v>
      </c>
      <c r="B45" s="6" t="s">
        <v>26</v>
      </c>
      <c r="C45" s="6" t="s">
        <v>37</v>
      </c>
      <c r="D45" s="6" t="s">
        <v>41</v>
      </c>
      <c r="E45" s="6" t="s">
        <v>34</v>
      </c>
      <c r="F45" s="6" t="s">
        <v>87</v>
      </c>
      <c r="G45" s="6">
        <v>2017</v>
      </c>
      <c r="H45" s="6" t="str">
        <f>CONCATENATE("74240802780")</f>
        <v>74240802780</v>
      </c>
      <c r="I45" s="6" t="s">
        <v>28</v>
      </c>
      <c r="J45" s="6" t="s">
        <v>29</v>
      </c>
      <c r="K45" s="6" t="str">
        <f>CONCATENATE("")</f>
        <v/>
      </c>
      <c r="L45" s="6" t="str">
        <f>CONCATENATE("14 14.1 3a")</f>
        <v>14 14.1 3a</v>
      </c>
      <c r="M45" s="6" t="str">
        <f>CONCATENATE("02440980411")</f>
        <v>02440980411</v>
      </c>
      <c r="N45" s="6" t="s">
        <v>97</v>
      </c>
      <c r="O45" s="6"/>
      <c r="P45" s="7">
        <v>43284</v>
      </c>
      <c r="Q45" s="6" t="s">
        <v>30</v>
      </c>
      <c r="R45" s="6" t="s">
        <v>31</v>
      </c>
      <c r="S45" s="6" t="s">
        <v>32</v>
      </c>
      <c r="T45" s="8">
        <v>4895.68</v>
      </c>
      <c r="U45" s="8">
        <v>2111.02</v>
      </c>
      <c r="V45" s="8">
        <v>1949.46</v>
      </c>
      <c r="W45" s="6">
        <v>0</v>
      </c>
      <c r="X45" s="6">
        <v>835.2</v>
      </c>
    </row>
    <row r="46" spans="1:24" ht="24.75" x14ac:dyDescent="0.25">
      <c r="A46" s="6" t="s">
        <v>25</v>
      </c>
      <c r="B46" s="6" t="s">
        <v>26</v>
      </c>
      <c r="C46" s="6" t="s">
        <v>37</v>
      </c>
      <c r="D46" s="6" t="s">
        <v>41</v>
      </c>
      <c r="E46" s="6" t="s">
        <v>33</v>
      </c>
      <c r="F46" s="6" t="s">
        <v>98</v>
      </c>
      <c r="G46" s="6">
        <v>2017</v>
      </c>
      <c r="H46" s="6" t="str">
        <f>CONCATENATE("74240544622")</f>
        <v>74240544622</v>
      </c>
      <c r="I46" s="6" t="s">
        <v>28</v>
      </c>
      <c r="J46" s="6" t="s">
        <v>29</v>
      </c>
      <c r="K46" s="6" t="str">
        <f>CONCATENATE("")</f>
        <v/>
      </c>
      <c r="L46" s="6" t="str">
        <f>CONCATENATE("14 14.1 3a")</f>
        <v>14 14.1 3a</v>
      </c>
      <c r="M46" s="6" t="str">
        <f>CONCATENATE("RCNGLI56C09B636X")</f>
        <v>RCNGLI56C09B636X</v>
      </c>
      <c r="N46" s="6" t="s">
        <v>99</v>
      </c>
      <c r="O46" s="6"/>
      <c r="P46" s="7">
        <v>43284</v>
      </c>
      <c r="Q46" s="6" t="s">
        <v>30</v>
      </c>
      <c r="R46" s="6" t="s">
        <v>31</v>
      </c>
      <c r="S46" s="6" t="s">
        <v>32</v>
      </c>
      <c r="T46" s="8">
        <v>11835</v>
      </c>
      <c r="U46" s="8">
        <v>5103.25</v>
      </c>
      <c r="V46" s="8">
        <v>4712.7</v>
      </c>
      <c r="W46" s="6">
        <v>0</v>
      </c>
      <c r="X46" s="8">
        <v>2019.05</v>
      </c>
    </row>
    <row r="47" spans="1:24" ht="24.75" x14ac:dyDescent="0.25">
      <c r="A47" s="6" t="s">
        <v>25</v>
      </c>
      <c r="B47" s="6" t="s">
        <v>26</v>
      </c>
      <c r="C47" s="6" t="s">
        <v>37</v>
      </c>
      <c r="D47" s="6" t="s">
        <v>41</v>
      </c>
      <c r="E47" s="6" t="s">
        <v>34</v>
      </c>
      <c r="F47" s="6" t="s">
        <v>63</v>
      </c>
      <c r="G47" s="6">
        <v>2017</v>
      </c>
      <c r="H47" s="6" t="str">
        <f>CONCATENATE("74240816723")</f>
        <v>74240816723</v>
      </c>
      <c r="I47" s="6" t="s">
        <v>28</v>
      </c>
      <c r="J47" s="6" t="s">
        <v>29</v>
      </c>
      <c r="K47" s="6" t="str">
        <f>CONCATENATE("")</f>
        <v/>
      </c>
      <c r="L47" s="6" t="str">
        <f>CONCATENATE("14 14.1 3a")</f>
        <v>14 14.1 3a</v>
      </c>
      <c r="M47" s="6" t="str">
        <f>CONCATENATE("DTLMRZ53H11F467Q")</f>
        <v>DTLMRZ53H11F467Q</v>
      </c>
      <c r="N47" s="6" t="s">
        <v>100</v>
      </c>
      <c r="O47" s="6"/>
      <c r="P47" s="7">
        <v>43284</v>
      </c>
      <c r="Q47" s="6" t="s">
        <v>30</v>
      </c>
      <c r="R47" s="6" t="s">
        <v>31</v>
      </c>
      <c r="S47" s="6" t="s">
        <v>32</v>
      </c>
      <c r="T47" s="8">
        <v>29047</v>
      </c>
      <c r="U47" s="8">
        <v>12525.07</v>
      </c>
      <c r="V47" s="8">
        <v>11566.52</v>
      </c>
      <c r="W47" s="6">
        <v>0</v>
      </c>
      <c r="X47" s="8">
        <v>4955.41</v>
      </c>
    </row>
    <row r="48" spans="1:24" ht="24.75" x14ac:dyDescent="0.25">
      <c r="A48" s="6" t="s">
        <v>25</v>
      </c>
      <c r="B48" s="6" t="s">
        <v>26</v>
      </c>
      <c r="C48" s="6" t="s">
        <v>37</v>
      </c>
      <c r="D48" s="6" t="s">
        <v>60</v>
      </c>
      <c r="E48" s="6" t="s">
        <v>34</v>
      </c>
      <c r="F48" s="6" t="s">
        <v>61</v>
      </c>
      <c r="G48" s="6">
        <v>2017</v>
      </c>
      <c r="H48" s="6" t="str">
        <f>CONCATENATE("74240966650")</f>
        <v>74240966650</v>
      </c>
      <c r="I48" s="6" t="s">
        <v>28</v>
      </c>
      <c r="J48" s="6" t="s">
        <v>29</v>
      </c>
      <c r="K48" s="6" t="str">
        <f>CONCATENATE("")</f>
        <v/>
      </c>
      <c r="L48" s="6" t="str">
        <f>CONCATENATE("14 14.1 3a")</f>
        <v>14 14.1 3a</v>
      </c>
      <c r="M48" s="6" t="str">
        <f>CONCATENATE("RPNMRK79T31B474M")</f>
        <v>RPNMRK79T31B474M</v>
      </c>
      <c r="N48" s="6" t="s">
        <v>101</v>
      </c>
      <c r="O48" s="6"/>
      <c r="P48" s="7">
        <v>43284</v>
      </c>
      <c r="Q48" s="6" t="s">
        <v>30</v>
      </c>
      <c r="R48" s="6" t="s">
        <v>31</v>
      </c>
      <c r="S48" s="6" t="s">
        <v>32</v>
      </c>
      <c r="T48" s="8">
        <v>10227.85</v>
      </c>
      <c r="U48" s="8">
        <v>4410.25</v>
      </c>
      <c r="V48" s="8">
        <v>4072.73</v>
      </c>
      <c r="W48" s="6">
        <v>0</v>
      </c>
      <c r="X48" s="8">
        <v>1744.87</v>
      </c>
    </row>
    <row r="49" spans="1:24" ht="24.75" x14ac:dyDescent="0.25">
      <c r="A49" s="6" t="s">
        <v>25</v>
      </c>
      <c r="B49" s="6" t="s">
        <v>26</v>
      </c>
      <c r="C49" s="6" t="s">
        <v>37</v>
      </c>
      <c r="D49" s="6" t="s">
        <v>41</v>
      </c>
      <c r="E49" s="6" t="s">
        <v>34</v>
      </c>
      <c r="F49" s="6" t="s">
        <v>63</v>
      </c>
      <c r="G49" s="6">
        <v>2017</v>
      </c>
      <c r="H49" s="6" t="str">
        <f>CONCATENATE("74240187091")</f>
        <v>74240187091</v>
      </c>
      <c r="I49" s="6" t="s">
        <v>28</v>
      </c>
      <c r="J49" s="6" t="s">
        <v>29</v>
      </c>
      <c r="K49" s="6" t="str">
        <f>CONCATENATE("")</f>
        <v/>
      </c>
      <c r="L49" s="6" t="str">
        <f>CONCATENATE("14 14.1 3a")</f>
        <v>14 14.1 3a</v>
      </c>
      <c r="M49" s="6" t="str">
        <f>CONCATENATE("02607030414")</f>
        <v>02607030414</v>
      </c>
      <c r="N49" s="6" t="s">
        <v>102</v>
      </c>
      <c r="O49" s="6"/>
      <c r="P49" s="7">
        <v>43284</v>
      </c>
      <c r="Q49" s="6" t="s">
        <v>30</v>
      </c>
      <c r="R49" s="6" t="s">
        <v>31</v>
      </c>
      <c r="S49" s="6" t="s">
        <v>32</v>
      </c>
      <c r="T49" s="8">
        <v>7333.4</v>
      </c>
      <c r="U49" s="8">
        <v>3162.16</v>
      </c>
      <c r="V49" s="8">
        <v>2920.16</v>
      </c>
      <c r="W49" s="6">
        <v>0</v>
      </c>
      <c r="X49" s="8">
        <v>1251.08</v>
      </c>
    </row>
    <row r="50" spans="1:24" ht="24.75" x14ac:dyDescent="0.25">
      <c r="A50" s="6" t="s">
        <v>25</v>
      </c>
      <c r="B50" s="6" t="s">
        <v>26</v>
      </c>
      <c r="C50" s="6" t="s">
        <v>37</v>
      </c>
      <c r="D50" s="6" t="s">
        <v>41</v>
      </c>
      <c r="E50" s="6" t="s">
        <v>44</v>
      </c>
      <c r="F50" s="6" t="s">
        <v>44</v>
      </c>
      <c r="G50" s="6">
        <v>2017</v>
      </c>
      <c r="H50" s="6" t="str">
        <f>CONCATENATE("74240558234")</f>
        <v>74240558234</v>
      </c>
      <c r="I50" s="6" t="s">
        <v>28</v>
      </c>
      <c r="J50" s="6" t="s">
        <v>29</v>
      </c>
      <c r="K50" s="6" t="str">
        <f>CONCATENATE("")</f>
        <v/>
      </c>
      <c r="L50" s="6" t="str">
        <f>CONCATENATE("14 14.1 3a")</f>
        <v>14 14.1 3a</v>
      </c>
      <c r="M50" s="6" t="str">
        <f>CONCATENATE("MRNFNC68C21I459Z")</f>
        <v>MRNFNC68C21I459Z</v>
      </c>
      <c r="N50" s="6" t="s">
        <v>103</v>
      </c>
      <c r="O50" s="6"/>
      <c r="P50" s="7">
        <v>43284</v>
      </c>
      <c r="Q50" s="6" t="s">
        <v>30</v>
      </c>
      <c r="R50" s="6" t="s">
        <v>31</v>
      </c>
      <c r="S50" s="6" t="s">
        <v>32</v>
      </c>
      <c r="T50" s="8">
        <v>10260</v>
      </c>
      <c r="U50" s="8">
        <v>4424.1099999999997</v>
      </c>
      <c r="V50" s="8">
        <v>4085.53</v>
      </c>
      <c r="W50" s="6">
        <v>0</v>
      </c>
      <c r="X50" s="8">
        <v>1750.36</v>
      </c>
    </row>
    <row r="51" spans="1:24" ht="24.75" x14ac:dyDescent="0.25">
      <c r="A51" s="6" t="s">
        <v>25</v>
      </c>
      <c r="B51" s="6" t="s">
        <v>26</v>
      </c>
      <c r="C51" s="6" t="s">
        <v>37</v>
      </c>
      <c r="D51" s="6" t="s">
        <v>60</v>
      </c>
      <c r="E51" s="6" t="s">
        <v>33</v>
      </c>
      <c r="F51" s="6" t="s">
        <v>104</v>
      </c>
      <c r="G51" s="6">
        <v>2017</v>
      </c>
      <c r="H51" s="6" t="str">
        <f>CONCATENATE("74240444518")</f>
        <v>74240444518</v>
      </c>
      <c r="I51" s="6" t="s">
        <v>28</v>
      </c>
      <c r="J51" s="6" t="s">
        <v>29</v>
      </c>
      <c r="K51" s="6" t="str">
        <f>CONCATENATE("")</f>
        <v/>
      </c>
      <c r="L51" s="6" t="str">
        <f>CONCATENATE("14 14.1 3a")</f>
        <v>14 14.1 3a</v>
      </c>
      <c r="M51" s="6" t="str">
        <f>CONCATENATE("MRUSVT68R14A978E")</f>
        <v>MRUSVT68R14A978E</v>
      </c>
      <c r="N51" s="6" t="s">
        <v>105</v>
      </c>
      <c r="O51" s="6"/>
      <c r="P51" s="7">
        <v>43284</v>
      </c>
      <c r="Q51" s="6" t="s">
        <v>30</v>
      </c>
      <c r="R51" s="6" t="s">
        <v>31</v>
      </c>
      <c r="S51" s="6" t="s">
        <v>32</v>
      </c>
      <c r="T51" s="8">
        <v>7002.4</v>
      </c>
      <c r="U51" s="8">
        <v>3019.43</v>
      </c>
      <c r="V51" s="8">
        <v>2788.36</v>
      </c>
      <c r="W51" s="6">
        <v>0</v>
      </c>
      <c r="X51" s="8">
        <v>1194.6099999999999</v>
      </c>
    </row>
    <row r="52" spans="1:24" ht="24.75" x14ac:dyDescent="0.25">
      <c r="A52" s="6" t="s">
        <v>25</v>
      </c>
      <c r="B52" s="6" t="s">
        <v>26</v>
      </c>
      <c r="C52" s="6" t="s">
        <v>37</v>
      </c>
      <c r="D52" s="6" t="s">
        <v>41</v>
      </c>
      <c r="E52" s="6" t="s">
        <v>34</v>
      </c>
      <c r="F52" s="6" t="s">
        <v>91</v>
      </c>
      <c r="G52" s="6">
        <v>2017</v>
      </c>
      <c r="H52" s="6" t="str">
        <f>CONCATENATE("74240568993")</f>
        <v>74240568993</v>
      </c>
      <c r="I52" s="6" t="s">
        <v>28</v>
      </c>
      <c r="J52" s="6" t="s">
        <v>29</v>
      </c>
      <c r="K52" s="6" t="str">
        <f>CONCATENATE("")</f>
        <v/>
      </c>
      <c r="L52" s="6" t="str">
        <f>CONCATENATE("14 14.1 3a")</f>
        <v>14 14.1 3a</v>
      </c>
      <c r="M52" s="6" t="str">
        <f>CONCATENATE("BCCMRA58T17G453D")</f>
        <v>BCCMRA58T17G453D</v>
      </c>
      <c r="N52" s="6" t="s">
        <v>106</v>
      </c>
      <c r="O52" s="6"/>
      <c r="P52" s="7">
        <v>43284</v>
      </c>
      <c r="Q52" s="6" t="s">
        <v>30</v>
      </c>
      <c r="R52" s="6" t="s">
        <v>31</v>
      </c>
      <c r="S52" s="6" t="s">
        <v>32</v>
      </c>
      <c r="T52" s="8">
        <v>11365</v>
      </c>
      <c r="U52" s="8">
        <v>4900.59</v>
      </c>
      <c r="V52" s="8">
        <v>4525.54</v>
      </c>
      <c r="W52" s="6">
        <v>0</v>
      </c>
      <c r="X52" s="8">
        <v>1938.87</v>
      </c>
    </row>
    <row r="53" spans="1:24" ht="24.75" x14ac:dyDescent="0.25">
      <c r="A53" s="6" t="s">
        <v>25</v>
      </c>
      <c r="B53" s="6" t="s">
        <v>26</v>
      </c>
      <c r="C53" s="6" t="s">
        <v>37</v>
      </c>
      <c r="D53" s="6" t="s">
        <v>41</v>
      </c>
      <c r="E53" s="6" t="s">
        <v>34</v>
      </c>
      <c r="F53" s="6" t="s">
        <v>87</v>
      </c>
      <c r="G53" s="6">
        <v>2017</v>
      </c>
      <c r="H53" s="6" t="str">
        <f>CONCATENATE("74240833926")</f>
        <v>74240833926</v>
      </c>
      <c r="I53" s="6" t="s">
        <v>28</v>
      </c>
      <c r="J53" s="6" t="s">
        <v>29</v>
      </c>
      <c r="K53" s="6" t="str">
        <f>CONCATENATE("")</f>
        <v/>
      </c>
      <c r="L53" s="6" t="str">
        <f>CONCATENATE("14 14.1 3a")</f>
        <v>14 14.1 3a</v>
      </c>
      <c r="M53" s="6" t="str">
        <f>CONCATENATE("01438640417")</f>
        <v>01438640417</v>
      </c>
      <c r="N53" s="6" t="s">
        <v>107</v>
      </c>
      <c r="O53" s="6"/>
      <c r="P53" s="7">
        <v>43284</v>
      </c>
      <c r="Q53" s="6" t="s">
        <v>30</v>
      </c>
      <c r="R53" s="6" t="s">
        <v>31</v>
      </c>
      <c r="S53" s="6" t="s">
        <v>32</v>
      </c>
      <c r="T53" s="8">
        <v>8360.11</v>
      </c>
      <c r="U53" s="8">
        <v>3604.88</v>
      </c>
      <c r="V53" s="8">
        <v>3329</v>
      </c>
      <c r="W53" s="6">
        <v>0</v>
      </c>
      <c r="X53" s="8">
        <v>1426.23</v>
      </c>
    </row>
    <row r="54" spans="1:24" ht="24.75" x14ac:dyDescent="0.25">
      <c r="A54" s="6" t="s">
        <v>25</v>
      </c>
      <c r="B54" s="6" t="s">
        <v>26</v>
      </c>
      <c r="C54" s="6" t="s">
        <v>37</v>
      </c>
      <c r="D54" s="6" t="s">
        <v>60</v>
      </c>
      <c r="E54" s="6" t="s">
        <v>33</v>
      </c>
      <c r="F54" s="6" t="s">
        <v>104</v>
      </c>
      <c r="G54" s="6">
        <v>2017</v>
      </c>
      <c r="H54" s="6" t="str">
        <f>CONCATENATE("74240548052")</f>
        <v>74240548052</v>
      </c>
      <c r="I54" s="6" t="s">
        <v>28</v>
      </c>
      <c r="J54" s="6" t="s">
        <v>29</v>
      </c>
      <c r="K54" s="6" t="str">
        <f>CONCATENATE("")</f>
        <v/>
      </c>
      <c r="L54" s="6" t="str">
        <f>CONCATENATE("14 14.1 3a")</f>
        <v>14 14.1 3a</v>
      </c>
      <c r="M54" s="6" t="str">
        <f>CONCATENATE("PCCDNL82T29D451P")</f>
        <v>PCCDNL82T29D451P</v>
      </c>
      <c r="N54" s="6" t="s">
        <v>108</v>
      </c>
      <c r="O54" s="6"/>
      <c r="P54" s="7">
        <v>43284</v>
      </c>
      <c r="Q54" s="6" t="s">
        <v>30</v>
      </c>
      <c r="R54" s="6" t="s">
        <v>31</v>
      </c>
      <c r="S54" s="6" t="s">
        <v>32</v>
      </c>
      <c r="T54" s="8">
        <v>19850</v>
      </c>
      <c r="U54" s="8">
        <v>8559.32</v>
      </c>
      <c r="V54" s="8">
        <v>7904.27</v>
      </c>
      <c r="W54" s="6">
        <v>0</v>
      </c>
      <c r="X54" s="8">
        <v>3386.41</v>
      </c>
    </row>
    <row r="55" spans="1:24" ht="24.75" x14ac:dyDescent="0.25">
      <c r="A55" s="6" t="s">
        <v>25</v>
      </c>
      <c r="B55" s="6" t="s">
        <v>26</v>
      </c>
      <c r="C55" s="6" t="s">
        <v>37</v>
      </c>
      <c r="D55" s="6" t="s">
        <v>60</v>
      </c>
      <c r="E55" s="6" t="s">
        <v>109</v>
      </c>
      <c r="F55" s="6" t="s">
        <v>110</v>
      </c>
      <c r="G55" s="6">
        <v>2017</v>
      </c>
      <c r="H55" s="6" t="str">
        <f>CONCATENATE("74240615737")</f>
        <v>74240615737</v>
      </c>
      <c r="I55" s="6" t="s">
        <v>28</v>
      </c>
      <c r="J55" s="6" t="s">
        <v>29</v>
      </c>
      <c r="K55" s="6" t="str">
        <f>CONCATENATE("")</f>
        <v/>
      </c>
      <c r="L55" s="6" t="str">
        <f>CONCATENATE("14 14.1 3a")</f>
        <v>14 14.1 3a</v>
      </c>
      <c r="M55" s="6" t="str">
        <f>CONCATENATE("RBNMLR55P50B352D")</f>
        <v>RBNMLR55P50B352D</v>
      </c>
      <c r="N55" s="6" t="s">
        <v>111</v>
      </c>
      <c r="O55" s="6"/>
      <c r="P55" s="7">
        <v>43284</v>
      </c>
      <c r="Q55" s="6" t="s">
        <v>30</v>
      </c>
      <c r="R55" s="6" t="s">
        <v>31</v>
      </c>
      <c r="S55" s="6" t="s">
        <v>32</v>
      </c>
      <c r="T55" s="8">
        <v>7465</v>
      </c>
      <c r="U55" s="8">
        <v>3218.91</v>
      </c>
      <c r="V55" s="8">
        <v>2972.56</v>
      </c>
      <c r="W55" s="6">
        <v>0</v>
      </c>
      <c r="X55" s="8">
        <v>1273.53</v>
      </c>
    </row>
    <row r="56" spans="1:24" x14ac:dyDescent="0.25">
      <c r="A56" s="6" t="s">
        <v>25</v>
      </c>
      <c r="B56" s="6" t="s">
        <v>26</v>
      </c>
      <c r="C56" s="6" t="s">
        <v>37</v>
      </c>
      <c r="D56" s="6" t="s">
        <v>38</v>
      </c>
      <c r="E56" s="6" t="s">
        <v>34</v>
      </c>
      <c r="F56" s="6" t="s">
        <v>48</v>
      </c>
      <c r="G56" s="6">
        <v>2017</v>
      </c>
      <c r="H56" s="6" t="str">
        <f>CONCATENATE("74240790944")</f>
        <v>74240790944</v>
      </c>
      <c r="I56" s="6" t="s">
        <v>28</v>
      </c>
      <c r="J56" s="6" t="s">
        <v>29</v>
      </c>
      <c r="K56" s="6" t="str">
        <f>CONCATENATE("")</f>
        <v/>
      </c>
      <c r="L56" s="6" t="str">
        <f>CONCATENATE("14 14.1 3a")</f>
        <v>14 14.1 3a</v>
      </c>
      <c r="M56" s="6" t="str">
        <f>CONCATENATE("RVLMRA43B04H501Q")</f>
        <v>RVLMRA43B04H501Q</v>
      </c>
      <c r="N56" s="6" t="s">
        <v>112</v>
      </c>
      <c r="O56" s="6"/>
      <c r="P56" s="7">
        <v>43284</v>
      </c>
      <c r="Q56" s="6" t="s">
        <v>30</v>
      </c>
      <c r="R56" s="6" t="s">
        <v>31</v>
      </c>
      <c r="S56" s="6" t="s">
        <v>32</v>
      </c>
      <c r="T56" s="8">
        <v>33350</v>
      </c>
      <c r="U56" s="8">
        <v>14380.52</v>
      </c>
      <c r="V56" s="8">
        <v>13279.97</v>
      </c>
      <c r="W56" s="6">
        <v>0</v>
      </c>
      <c r="X56" s="8">
        <v>5689.51</v>
      </c>
    </row>
    <row r="57" spans="1:24" x14ac:dyDescent="0.25">
      <c r="A57" s="6" t="s">
        <v>25</v>
      </c>
      <c r="B57" s="6" t="s">
        <v>26</v>
      </c>
      <c r="C57" s="6" t="s">
        <v>37</v>
      </c>
      <c r="D57" s="6" t="s">
        <v>38</v>
      </c>
      <c r="E57" s="6" t="s">
        <v>34</v>
      </c>
      <c r="F57" s="6" t="s">
        <v>48</v>
      </c>
      <c r="G57" s="6">
        <v>2017</v>
      </c>
      <c r="H57" s="6" t="str">
        <f>CONCATENATE("74240788807")</f>
        <v>74240788807</v>
      </c>
      <c r="I57" s="6" t="s">
        <v>28</v>
      </c>
      <c r="J57" s="6" t="s">
        <v>29</v>
      </c>
      <c r="K57" s="6" t="str">
        <f>CONCATENATE("")</f>
        <v/>
      </c>
      <c r="L57" s="6" t="str">
        <f>CONCATENATE("14 14.1 3a")</f>
        <v>14 14.1 3a</v>
      </c>
      <c r="M57" s="6" t="str">
        <f>CONCATENATE("FBRFST81T23B474X")</f>
        <v>FBRFST81T23B474X</v>
      </c>
      <c r="N57" s="6" t="s">
        <v>113</v>
      </c>
      <c r="O57" s="6"/>
      <c r="P57" s="7">
        <v>43284</v>
      </c>
      <c r="Q57" s="6" t="s">
        <v>30</v>
      </c>
      <c r="R57" s="6" t="s">
        <v>31</v>
      </c>
      <c r="S57" s="6" t="s">
        <v>32</v>
      </c>
      <c r="T57" s="8">
        <v>7355.05</v>
      </c>
      <c r="U57" s="8">
        <v>3171.5</v>
      </c>
      <c r="V57" s="8">
        <v>2928.78</v>
      </c>
      <c r="W57" s="6">
        <v>0</v>
      </c>
      <c r="X57" s="8">
        <v>1254.77</v>
      </c>
    </row>
    <row r="58" spans="1:24" ht="24.75" x14ac:dyDescent="0.25">
      <c r="A58" s="6" t="s">
        <v>25</v>
      </c>
      <c r="B58" s="6" t="s">
        <v>26</v>
      </c>
      <c r="C58" s="6" t="s">
        <v>37</v>
      </c>
      <c r="D58" s="6" t="s">
        <v>60</v>
      </c>
      <c r="E58" s="6" t="s">
        <v>33</v>
      </c>
      <c r="F58" s="6" t="s">
        <v>104</v>
      </c>
      <c r="G58" s="6">
        <v>2017</v>
      </c>
      <c r="H58" s="6" t="str">
        <f>CONCATENATE("74240843396")</f>
        <v>74240843396</v>
      </c>
      <c r="I58" s="6" t="s">
        <v>28</v>
      </c>
      <c r="J58" s="6" t="s">
        <v>29</v>
      </c>
      <c r="K58" s="6" t="str">
        <f>CONCATENATE("")</f>
        <v/>
      </c>
      <c r="L58" s="6" t="str">
        <f>CONCATENATE("14 14.1 3a")</f>
        <v>14 14.1 3a</v>
      </c>
      <c r="M58" s="6" t="str">
        <f>CONCATENATE("01081420422")</f>
        <v>01081420422</v>
      </c>
      <c r="N58" s="6" t="s">
        <v>114</v>
      </c>
      <c r="O58" s="6"/>
      <c r="P58" s="7">
        <v>43284</v>
      </c>
      <c r="Q58" s="6" t="s">
        <v>30</v>
      </c>
      <c r="R58" s="6" t="s">
        <v>31</v>
      </c>
      <c r="S58" s="6" t="s">
        <v>32</v>
      </c>
      <c r="T58" s="8">
        <v>28385</v>
      </c>
      <c r="U58" s="8">
        <v>12239.61</v>
      </c>
      <c r="V58" s="8">
        <v>11302.91</v>
      </c>
      <c r="W58" s="6">
        <v>0</v>
      </c>
      <c r="X58" s="8">
        <v>4842.4799999999996</v>
      </c>
    </row>
    <row r="59" spans="1:24" x14ac:dyDescent="0.25">
      <c r="A59" s="6" t="s">
        <v>25</v>
      </c>
      <c r="B59" s="6" t="s">
        <v>26</v>
      </c>
      <c r="C59" s="6" t="s">
        <v>37</v>
      </c>
      <c r="D59" s="6" t="s">
        <v>38</v>
      </c>
      <c r="E59" s="6" t="s">
        <v>34</v>
      </c>
      <c r="F59" s="6" t="s">
        <v>48</v>
      </c>
      <c r="G59" s="6">
        <v>2017</v>
      </c>
      <c r="H59" s="6" t="str">
        <f>CONCATENATE("74240790746")</f>
        <v>74240790746</v>
      </c>
      <c r="I59" s="6" t="s">
        <v>28</v>
      </c>
      <c r="J59" s="6" t="s">
        <v>29</v>
      </c>
      <c r="K59" s="6" t="str">
        <f>CONCATENATE("")</f>
        <v/>
      </c>
      <c r="L59" s="6" t="str">
        <f>CONCATENATE("14 14.1 3a")</f>
        <v>14 14.1 3a</v>
      </c>
      <c r="M59" s="6" t="str">
        <f>CONCATENATE("PPRVTR52A01I661T")</f>
        <v>PPRVTR52A01I661T</v>
      </c>
      <c r="N59" s="6" t="s">
        <v>115</v>
      </c>
      <c r="O59" s="6"/>
      <c r="P59" s="7">
        <v>43284</v>
      </c>
      <c r="Q59" s="6" t="s">
        <v>30</v>
      </c>
      <c r="R59" s="6" t="s">
        <v>31</v>
      </c>
      <c r="S59" s="6" t="s">
        <v>32</v>
      </c>
      <c r="T59" s="8">
        <v>10246.200000000001</v>
      </c>
      <c r="U59" s="8">
        <v>4418.16</v>
      </c>
      <c r="V59" s="8">
        <v>4080.04</v>
      </c>
      <c r="W59" s="6">
        <v>0</v>
      </c>
      <c r="X59" s="8">
        <v>1748</v>
      </c>
    </row>
    <row r="60" spans="1:24" ht="24.75" x14ac:dyDescent="0.25">
      <c r="A60" s="6" t="s">
        <v>25</v>
      </c>
      <c r="B60" s="6" t="s">
        <v>26</v>
      </c>
      <c r="C60" s="6" t="s">
        <v>37</v>
      </c>
      <c r="D60" s="6" t="s">
        <v>38</v>
      </c>
      <c r="E60" s="6" t="s">
        <v>34</v>
      </c>
      <c r="F60" s="6" t="s">
        <v>48</v>
      </c>
      <c r="G60" s="6">
        <v>2017</v>
      </c>
      <c r="H60" s="6" t="str">
        <f>CONCATENATE("74240791710")</f>
        <v>74240791710</v>
      </c>
      <c r="I60" s="6" t="s">
        <v>28</v>
      </c>
      <c r="J60" s="6" t="s">
        <v>29</v>
      </c>
      <c r="K60" s="6" t="str">
        <f>CONCATENATE("")</f>
        <v/>
      </c>
      <c r="L60" s="6" t="str">
        <f>CONCATENATE("14 14.1 3a")</f>
        <v>14 14.1 3a</v>
      </c>
      <c r="M60" s="6" t="str">
        <f>CONCATENATE("01141480432")</f>
        <v>01141480432</v>
      </c>
      <c r="N60" s="6" t="s">
        <v>116</v>
      </c>
      <c r="O60" s="6"/>
      <c r="P60" s="7">
        <v>43284</v>
      </c>
      <c r="Q60" s="6" t="s">
        <v>30</v>
      </c>
      <c r="R60" s="6" t="s">
        <v>31</v>
      </c>
      <c r="S60" s="6" t="s">
        <v>32</v>
      </c>
      <c r="T60" s="8">
        <v>17350</v>
      </c>
      <c r="U60" s="8">
        <v>7481.32</v>
      </c>
      <c r="V60" s="8">
        <v>6908.77</v>
      </c>
      <c r="W60" s="6">
        <v>0</v>
      </c>
      <c r="X60" s="8">
        <v>2959.91</v>
      </c>
    </row>
    <row r="61" spans="1:24" x14ac:dyDescent="0.25">
      <c r="A61" s="6" t="s">
        <v>25</v>
      </c>
      <c r="B61" s="6" t="s">
        <v>26</v>
      </c>
      <c r="C61" s="6" t="s">
        <v>37</v>
      </c>
      <c r="D61" s="6" t="s">
        <v>38</v>
      </c>
      <c r="E61" s="6" t="s">
        <v>34</v>
      </c>
      <c r="F61" s="6" t="s">
        <v>48</v>
      </c>
      <c r="G61" s="6">
        <v>2017</v>
      </c>
      <c r="H61" s="6" t="str">
        <f>CONCATENATE("74240791421")</f>
        <v>74240791421</v>
      </c>
      <c r="I61" s="6" t="s">
        <v>28</v>
      </c>
      <c r="J61" s="6" t="s">
        <v>29</v>
      </c>
      <c r="K61" s="6" t="str">
        <f>CONCATENATE("")</f>
        <v/>
      </c>
      <c r="L61" s="6" t="str">
        <f>CONCATENATE("14 14.1 3a")</f>
        <v>14 14.1 3a</v>
      </c>
      <c r="M61" s="6" t="str">
        <f>CONCATENATE("01761610433")</f>
        <v>01761610433</v>
      </c>
      <c r="N61" s="6" t="s">
        <v>117</v>
      </c>
      <c r="O61" s="6"/>
      <c r="P61" s="7">
        <v>43284</v>
      </c>
      <c r="Q61" s="6" t="s">
        <v>30</v>
      </c>
      <c r="R61" s="6" t="s">
        <v>31</v>
      </c>
      <c r="S61" s="6" t="s">
        <v>32</v>
      </c>
      <c r="T61" s="8">
        <v>22616.799999999999</v>
      </c>
      <c r="U61" s="8">
        <v>9752.36</v>
      </c>
      <c r="V61" s="8">
        <v>9006.01</v>
      </c>
      <c r="W61" s="6">
        <v>0</v>
      </c>
      <c r="X61" s="8">
        <v>3858.43</v>
      </c>
    </row>
    <row r="62" spans="1:24" x14ac:dyDescent="0.25">
      <c r="A62" s="6" t="s">
        <v>25</v>
      </c>
      <c r="B62" s="6" t="s">
        <v>26</v>
      </c>
      <c r="C62" s="6" t="s">
        <v>37</v>
      </c>
      <c r="D62" s="6" t="s">
        <v>38</v>
      </c>
      <c r="E62" s="6" t="s">
        <v>34</v>
      </c>
      <c r="F62" s="6" t="s">
        <v>48</v>
      </c>
      <c r="G62" s="6">
        <v>2017</v>
      </c>
      <c r="H62" s="6" t="str">
        <f>CONCATENATE("74240791066")</f>
        <v>74240791066</v>
      </c>
      <c r="I62" s="6" t="s">
        <v>28</v>
      </c>
      <c r="J62" s="6" t="s">
        <v>29</v>
      </c>
      <c r="K62" s="6" t="str">
        <f>CONCATENATE("")</f>
        <v/>
      </c>
      <c r="L62" s="6" t="str">
        <f>CONCATENATE("14 14.1 3a")</f>
        <v>14 14.1 3a</v>
      </c>
      <c r="M62" s="6" t="str">
        <f>CONCATENATE("SNTFNC78R54D653N")</f>
        <v>SNTFNC78R54D653N</v>
      </c>
      <c r="N62" s="6" t="s">
        <v>118</v>
      </c>
      <c r="O62" s="6"/>
      <c r="P62" s="7">
        <v>43284</v>
      </c>
      <c r="Q62" s="6" t="s">
        <v>30</v>
      </c>
      <c r="R62" s="6" t="s">
        <v>31</v>
      </c>
      <c r="S62" s="6" t="s">
        <v>32</v>
      </c>
      <c r="T62" s="8">
        <v>11504</v>
      </c>
      <c r="U62" s="8">
        <v>4960.5200000000004</v>
      </c>
      <c r="V62" s="8">
        <v>4580.8900000000003</v>
      </c>
      <c r="W62" s="6">
        <v>0</v>
      </c>
      <c r="X62" s="8">
        <v>1962.59</v>
      </c>
    </row>
    <row r="63" spans="1:24" ht="24.75" x14ac:dyDescent="0.25">
      <c r="A63" s="6" t="s">
        <v>25</v>
      </c>
      <c r="B63" s="6" t="s">
        <v>26</v>
      </c>
      <c r="C63" s="6" t="s">
        <v>37</v>
      </c>
      <c r="D63" s="6" t="s">
        <v>41</v>
      </c>
      <c r="E63" s="6" t="s">
        <v>36</v>
      </c>
      <c r="F63" s="6" t="s">
        <v>119</v>
      </c>
      <c r="G63" s="6">
        <v>2017</v>
      </c>
      <c r="H63" s="6" t="str">
        <f>CONCATENATE("74210947664")</f>
        <v>74210947664</v>
      </c>
      <c r="I63" s="6" t="s">
        <v>28</v>
      </c>
      <c r="J63" s="6" t="s">
        <v>29</v>
      </c>
      <c r="K63" s="6" t="str">
        <f>CONCATENATE("")</f>
        <v/>
      </c>
      <c r="L63" s="6" t="str">
        <f>CONCATENATE("14 14.1 3a")</f>
        <v>14 14.1 3a</v>
      </c>
      <c r="M63" s="6" t="str">
        <f>CONCATENATE("FNCFRZ69B07D749Z")</f>
        <v>FNCFRZ69B07D749Z</v>
      </c>
      <c r="N63" s="6" t="s">
        <v>120</v>
      </c>
      <c r="O63" s="6"/>
      <c r="P63" s="7">
        <v>43284</v>
      </c>
      <c r="Q63" s="6" t="s">
        <v>30</v>
      </c>
      <c r="R63" s="6" t="s">
        <v>31</v>
      </c>
      <c r="S63" s="6" t="s">
        <v>32</v>
      </c>
      <c r="T63" s="8">
        <v>8850</v>
      </c>
      <c r="U63" s="8">
        <v>3816.12</v>
      </c>
      <c r="V63" s="8">
        <v>3524.07</v>
      </c>
      <c r="W63" s="6">
        <v>0</v>
      </c>
      <c r="X63" s="8">
        <v>1509.81</v>
      </c>
    </row>
    <row r="64" spans="1:24" ht="24.75" x14ac:dyDescent="0.25">
      <c r="A64" s="6" t="s">
        <v>25</v>
      </c>
      <c r="B64" s="6" t="s">
        <v>26</v>
      </c>
      <c r="C64" s="6" t="s">
        <v>37</v>
      </c>
      <c r="D64" s="6" t="s">
        <v>38</v>
      </c>
      <c r="E64" s="6" t="s">
        <v>35</v>
      </c>
      <c r="F64" s="6" t="s">
        <v>121</v>
      </c>
      <c r="G64" s="6">
        <v>2017</v>
      </c>
      <c r="H64" s="6" t="str">
        <f>CONCATENATE("74240848130")</f>
        <v>74240848130</v>
      </c>
      <c r="I64" s="6" t="s">
        <v>28</v>
      </c>
      <c r="J64" s="6" t="s">
        <v>29</v>
      </c>
      <c r="K64" s="6" t="str">
        <f>CONCATENATE("")</f>
        <v/>
      </c>
      <c r="L64" s="6" t="str">
        <f>CONCATENATE("14 14.1 3a")</f>
        <v>14 14.1 3a</v>
      </c>
      <c r="M64" s="6" t="str">
        <f>CONCATENATE("01089250433")</f>
        <v>01089250433</v>
      </c>
      <c r="N64" s="6" t="s">
        <v>122</v>
      </c>
      <c r="O64" s="6"/>
      <c r="P64" s="7">
        <v>43284</v>
      </c>
      <c r="Q64" s="6" t="s">
        <v>30</v>
      </c>
      <c r="R64" s="6" t="s">
        <v>31</v>
      </c>
      <c r="S64" s="6" t="s">
        <v>32</v>
      </c>
      <c r="T64" s="8">
        <v>5199.17</v>
      </c>
      <c r="U64" s="8">
        <v>2241.88</v>
      </c>
      <c r="V64" s="8">
        <v>2070.31</v>
      </c>
      <c r="W64" s="6">
        <v>0</v>
      </c>
      <c r="X64" s="6">
        <v>886.98</v>
      </c>
    </row>
    <row r="65" spans="1:24" ht="24.75" x14ac:dyDescent="0.25">
      <c r="A65" s="6" t="s">
        <v>25</v>
      </c>
      <c r="B65" s="6" t="s">
        <v>26</v>
      </c>
      <c r="C65" s="6" t="s">
        <v>37</v>
      </c>
      <c r="D65" s="6" t="s">
        <v>41</v>
      </c>
      <c r="E65" s="6" t="s">
        <v>34</v>
      </c>
      <c r="F65" s="6" t="s">
        <v>63</v>
      </c>
      <c r="G65" s="6">
        <v>2017</v>
      </c>
      <c r="H65" s="6" t="str">
        <f>CONCATENATE("74240817069")</f>
        <v>74240817069</v>
      </c>
      <c r="I65" s="6" t="s">
        <v>28</v>
      </c>
      <c r="J65" s="6" t="s">
        <v>29</v>
      </c>
      <c r="K65" s="6" t="str">
        <f>CONCATENATE("")</f>
        <v/>
      </c>
      <c r="L65" s="6" t="str">
        <f>CONCATENATE("14 14.1 3a")</f>
        <v>14 14.1 3a</v>
      </c>
      <c r="M65" s="6" t="str">
        <f>CONCATENATE("CLNNRC83M16I459C")</f>
        <v>CLNNRC83M16I459C</v>
      </c>
      <c r="N65" s="6" t="s">
        <v>123</v>
      </c>
      <c r="O65" s="6"/>
      <c r="P65" s="7">
        <v>43284</v>
      </c>
      <c r="Q65" s="6" t="s">
        <v>30</v>
      </c>
      <c r="R65" s="6" t="s">
        <v>31</v>
      </c>
      <c r="S65" s="6" t="s">
        <v>32</v>
      </c>
      <c r="T65" s="8">
        <v>15397.22</v>
      </c>
      <c r="U65" s="8">
        <v>6639.28</v>
      </c>
      <c r="V65" s="8">
        <v>6131.17</v>
      </c>
      <c r="W65" s="6">
        <v>0</v>
      </c>
      <c r="X65" s="8">
        <v>2626.77</v>
      </c>
    </row>
    <row r="66" spans="1:24" ht="24.75" x14ac:dyDescent="0.25">
      <c r="A66" s="6" t="s">
        <v>25</v>
      </c>
      <c r="B66" s="6" t="s">
        <v>26</v>
      </c>
      <c r="C66" s="6" t="s">
        <v>37</v>
      </c>
      <c r="D66" s="6" t="s">
        <v>41</v>
      </c>
      <c r="E66" s="6" t="s">
        <v>34</v>
      </c>
      <c r="F66" s="6" t="s">
        <v>63</v>
      </c>
      <c r="G66" s="6">
        <v>2017</v>
      </c>
      <c r="H66" s="6" t="str">
        <f>CONCATENATE("74240817242")</f>
        <v>74240817242</v>
      </c>
      <c r="I66" s="6" t="s">
        <v>28</v>
      </c>
      <c r="J66" s="6" t="s">
        <v>29</v>
      </c>
      <c r="K66" s="6" t="str">
        <f>CONCATENATE("")</f>
        <v/>
      </c>
      <c r="L66" s="6" t="str">
        <f>CONCATENATE("14 14.1 3a")</f>
        <v>14 14.1 3a</v>
      </c>
      <c r="M66" s="6" t="str">
        <f>CONCATENATE("CLNFNC53R07B816K")</f>
        <v>CLNFNC53R07B816K</v>
      </c>
      <c r="N66" s="6" t="s">
        <v>124</v>
      </c>
      <c r="O66" s="6"/>
      <c r="P66" s="7">
        <v>43284</v>
      </c>
      <c r="Q66" s="6" t="s">
        <v>30</v>
      </c>
      <c r="R66" s="6" t="s">
        <v>31</v>
      </c>
      <c r="S66" s="6" t="s">
        <v>32</v>
      </c>
      <c r="T66" s="8">
        <v>26173.06</v>
      </c>
      <c r="U66" s="8">
        <v>11285.82</v>
      </c>
      <c r="V66" s="8">
        <v>10422.11</v>
      </c>
      <c r="W66" s="6">
        <v>0</v>
      </c>
      <c r="X66" s="8">
        <v>4465.13</v>
      </c>
    </row>
    <row r="67" spans="1:24" ht="24.75" x14ac:dyDescent="0.25">
      <c r="A67" s="6" t="s">
        <v>25</v>
      </c>
      <c r="B67" s="6" t="s">
        <v>26</v>
      </c>
      <c r="C67" s="6" t="s">
        <v>37</v>
      </c>
      <c r="D67" s="6" t="s">
        <v>41</v>
      </c>
      <c r="E67" s="6" t="s">
        <v>36</v>
      </c>
      <c r="F67" s="6" t="s">
        <v>125</v>
      </c>
      <c r="G67" s="6">
        <v>2017</v>
      </c>
      <c r="H67" s="6" t="str">
        <f>CONCATENATE("74240830039")</f>
        <v>74240830039</v>
      </c>
      <c r="I67" s="6" t="s">
        <v>28</v>
      </c>
      <c r="J67" s="6" t="s">
        <v>29</v>
      </c>
      <c r="K67" s="6" t="str">
        <f>CONCATENATE("")</f>
        <v/>
      </c>
      <c r="L67" s="6" t="str">
        <f>CONCATENATE("14 14.1 3a")</f>
        <v>14 14.1 3a</v>
      </c>
      <c r="M67" s="6" t="str">
        <f>CONCATENATE("CNTNMR52A44F478T")</f>
        <v>CNTNMR52A44F478T</v>
      </c>
      <c r="N67" s="6" t="s">
        <v>126</v>
      </c>
      <c r="O67" s="6"/>
      <c r="P67" s="7">
        <v>43284</v>
      </c>
      <c r="Q67" s="6" t="s">
        <v>30</v>
      </c>
      <c r="R67" s="6" t="s">
        <v>31</v>
      </c>
      <c r="S67" s="6" t="s">
        <v>32</v>
      </c>
      <c r="T67" s="8">
        <v>7857.29</v>
      </c>
      <c r="U67" s="8">
        <v>3388.06</v>
      </c>
      <c r="V67" s="8">
        <v>3128.77</v>
      </c>
      <c r="W67" s="6">
        <v>0</v>
      </c>
      <c r="X67" s="8">
        <v>1340.46</v>
      </c>
    </row>
    <row r="68" spans="1:24" ht="24.75" x14ac:dyDescent="0.25">
      <c r="A68" s="6" t="s">
        <v>25</v>
      </c>
      <c r="B68" s="6" t="s">
        <v>26</v>
      </c>
      <c r="C68" s="6" t="s">
        <v>37</v>
      </c>
      <c r="D68" s="6" t="s">
        <v>41</v>
      </c>
      <c r="E68" s="6" t="s">
        <v>44</v>
      </c>
      <c r="F68" s="6" t="s">
        <v>44</v>
      </c>
      <c r="G68" s="6">
        <v>2017</v>
      </c>
      <c r="H68" s="6" t="str">
        <f>CONCATENATE("74240831037")</f>
        <v>74240831037</v>
      </c>
      <c r="I68" s="6" t="s">
        <v>28</v>
      </c>
      <c r="J68" s="6" t="s">
        <v>29</v>
      </c>
      <c r="K68" s="6" t="str">
        <f>CONCATENATE("")</f>
        <v/>
      </c>
      <c r="L68" s="6" t="str">
        <f>CONCATENATE("14 14.1 3a")</f>
        <v>14 14.1 3a</v>
      </c>
      <c r="M68" s="6" t="str">
        <f>CONCATENATE("BNZRLD64D02F478B")</f>
        <v>BNZRLD64D02F478B</v>
      </c>
      <c r="N68" s="6" t="s">
        <v>127</v>
      </c>
      <c r="O68" s="6"/>
      <c r="P68" s="7">
        <v>43284</v>
      </c>
      <c r="Q68" s="6" t="s">
        <v>30</v>
      </c>
      <c r="R68" s="6" t="s">
        <v>31</v>
      </c>
      <c r="S68" s="6" t="s">
        <v>32</v>
      </c>
      <c r="T68" s="8">
        <v>13059.7</v>
      </c>
      <c r="U68" s="8">
        <v>5631.34</v>
      </c>
      <c r="V68" s="8">
        <v>5200.37</v>
      </c>
      <c r="W68" s="6">
        <v>0</v>
      </c>
      <c r="X68" s="8">
        <v>2227.9899999999998</v>
      </c>
    </row>
    <row r="69" spans="1:24" ht="24.75" x14ac:dyDescent="0.25">
      <c r="A69" s="6" t="s">
        <v>25</v>
      </c>
      <c r="B69" s="6" t="s">
        <v>26</v>
      </c>
      <c r="C69" s="6" t="s">
        <v>37</v>
      </c>
      <c r="D69" s="6" t="s">
        <v>41</v>
      </c>
      <c r="E69" s="6" t="s">
        <v>34</v>
      </c>
      <c r="F69" s="6" t="s">
        <v>57</v>
      </c>
      <c r="G69" s="6">
        <v>2017</v>
      </c>
      <c r="H69" s="6" t="str">
        <f>CONCATENATE("74240855705")</f>
        <v>74240855705</v>
      </c>
      <c r="I69" s="6" t="s">
        <v>28</v>
      </c>
      <c r="J69" s="6" t="s">
        <v>29</v>
      </c>
      <c r="K69" s="6" t="str">
        <f>CONCATENATE("")</f>
        <v/>
      </c>
      <c r="L69" s="6" t="str">
        <f>CONCATENATE("14 14.1 3a")</f>
        <v>14 14.1 3a</v>
      </c>
      <c r="M69" s="6" t="str">
        <f>CONCATENATE("01180010413")</f>
        <v>01180010413</v>
      </c>
      <c r="N69" s="6" t="s">
        <v>128</v>
      </c>
      <c r="O69" s="6"/>
      <c r="P69" s="7">
        <v>43284</v>
      </c>
      <c r="Q69" s="6" t="s">
        <v>30</v>
      </c>
      <c r="R69" s="6" t="s">
        <v>31</v>
      </c>
      <c r="S69" s="6" t="s">
        <v>32</v>
      </c>
      <c r="T69" s="8">
        <v>33350</v>
      </c>
      <c r="U69" s="8">
        <v>14380.52</v>
      </c>
      <c r="V69" s="8">
        <v>13279.97</v>
      </c>
      <c r="W69" s="6">
        <v>0</v>
      </c>
      <c r="X69" s="8">
        <v>5689.51</v>
      </c>
    </row>
    <row r="70" spans="1:24" ht="24.75" x14ac:dyDescent="0.25">
      <c r="A70" s="6" t="s">
        <v>25</v>
      </c>
      <c r="B70" s="6" t="s">
        <v>26</v>
      </c>
      <c r="C70" s="6" t="s">
        <v>37</v>
      </c>
      <c r="D70" s="6" t="s">
        <v>41</v>
      </c>
      <c r="E70" s="6" t="s">
        <v>34</v>
      </c>
      <c r="F70" s="6" t="s">
        <v>57</v>
      </c>
      <c r="G70" s="6">
        <v>2017</v>
      </c>
      <c r="H70" s="6" t="str">
        <f>CONCATENATE("74240856331")</f>
        <v>74240856331</v>
      </c>
      <c r="I70" s="6" t="s">
        <v>28</v>
      </c>
      <c r="J70" s="6" t="s">
        <v>29</v>
      </c>
      <c r="K70" s="6" t="str">
        <f>CONCATENATE("")</f>
        <v/>
      </c>
      <c r="L70" s="6" t="str">
        <f>CONCATENATE("14 14.1 3a")</f>
        <v>14 14.1 3a</v>
      </c>
      <c r="M70" s="6" t="str">
        <f>CONCATENATE("VNTNTN74H08F135Z")</f>
        <v>VNTNTN74H08F135Z</v>
      </c>
      <c r="N70" s="6" t="s">
        <v>129</v>
      </c>
      <c r="O70" s="6"/>
      <c r="P70" s="7">
        <v>43284</v>
      </c>
      <c r="Q70" s="6" t="s">
        <v>30</v>
      </c>
      <c r="R70" s="6" t="s">
        <v>31</v>
      </c>
      <c r="S70" s="6" t="s">
        <v>32</v>
      </c>
      <c r="T70" s="8">
        <v>6100</v>
      </c>
      <c r="U70" s="8">
        <v>2630.32</v>
      </c>
      <c r="V70" s="8">
        <v>2429.02</v>
      </c>
      <c r="W70" s="6">
        <v>0</v>
      </c>
      <c r="X70" s="8">
        <v>1040.6600000000001</v>
      </c>
    </row>
    <row r="71" spans="1:24" ht="24.75" x14ac:dyDescent="0.25">
      <c r="A71" s="6" t="s">
        <v>25</v>
      </c>
      <c r="B71" s="6" t="s">
        <v>26</v>
      </c>
      <c r="C71" s="6" t="s">
        <v>37</v>
      </c>
      <c r="D71" s="6" t="s">
        <v>41</v>
      </c>
      <c r="E71" s="6" t="s">
        <v>36</v>
      </c>
      <c r="F71" s="6" t="s">
        <v>125</v>
      </c>
      <c r="G71" s="6">
        <v>2017</v>
      </c>
      <c r="H71" s="6" t="str">
        <f>CONCATENATE("74240899737")</f>
        <v>74240899737</v>
      </c>
      <c r="I71" s="6" t="s">
        <v>28</v>
      </c>
      <c r="J71" s="6" t="s">
        <v>29</v>
      </c>
      <c r="K71" s="6" t="str">
        <f>CONCATENATE("")</f>
        <v/>
      </c>
      <c r="L71" s="6" t="str">
        <f>CONCATENATE("14 14.1 3a")</f>
        <v>14 14.1 3a</v>
      </c>
      <c r="M71" s="6" t="str">
        <f>CONCATENATE("00457600419")</f>
        <v>00457600419</v>
      </c>
      <c r="N71" s="6" t="s">
        <v>130</v>
      </c>
      <c r="O71" s="6"/>
      <c r="P71" s="7">
        <v>43284</v>
      </c>
      <c r="Q71" s="6" t="s">
        <v>30</v>
      </c>
      <c r="R71" s="6" t="s">
        <v>31</v>
      </c>
      <c r="S71" s="6" t="s">
        <v>32</v>
      </c>
      <c r="T71" s="8">
        <v>15909.61</v>
      </c>
      <c r="U71" s="8">
        <v>6860.22</v>
      </c>
      <c r="V71" s="8">
        <v>6335.21</v>
      </c>
      <c r="W71" s="6">
        <v>0</v>
      </c>
      <c r="X71" s="8">
        <v>2714.18</v>
      </c>
    </row>
    <row r="72" spans="1:24" ht="24.75" x14ac:dyDescent="0.25">
      <c r="A72" s="6" t="s">
        <v>25</v>
      </c>
      <c r="B72" s="6" t="s">
        <v>26</v>
      </c>
      <c r="C72" s="6" t="s">
        <v>37</v>
      </c>
      <c r="D72" s="6" t="s">
        <v>41</v>
      </c>
      <c r="E72" s="6" t="s">
        <v>44</v>
      </c>
      <c r="F72" s="6" t="s">
        <v>44</v>
      </c>
      <c r="G72" s="6">
        <v>2017</v>
      </c>
      <c r="H72" s="6" t="str">
        <f>CONCATENATE("74240901400")</f>
        <v>74240901400</v>
      </c>
      <c r="I72" s="6" t="s">
        <v>28</v>
      </c>
      <c r="J72" s="6" t="s">
        <v>29</v>
      </c>
      <c r="K72" s="6" t="str">
        <f>CONCATENATE("")</f>
        <v/>
      </c>
      <c r="L72" s="6" t="str">
        <f>CONCATENATE("14 14.1 3a")</f>
        <v>14 14.1 3a</v>
      </c>
      <c r="M72" s="6" t="str">
        <f>CONCATENATE("00360710412")</f>
        <v>00360710412</v>
      </c>
      <c r="N72" s="6" t="s">
        <v>131</v>
      </c>
      <c r="O72" s="6"/>
      <c r="P72" s="7">
        <v>43284</v>
      </c>
      <c r="Q72" s="6" t="s">
        <v>30</v>
      </c>
      <c r="R72" s="6" t="s">
        <v>31</v>
      </c>
      <c r="S72" s="6" t="s">
        <v>32</v>
      </c>
      <c r="T72" s="8">
        <v>29973.8</v>
      </c>
      <c r="U72" s="8">
        <v>12924.7</v>
      </c>
      <c r="V72" s="8">
        <v>11935.57</v>
      </c>
      <c r="W72" s="6">
        <v>0</v>
      </c>
      <c r="X72" s="8">
        <v>5113.53</v>
      </c>
    </row>
    <row r="73" spans="1:24" ht="24.75" x14ac:dyDescent="0.25">
      <c r="A73" s="6" t="s">
        <v>25</v>
      </c>
      <c r="B73" s="6" t="s">
        <v>26</v>
      </c>
      <c r="C73" s="6" t="s">
        <v>37</v>
      </c>
      <c r="D73" s="6" t="s">
        <v>41</v>
      </c>
      <c r="E73" s="6" t="s">
        <v>44</v>
      </c>
      <c r="F73" s="6" t="s">
        <v>44</v>
      </c>
      <c r="G73" s="6">
        <v>2017</v>
      </c>
      <c r="H73" s="6" t="str">
        <f>CONCATENATE("74240901905")</f>
        <v>74240901905</v>
      </c>
      <c r="I73" s="6" t="s">
        <v>28</v>
      </c>
      <c r="J73" s="6" t="s">
        <v>29</v>
      </c>
      <c r="K73" s="6" t="str">
        <f>CONCATENATE("")</f>
        <v/>
      </c>
      <c r="L73" s="6" t="str">
        <f>CONCATENATE("14 14.1 3a")</f>
        <v>14 14.1 3a</v>
      </c>
      <c r="M73" s="6" t="str">
        <f>CONCATENATE("MTTMRA57T19F524A")</f>
        <v>MTTMRA57T19F524A</v>
      </c>
      <c r="N73" s="6" t="s">
        <v>132</v>
      </c>
      <c r="O73" s="6"/>
      <c r="P73" s="7">
        <v>43284</v>
      </c>
      <c r="Q73" s="6" t="s">
        <v>30</v>
      </c>
      <c r="R73" s="6" t="s">
        <v>31</v>
      </c>
      <c r="S73" s="6" t="s">
        <v>32</v>
      </c>
      <c r="T73" s="8">
        <v>19183.2</v>
      </c>
      <c r="U73" s="8">
        <v>8271.7999999999993</v>
      </c>
      <c r="V73" s="8">
        <v>7638.75</v>
      </c>
      <c r="W73" s="6">
        <v>0</v>
      </c>
      <c r="X73" s="8">
        <v>3272.65</v>
      </c>
    </row>
    <row r="74" spans="1:24" ht="24.75" x14ac:dyDescent="0.25">
      <c r="A74" s="6" t="s">
        <v>25</v>
      </c>
      <c r="B74" s="6" t="s">
        <v>26</v>
      </c>
      <c r="C74" s="6" t="s">
        <v>37</v>
      </c>
      <c r="D74" s="6" t="s">
        <v>54</v>
      </c>
      <c r="E74" s="6" t="s">
        <v>36</v>
      </c>
      <c r="F74" s="6" t="s">
        <v>55</v>
      </c>
      <c r="G74" s="6">
        <v>2017</v>
      </c>
      <c r="H74" s="6" t="str">
        <f>CONCATENATE("74240910682")</f>
        <v>74240910682</v>
      </c>
      <c r="I74" s="6" t="s">
        <v>28</v>
      </c>
      <c r="J74" s="6" t="s">
        <v>29</v>
      </c>
      <c r="K74" s="6" t="str">
        <f>CONCATENATE("")</f>
        <v/>
      </c>
      <c r="L74" s="6" t="str">
        <f>CONCATENATE("14 14.1 3a")</f>
        <v>14 14.1 3a</v>
      </c>
      <c r="M74" s="6" t="str">
        <f>CONCATENATE("GNNLRD70R07A252X")</f>
        <v>GNNLRD70R07A252X</v>
      </c>
      <c r="N74" s="6" t="s">
        <v>133</v>
      </c>
      <c r="O74" s="6"/>
      <c r="P74" s="7">
        <v>43284</v>
      </c>
      <c r="Q74" s="6" t="s">
        <v>30</v>
      </c>
      <c r="R74" s="6" t="s">
        <v>31</v>
      </c>
      <c r="S74" s="6" t="s">
        <v>32</v>
      </c>
      <c r="T74" s="8">
        <v>9425.32</v>
      </c>
      <c r="U74" s="8">
        <v>4064.2</v>
      </c>
      <c r="V74" s="8">
        <v>3753.16</v>
      </c>
      <c r="W74" s="6">
        <v>0</v>
      </c>
      <c r="X74" s="8">
        <v>1607.96</v>
      </c>
    </row>
    <row r="75" spans="1:24" x14ac:dyDescent="0.25">
      <c r="A75" s="6" t="s">
        <v>25</v>
      </c>
      <c r="B75" s="6" t="s">
        <v>26</v>
      </c>
      <c r="C75" s="6" t="s">
        <v>37</v>
      </c>
      <c r="D75" s="6" t="s">
        <v>38</v>
      </c>
      <c r="E75" s="6" t="s">
        <v>34</v>
      </c>
      <c r="F75" s="6" t="s">
        <v>48</v>
      </c>
      <c r="G75" s="6">
        <v>2017</v>
      </c>
      <c r="H75" s="6" t="str">
        <f>CONCATENATE("74240794011")</f>
        <v>74240794011</v>
      </c>
      <c r="I75" s="6" t="s">
        <v>28</v>
      </c>
      <c r="J75" s="6" t="s">
        <v>29</v>
      </c>
      <c r="K75" s="6" t="str">
        <f>CONCATENATE("")</f>
        <v/>
      </c>
      <c r="L75" s="6" t="str">
        <f>CONCATENATE("14 14.1 3a")</f>
        <v>14 14.1 3a</v>
      </c>
      <c r="M75" s="6" t="str">
        <f>CONCATENATE("STRPLA73L17B474W")</f>
        <v>STRPLA73L17B474W</v>
      </c>
      <c r="N75" s="6" t="s">
        <v>134</v>
      </c>
      <c r="O75" s="6"/>
      <c r="P75" s="7">
        <v>43284</v>
      </c>
      <c r="Q75" s="6" t="s">
        <v>30</v>
      </c>
      <c r="R75" s="6" t="s">
        <v>31</v>
      </c>
      <c r="S75" s="6" t="s">
        <v>32</v>
      </c>
      <c r="T75" s="8">
        <v>14814</v>
      </c>
      <c r="U75" s="8">
        <v>6387.8</v>
      </c>
      <c r="V75" s="8">
        <v>5898.93</v>
      </c>
      <c r="W75" s="6">
        <v>0</v>
      </c>
      <c r="X75" s="8">
        <v>2527.27</v>
      </c>
    </row>
    <row r="76" spans="1:24" ht="24.75" x14ac:dyDescent="0.25">
      <c r="A76" s="6" t="s">
        <v>25</v>
      </c>
      <c r="B76" s="6" t="s">
        <v>26</v>
      </c>
      <c r="C76" s="6" t="s">
        <v>37</v>
      </c>
      <c r="D76" s="6" t="s">
        <v>41</v>
      </c>
      <c r="E76" s="6" t="s">
        <v>34</v>
      </c>
      <c r="F76" s="6" t="s">
        <v>57</v>
      </c>
      <c r="G76" s="6">
        <v>2017</v>
      </c>
      <c r="H76" s="6" t="str">
        <f>CONCATENATE("74240855788")</f>
        <v>74240855788</v>
      </c>
      <c r="I76" s="6" t="s">
        <v>28</v>
      </c>
      <c r="J76" s="6" t="s">
        <v>29</v>
      </c>
      <c r="K76" s="6" t="str">
        <f>CONCATENATE("")</f>
        <v/>
      </c>
      <c r="L76" s="6" t="str">
        <f>CONCATENATE("14 14.1 3a")</f>
        <v>14 14.1 3a</v>
      </c>
      <c r="M76" s="6" t="str">
        <f>CONCATENATE("GRDSFR55C03Z112S")</f>
        <v>GRDSFR55C03Z112S</v>
      </c>
      <c r="N76" s="6" t="s">
        <v>135</v>
      </c>
      <c r="O76" s="6"/>
      <c r="P76" s="7">
        <v>43284</v>
      </c>
      <c r="Q76" s="6" t="s">
        <v>30</v>
      </c>
      <c r="R76" s="6" t="s">
        <v>31</v>
      </c>
      <c r="S76" s="6" t="s">
        <v>32</v>
      </c>
      <c r="T76" s="8">
        <v>2943.25</v>
      </c>
      <c r="U76" s="8">
        <v>1269.1300000000001</v>
      </c>
      <c r="V76" s="8">
        <v>1172</v>
      </c>
      <c r="W76" s="6">
        <v>0</v>
      </c>
      <c r="X76" s="6">
        <v>502.12</v>
      </c>
    </row>
    <row r="77" spans="1:24" ht="24.75" x14ac:dyDescent="0.25">
      <c r="A77" s="6" t="s">
        <v>25</v>
      </c>
      <c r="B77" s="6" t="s">
        <v>26</v>
      </c>
      <c r="C77" s="6" t="s">
        <v>37</v>
      </c>
      <c r="D77" s="6" t="s">
        <v>41</v>
      </c>
      <c r="E77" s="6" t="s">
        <v>34</v>
      </c>
      <c r="F77" s="6" t="s">
        <v>63</v>
      </c>
      <c r="G77" s="6">
        <v>2017</v>
      </c>
      <c r="H77" s="6" t="str">
        <f>CONCATENATE("74240814991")</f>
        <v>74240814991</v>
      </c>
      <c r="I77" s="6" t="s">
        <v>28</v>
      </c>
      <c r="J77" s="6" t="s">
        <v>29</v>
      </c>
      <c r="K77" s="6" t="str">
        <f>CONCATENATE("")</f>
        <v/>
      </c>
      <c r="L77" s="6" t="str">
        <f>CONCATENATE("14 14.1 3a")</f>
        <v>14 14.1 3a</v>
      </c>
      <c r="M77" s="6" t="str">
        <f>CONCATENATE("GGGGLN66H63I459X")</f>
        <v>GGGGLN66H63I459X</v>
      </c>
      <c r="N77" s="6" t="s">
        <v>136</v>
      </c>
      <c r="O77" s="6"/>
      <c r="P77" s="7">
        <v>43284</v>
      </c>
      <c r="Q77" s="6" t="s">
        <v>30</v>
      </c>
      <c r="R77" s="6" t="s">
        <v>31</v>
      </c>
      <c r="S77" s="6" t="s">
        <v>32</v>
      </c>
      <c r="T77" s="8">
        <v>6354.96</v>
      </c>
      <c r="U77" s="8">
        <v>2740.26</v>
      </c>
      <c r="V77" s="8">
        <v>2530.5500000000002</v>
      </c>
      <c r="W77" s="6">
        <v>0</v>
      </c>
      <c r="X77" s="8">
        <v>1084.1500000000001</v>
      </c>
    </row>
    <row r="78" spans="1:24" ht="24.75" x14ac:dyDescent="0.25">
      <c r="A78" s="6" t="s">
        <v>25</v>
      </c>
      <c r="B78" s="6" t="s">
        <v>26</v>
      </c>
      <c r="C78" s="6" t="s">
        <v>37</v>
      </c>
      <c r="D78" s="6" t="s">
        <v>41</v>
      </c>
      <c r="E78" s="6" t="s">
        <v>35</v>
      </c>
      <c r="F78" s="6" t="s">
        <v>137</v>
      </c>
      <c r="G78" s="6">
        <v>2017</v>
      </c>
      <c r="H78" s="6" t="str">
        <f>CONCATENATE("74240831003")</f>
        <v>74240831003</v>
      </c>
      <c r="I78" s="6" t="s">
        <v>28</v>
      </c>
      <c r="J78" s="6" t="s">
        <v>29</v>
      </c>
      <c r="K78" s="6" t="str">
        <f>CONCATENATE("")</f>
        <v/>
      </c>
      <c r="L78" s="6" t="str">
        <f>CONCATENATE("14 14.1 3a")</f>
        <v>14 14.1 3a</v>
      </c>
      <c r="M78" s="6" t="str">
        <f>CONCATENATE("02598840417")</f>
        <v>02598840417</v>
      </c>
      <c r="N78" s="6" t="s">
        <v>138</v>
      </c>
      <c r="O78" s="6"/>
      <c r="P78" s="7">
        <v>43284</v>
      </c>
      <c r="Q78" s="6" t="s">
        <v>30</v>
      </c>
      <c r="R78" s="6" t="s">
        <v>31</v>
      </c>
      <c r="S78" s="6" t="s">
        <v>32</v>
      </c>
      <c r="T78" s="8">
        <v>11879.61</v>
      </c>
      <c r="U78" s="8">
        <v>5122.49</v>
      </c>
      <c r="V78" s="8">
        <v>4730.46</v>
      </c>
      <c r="W78" s="6">
        <v>0</v>
      </c>
      <c r="X78" s="8">
        <v>2026.66</v>
      </c>
    </row>
    <row r="79" spans="1:24" ht="24.75" x14ac:dyDescent="0.25">
      <c r="A79" s="6" t="s">
        <v>25</v>
      </c>
      <c r="B79" s="6" t="s">
        <v>26</v>
      </c>
      <c r="C79" s="6" t="s">
        <v>37</v>
      </c>
      <c r="D79" s="6" t="s">
        <v>41</v>
      </c>
      <c r="E79" s="6" t="s">
        <v>27</v>
      </c>
      <c r="F79" s="6" t="s">
        <v>73</v>
      </c>
      <c r="G79" s="6">
        <v>2017</v>
      </c>
      <c r="H79" s="6" t="str">
        <f>CONCATENATE("74240903174")</f>
        <v>74240903174</v>
      </c>
      <c r="I79" s="6" t="s">
        <v>28</v>
      </c>
      <c r="J79" s="6" t="s">
        <v>29</v>
      </c>
      <c r="K79" s="6" t="str">
        <f>CONCATENATE("")</f>
        <v/>
      </c>
      <c r="L79" s="6" t="str">
        <f>CONCATENATE("14 14.1 3a")</f>
        <v>14 14.1 3a</v>
      </c>
      <c r="M79" s="6" t="str">
        <f>CONCATENATE("FLPRNG33H16D809A")</f>
        <v>FLPRNG33H16D809A</v>
      </c>
      <c r="N79" s="6" t="s">
        <v>139</v>
      </c>
      <c r="O79" s="6"/>
      <c r="P79" s="7">
        <v>43284</v>
      </c>
      <c r="Q79" s="6" t="s">
        <v>30</v>
      </c>
      <c r="R79" s="6" t="s">
        <v>31</v>
      </c>
      <c r="S79" s="6" t="s">
        <v>32</v>
      </c>
      <c r="T79" s="8">
        <v>27908.36</v>
      </c>
      <c r="U79" s="8">
        <v>12034.08</v>
      </c>
      <c r="V79" s="8">
        <v>11113.11</v>
      </c>
      <c r="W79" s="6">
        <v>0</v>
      </c>
      <c r="X79" s="8">
        <v>4761.17</v>
      </c>
    </row>
    <row r="80" spans="1:24" x14ac:dyDescent="0.25">
      <c r="A80" s="6" t="s">
        <v>25</v>
      </c>
      <c r="B80" s="6" t="s">
        <v>26</v>
      </c>
      <c r="C80" s="6" t="s">
        <v>37</v>
      </c>
      <c r="D80" s="6" t="s">
        <v>38</v>
      </c>
      <c r="E80" s="6" t="s">
        <v>34</v>
      </c>
      <c r="F80" s="6" t="s">
        <v>52</v>
      </c>
      <c r="G80" s="6">
        <v>2017</v>
      </c>
      <c r="H80" s="6" t="str">
        <f>CONCATENATE("74240861943")</f>
        <v>74240861943</v>
      </c>
      <c r="I80" s="6" t="s">
        <v>28</v>
      </c>
      <c r="J80" s="6" t="s">
        <v>29</v>
      </c>
      <c r="K80" s="6" t="str">
        <f>CONCATENATE("")</f>
        <v/>
      </c>
      <c r="L80" s="6" t="str">
        <f>CONCATENATE("14 14.1 3a")</f>
        <v>14 14.1 3a</v>
      </c>
      <c r="M80" s="6" t="str">
        <f>CONCATENATE("MRZLGN75A18L191E")</f>
        <v>MRZLGN75A18L191E</v>
      </c>
      <c r="N80" s="6" t="s">
        <v>140</v>
      </c>
      <c r="O80" s="6"/>
      <c r="P80" s="7">
        <v>43284</v>
      </c>
      <c r="Q80" s="6" t="s">
        <v>30</v>
      </c>
      <c r="R80" s="6" t="s">
        <v>31</v>
      </c>
      <c r="S80" s="6" t="s">
        <v>32</v>
      </c>
      <c r="T80" s="8">
        <v>9675</v>
      </c>
      <c r="U80" s="8">
        <v>4171.8599999999997</v>
      </c>
      <c r="V80" s="8">
        <v>3852.59</v>
      </c>
      <c r="W80" s="6">
        <v>0</v>
      </c>
      <c r="X80" s="8">
        <v>1650.55</v>
      </c>
    </row>
    <row r="81" spans="1:24" ht="24.75" x14ac:dyDescent="0.25">
      <c r="A81" s="6" t="s">
        <v>25</v>
      </c>
      <c r="B81" s="6" t="s">
        <v>26</v>
      </c>
      <c r="C81" s="6" t="s">
        <v>37</v>
      </c>
      <c r="D81" s="6" t="s">
        <v>41</v>
      </c>
      <c r="E81" s="6" t="s">
        <v>34</v>
      </c>
      <c r="F81" s="6" t="s">
        <v>141</v>
      </c>
      <c r="G81" s="6">
        <v>2017</v>
      </c>
      <c r="H81" s="6" t="str">
        <f>CONCATENATE("74240860275")</f>
        <v>74240860275</v>
      </c>
      <c r="I81" s="6" t="s">
        <v>28</v>
      </c>
      <c r="J81" s="6" t="s">
        <v>29</v>
      </c>
      <c r="K81" s="6" t="str">
        <f>CONCATENATE("")</f>
        <v/>
      </c>
      <c r="L81" s="6" t="str">
        <f>CONCATENATE("14 14.1 3a")</f>
        <v>14 14.1 3a</v>
      </c>
      <c r="M81" s="6" t="str">
        <f>CONCATENATE("01213280413")</f>
        <v>01213280413</v>
      </c>
      <c r="N81" s="6" t="s">
        <v>142</v>
      </c>
      <c r="O81" s="6"/>
      <c r="P81" s="7">
        <v>43284</v>
      </c>
      <c r="Q81" s="6" t="s">
        <v>30</v>
      </c>
      <c r="R81" s="6" t="s">
        <v>31</v>
      </c>
      <c r="S81" s="6" t="s">
        <v>32</v>
      </c>
      <c r="T81" s="8">
        <v>21434</v>
      </c>
      <c r="U81" s="8">
        <v>9242.34</v>
      </c>
      <c r="V81" s="8">
        <v>8535.02</v>
      </c>
      <c r="W81" s="6">
        <v>0</v>
      </c>
      <c r="X81" s="8">
        <v>3656.64</v>
      </c>
    </row>
    <row r="82" spans="1:24" ht="24.75" x14ac:dyDescent="0.25">
      <c r="A82" s="6" t="s">
        <v>25</v>
      </c>
      <c r="B82" s="6" t="s">
        <v>26</v>
      </c>
      <c r="C82" s="6" t="s">
        <v>37</v>
      </c>
      <c r="D82" s="6" t="s">
        <v>41</v>
      </c>
      <c r="E82" s="6" t="s">
        <v>34</v>
      </c>
      <c r="F82" s="6" t="s">
        <v>141</v>
      </c>
      <c r="G82" s="6">
        <v>2017</v>
      </c>
      <c r="H82" s="6" t="str">
        <f>CONCATENATE("74240860721")</f>
        <v>74240860721</v>
      </c>
      <c r="I82" s="6" t="s">
        <v>28</v>
      </c>
      <c r="J82" s="6" t="s">
        <v>29</v>
      </c>
      <c r="K82" s="6" t="str">
        <f>CONCATENATE("")</f>
        <v/>
      </c>
      <c r="L82" s="6" t="str">
        <f>CONCATENATE("14 14.1 3a")</f>
        <v>14 14.1 3a</v>
      </c>
      <c r="M82" s="6" t="str">
        <f>CONCATENATE("02393300419")</f>
        <v>02393300419</v>
      </c>
      <c r="N82" s="6" t="s">
        <v>143</v>
      </c>
      <c r="O82" s="6"/>
      <c r="P82" s="7">
        <v>43284</v>
      </c>
      <c r="Q82" s="6" t="s">
        <v>30</v>
      </c>
      <c r="R82" s="6" t="s">
        <v>31</v>
      </c>
      <c r="S82" s="6" t="s">
        <v>32</v>
      </c>
      <c r="T82" s="8">
        <v>23688.11</v>
      </c>
      <c r="U82" s="8">
        <v>10214.31</v>
      </c>
      <c r="V82" s="8">
        <v>9432.61</v>
      </c>
      <c r="W82" s="6">
        <v>0</v>
      </c>
      <c r="X82" s="8">
        <v>4041.19</v>
      </c>
    </row>
    <row r="83" spans="1:24" ht="24.75" x14ac:dyDescent="0.25">
      <c r="A83" s="6" t="s">
        <v>25</v>
      </c>
      <c r="B83" s="6" t="s">
        <v>26</v>
      </c>
      <c r="C83" s="6" t="s">
        <v>37</v>
      </c>
      <c r="D83" s="6" t="s">
        <v>41</v>
      </c>
      <c r="E83" s="6" t="s">
        <v>33</v>
      </c>
      <c r="F83" s="6" t="s">
        <v>144</v>
      </c>
      <c r="G83" s="6">
        <v>2017</v>
      </c>
      <c r="H83" s="6" t="str">
        <f>CONCATENATE("74240931308")</f>
        <v>74240931308</v>
      </c>
      <c r="I83" s="6" t="s">
        <v>28</v>
      </c>
      <c r="J83" s="6" t="s">
        <v>29</v>
      </c>
      <c r="K83" s="6" t="str">
        <f>CONCATENATE("")</f>
        <v/>
      </c>
      <c r="L83" s="6" t="str">
        <f>CONCATENATE("14 14.1 3a")</f>
        <v>14 14.1 3a</v>
      </c>
      <c r="M83" s="6" t="str">
        <f>CONCATENATE("BRRFRZ64E10E785F")</f>
        <v>BRRFRZ64E10E785F</v>
      </c>
      <c r="N83" s="6" t="s">
        <v>145</v>
      </c>
      <c r="O83" s="6"/>
      <c r="P83" s="7">
        <v>43284</v>
      </c>
      <c r="Q83" s="6" t="s">
        <v>30</v>
      </c>
      <c r="R83" s="6" t="s">
        <v>31</v>
      </c>
      <c r="S83" s="6" t="s">
        <v>32</v>
      </c>
      <c r="T83" s="8">
        <v>7201</v>
      </c>
      <c r="U83" s="8">
        <v>3105.07</v>
      </c>
      <c r="V83" s="8">
        <v>2867.44</v>
      </c>
      <c r="W83" s="6">
        <v>0</v>
      </c>
      <c r="X83" s="8">
        <v>1228.49</v>
      </c>
    </row>
    <row r="84" spans="1:24" ht="24.75" x14ac:dyDescent="0.25">
      <c r="A84" s="6" t="s">
        <v>25</v>
      </c>
      <c r="B84" s="6" t="s">
        <v>26</v>
      </c>
      <c r="C84" s="6" t="s">
        <v>37</v>
      </c>
      <c r="D84" s="6" t="s">
        <v>41</v>
      </c>
      <c r="E84" s="6" t="s">
        <v>35</v>
      </c>
      <c r="F84" s="6" t="s">
        <v>137</v>
      </c>
      <c r="G84" s="6">
        <v>2017</v>
      </c>
      <c r="H84" s="6" t="str">
        <f>CONCATENATE("74240671318")</f>
        <v>74240671318</v>
      </c>
      <c r="I84" s="6" t="s">
        <v>28</v>
      </c>
      <c r="J84" s="6" t="s">
        <v>29</v>
      </c>
      <c r="K84" s="6" t="str">
        <f>CONCATENATE("")</f>
        <v/>
      </c>
      <c r="L84" s="6" t="str">
        <f>CONCATENATE("14 14.1 3a")</f>
        <v>14 14.1 3a</v>
      </c>
      <c r="M84" s="6" t="str">
        <f>CONCATENATE("02600130419")</f>
        <v>02600130419</v>
      </c>
      <c r="N84" s="6" t="s">
        <v>146</v>
      </c>
      <c r="O84" s="6"/>
      <c r="P84" s="7">
        <v>43284</v>
      </c>
      <c r="Q84" s="6" t="s">
        <v>30</v>
      </c>
      <c r="R84" s="6" t="s">
        <v>31</v>
      </c>
      <c r="S84" s="6" t="s">
        <v>32</v>
      </c>
      <c r="T84" s="8">
        <v>6425</v>
      </c>
      <c r="U84" s="8">
        <v>2770.46</v>
      </c>
      <c r="V84" s="8">
        <v>2558.44</v>
      </c>
      <c r="W84" s="6">
        <v>0</v>
      </c>
      <c r="X84" s="8">
        <v>1096.0999999999999</v>
      </c>
    </row>
    <row r="85" spans="1:24" ht="24.75" x14ac:dyDescent="0.25">
      <c r="A85" s="6" t="s">
        <v>25</v>
      </c>
      <c r="B85" s="6" t="s">
        <v>26</v>
      </c>
      <c r="C85" s="6" t="s">
        <v>37</v>
      </c>
      <c r="D85" s="6" t="s">
        <v>41</v>
      </c>
      <c r="E85" s="6" t="s">
        <v>33</v>
      </c>
      <c r="F85" s="6" t="s">
        <v>98</v>
      </c>
      <c r="G85" s="6">
        <v>2017</v>
      </c>
      <c r="H85" s="6" t="str">
        <f>CONCATENATE("74240568787")</f>
        <v>74240568787</v>
      </c>
      <c r="I85" s="6" t="s">
        <v>28</v>
      </c>
      <c r="J85" s="6" t="s">
        <v>29</v>
      </c>
      <c r="K85" s="6" t="str">
        <f>CONCATENATE("")</f>
        <v/>
      </c>
      <c r="L85" s="6" t="str">
        <f>CONCATENATE("14 14.1 3a")</f>
        <v>14 14.1 3a</v>
      </c>
      <c r="M85" s="6" t="str">
        <f>CONCATENATE("CSTNTN50H12B352B")</f>
        <v>CSTNTN50H12B352B</v>
      </c>
      <c r="N85" s="6" t="s">
        <v>147</v>
      </c>
      <c r="O85" s="6"/>
      <c r="P85" s="7">
        <v>43284</v>
      </c>
      <c r="Q85" s="6" t="s">
        <v>30</v>
      </c>
      <c r="R85" s="6" t="s">
        <v>31</v>
      </c>
      <c r="S85" s="6" t="s">
        <v>32</v>
      </c>
      <c r="T85" s="8">
        <v>18918.400000000001</v>
      </c>
      <c r="U85" s="8">
        <v>8157.61</v>
      </c>
      <c r="V85" s="8">
        <v>7533.31</v>
      </c>
      <c r="W85" s="6">
        <v>0</v>
      </c>
      <c r="X85" s="8">
        <v>3227.48</v>
      </c>
    </row>
    <row r="86" spans="1:24" ht="24.75" x14ac:dyDescent="0.25">
      <c r="A86" s="6" t="s">
        <v>25</v>
      </c>
      <c r="B86" s="6" t="s">
        <v>26</v>
      </c>
      <c r="C86" s="6" t="s">
        <v>37</v>
      </c>
      <c r="D86" s="6" t="s">
        <v>60</v>
      </c>
      <c r="E86" s="6" t="s">
        <v>33</v>
      </c>
      <c r="F86" s="6" t="s">
        <v>104</v>
      </c>
      <c r="G86" s="6">
        <v>2017</v>
      </c>
      <c r="H86" s="6" t="str">
        <f>CONCATENATE("74240639042")</f>
        <v>74240639042</v>
      </c>
      <c r="I86" s="6" t="s">
        <v>28</v>
      </c>
      <c r="J86" s="6" t="s">
        <v>29</v>
      </c>
      <c r="K86" s="6" t="str">
        <f>CONCATENATE("")</f>
        <v/>
      </c>
      <c r="L86" s="6" t="str">
        <f>CONCATENATE("14 14.1 3a")</f>
        <v>14 14.1 3a</v>
      </c>
      <c r="M86" s="6" t="str">
        <f>CONCATENATE("MGNDNC60L09I461C")</f>
        <v>MGNDNC60L09I461C</v>
      </c>
      <c r="N86" s="6" t="s">
        <v>148</v>
      </c>
      <c r="O86" s="6"/>
      <c r="P86" s="7">
        <v>43284</v>
      </c>
      <c r="Q86" s="6" t="s">
        <v>30</v>
      </c>
      <c r="R86" s="6" t="s">
        <v>31</v>
      </c>
      <c r="S86" s="6" t="s">
        <v>32</v>
      </c>
      <c r="T86" s="8">
        <v>6671.4</v>
      </c>
      <c r="U86" s="8">
        <v>2876.71</v>
      </c>
      <c r="V86" s="8">
        <v>2656.55</v>
      </c>
      <c r="W86" s="6">
        <v>0</v>
      </c>
      <c r="X86" s="8">
        <v>1138.1400000000001</v>
      </c>
    </row>
    <row r="87" spans="1:24" ht="24.75" x14ac:dyDescent="0.25">
      <c r="A87" s="6" t="s">
        <v>25</v>
      </c>
      <c r="B87" s="6" t="s">
        <v>26</v>
      </c>
      <c r="C87" s="6" t="s">
        <v>37</v>
      </c>
      <c r="D87" s="6" t="s">
        <v>41</v>
      </c>
      <c r="E87" s="6" t="s">
        <v>34</v>
      </c>
      <c r="F87" s="6" t="s">
        <v>87</v>
      </c>
      <c r="G87" s="6">
        <v>2017</v>
      </c>
      <c r="H87" s="6" t="str">
        <f>CONCATENATE("74240709225")</f>
        <v>74240709225</v>
      </c>
      <c r="I87" s="6" t="s">
        <v>28</v>
      </c>
      <c r="J87" s="6" t="s">
        <v>29</v>
      </c>
      <c r="K87" s="6" t="str">
        <f>CONCATENATE("")</f>
        <v/>
      </c>
      <c r="L87" s="6" t="str">
        <f>CONCATENATE("14 14.1 3a")</f>
        <v>14 14.1 3a</v>
      </c>
      <c r="M87" s="6" t="str">
        <f>CONCATENATE("BRCPNG56R25A327B")</f>
        <v>BRCPNG56R25A327B</v>
      </c>
      <c r="N87" s="6" t="s">
        <v>149</v>
      </c>
      <c r="O87" s="6"/>
      <c r="P87" s="7">
        <v>43284</v>
      </c>
      <c r="Q87" s="6" t="s">
        <v>30</v>
      </c>
      <c r="R87" s="6" t="s">
        <v>31</v>
      </c>
      <c r="S87" s="6" t="s">
        <v>32</v>
      </c>
      <c r="T87" s="8">
        <v>6607.19</v>
      </c>
      <c r="U87" s="8">
        <v>2849.02</v>
      </c>
      <c r="V87" s="8">
        <v>2630.98</v>
      </c>
      <c r="W87" s="6">
        <v>0</v>
      </c>
      <c r="X87" s="8">
        <v>1127.19</v>
      </c>
    </row>
    <row r="88" spans="1:24" x14ac:dyDescent="0.25">
      <c r="A88" s="6" t="s">
        <v>25</v>
      </c>
      <c r="B88" s="6" t="s">
        <v>26</v>
      </c>
      <c r="C88" s="6" t="s">
        <v>37</v>
      </c>
      <c r="D88" s="6" t="s">
        <v>38</v>
      </c>
      <c r="E88" s="6" t="s">
        <v>34</v>
      </c>
      <c r="F88" s="6" t="s">
        <v>48</v>
      </c>
      <c r="G88" s="6">
        <v>2017</v>
      </c>
      <c r="H88" s="6" t="str">
        <f>CONCATENATE("74240790845")</f>
        <v>74240790845</v>
      </c>
      <c r="I88" s="6" t="s">
        <v>28</v>
      </c>
      <c r="J88" s="6" t="s">
        <v>29</v>
      </c>
      <c r="K88" s="6" t="str">
        <f>CONCATENATE("")</f>
        <v/>
      </c>
      <c r="L88" s="6" t="str">
        <f>CONCATENATE("14 14.1 3a")</f>
        <v>14 14.1 3a</v>
      </c>
      <c r="M88" s="6" t="str">
        <f>CONCATENATE("PLDFNC39T15I569K")</f>
        <v>PLDFNC39T15I569K</v>
      </c>
      <c r="N88" s="6" t="s">
        <v>150</v>
      </c>
      <c r="O88" s="6"/>
      <c r="P88" s="7">
        <v>43284</v>
      </c>
      <c r="Q88" s="6" t="s">
        <v>30</v>
      </c>
      <c r="R88" s="6" t="s">
        <v>31</v>
      </c>
      <c r="S88" s="6" t="s">
        <v>32</v>
      </c>
      <c r="T88" s="8">
        <v>8922.2000000000007</v>
      </c>
      <c r="U88" s="8">
        <v>3847.25</v>
      </c>
      <c r="V88" s="8">
        <v>3552.82</v>
      </c>
      <c r="W88" s="6">
        <v>0</v>
      </c>
      <c r="X88" s="8">
        <v>1522.13</v>
      </c>
    </row>
    <row r="89" spans="1:24" ht="24.75" x14ac:dyDescent="0.25">
      <c r="A89" s="6" t="s">
        <v>25</v>
      </c>
      <c r="B89" s="6" t="s">
        <v>26</v>
      </c>
      <c r="C89" s="6" t="s">
        <v>37</v>
      </c>
      <c r="D89" s="6" t="s">
        <v>41</v>
      </c>
      <c r="E89" s="6" t="s">
        <v>33</v>
      </c>
      <c r="F89" s="6" t="s">
        <v>144</v>
      </c>
      <c r="G89" s="6">
        <v>2017</v>
      </c>
      <c r="H89" s="6" t="str">
        <f>CONCATENATE("74240788294")</f>
        <v>74240788294</v>
      </c>
      <c r="I89" s="6" t="s">
        <v>28</v>
      </c>
      <c r="J89" s="6" t="s">
        <v>29</v>
      </c>
      <c r="K89" s="6" t="str">
        <f>CONCATENATE("")</f>
        <v/>
      </c>
      <c r="L89" s="6" t="str">
        <f>CONCATENATE("14 14.1 3a")</f>
        <v>14 14.1 3a</v>
      </c>
      <c r="M89" s="6" t="str">
        <f>CONCATENATE("MBRRNG69A28F839I")</f>
        <v>MBRRNG69A28F839I</v>
      </c>
      <c r="N89" s="6" t="s">
        <v>151</v>
      </c>
      <c r="O89" s="6"/>
      <c r="P89" s="7">
        <v>43284</v>
      </c>
      <c r="Q89" s="6" t="s">
        <v>30</v>
      </c>
      <c r="R89" s="6" t="s">
        <v>31</v>
      </c>
      <c r="S89" s="6" t="s">
        <v>32</v>
      </c>
      <c r="T89" s="8">
        <v>8061.6</v>
      </c>
      <c r="U89" s="8">
        <v>3476.16</v>
      </c>
      <c r="V89" s="8">
        <v>3210.13</v>
      </c>
      <c r="W89" s="6">
        <v>0</v>
      </c>
      <c r="X89" s="8">
        <v>1375.31</v>
      </c>
    </row>
    <row r="90" spans="1:24" x14ac:dyDescent="0.25">
      <c r="A90" s="6" t="s">
        <v>25</v>
      </c>
      <c r="B90" s="6" t="s">
        <v>26</v>
      </c>
      <c r="C90" s="6" t="s">
        <v>37</v>
      </c>
      <c r="D90" s="6" t="s">
        <v>38</v>
      </c>
      <c r="E90" s="6" t="s">
        <v>34</v>
      </c>
      <c r="F90" s="6" t="s">
        <v>48</v>
      </c>
      <c r="G90" s="6">
        <v>2017</v>
      </c>
      <c r="H90" s="6" t="str">
        <f>CONCATENATE("74240788690")</f>
        <v>74240788690</v>
      </c>
      <c r="I90" s="6" t="s">
        <v>28</v>
      </c>
      <c r="J90" s="6" t="s">
        <v>29</v>
      </c>
      <c r="K90" s="6" t="str">
        <f>CONCATENATE("")</f>
        <v/>
      </c>
      <c r="L90" s="6" t="str">
        <f>CONCATENATE("14 14.1 3a")</f>
        <v>14 14.1 3a</v>
      </c>
      <c r="M90" s="6" t="str">
        <f>CONCATENATE("DMNRTI46P66I569J")</f>
        <v>DMNRTI46P66I569J</v>
      </c>
      <c r="N90" s="6" t="s">
        <v>152</v>
      </c>
      <c r="O90" s="6"/>
      <c r="P90" s="7">
        <v>43284</v>
      </c>
      <c r="Q90" s="6" t="s">
        <v>30</v>
      </c>
      <c r="R90" s="6" t="s">
        <v>31</v>
      </c>
      <c r="S90" s="6" t="s">
        <v>32</v>
      </c>
      <c r="T90" s="8">
        <v>16270.4</v>
      </c>
      <c r="U90" s="8">
        <v>7015.8</v>
      </c>
      <c r="V90" s="8">
        <v>6478.87</v>
      </c>
      <c r="W90" s="6">
        <v>0</v>
      </c>
      <c r="X90" s="8">
        <v>2775.73</v>
      </c>
    </row>
    <row r="91" spans="1:24" ht="24.75" x14ac:dyDescent="0.25">
      <c r="A91" s="6" t="s">
        <v>25</v>
      </c>
      <c r="B91" s="6" t="s">
        <v>26</v>
      </c>
      <c r="C91" s="6" t="s">
        <v>37</v>
      </c>
      <c r="D91" s="6" t="s">
        <v>60</v>
      </c>
      <c r="E91" s="6" t="s">
        <v>33</v>
      </c>
      <c r="F91" s="6" t="s">
        <v>104</v>
      </c>
      <c r="G91" s="6">
        <v>2017</v>
      </c>
      <c r="H91" s="6" t="str">
        <f>CONCATENATE("74240844154")</f>
        <v>74240844154</v>
      </c>
      <c r="I91" s="6" t="s">
        <v>28</v>
      </c>
      <c r="J91" s="6" t="s">
        <v>29</v>
      </c>
      <c r="K91" s="6" t="str">
        <f>CONCATENATE("")</f>
        <v/>
      </c>
      <c r="L91" s="6" t="str">
        <f>CONCATENATE("14 14.1 3a")</f>
        <v>14 14.1 3a</v>
      </c>
      <c r="M91" s="6" t="str">
        <f>CONCATENATE("PTRGZN57T29A366B")</f>
        <v>PTRGZN57T29A366B</v>
      </c>
      <c r="N91" s="6" t="s">
        <v>153</v>
      </c>
      <c r="O91" s="6"/>
      <c r="P91" s="7">
        <v>43284</v>
      </c>
      <c r="Q91" s="6" t="s">
        <v>30</v>
      </c>
      <c r="R91" s="6" t="s">
        <v>31</v>
      </c>
      <c r="S91" s="6" t="s">
        <v>32</v>
      </c>
      <c r="T91" s="8">
        <v>9140.66</v>
      </c>
      <c r="U91" s="8">
        <v>3941.45</v>
      </c>
      <c r="V91" s="8">
        <v>3639.81</v>
      </c>
      <c r="W91" s="6">
        <v>0</v>
      </c>
      <c r="X91" s="8">
        <v>1559.4</v>
      </c>
    </row>
    <row r="92" spans="1:24" ht="24.75" x14ac:dyDescent="0.25">
      <c r="A92" s="6" t="s">
        <v>25</v>
      </c>
      <c r="B92" s="6" t="s">
        <v>26</v>
      </c>
      <c r="C92" s="6" t="s">
        <v>37</v>
      </c>
      <c r="D92" s="6" t="s">
        <v>60</v>
      </c>
      <c r="E92" s="6" t="s">
        <v>36</v>
      </c>
      <c r="F92" s="6" t="s">
        <v>154</v>
      </c>
      <c r="G92" s="6">
        <v>2017</v>
      </c>
      <c r="H92" s="6" t="str">
        <f>CONCATENATE("74240839808")</f>
        <v>74240839808</v>
      </c>
      <c r="I92" s="6" t="s">
        <v>28</v>
      </c>
      <c r="J92" s="6" t="s">
        <v>29</v>
      </c>
      <c r="K92" s="6" t="str">
        <f>CONCATENATE("")</f>
        <v/>
      </c>
      <c r="L92" s="6" t="str">
        <f>CONCATENATE("14 14.1 3a")</f>
        <v>14 14.1 3a</v>
      </c>
      <c r="M92" s="6" t="str">
        <f>CONCATENATE("02200520423")</f>
        <v>02200520423</v>
      </c>
      <c r="N92" s="6" t="s">
        <v>155</v>
      </c>
      <c r="O92" s="6"/>
      <c r="P92" s="7">
        <v>43284</v>
      </c>
      <c r="Q92" s="6" t="s">
        <v>30</v>
      </c>
      <c r="R92" s="6" t="s">
        <v>31</v>
      </c>
      <c r="S92" s="6" t="s">
        <v>32</v>
      </c>
      <c r="T92" s="8">
        <v>19715</v>
      </c>
      <c r="U92" s="8">
        <v>8501.11</v>
      </c>
      <c r="V92" s="8">
        <v>7850.51</v>
      </c>
      <c r="W92" s="6">
        <v>0</v>
      </c>
      <c r="X92" s="8">
        <v>3363.38</v>
      </c>
    </row>
    <row r="93" spans="1:24" ht="24.75" x14ac:dyDescent="0.25">
      <c r="A93" s="6" t="s">
        <v>25</v>
      </c>
      <c r="B93" s="6" t="s">
        <v>26</v>
      </c>
      <c r="C93" s="6" t="s">
        <v>37</v>
      </c>
      <c r="D93" s="6" t="s">
        <v>41</v>
      </c>
      <c r="E93" s="6" t="s">
        <v>33</v>
      </c>
      <c r="F93" s="6" t="s">
        <v>144</v>
      </c>
      <c r="G93" s="6">
        <v>2017</v>
      </c>
      <c r="H93" s="6" t="str">
        <f>CONCATENATE("74240791017")</f>
        <v>74240791017</v>
      </c>
      <c r="I93" s="6" t="s">
        <v>28</v>
      </c>
      <c r="J93" s="6" t="s">
        <v>29</v>
      </c>
      <c r="K93" s="6" t="str">
        <f>CONCATENATE("")</f>
        <v/>
      </c>
      <c r="L93" s="6" t="str">
        <f>CONCATENATE("14 14.1 3a")</f>
        <v>14 14.1 3a</v>
      </c>
      <c r="M93" s="6" t="str">
        <f>CONCATENATE("CLSGCR50R28F467F")</f>
        <v>CLSGCR50R28F467F</v>
      </c>
      <c r="N93" s="6" t="s">
        <v>156</v>
      </c>
      <c r="O93" s="6"/>
      <c r="P93" s="7">
        <v>43284</v>
      </c>
      <c r="Q93" s="6" t="s">
        <v>30</v>
      </c>
      <c r="R93" s="6" t="s">
        <v>31</v>
      </c>
      <c r="S93" s="6" t="s">
        <v>32</v>
      </c>
      <c r="T93" s="8">
        <v>8375</v>
      </c>
      <c r="U93" s="8">
        <v>3611.3</v>
      </c>
      <c r="V93" s="8">
        <v>3334.93</v>
      </c>
      <c r="W93" s="6">
        <v>0</v>
      </c>
      <c r="X93" s="8">
        <v>1428.77</v>
      </c>
    </row>
    <row r="94" spans="1:24" ht="24.75" x14ac:dyDescent="0.25">
      <c r="A94" s="6" t="s">
        <v>25</v>
      </c>
      <c r="B94" s="6" t="s">
        <v>26</v>
      </c>
      <c r="C94" s="6" t="s">
        <v>37</v>
      </c>
      <c r="D94" s="6" t="s">
        <v>41</v>
      </c>
      <c r="E94" s="6" t="s">
        <v>34</v>
      </c>
      <c r="F94" s="6" t="s">
        <v>63</v>
      </c>
      <c r="G94" s="6">
        <v>2017</v>
      </c>
      <c r="H94" s="6" t="str">
        <f>CONCATENATE("74240815113")</f>
        <v>74240815113</v>
      </c>
      <c r="I94" s="6" t="s">
        <v>28</v>
      </c>
      <c r="J94" s="6" t="s">
        <v>29</v>
      </c>
      <c r="K94" s="6" t="str">
        <f>CONCATENATE("")</f>
        <v/>
      </c>
      <c r="L94" s="6" t="str">
        <f>CONCATENATE("14 14.1 3a")</f>
        <v>14 14.1 3a</v>
      </c>
      <c r="M94" s="6" t="str">
        <f>CONCATENATE("GRSMNL61D65F205W")</f>
        <v>GRSMNL61D65F205W</v>
      </c>
      <c r="N94" s="6" t="s">
        <v>157</v>
      </c>
      <c r="O94" s="6"/>
      <c r="P94" s="7">
        <v>43284</v>
      </c>
      <c r="Q94" s="6" t="s">
        <v>30</v>
      </c>
      <c r="R94" s="6" t="s">
        <v>31</v>
      </c>
      <c r="S94" s="6" t="s">
        <v>32</v>
      </c>
      <c r="T94" s="8">
        <v>9015.25</v>
      </c>
      <c r="U94" s="8">
        <v>3887.38</v>
      </c>
      <c r="V94" s="8">
        <v>3589.87</v>
      </c>
      <c r="W94" s="6">
        <v>0</v>
      </c>
      <c r="X94" s="8">
        <v>1538</v>
      </c>
    </row>
    <row r="95" spans="1:24" ht="24.75" x14ac:dyDescent="0.25">
      <c r="A95" s="6" t="s">
        <v>25</v>
      </c>
      <c r="B95" s="6" t="s">
        <v>26</v>
      </c>
      <c r="C95" s="6" t="s">
        <v>37</v>
      </c>
      <c r="D95" s="6" t="s">
        <v>41</v>
      </c>
      <c r="E95" s="6" t="s">
        <v>33</v>
      </c>
      <c r="F95" s="6" t="s">
        <v>144</v>
      </c>
      <c r="G95" s="6">
        <v>2017</v>
      </c>
      <c r="H95" s="6" t="str">
        <f>CONCATENATE("74240791173")</f>
        <v>74240791173</v>
      </c>
      <c r="I95" s="6" t="s">
        <v>28</v>
      </c>
      <c r="J95" s="6" t="s">
        <v>29</v>
      </c>
      <c r="K95" s="6" t="str">
        <f>CONCATENATE("")</f>
        <v/>
      </c>
      <c r="L95" s="6" t="str">
        <f>CONCATENATE("14 14.1 3a")</f>
        <v>14 14.1 3a</v>
      </c>
      <c r="M95" s="6" t="str">
        <f>CONCATENATE("GGGNMR60S53Z130W")</f>
        <v>GGGNMR60S53Z130W</v>
      </c>
      <c r="N95" s="6" t="s">
        <v>158</v>
      </c>
      <c r="O95" s="6"/>
      <c r="P95" s="7">
        <v>43284</v>
      </c>
      <c r="Q95" s="6" t="s">
        <v>30</v>
      </c>
      <c r="R95" s="6" t="s">
        <v>31</v>
      </c>
      <c r="S95" s="6" t="s">
        <v>32</v>
      </c>
      <c r="T95" s="8">
        <v>19580.400000000001</v>
      </c>
      <c r="U95" s="8">
        <v>8443.07</v>
      </c>
      <c r="V95" s="8">
        <v>7796.92</v>
      </c>
      <c r="W95" s="6">
        <v>0</v>
      </c>
      <c r="X95" s="8">
        <v>3340.41</v>
      </c>
    </row>
    <row r="96" spans="1:24" ht="24.75" x14ac:dyDescent="0.25">
      <c r="A96" s="6" t="s">
        <v>25</v>
      </c>
      <c r="B96" s="6" t="s">
        <v>26</v>
      </c>
      <c r="C96" s="6" t="s">
        <v>37</v>
      </c>
      <c r="D96" s="6" t="s">
        <v>41</v>
      </c>
      <c r="E96" s="6" t="s">
        <v>34</v>
      </c>
      <c r="F96" s="6" t="s">
        <v>63</v>
      </c>
      <c r="G96" s="6">
        <v>2017</v>
      </c>
      <c r="H96" s="6" t="str">
        <f>CONCATENATE("74240815451")</f>
        <v>74240815451</v>
      </c>
      <c r="I96" s="6" t="s">
        <v>28</v>
      </c>
      <c r="J96" s="6" t="s">
        <v>29</v>
      </c>
      <c r="K96" s="6" t="str">
        <f>CONCATENATE("")</f>
        <v/>
      </c>
      <c r="L96" s="6" t="str">
        <f>CONCATENATE("14 14.1 3a")</f>
        <v>14 14.1 3a</v>
      </c>
      <c r="M96" s="6" t="str">
        <f>CONCATENATE("RSSPPL61H25I459C")</f>
        <v>RSSPPL61H25I459C</v>
      </c>
      <c r="N96" s="6" t="s">
        <v>159</v>
      </c>
      <c r="O96" s="6"/>
      <c r="P96" s="7">
        <v>43284</v>
      </c>
      <c r="Q96" s="6" t="s">
        <v>30</v>
      </c>
      <c r="R96" s="6" t="s">
        <v>31</v>
      </c>
      <c r="S96" s="6" t="s">
        <v>32</v>
      </c>
      <c r="T96" s="8">
        <v>29047</v>
      </c>
      <c r="U96" s="8">
        <v>12525.07</v>
      </c>
      <c r="V96" s="8">
        <v>11566.52</v>
      </c>
      <c r="W96" s="6">
        <v>0</v>
      </c>
      <c r="X96" s="8">
        <v>4955.41</v>
      </c>
    </row>
    <row r="97" spans="1:24" ht="24.75" x14ac:dyDescent="0.25">
      <c r="A97" s="6" t="s">
        <v>25</v>
      </c>
      <c r="B97" s="6" t="s">
        <v>26</v>
      </c>
      <c r="C97" s="6" t="s">
        <v>37</v>
      </c>
      <c r="D97" s="6" t="s">
        <v>41</v>
      </c>
      <c r="E97" s="6" t="s">
        <v>34</v>
      </c>
      <c r="F97" s="6" t="s">
        <v>63</v>
      </c>
      <c r="G97" s="6">
        <v>2017</v>
      </c>
      <c r="H97" s="6" t="str">
        <f>CONCATENATE("74240816889")</f>
        <v>74240816889</v>
      </c>
      <c r="I97" s="6" t="s">
        <v>28</v>
      </c>
      <c r="J97" s="6" t="s">
        <v>29</v>
      </c>
      <c r="K97" s="6" t="str">
        <f>CONCATENATE("")</f>
        <v/>
      </c>
      <c r="L97" s="6" t="str">
        <f>CONCATENATE("14 14.1 3a")</f>
        <v>14 14.1 3a</v>
      </c>
      <c r="M97" s="6" t="str">
        <f>CONCATENATE("BBEMLE64R22B816W")</f>
        <v>BBEMLE64R22B816W</v>
      </c>
      <c r="N97" s="6" t="s">
        <v>160</v>
      </c>
      <c r="O97" s="6"/>
      <c r="P97" s="7">
        <v>43284</v>
      </c>
      <c r="Q97" s="6" t="s">
        <v>30</v>
      </c>
      <c r="R97" s="6" t="s">
        <v>31</v>
      </c>
      <c r="S97" s="6" t="s">
        <v>32</v>
      </c>
      <c r="T97" s="8">
        <v>8167</v>
      </c>
      <c r="U97" s="8">
        <v>3521.61</v>
      </c>
      <c r="V97" s="8">
        <v>3252.1</v>
      </c>
      <c r="W97" s="6">
        <v>0</v>
      </c>
      <c r="X97" s="8">
        <v>1393.29</v>
      </c>
    </row>
    <row r="98" spans="1:24" ht="24.75" x14ac:dyDescent="0.25">
      <c r="A98" s="6" t="s">
        <v>25</v>
      </c>
      <c r="B98" s="6" t="s">
        <v>26</v>
      </c>
      <c r="C98" s="6" t="s">
        <v>37</v>
      </c>
      <c r="D98" s="6" t="s">
        <v>41</v>
      </c>
      <c r="E98" s="6" t="s">
        <v>33</v>
      </c>
      <c r="F98" s="6" t="s">
        <v>144</v>
      </c>
      <c r="G98" s="6">
        <v>2017</v>
      </c>
      <c r="H98" s="6" t="str">
        <f>CONCATENATE("74240933320")</f>
        <v>74240933320</v>
      </c>
      <c r="I98" s="6" t="s">
        <v>28</v>
      </c>
      <c r="J98" s="6" t="s">
        <v>29</v>
      </c>
      <c r="K98" s="6" t="str">
        <f>CONCATENATE("")</f>
        <v/>
      </c>
      <c r="L98" s="6" t="str">
        <f>CONCATENATE("14 14.1 3a")</f>
        <v>14 14.1 3a</v>
      </c>
      <c r="M98" s="6" t="str">
        <f>CONCATENATE("BRRGCR61R30Z130G")</f>
        <v>BRRGCR61R30Z130G</v>
      </c>
      <c r="N98" s="6" t="s">
        <v>161</v>
      </c>
      <c r="O98" s="6"/>
      <c r="P98" s="7">
        <v>43284</v>
      </c>
      <c r="Q98" s="6" t="s">
        <v>30</v>
      </c>
      <c r="R98" s="6" t="s">
        <v>31</v>
      </c>
      <c r="S98" s="6" t="s">
        <v>32</v>
      </c>
      <c r="T98" s="8">
        <v>5347.4</v>
      </c>
      <c r="U98" s="8">
        <v>2305.8000000000002</v>
      </c>
      <c r="V98" s="8">
        <v>2129.33</v>
      </c>
      <c r="W98" s="6">
        <v>0</v>
      </c>
      <c r="X98" s="6">
        <v>912.27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2018-07-12T15:11:55Z</dcterms:created>
  <dcterms:modified xsi:type="dcterms:W3CDTF">2018-07-12T15:12:31Z</dcterms:modified>
</cp:coreProperties>
</file>