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_completo\BACKUP_cartella_Documenti\INVIO_DECRETI_A_REGIONIeCAA\Programmazione_2014-2020 (Settore 70-88)\Decreto n. 167\"/>
    </mc:Choice>
  </mc:AlternateContent>
  <xr:revisionPtr revIDLastSave="0" documentId="8_{9E2D71A5-0D95-4DCD-90CD-2E0D1D6919E0}" xr6:coauthVersionLast="31" xr6:coauthVersionMax="31" xr10:uidLastSave="{00000000-0000-0000-0000-000000000000}"/>
  <bookViews>
    <workbookView xWindow="0" yWindow="0" windowWidth="28800" windowHeight="11625" xr2:uid="{4B8DA03A-662C-43A1-96BB-E7A91996F3B8}"/>
  </bookViews>
  <sheets>
    <sheet name="Dettaglio_Domande_Pagabili_AGEA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7" i="1" l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<sst xmlns="http://schemas.openxmlformats.org/spreadsheetml/2006/main" count="1507" uniqueCount="195">
  <si>
    <t>Dettaglio Domande Pagabili Decreto 167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</si>
  <si>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</si>
  <si>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</si>
  <si>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</si>
  <si>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</si>
  <si>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</si>
  <si>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</si>
  <si>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</si>
  <si>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</si>
  <si>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</si>
  <si>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</si>
  <si>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</si>
  <si>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</si>
  <si>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</si>
  <si>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</si>
  <si>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</si>
  <si>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</si>
  <si>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</si>
  <si>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</si>
  <si>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</si>
  <si>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</si>
  <si>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</si>
  <si>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</si>
  <si>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</si>
  <si>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</si>
  <si>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</si>
  <si>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</si>
  <si>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Coldiretti srl</t>
  </si>
  <si>
    <t>NO</t>
  </si>
  <si>
    <t>Trascinamenti</t>
  </si>
  <si>
    <t>In Liquidazione</t>
  </si>
  <si>
    <t>Saldo</t>
  </si>
  <si>
    <t>Co-Finanziato</t>
  </si>
  <si>
    <t>CAA Confagricoltura srl</t>
  </si>
  <si>
    <t>Misure Strutturali</t>
  </si>
  <si>
    <t>Nuova Programmazione</t>
  </si>
  <si>
    <t>Anticipo</t>
  </si>
  <si>
    <t>CAA CIA srl</t>
  </si>
  <si>
    <t>CAA LiberiAgricoltori srl già CAA AGCI srl</t>
  </si>
  <si>
    <t>SAL</t>
  </si>
  <si>
    <t>IN PROPRIO</t>
  </si>
  <si>
    <t>CAA degli Agricoltori Srl</t>
  </si>
  <si>
    <t>CAA UNICAA srl</t>
  </si>
  <si>
    <t>CAA-CAF AGRI S.R.L.</t>
  </si>
  <si>
    <t>SI</t>
  </si>
  <si>
    <t>CAA Degli Agricoltori - ROMA - 101</t>
  </si>
  <si>
    <t>MARCHE</t>
  </si>
  <si>
    <t>SERV. DEC. AGRICOLTURA E ALIM. -ASCOLI PICENO</t>
  </si>
  <si>
    <t>CAA CIA - ASCOLI PICENO - 004</t>
  </si>
  <si>
    <t>SOCIETA' AGRICOLA F.LLI GRILLI S.S. DI GRILLI GIANMARCO E GRILLI PIERP</t>
  </si>
  <si>
    <t>AGEA.ASR.2018.0587725</t>
  </si>
  <si>
    <t>CAA CAF AGRI - ASCOLI PICENO - 222</t>
  </si>
  <si>
    <t>CORBELLI LUIGINO</t>
  </si>
  <si>
    <t>CAA Coldiretti - FERMO - 001</t>
  </si>
  <si>
    <t>PICIOTTI IACOPO</t>
  </si>
  <si>
    <t>CAA Coldiretti - ASCOLI PICENO - 040</t>
  </si>
  <si>
    <t>MOLINI E PASTIFICI 1875 SOCIETA' AGRICOLA A R.L.</t>
  </si>
  <si>
    <t>CAA UNICAA - ASCOLI PICENO - 004</t>
  </si>
  <si>
    <t>MERCURI MICHELE</t>
  </si>
  <si>
    <t>PODERI DE MARTE DEI F.LLI CAPANNELLI MARINO E ROBERTO S.S.- SOCIE TA'</t>
  </si>
  <si>
    <t>SERV. DEC. AGRICOLTURA E ALIMENTAZIONE - PESARO</t>
  </si>
  <si>
    <t>CAA CIA - PESARO E URBINO - 006</t>
  </si>
  <si>
    <t>ORAZIETTI GIACOMO</t>
  </si>
  <si>
    <t>AGEA.ASR.2018.0592047</t>
  </si>
  <si>
    <t>CAA LiberiAgricoltori - PESARO E URBINO - 002</t>
  </si>
  <si>
    <t>MANCINI DANILO</t>
  </si>
  <si>
    <t>LE VIGNE DI CLEMENTINA FABI SOCIETA' AGRICOLA A R. L.</t>
  </si>
  <si>
    <t>AGEA.ASR.2018.0636120</t>
  </si>
  <si>
    <t>CAA Coldiretti - ASCOLI PICENO - 025</t>
  </si>
  <si>
    <t>TORQUATI ANGELO E MARZIALI SILVANA SOC.SEMPLICE</t>
  </si>
  <si>
    <t>AGEA.ASR.2018.0586848</t>
  </si>
  <si>
    <t>SERV. DEC. AGRICOLTURA E ALIM. - MACERATA</t>
  </si>
  <si>
    <t>CAA Coldiretti - MACERATA - 007</t>
  </si>
  <si>
    <t>RIETI RENATO</t>
  </si>
  <si>
    <t>ARMANDI CLAUDIO</t>
  </si>
  <si>
    <t>CAA CIA - PESARO E URBINO - 002</t>
  </si>
  <si>
    <t>CORA DI CARBONI SANTE &amp; C. S.N.C.</t>
  </si>
  <si>
    <t>PERSICI FRANCESCO</t>
  </si>
  <si>
    <t>CAA Coldiretti - PESARO E URBINO - 001</t>
  </si>
  <si>
    <t>CANCELLIERI AUGUSTO</t>
  </si>
  <si>
    <t>AZIENDA "SAN BENEDETTO" DI FEDELI GIOVANNINO E C. SOCIETA' AGRICOLA S.</t>
  </si>
  <si>
    <t>CAA CIA - ANCONA - 005</t>
  </si>
  <si>
    <t>AGRARIA MONTENOVO</t>
  </si>
  <si>
    <t>CAA LiberiAgricoltori - MACERATA - 004</t>
  </si>
  <si>
    <t>ANSELMI LORENZO</t>
  </si>
  <si>
    <t>CAA CIA - ASCOLI PICENO - 005</t>
  </si>
  <si>
    <t>AZIENDA AGRICOLA 'SILVO PASTORALE' DI VIANELLO G. E VIGLIETTI A. SDF</t>
  </si>
  <si>
    <t>MERELLI EMANUELA</t>
  </si>
  <si>
    <t>CAA Coldiretti - MACERATA - 017</t>
  </si>
  <si>
    <t>SALVATORI MANFREDO</t>
  </si>
  <si>
    <t>SERV. DEC. AGRICOLTURA E ALIMENTAZIONE - ANCONA</t>
  </si>
  <si>
    <t>CAA Coldiretti - ANCONA - 002</t>
  </si>
  <si>
    <t>PEDICA MARIA TERESA</t>
  </si>
  <si>
    <t>BECCERICA ENRICO</t>
  </si>
  <si>
    <t>CAA Coldiretti - MACERATA - 008</t>
  </si>
  <si>
    <t>GATTI PAOLO</t>
  </si>
  <si>
    <t>CAA Coldiretti - MACERATA - 018</t>
  </si>
  <si>
    <t>IL COLLE DELLE SPIGHE SOCIETA' AGRICOLA SEMPLICE</t>
  </si>
  <si>
    <t>LA QUERCIA DELLA MEMORIA DI DI LUCA F. &amp; C. SOC. AGR. SEMPL.</t>
  </si>
  <si>
    <t>CAA Confagricoltura - MACERATA - 001</t>
  </si>
  <si>
    <t>MADRESELVI LORENZO</t>
  </si>
  <si>
    <t>CAA CIA - MACERATA - 001</t>
  </si>
  <si>
    <t>PALAZZETTI GIOVANNA</t>
  </si>
  <si>
    <t>PAZZELLI GIOVANNA</t>
  </si>
  <si>
    <t>PIERMATTEI MARIANO</t>
  </si>
  <si>
    <t>GIORGETTI GIOVANNELLA</t>
  </si>
  <si>
    <t>CAA Coldiretti - MACERATA - 009</t>
  </si>
  <si>
    <t>SOCIETA' AGRICOLA VAGNI ADOLFO E C. SOCIETA' SEMPLICE</t>
  </si>
  <si>
    <t>CAA Coldiretti - MACERATA - 002</t>
  </si>
  <si>
    <t>SAMMARINI IVANA</t>
  </si>
  <si>
    <t>BENEDETTI GABRIELE</t>
  </si>
  <si>
    <t>D'AMBROSI MARIANO</t>
  </si>
  <si>
    <t>GIARDINI VALERIA</t>
  </si>
  <si>
    <t>LAMBERTUCCI GIULIANO</t>
  </si>
  <si>
    <t>MARCHIONNI ENZO</t>
  </si>
  <si>
    <t>CAA Coldiretti - MACERATA - 010</t>
  </si>
  <si>
    <t>PAOLUCCI FRANCESCO</t>
  </si>
  <si>
    <t>CHIESA MARCO GIUSEPPE</t>
  </si>
  <si>
    <t>CAA Coldiretti - ASCOLI PICENO - 010</t>
  </si>
  <si>
    <t>MONTI GIUSEPPE</t>
  </si>
  <si>
    <t>CAA CAF AGRI - MACERATA - 224</t>
  </si>
  <si>
    <t>PIGLIAPOCO ALESSANDRA</t>
  </si>
  <si>
    <t>CAA CAF AGRI - ANCONA - 225</t>
  </si>
  <si>
    <t>CARZEDDA DIEGO</t>
  </si>
  <si>
    <t>BONFADA STEFANO</t>
  </si>
  <si>
    <t>BUGLIONI CLELIA</t>
  </si>
  <si>
    <t>CAA UNICAA - MACERATA - 002</t>
  </si>
  <si>
    <t>CARPINETI MICHELE</t>
  </si>
  <si>
    <t>CONGIONTI AUGUSTO</t>
  </si>
  <si>
    <t>CANTORI ROBERTO</t>
  </si>
  <si>
    <t>SOCIETA' AGRICOLA LA CASA ROSA DI CESARONI MARCO &amp; C S.S.</t>
  </si>
  <si>
    <t>CAA LiberiAgricoltori - MACERATA - 003</t>
  </si>
  <si>
    <t>GIACOMINI VITTORIO</t>
  </si>
  <si>
    <t>OTTAVI DESIDERIO</t>
  </si>
  <si>
    <t>SOC.AGR.SARNANO BIO DI TAMANTI R. - TOSI G. - BECCERICA E. - BECCERICA</t>
  </si>
  <si>
    <t>VISSANI CLAUDIO</t>
  </si>
  <si>
    <t>OCCHIO DEMIAN</t>
  </si>
  <si>
    <t>MANCINI LARA</t>
  </si>
  <si>
    <t>CARZEDDA GIAN MARIA</t>
  </si>
  <si>
    <t>PROTEUS PESCA S.R.L..</t>
  </si>
  <si>
    <t>PSENNER PETER ERICH</t>
  </si>
  <si>
    <t>ROCCHI PARIS &amp; C. SOC. AGRICOLA SEMPLICE</t>
  </si>
  <si>
    <t>DIGNANI GIANCARLO</t>
  </si>
  <si>
    <t>SANTANCINI ALBERTO</t>
  </si>
  <si>
    <t>RAFFAELI GIULIA</t>
  </si>
  <si>
    <t>DOTTORI RITA</t>
  </si>
  <si>
    <t>CAA LiberiAgricoltori - MACERATA - 001</t>
  </si>
  <si>
    <t>SOCIETA' AGRICOLA FORANO SOCIETA' SEMPLICE</t>
  </si>
  <si>
    <t>SALVATORI NAZZARENO</t>
  </si>
  <si>
    <t>TENUTA DE ANGELIS DI DE ANGELIS ELIDE E ROSELLA</t>
  </si>
  <si>
    <t>CAA Confagricoltura - ASCOLI PICENO - 001</t>
  </si>
  <si>
    <t>FERRAIOLI SIMONE</t>
  </si>
  <si>
    <t>AESA SOCIETA' AGRICOLA S.S.</t>
  </si>
  <si>
    <t>CAA CIA - ASCOLI PICENO - 001</t>
  </si>
  <si>
    <t>ANGELINI FRANCESCA MARIA</t>
  </si>
  <si>
    <t>VAGNONI FRANCO</t>
  </si>
  <si>
    <t>DE SANTIS ANGELO</t>
  </si>
  <si>
    <t>COSTANTINI ALBERTO</t>
  </si>
  <si>
    <t>SABBATINI SILVIA</t>
  </si>
  <si>
    <t>MONTI ILEANA</t>
  </si>
  <si>
    <t>FIORAVANTI FIORENZO</t>
  </si>
  <si>
    <t>BOCCI FABRIZIO</t>
  </si>
  <si>
    <t>AZ.AGRICOLA IL COLLE DI BORRACCINI ALVARO &amp; C.</t>
  </si>
  <si>
    <t>CAA CIA - PESARO E URBINO - 001</t>
  </si>
  <si>
    <t>GRUPPO AZIENDE BIOLOGICHE RIUNITE SOCIETA' AGRICOLA S.S.</t>
  </si>
  <si>
    <t>FADDA ANTONIO</t>
  </si>
  <si>
    <t>ERCOLANI LORENZO</t>
  </si>
  <si>
    <t>MORA DUILIA</t>
  </si>
  <si>
    <t>GROOT JOHANNES LAURENTIUS</t>
  </si>
  <si>
    <t>FADDA MICHELE &amp; GIULIANO SOC.SEMPLICE</t>
  </si>
  <si>
    <t>MIGLIORI NAZZARENO</t>
  </si>
  <si>
    <t>CICCONI ROBERTO</t>
  </si>
  <si>
    <t>CICCONI CLAUDIO</t>
  </si>
  <si>
    <t>SOC.AGRICOLA FONTE DI VALLE SRL</t>
  </si>
  <si>
    <t>SOCIETA' AGRICOLA LOS CAMPESINOS S.S.</t>
  </si>
  <si>
    <t>CAA Coldiretti - PESARO E URBINO - 007</t>
  </si>
  <si>
    <t>BENVENUTI DIEGO</t>
  </si>
  <si>
    <t>CAA CIA - PESARO E URBINO - 005</t>
  </si>
  <si>
    <t>TERRA FARNETA SOCIETA' AGRICOLA</t>
  </si>
  <si>
    <t>CAA Coldiretti - PESARO E URBINO - 010</t>
  </si>
  <si>
    <t>FARINA PASQUALE E DIEGO SOCIETA' SEMPLICE</t>
  </si>
  <si>
    <t>COMOLLA ALESSANDRA</t>
  </si>
  <si>
    <t>SPACCAPANICCIA GUERRIERO</t>
  </si>
  <si>
    <t>CAMELI IRENE</t>
  </si>
  <si>
    <t>AGEA.ASR.2018.0636422</t>
  </si>
  <si>
    <t>MASSACCESI PACIFICO</t>
  </si>
  <si>
    <t>CAA CAF AGRI - MACERATA - 226</t>
  </si>
  <si>
    <t>MESCHINI NARA</t>
  </si>
  <si>
    <t>PALOMBI TERESA</t>
  </si>
  <si>
    <t>ISTITUTO MARCHIGIANO DI TUTELA VINI - I.M.T.</t>
  </si>
  <si>
    <t>AGEA.ASR.2018.0634585</t>
  </si>
  <si>
    <t>ARINGOLO ENNIO</t>
  </si>
  <si>
    <t>AGEA.ASR.2018.0636322</t>
  </si>
  <si>
    <t>AZIENDA AGRICOLA SANTINELLI FLORIC. E PIANTE</t>
  </si>
  <si>
    <t>GUBINELLI 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</si>
</sst>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17F1E-E921-43E8-912D-12032C69862E}">
  <dimension ref="A1:X117"/>
  <sheetViews>
    <sheetView showGridLines="0" tabSelected="1" workbookViewId="0">
      <selection activeCell="E126" sqref="E126"/>
    </sheetView>
  </sheetViews>
  <sheetFormatPr defaultRowHeight="15" x14ac:dyDescent="0.25"/>
  <cols>
    <col min="1" max="1" width="15.5703125" style="4" bestFit="1" customWidth="1"/>
    <col min="2" max="2" width="16.28515625" style="4" bestFit="1" customWidth="1"/>
    <col min="3" max="3" width="18.42578125" style="4" bestFit="1" customWidth="1"/>
    <col min="4" max="4" width="36.5703125" style="4" bestFit="1" customWidth="1"/>
    <col min="5" max="5" width="32.42578125" style="4" bestFit="1" customWidth="1"/>
    <col min="6" max="6" width="36.42578125" style="4" bestFit="1" customWidth="1"/>
    <col min="7" max="7" width="8.42578125" style="4" bestFit="1" customWidth="1"/>
    <col min="8" max="8" width="12.7109375" style="4" bestFit="1" customWidth="1"/>
    <col min="9" max="9" width="21.140625" style="4" bestFit="1" customWidth="1"/>
    <col min="10" max="10" width="20.140625" style="4" bestFit="1" customWidth="1"/>
    <col min="11" max="12" width="17" style="4" bestFit="1" customWidth="1"/>
    <col min="13" max="13" width="22" style="4" customWidth="1"/>
    <col min="14" max="14" width="36.5703125" style="4" bestFit="1" customWidth="1"/>
    <col min="15" max="15" width="18.85546875" style="4" bestFit="1" customWidth="1"/>
    <col min="16" max="16" width="23" style="4" bestFit="1" customWidth="1"/>
    <col min="17" max="17" width="16.28515625" style="4" bestFit="1" customWidth="1"/>
    <col min="18" max="18" width="17.85546875" style="4" bestFit="1" customWidth="1"/>
    <col min="19" max="19" width="20.28515625" style="4" bestFit="1" customWidth="1"/>
    <col min="20" max="20" width="18.42578125" style="4" bestFit="1" customWidth="1"/>
    <col min="21" max="21" width="24.5703125" style="4" bestFit="1" customWidth="1"/>
    <col min="22" max="23" width="27.140625" style="4" bestFit="1" customWidth="1"/>
    <col min="24" max="24" width="33.85546875" style="4" bestFit="1" customWidth="1"/>
    <col min="25" max="16384" width="9.140625" style="4"/>
  </cols>
  <sheetData>
    <row r="1" spans="1:2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</row>
    <row r="3" spans="1:24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5" t="s">
        <v>24</v>
      </c>
    </row>
    <row r="4" spans="1:24" ht="24.75" x14ac:dyDescent="0.25">
      <c r="A4" s="6" t="s">
        <v>25</v>
      </c>
      <c r="B4" s="6" t="s">
        <v>26</v>
      </c>
      <c r="C4" s="6" t="s">
        <v>46</v>
      </c>
      <c r="D4" s="6" t="s">
        <v>47</v>
      </c>
      <c r="E4" s="6" t="s">
        <v>37</v>
      </c>
      <c r="F4" s="6" t="s">
        <v>48</v>
      </c>
      <c r="G4" s="6">
        <v>2016</v>
      </c>
      <c r="H4" s="6" t="str">
        <f>CONCATENATE("64240398830")</f>
        <v>64240398830</v>
      </c>
      <c r="I4" s="6" t="s">
        <v>28</v>
      </c>
      <c r="J4" s="6" t="s">
        <v>35</v>
      </c>
      <c r="K4" s="6" t="str">
        <f>CONCATENATE("")</f>
        <v/>
      </c>
      <c r="L4" s="6" t="str">
        <f>CONCATENATE("11 11.2 4b")</f>
        <v>11 11.2 4b</v>
      </c>
      <c r="M4" s="6" t="str">
        <f>CONCATENATE("02068010442")</f>
        <v>02068010442</v>
      </c>
      <c r="N4" s="6" t="s">
        <v>49</v>
      </c>
      <c r="O4" s="6" t="s">
        <v>50</v>
      </c>
      <c r="P4" s="7">
        <v>43252</v>
      </c>
      <c r="Q4" s="6" t="s">
        <v>30</v>
      </c>
      <c r="R4" s="6" t="s">
        <v>31</v>
      </c>
      <c r="S4" s="6" t="s">
        <v>32</v>
      </c>
      <c r="T4" s="6">
        <v>162.81</v>
      </c>
      <c r="U4" s="6">
        <v>70.2</v>
      </c>
      <c r="V4" s="6">
        <v>64.83</v>
      </c>
      <c r="W4" s="6">
        <v>0</v>
      </c>
      <c r="X4" s="6">
        <v>27.78</v>
      </c>
    </row>
    <row r="5" spans="1:24" ht="24.75" x14ac:dyDescent="0.25">
      <c r="A5" s="6" t="s">
        <v>25</v>
      </c>
      <c r="B5" s="6" t="s">
        <v>26</v>
      </c>
      <c r="C5" s="6" t="s">
        <v>46</v>
      </c>
      <c r="D5" s="6" t="s">
        <v>47</v>
      </c>
      <c r="E5" s="6" t="s">
        <v>43</v>
      </c>
      <c r="F5" s="6" t="s">
        <v>51</v>
      </c>
      <c r="G5" s="6">
        <v>2016</v>
      </c>
      <c r="H5" s="6" t="str">
        <f>CONCATENATE("64240695748")</f>
        <v>64240695748</v>
      </c>
      <c r="I5" s="6" t="s">
        <v>28</v>
      </c>
      <c r="J5" s="6" t="s">
        <v>35</v>
      </c>
      <c r="K5" s="6" t="str">
        <f>CONCATENATE("")</f>
        <v/>
      </c>
      <c r="L5" s="6" t="str">
        <f>CONCATENATE("11 11.2 4b")</f>
        <v>11 11.2 4b</v>
      </c>
      <c r="M5" s="6" t="str">
        <f>CONCATENATE("CRBLGN60E22F570O")</f>
        <v>CRBLGN60E22F570O</v>
      </c>
      <c r="N5" s="6" t="s">
        <v>52</v>
      </c>
      <c r="O5" s="6" t="s">
        <v>50</v>
      </c>
      <c r="P5" s="7">
        <v>43252</v>
      </c>
      <c r="Q5" s="6" t="s">
        <v>30</v>
      </c>
      <c r="R5" s="6" t="s">
        <v>31</v>
      </c>
      <c r="S5" s="6" t="s">
        <v>32</v>
      </c>
      <c r="T5" s="6">
        <v>459.18</v>
      </c>
      <c r="U5" s="6">
        <v>198</v>
      </c>
      <c r="V5" s="6">
        <v>182.85</v>
      </c>
      <c r="W5" s="6">
        <v>0</v>
      </c>
      <c r="X5" s="6">
        <v>78.33</v>
      </c>
    </row>
    <row r="6" spans="1:24" ht="24.75" x14ac:dyDescent="0.25">
      <c r="A6" s="6" t="s">
        <v>25</v>
      </c>
      <c r="B6" s="6" t="s">
        <v>26</v>
      </c>
      <c r="C6" s="6" t="s">
        <v>46</v>
      </c>
      <c r="D6" s="6" t="s">
        <v>47</v>
      </c>
      <c r="E6" s="6" t="s">
        <v>27</v>
      </c>
      <c r="F6" s="6" t="s">
        <v>53</v>
      </c>
      <c r="G6" s="6">
        <v>2016</v>
      </c>
      <c r="H6" s="6" t="str">
        <f>CONCATENATE("64240259271")</f>
        <v>64240259271</v>
      </c>
      <c r="I6" s="6" t="s">
        <v>28</v>
      </c>
      <c r="J6" s="6" t="s">
        <v>35</v>
      </c>
      <c r="K6" s="6" t="str">
        <f>CONCATENATE("")</f>
        <v/>
      </c>
      <c r="L6" s="6" t="str">
        <f>CONCATENATE("11 11.1 4b")</f>
        <v>11 11.1 4b</v>
      </c>
      <c r="M6" s="6" t="str">
        <f>CONCATENATE("PCTCPI97L27D542E")</f>
        <v>PCTCPI97L27D542E</v>
      </c>
      <c r="N6" s="6" t="s">
        <v>54</v>
      </c>
      <c r="O6" s="6" t="s">
        <v>50</v>
      </c>
      <c r="P6" s="7">
        <v>43252</v>
      </c>
      <c r="Q6" s="6" t="s">
        <v>30</v>
      </c>
      <c r="R6" s="6" t="s">
        <v>31</v>
      </c>
      <c r="S6" s="6" t="s">
        <v>32</v>
      </c>
      <c r="T6" s="8">
        <v>1421.01</v>
      </c>
      <c r="U6" s="6">
        <v>612.74</v>
      </c>
      <c r="V6" s="6">
        <v>565.85</v>
      </c>
      <c r="W6" s="6">
        <v>0</v>
      </c>
      <c r="X6" s="6">
        <v>242.42</v>
      </c>
    </row>
    <row r="7" spans="1:24" ht="24.75" x14ac:dyDescent="0.25">
      <c r="A7" s="6" t="s">
        <v>25</v>
      </c>
      <c r="B7" s="6" t="s">
        <v>26</v>
      </c>
      <c r="C7" s="6" t="s">
        <v>46</v>
      </c>
      <c r="D7" s="6" t="s">
        <v>47</v>
      </c>
      <c r="E7" s="6" t="s">
        <v>27</v>
      </c>
      <c r="F7" s="6" t="s">
        <v>55</v>
      </c>
      <c r="G7" s="6">
        <v>2016</v>
      </c>
      <c r="H7" s="6" t="str">
        <f>CONCATENATE("64240372389")</f>
        <v>64240372389</v>
      </c>
      <c r="I7" s="6" t="s">
        <v>28</v>
      </c>
      <c r="J7" s="6" t="s">
        <v>35</v>
      </c>
      <c r="K7" s="6" t="str">
        <f>CONCATENATE("")</f>
        <v/>
      </c>
      <c r="L7" s="6" t="str">
        <f>CONCATENATE("11 11.2 4b")</f>
        <v>11 11.2 4b</v>
      </c>
      <c r="M7" s="6" t="str">
        <f>CONCATENATE("02196210443")</f>
        <v>02196210443</v>
      </c>
      <c r="N7" s="6" t="s">
        <v>56</v>
      </c>
      <c r="O7" s="6" t="s">
        <v>50</v>
      </c>
      <c r="P7" s="7">
        <v>43252</v>
      </c>
      <c r="Q7" s="6" t="s">
        <v>30</v>
      </c>
      <c r="R7" s="6" t="s">
        <v>31</v>
      </c>
      <c r="S7" s="6" t="s">
        <v>32</v>
      </c>
      <c r="T7" s="6">
        <v>189.27</v>
      </c>
      <c r="U7" s="6">
        <v>81.61</v>
      </c>
      <c r="V7" s="6">
        <v>75.37</v>
      </c>
      <c r="W7" s="6">
        <v>0</v>
      </c>
      <c r="X7" s="6">
        <v>32.29</v>
      </c>
    </row>
    <row r="8" spans="1:24" ht="24.75" x14ac:dyDescent="0.25">
      <c r="A8" s="6" t="s">
        <v>25</v>
      </c>
      <c r="B8" s="6" t="s">
        <v>26</v>
      </c>
      <c r="C8" s="6" t="s">
        <v>46</v>
      </c>
      <c r="D8" s="6" t="s">
        <v>47</v>
      </c>
      <c r="E8" s="6" t="s">
        <v>42</v>
      </c>
      <c r="F8" s="6" t="s">
        <v>57</v>
      </c>
      <c r="G8" s="6">
        <v>2016</v>
      </c>
      <c r="H8" s="6" t="str">
        <f>CONCATENATE("64240623864")</f>
        <v>64240623864</v>
      </c>
      <c r="I8" s="6" t="s">
        <v>28</v>
      </c>
      <c r="J8" s="6" t="s">
        <v>35</v>
      </c>
      <c r="K8" s="6" t="str">
        <f>CONCATENATE("")</f>
        <v/>
      </c>
      <c r="L8" s="6" t="str">
        <f>CONCATENATE("11 11.1 4b")</f>
        <v>11 11.1 4b</v>
      </c>
      <c r="M8" s="6" t="str">
        <f>CONCATENATE("MRCMHL89S22A252M")</f>
        <v>MRCMHL89S22A252M</v>
      </c>
      <c r="N8" s="6" t="s">
        <v>58</v>
      </c>
      <c r="O8" s="6" t="s">
        <v>50</v>
      </c>
      <c r="P8" s="7">
        <v>43252</v>
      </c>
      <c r="Q8" s="6" t="s">
        <v>30</v>
      </c>
      <c r="R8" s="6" t="s">
        <v>31</v>
      </c>
      <c r="S8" s="6" t="s">
        <v>32</v>
      </c>
      <c r="T8" s="8">
        <v>1239.78</v>
      </c>
      <c r="U8" s="6">
        <v>534.59</v>
      </c>
      <c r="V8" s="6">
        <v>493.68</v>
      </c>
      <c r="W8" s="6">
        <v>0</v>
      </c>
      <c r="X8" s="6">
        <v>211.51</v>
      </c>
    </row>
    <row r="9" spans="1:24" ht="24.75" x14ac:dyDescent="0.25">
      <c r="A9" s="6" t="s">
        <v>25</v>
      </c>
      <c r="B9" s="6" t="s">
        <v>26</v>
      </c>
      <c r="C9" s="6" t="s">
        <v>46</v>
      </c>
      <c r="D9" s="6" t="s">
        <v>47</v>
      </c>
      <c r="E9" s="6" t="s">
        <v>42</v>
      </c>
      <c r="F9" s="6" t="s">
        <v>57</v>
      </c>
      <c r="G9" s="6">
        <v>2016</v>
      </c>
      <c r="H9" s="6" t="str">
        <f>CONCATENATE("64240492757")</f>
        <v>64240492757</v>
      </c>
      <c r="I9" s="6" t="s">
        <v>28</v>
      </c>
      <c r="J9" s="6" t="s">
        <v>35</v>
      </c>
      <c r="K9" s="6" t="str">
        <f>CONCATENATE("")</f>
        <v/>
      </c>
      <c r="L9" s="6" t="str">
        <f>CONCATENATE("11 11.1 4b")</f>
        <v>11 11.1 4b</v>
      </c>
      <c r="M9" s="6" t="str">
        <f>CONCATENATE("02274460449")</f>
        <v>02274460449</v>
      </c>
      <c r="N9" s="6" t="s">
        <v>59</v>
      </c>
      <c r="O9" s="6" t="s">
        <v>50</v>
      </c>
      <c r="P9" s="7">
        <v>43252</v>
      </c>
      <c r="Q9" s="6" t="s">
        <v>30</v>
      </c>
      <c r="R9" s="6" t="s">
        <v>31</v>
      </c>
      <c r="S9" s="6" t="s">
        <v>32</v>
      </c>
      <c r="T9" s="6">
        <v>523.13</v>
      </c>
      <c r="U9" s="6">
        <v>225.57</v>
      </c>
      <c r="V9" s="6">
        <v>208.31</v>
      </c>
      <c r="W9" s="6">
        <v>0</v>
      </c>
      <c r="X9" s="6">
        <v>89.25</v>
      </c>
    </row>
    <row r="10" spans="1:24" ht="24.75" x14ac:dyDescent="0.25">
      <c r="A10" s="6" t="s">
        <v>25</v>
      </c>
      <c r="B10" s="6" t="s">
        <v>26</v>
      </c>
      <c r="C10" s="6" t="s">
        <v>46</v>
      </c>
      <c r="D10" s="6" t="s">
        <v>60</v>
      </c>
      <c r="E10" s="6" t="s">
        <v>37</v>
      </c>
      <c r="F10" s="6" t="s">
        <v>61</v>
      </c>
      <c r="G10" s="6">
        <v>2016</v>
      </c>
      <c r="H10" s="6" t="str">
        <f>CONCATENATE("64240503165")</f>
        <v>64240503165</v>
      </c>
      <c r="I10" s="6" t="s">
        <v>28</v>
      </c>
      <c r="J10" s="6" t="s">
        <v>35</v>
      </c>
      <c r="K10" s="6" t="str">
        <f>CONCATENATE("")</f>
        <v/>
      </c>
      <c r="L10" s="6" t="str">
        <f>CONCATENATE("11 11.1 4b")</f>
        <v>11 11.1 4b</v>
      </c>
      <c r="M10" s="6" t="str">
        <f>CONCATENATE("RZTGCM72H15D488D")</f>
        <v>RZTGCM72H15D488D</v>
      </c>
      <c r="N10" s="6" t="s">
        <v>62</v>
      </c>
      <c r="O10" s="6" t="s">
        <v>63</v>
      </c>
      <c r="P10" s="7">
        <v>43252</v>
      </c>
      <c r="Q10" s="6" t="s">
        <v>30</v>
      </c>
      <c r="R10" s="6" t="s">
        <v>31</v>
      </c>
      <c r="S10" s="6" t="s">
        <v>32</v>
      </c>
      <c r="T10" s="6">
        <v>909.96</v>
      </c>
      <c r="U10" s="6">
        <v>392.37</v>
      </c>
      <c r="V10" s="6">
        <v>362.35</v>
      </c>
      <c r="W10" s="6">
        <v>0</v>
      </c>
      <c r="X10" s="6">
        <v>155.24</v>
      </c>
    </row>
    <row r="11" spans="1:24" ht="24.75" x14ac:dyDescent="0.25">
      <c r="A11" s="6" t="s">
        <v>25</v>
      </c>
      <c r="B11" s="6" t="s">
        <v>26</v>
      </c>
      <c r="C11" s="6" t="s">
        <v>46</v>
      </c>
      <c r="D11" s="6" t="s">
        <v>60</v>
      </c>
      <c r="E11" s="6" t="s">
        <v>38</v>
      </c>
      <c r="F11" s="6" t="s">
        <v>64</v>
      </c>
      <c r="G11" s="6">
        <v>2016</v>
      </c>
      <c r="H11" s="6" t="str">
        <f>CONCATENATE("64240648945")</f>
        <v>64240648945</v>
      </c>
      <c r="I11" s="6" t="s">
        <v>28</v>
      </c>
      <c r="J11" s="6" t="s">
        <v>35</v>
      </c>
      <c r="K11" s="6" t="str">
        <f>CONCATENATE("")</f>
        <v/>
      </c>
      <c r="L11" s="6" t="str">
        <f>CONCATENATE("11 11.2 4b")</f>
        <v>11 11.2 4b</v>
      </c>
      <c r="M11" s="6" t="str">
        <f>CONCATENATE("MNCDNL71E11L081O")</f>
        <v>MNCDNL71E11L081O</v>
      </c>
      <c r="N11" s="6" t="s">
        <v>65</v>
      </c>
      <c r="O11" s="6" t="s">
        <v>63</v>
      </c>
      <c r="P11" s="7">
        <v>43252</v>
      </c>
      <c r="Q11" s="6" t="s">
        <v>30</v>
      </c>
      <c r="R11" s="6" t="s">
        <v>31</v>
      </c>
      <c r="S11" s="6" t="s">
        <v>32</v>
      </c>
      <c r="T11" s="6">
        <v>229.4</v>
      </c>
      <c r="U11" s="6">
        <v>98.92</v>
      </c>
      <c r="V11" s="6">
        <v>91.35</v>
      </c>
      <c r="W11" s="6">
        <v>0</v>
      </c>
      <c r="X11" s="6">
        <v>39.130000000000003</v>
      </c>
    </row>
    <row r="12" spans="1:24" ht="24.75" x14ac:dyDescent="0.25">
      <c r="A12" s="6" t="s">
        <v>25</v>
      </c>
      <c r="B12" s="6" t="s">
        <v>34</v>
      </c>
      <c r="C12" s="6" t="s">
        <v>46</v>
      </c>
      <c r="D12" s="6" t="s">
        <v>47</v>
      </c>
      <c r="E12" s="6" t="s">
        <v>40</v>
      </c>
      <c r="F12" s="6" t="s">
        <v>40</v>
      </c>
      <c r="G12" s="6">
        <v>2017</v>
      </c>
      <c r="H12" s="6" t="str">
        <f>CONCATENATE("74275301385")</f>
        <v>74275301385</v>
      </c>
      <c r="I12" s="6" t="s">
        <v>28</v>
      </c>
      <c r="J12" s="6" t="s">
        <v>35</v>
      </c>
      <c r="K12" s="6" t="str">
        <f>CONCATENATE("")</f>
        <v/>
      </c>
      <c r="L12" s="6" t="str">
        <f>CONCATENATE("6 6.4 2a")</f>
        <v>6 6.4 2a</v>
      </c>
      <c r="M12" s="6" t="str">
        <f>CONCATENATE("02132960440")</f>
        <v>02132960440</v>
      </c>
      <c r="N12" s="6" t="s">
        <v>66</v>
      </c>
      <c r="O12" s="6" t="s">
        <v>67</v>
      </c>
      <c r="P12" s="7">
        <v>43257</v>
      </c>
      <c r="Q12" s="6" t="s">
        <v>30</v>
      </c>
      <c r="R12" s="6" t="s">
        <v>36</v>
      </c>
      <c r="S12" s="6" t="s">
        <v>32</v>
      </c>
      <c r="T12" s="8">
        <v>26942.79</v>
      </c>
      <c r="U12" s="8">
        <v>11617.73</v>
      </c>
      <c r="V12" s="8">
        <v>10728.62</v>
      </c>
      <c r="W12" s="6">
        <v>0</v>
      </c>
      <c r="X12" s="8">
        <v>4596.4399999999996</v>
      </c>
    </row>
    <row r="13" spans="1:24" ht="24.75" x14ac:dyDescent="0.25">
      <c r="A13" s="6" t="s">
        <v>25</v>
      </c>
      <c r="B13" s="6" t="s">
        <v>26</v>
      </c>
      <c r="C13" s="6" t="s">
        <v>46</v>
      </c>
      <c r="D13" s="6" t="s">
        <v>47</v>
      </c>
      <c r="E13" s="6" t="s">
        <v>27</v>
      </c>
      <c r="F13" s="6" t="s">
        <v>68</v>
      </c>
      <c r="G13" s="6">
        <v>2017</v>
      </c>
      <c r="H13" s="6" t="str">
        <f>CONCATENATE("74770133150")</f>
        <v>74770133150</v>
      </c>
      <c r="I13" s="6" t="s">
        <v>28</v>
      </c>
      <c r="J13" s="6" t="s">
        <v>29</v>
      </c>
      <c r="K13" s="6" t="str">
        <f>CONCATENATE("214")</f>
        <v>214</v>
      </c>
      <c r="L13" s="6" t="str">
        <f>CONCATENATE("11 11.2 4b")</f>
        <v>11 11.2 4b</v>
      </c>
      <c r="M13" s="6" t="str">
        <f>CONCATENATE("00845210442")</f>
        <v>00845210442</v>
      </c>
      <c r="N13" s="6" t="s">
        <v>69</v>
      </c>
      <c r="O13" s="6" t="s">
        <v>70</v>
      </c>
      <c r="P13" s="7">
        <v>43255</v>
      </c>
      <c r="Q13" s="6" t="s">
        <v>30</v>
      </c>
      <c r="R13" s="6" t="s">
        <v>31</v>
      </c>
      <c r="S13" s="6" t="s">
        <v>32</v>
      </c>
      <c r="T13" s="8">
        <v>2780.64</v>
      </c>
      <c r="U13" s="8">
        <v>1199.01</v>
      </c>
      <c r="V13" s="8">
        <v>1107.25</v>
      </c>
      <c r="W13" s="6">
        <v>0</v>
      </c>
      <c r="X13" s="6">
        <v>474.38</v>
      </c>
    </row>
    <row r="14" spans="1:24" x14ac:dyDescent="0.25">
      <c r="A14" s="6" t="s">
        <v>25</v>
      </c>
      <c r="B14" s="6" t="s">
        <v>26</v>
      </c>
      <c r="C14" s="6" t="s">
        <v>46</v>
      </c>
      <c r="D14" s="6" t="s">
        <v>71</v>
      </c>
      <c r="E14" s="6" t="s">
        <v>27</v>
      </c>
      <c r="F14" s="6" t="s">
        <v>72</v>
      </c>
      <c r="G14" s="6">
        <v>2017</v>
      </c>
      <c r="H14" s="6" t="str">
        <f>CONCATENATE("74770300874")</f>
        <v>74770300874</v>
      </c>
      <c r="I14" s="6" t="s">
        <v>28</v>
      </c>
      <c r="J14" s="6" t="s">
        <v>29</v>
      </c>
      <c r="K14" s="6" t="str">
        <f>CONCATENATE("214")</f>
        <v>214</v>
      </c>
      <c r="L14" s="6" t="str">
        <f>CONCATENATE("11 11.2 4b")</f>
        <v>11 11.2 4b</v>
      </c>
      <c r="M14" s="6" t="str">
        <f>CONCATENATE("RTIRNT64L29I436B")</f>
        <v>RTIRNT64L29I436B</v>
      </c>
      <c r="N14" s="6" t="s">
        <v>73</v>
      </c>
      <c r="O14" s="6" t="s">
        <v>70</v>
      </c>
      <c r="P14" s="7">
        <v>43255</v>
      </c>
      <c r="Q14" s="6" t="s">
        <v>30</v>
      </c>
      <c r="R14" s="6" t="s">
        <v>31</v>
      </c>
      <c r="S14" s="6" t="s">
        <v>32</v>
      </c>
      <c r="T14" s="6">
        <v>540.38</v>
      </c>
      <c r="U14" s="6">
        <v>233.01</v>
      </c>
      <c r="V14" s="6">
        <v>215.18</v>
      </c>
      <c r="W14" s="6">
        <v>0</v>
      </c>
      <c r="X14" s="6">
        <v>92.19</v>
      </c>
    </row>
    <row r="15" spans="1:24" ht="24.75" x14ac:dyDescent="0.25">
      <c r="A15" s="6" t="s">
        <v>25</v>
      </c>
      <c r="B15" s="6" t="s">
        <v>26</v>
      </c>
      <c r="C15" s="6" t="s">
        <v>46</v>
      </c>
      <c r="D15" s="6" t="s">
        <v>47</v>
      </c>
      <c r="E15" s="6" t="s">
        <v>27</v>
      </c>
      <c r="F15" s="6" t="s">
        <v>53</v>
      </c>
      <c r="G15" s="6">
        <v>2016</v>
      </c>
      <c r="H15" s="6" t="str">
        <f>CONCATENATE("64240363859")</f>
        <v>64240363859</v>
      </c>
      <c r="I15" s="6" t="s">
        <v>28</v>
      </c>
      <c r="J15" s="6" t="s">
        <v>35</v>
      </c>
      <c r="K15" s="6" t="str">
        <f>CONCATENATE("")</f>
        <v/>
      </c>
      <c r="L15" s="6" t="str">
        <f>CONCATENATE("11 11.2 4b")</f>
        <v>11 11.2 4b</v>
      </c>
      <c r="M15" s="6" t="str">
        <f>CONCATENATE("RMNCLD60M25F415V")</f>
        <v>RMNCLD60M25F415V</v>
      </c>
      <c r="N15" s="6" t="s">
        <v>74</v>
      </c>
      <c r="O15" s="6" t="s">
        <v>50</v>
      </c>
      <c r="P15" s="7">
        <v>43252</v>
      </c>
      <c r="Q15" s="6" t="s">
        <v>30</v>
      </c>
      <c r="R15" s="6" t="s">
        <v>31</v>
      </c>
      <c r="S15" s="6" t="s">
        <v>32</v>
      </c>
      <c r="T15" s="6">
        <v>685.25</v>
      </c>
      <c r="U15" s="6">
        <v>295.48</v>
      </c>
      <c r="V15" s="6">
        <v>272.87</v>
      </c>
      <c r="W15" s="6">
        <v>0</v>
      </c>
      <c r="X15" s="6">
        <v>116.9</v>
      </c>
    </row>
    <row r="16" spans="1:24" ht="24.75" x14ac:dyDescent="0.25">
      <c r="A16" s="6" t="s">
        <v>25</v>
      </c>
      <c r="B16" s="6" t="s">
        <v>26</v>
      </c>
      <c r="C16" s="6" t="s">
        <v>46</v>
      </c>
      <c r="D16" s="6" t="s">
        <v>60</v>
      </c>
      <c r="E16" s="6" t="s">
        <v>37</v>
      </c>
      <c r="F16" s="6" t="s">
        <v>75</v>
      </c>
      <c r="G16" s="6">
        <v>2016</v>
      </c>
      <c r="H16" s="6" t="str">
        <f>CONCATENATE("64240323903")</f>
        <v>64240323903</v>
      </c>
      <c r="I16" s="6" t="s">
        <v>28</v>
      </c>
      <c r="J16" s="6" t="s">
        <v>35</v>
      </c>
      <c r="K16" s="6" t="str">
        <f>CONCATENATE("")</f>
        <v/>
      </c>
      <c r="L16" s="6" t="str">
        <f>CONCATENATE("11 11.2 4b")</f>
        <v>11 11.2 4b</v>
      </c>
      <c r="M16" s="6" t="str">
        <f>CONCATENATE("02008350411")</f>
        <v>02008350411</v>
      </c>
      <c r="N16" s="6" t="s">
        <v>76</v>
      </c>
      <c r="O16" s="6" t="s">
        <v>63</v>
      </c>
      <c r="P16" s="7">
        <v>43252</v>
      </c>
      <c r="Q16" s="6" t="s">
        <v>30</v>
      </c>
      <c r="R16" s="6" t="s">
        <v>31</v>
      </c>
      <c r="S16" s="6" t="s">
        <v>32</v>
      </c>
      <c r="T16" s="6">
        <v>250.71</v>
      </c>
      <c r="U16" s="6">
        <v>108.11</v>
      </c>
      <c r="V16" s="6">
        <v>99.83</v>
      </c>
      <c r="W16" s="6">
        <v>0</v>
      </c>
      <c r="X16" s="6">
        <v>42.77</v>
      </c>
    </row>
    <row r="17" spans="1:24" ht="24.75" x14ac:dyDescent="0.25">
      <c r="A17" s="6" t="s">
        <v>25</v>
      </c>
      <c r="B17" s="6" t="s">
        <v>26</v>
      </c>
      <c r="C17" s="6" t="s">
        <v>46</v>
      </c>
      <c r="D17" s="6" t="s">
        <v>60</v>
      </c>
      <c r="E17" s="6" t="s">
        <v>37</v>
      </c>
      <c r="F17" s="6" t="s">
        <v>75</v>
      </c>
      <c r="G17" s="6">
        <v>2016</v>
      </c>
      <c r="H17" s="6" t="str">
        <f>CONCATENATE("64240692109")</f>
        <v>64240692109</v>
      </c>
      <c r="I17" s="6" t="s">
        <v>28</v>
      </c>
      <c r="J17" s="6" t="s">
        <v>35</v>
      </c>
      <c r="K17" s="6" t="str">
        <f>CONCATENATE("")</f>
        <v/>
      </c>
      <c r="L17" s="6" t="str">
        <f>CONCATENATE("11 11.2 4b")</f>
        <v>11 11.2 4b</v>
      </c>
      <c r="M17" s="6" t="str">
        <f>CONCATENATE("PRSFNC41E03L500G")</f>
        <v>PRSFNC41E03L500G</v>
      </c>
      <c r="N17" s="6" t="s">
        <v>77</v>
      </c>
      <c r="O17" s="6" t="s">
        <v>63</v>
      </c>
      <c r="P17" s="7">
        <v>43252</v>
      </c>
      <c r="Q17" s="6" t="s">
        <v>30</v>
      </c>
      <c r="R17" s="6" t="s">
        <v>31</v>
      </c>
      <c r="S17" s="6" t="s">
        <v>32</v>
      </c>
      <c r="T17" s="6">
        <v>394.59</v>
      </c>
      <c r="U17" s="6">
        <v>170.15</v>
      </c>
      <c r="V17" s="6">
        <v>157.13</v>
      </c>
      <c r="W17" s="6">
        <v>0</v>
      </c>
      <c r="X17" s="6">
        <v>67.31</v>
      </c>
    </row>
    <row r="18" spans="1:24" ht="24.75" x14ac:dyDescent="0.25">
      <c r="A18" s="6" t="s">
        <v>25</v>
      </c>
      <c r="B18" s="6" t="s">
        <v>26</v>
      </c>
      <c r="C18" s="6" t="s">
        <v>46</v>
      </c>
      <c r="D18" s="6" t="s">
        <v>60</v>
      </c>
      <c r="E18" s="6" t="s">
        <v>27</v>
      </c>
      <c r="F18" s="6" t="s">
        <v>78</v>
      </c>
      <c r="G18" s="6">
        <v>2016</v>
      </c>
      <c r="H18" s="6" t="str">
        <f>CONCATENATE("64240634085")</f>
        <v>64240634085</v>
      </c>
      <c r="I18" s="6" t="s">
        <v>28</v>
      </c>
      <c r="J18" s="6" t="s">
        <v>35</v>
      </c>
      <c r="K18" s="6" t="str">
        <f>CONCATENATE("")</f>
        <v/>
      </c>
      <c r="L18" s="6" t="str">
        <f>CONCATENATE("11 11.2 4b")</f>
        <v>11 11.2 4b</v>
      </c>
      <c r="M18" s="6" t="str">
        <f>CONCATENATE("CNCGST75M02B352T")</f>
        <v>CNCGST75M02B352T</v>
      </c>
      <c r="N18" s="6" t="s">
        <v>79</v>
      </c>
      <c r="O18" s="6" t="s">
        <v>63</v>
      </c>
      <c r="P18" s="7">
        <v>43252</v>
      </c>
      <c r="Q18" s="6" t="s">
        <v>30</v>
      </c>
      <c r="R18" s="6" t="s">
        <v>31</v>
      </c>
      <c r="S18" s="6" t="s">
        <v>32</v>
      </c>
      <c r="T18" s="8">
        <v>25600.36</v>
      </c>
      <c r="U18" s="8">
        <v>11038.88</v>
      </c>
      <c r="V18" s="8">
        <v>10194.06</v>
      </c>
      <c r="W18" s="6">
        <v>0</v>
      </c>
      <c r="X18" s="8">
        <v>4367.42</v>
      </c>
    </row>
    <row r="19" spans="1:24" ht="24.75" x14ac:dyDescent="0.25">
      <c r="A19" s="6" t="s">
        <v>25</v>
      </c>
      <c r="B19" s="6" t="s">
        <v>26</v>
      </c>
      <c r="C19" s="6" t="s">
        <v>46</v>
      </c>
      <c r="D19" s="6" t="s">
        <v>71</v>
      </c>
      <c r="E19" s="6" t="s">
        <v>27</v>
      </c>
      <c r="F19" s="6" t="s">
        <v>72</v>
      </c>
      <c r="G19" s="6">
        <v>2017</v>
      </c>
      <c r="H19" s="6" t="str">
        <f>CONCATENATE("74770296676")</f>
        <v>74770296676</v>
      </c>
      <c r="I19" s="6" t="s">
        <v>28</v>
      </c>
      <c r="J19" s="6" t="s">
        <v>29</v>
      </c>
      <c r="K19" s="6" t="str">
        <f>CONCATENATE("214")</f>
        <v>214</v>
      </c>
      <c r="L19" s="6" t="str">
        <f>CONCATENATE("11 11.2 4b")</f>
        <v>11 11.2 4b</v>
      </c>
      <c r="M19" s="6" t="str">
        <f>CONCATENATE("00789910437")</f>
        <v>00789910437</v>
      </c>
      <c r="N19" s="6" t="s">
        <v>80</v>
      </c>
      <c r="O19" s="6" t="s">
        <v>70</v>
      </c>
      <c r="P19" s="7">
        <v>43255</v>
      </c>
      <c r="Q19" s="6" t="s">
        <v>30</v>
      </c>
      <c r="R19" s="6" t="s">
        <v>31</v>
      </c>
      <c r="S19" s="6" t="s">
        <v>32</v>
      </c>
      <c r="T19" s="8">
        <v>1107.79</v>
      </c>
      <c r="U19" s="6">
        <v>477.68</v>
      </c>
      <c r="V19" s="6">
        <v>441.12</v>
      </c>
      <c r="W19" s="6">
        <v>0</v>
      </c>
      <c r="X19" s="6">
        <v>188.99</v>
      </c>
    </row>
    <row r="20" spans="1:24" x14ac:dyDescent="0.25">
      <c r="A20" s="6" t="s">
        <v>25</v>
      </c>
      <c r="B20" s="6" t="s">
        <v>26</v>
      </c>
      <c r="C20" s="6" t="s">
        <v>46</v>
      </c>
      <c r="D20" s="6" t="s">
        <v>71</v>
      </c>
      <c r="E20" s="6" t="s">
        <v>37</v>
      </c>
      <c r="F20" s="6" t="s">
        <v>81</v>
      </c>
      <c r="G20" s="6">
        <v>2017</v>
      </c>
      <c r="H20" s="6" t="str">
        <f>CONCATENATE("74770181209")</f>
        <v>74770181209</v>
      </c>
      <c r="I20" s="6" t="s">
        <v>28</v>
      </c>
      <c r="J20" s="6" t="s">
        <v>29</v>
      </c>
      <c r="K20" s="6" t="str">
        <f>CONCATENATE("214")</f>
        <v>214</v>
      </c>
      <c r="L20" s="6" t="str">
        <f>CONCATENATE("11 11.2 4b")</f>
        <v>11 11.2 4b</v>
      </c>
      <c r="M20" s="6" t="str">
        <f>CONCATENATE("02182330429")</f>
        <v>02182330429</v>
      </c>
      <c r="N20" s="6" t="s">
        <v>82</v>
      </c>
      <c r="O20" s="6" t="s">
        <v>70</v>
      </c>
      <c r="P20" s="7">
        <v>43255</v>
      </c>
      <c r="Q20" s="6" t="s">
        <v>30</v>
      </c>
      <c r="R20" s="6" t="s">
        <v>31</v>
      </c>
      <c r="S20" s="6" t="s">
        <v>32</v>
      </c>
      <c r="T20" s="6">
        <v>354.87</v>
      </c>
      <c r="U20" s="6">
        <v>153.02000000000001</v>
      </c>
      <c r="V20" s="6">
        <v>141.31</v>
      </c>
      <c r="W20" s="6">
        <v>0</v>
      </c>
      <c r="X20" s="6">
        <v>60.54</v>
      </c>
    </row>
    <row r="21" spans="1:24" x14ac:dyDescent="0.25">
      <c r="A21" s="6" t="s">
        <v>25</v>
      </c>
      <c r="B21" s="6" t="s">
        <v>26</v>
      </c>
      <c r="C21" s="6" t="s">
        <v>46</v>
      </c>
      <c r="D21" s="6" t="s">
        <v>71</v>
      </c>
      <c r="E21" s="6" t="s">
        <v>38</v>
      </c>
      <c r="F21" s="6" t="s">
        <v>83</v>
      </c>
      <c r="G21" s="6">
        <v>2017</v>
      </c>
      <c r="H21" s="6" t="str">
        <f>CONCATENATE("74770324676")</f>
        <v>74770324676</v>
      </c>
      <c r="I21" s="6" t="s">
        <v>28</v>
      </c>
      <c r="J21" s="6" t="s">
        <v>29</v>
      </c>
      <c r="K21" s="6" t="str">
        <f>CONCATENATE("214")</f>
        <v>214</v>
      </c>
      <c r="L21" s="6" t="str">
        <f>CONCATENATE("11 11.2 4b")</f>
        <v>11 11.2 4b</v>
      </c>
      <c r="M21" s="6" t="str">
        <f>CONCATENATE("NSLLNZ52P10E783Y")</f>
        <v>NSLLNZ52P10E783Y</v>
      </c>
      <c r="N21" s="6" t="s">
        <v>84</v>
      </c>
      <c r="O21" s="6" t="s">
        <v>70</v>
      </c>
      <c r="P21" s="7">
        <v>43255</v>
      </c>
      <c r="Q21" s="6" t="s">
        <v>30</v>
      </c>
      <c r="R21" s="6" t="s">
        <v>31</v>
      </c>
      <c r="S21" s="6" t="s">
        <v>32</v>
      </c>
      <c r="T21" s="6">
        <v>387.38</v>
      </c>
      <c r="U21" s="6">
        <v>167.04</v>
      </c>
      <c r="V21" s="6">
        <v>154.25</v>
      </c>
      <c r="W21" s="6">
        <v>0</v>
      </c>
      <c r="X21" s="6">
        <v>66.09</v>
      </c>
    </row>
    <row r="22" spans="1:24" ht="24.75" x14ac:dyDescent="0.25">
      <c r="A22" s="6" t="s">
        <v>25</v>
      </c>
      <c r="B22" s="6" t="s">
        <v>26</v>
      </c>
      <c r="C22" s="6" t="s">
        <v>46</v>
      </c>
      <c r="D22" s="6" t="s">
        <v>71</v>
      </c>
      <c r="E22" s="6" t="s">
        <v>37</v>
      </c>
      <c r="F22" s="6" t="s">
        <v>85</v>
      </c>
      <c r="G22" s="6">
        <v>2017</v>
      </c>
      <c r="H22" s="6" t="str">
        <f>CONCATENATE("74770108475")</f>
        <v>74770108475</v>
      </c>
      <c r="I22" s="6" t="s">
        <v>28</v>
      </c>
      <c r="J22" s="6" t="s">
        <v>29</v>
      </c>
      <c r="K22" s="6" t="str">
        <f>CONCATENATE("214")</f>
        <v>214</v>
      </c>
      <c r="L22" s="6" t="str">
        <f>CONCATENATE("11 11.2 4b")</f>
        <v>11 11.2 4b</v>
      </c>
      <c r="M22" s="6" t="str">
        <f>CONCATENATE("01215670439")</f>
        <v>01215670439</v>
      </c>
      <c r="N22" s="6" t="s">
        <v>86</v>
      </c>
      <c r="O22" s="6" t="s">
        <v>70</v>
      </c>
      <c r="P22" s="7">
        <v>43255</v>
      </c>
      <c r="Q22" s="6" t="s">
        <v>30</v>
      </c>
      <c r="R22" s="6" t="s">
        <v>31</v>
      </c>
      <c r="S22" s="6" t="s">
        <v>32</v>
      </c>
      <c r="T22" s="6">
        <v>194.62</v>
      </c>
      <c r="U22" s="6">
        <v>83.92</v>
      </c>
      <c r="V22" s="6">
        <v>77.5</v>
      </c>
      <c r="W22" s="6">
        <v>0</v>
      </c>
      <c r="X22" s="6">
        <v>33.200000000000003</v>
      </c>
    </row>
    <row r="23" spans="1:24" x14ac:dyDescent="0.25">
      <c r="A23" s="6" t="s">
        <v>25</v>
      </c>
      <c r="B23" s="6" t="s">
        <v>26</v>
      </c>
      <c r="C23" s="6" t="s">
        <v>46</v>
      </c>
      <c r="D23" s="6" t="s">
        <v>71</v>
      </c>
      <c r="E23" s="6" t="s">
        <v>27</v>
      </c>
      <c r="F23" s="6" t="s">
        <v>72</v>
      </c>
      <c r="G23" s="6">
        <v>2017</v>
      </c>
      <c r="H23" s="6" t="str">
        <f>CONCATENATE("74770300833")</f>
        <v>74770300833</v>
      </c>
      <c r="I23" s="6" t="s">
        <v>28</v>
      </c>
      <c r="J23" s="6" t="s">
        <v>29</v>
      </c>
      <c r="K23" s="6" t="str">
        <f>CONCATENATE("214")</f>
        <v>214</v>
      </c>
      <c r="L23" s="6" t="str">
        <f>CONCATENATE("11 11.2 4b")</f>
        <v>11 11.2 4b</v>
      </c>
      <c r="M23" s="6" t="str">
        <f>CONCATENATE("MRLMNL60M49H876G")</f>
        <v>MRLMNL60M49H876G</v>
      </c>
      <c r="N23" s="6" t="s">
        <v>87</v>
      </c>
      <c r="O23" s="6" t="s">
        <v>70</v>
      </c>
      <c r="P23" s="7">
        <v>43255</v>
      </c>
      <c r="Q23" s="6" t="s">
        <v>30</v>
      </c>
      <c r="R23" s="6" t="s">
        <v>31</v>
      </c>
      <c r="S23" s="6" t="s">
        <v>32</v>
      </c>
      <c r="T23" s="6">
        <v>39.979999999999997</v>
      </c>
      <c r="U23" s="6">
        <v>17.239999999999998</v>
      </c>
      <c r="V23" s="6">
        <v>15.92</v>
      </c>
      <c r="W23" s="6">
        <v>0</v>
      </c>
      <c r="X23" s="6">
        <v>6.82</v>
      </c>
    </row>
    <row r="24" spans="1:24" x14ac:dyDescent="0.25">
      <c r="A24" s="6" t="s">
        <v>25</v>
      </c>
      <c r="B24" s="6" t="s">
        <v>26</v>
      </c>
      <c r="C24" s="6" t="s">
        <v>46</v>
      </c>
      <c r="D24" s="6" t="s">
        <v>71</v>
      </c>
      <c r="E24" s="6" t="s">
        <v>27</v>
      </c>
      <c r="F24" s="6" t="s">
        <v>88</v>
      </c>
      <c r="G24" s="6">
        <v>2017</v>
      </c>
      <c r="H24" s="6" t="str">
        <f>CONCATENATE("74770291487")</f>
        <v>74770291487</v>
      </c>
      <c r="I24" s="6" t="s">
        <v>28</v>
      </c>
      <c r="J24" s="6" t="s">
        <v>29</v>
      </c>
      <c r="K24" s="6" t="str">
        <f>CONCATENATE("214")</f>
        <v>214</v>
      </c>
      <c r="L24" s="6" t="str">
        <f>CONCATENATE("11 11.2 4b")</f>
        <v>11 11.2 4b</v>
      </c>
      <c r="M24" s="6" t="str">
        <f>CONCATENATE("SLVMFR63D08G690U")</f>
        <v>SLVMFR63D08G690U</v>
      </c>
      <c r="N24" s="6" t="s">
        <v>89</v>
      </c>
      <c r="O24" s="6" t="s">
        <v>70</v>
      </c>
      <c r="P24" s="7">
        <v>43255</v>
      </c>
      <c r="Q24" s="6" t="s">
        <v>30</v>
      </c>
      <c r="R24" s="6" t="s">
        <v>31</v>
      </c>
      <c r="S24" s="6" t="s">
        <v>32</v>
      </c>
      <c r="T24" s="6">
        <v>217.95</v>
      </c>
      <c r="U24" s="6">
        <v>93.98</v>
      </c>
      <c r="V24" s="6">
        <v>86.79</v>
      </c>
      <c r="W24" s="6">
        <v>0</v>
      </c>
      <c r="X24" s="6">
        <v>37.18</v>
      </c>
    </row>
    <row r="25" spans="1:24" ht="24.75" x14ac:dyDescent="0.25">
      <c r="A25" s="6" t="s">
        <v>25</v>
      </c>
      <c r="B25" s="6" t="s">
        <v>26</v>
      </c>
      <c r="C25" s="6" t="s">
        <v>46</v>
      </c>
      <c r="D25" s="6" t="s">
        <v>90</v>
      </c>
      <c r="E25" s="6" t="s">
        <v>27</v>
      </c>
      <c r="F25" s="6" t="s">
        <v>91</v>
      </c>
      <c r="G25" s="6">
        <v>2017</v>
      </c>
      <c r="H25" s="6" t="str">
        <f>CONCATENATE("74770089956")</f>
        <v>74770089956</v>
      </c>
      <c r="I25" s="6" t="s">
        <v>28</v>
      </c>
      <c r="J25" s="6" t="s">
        <v>29</v>
      </c>
      <c r="K25" s="6" t="str">
        <f>CONCATENATE("214")</f>
        <v>214</v>
      </c>
      <c r="L25" s="6" t="str">
        <f>CONCATENATE("10 10.1 4a")</f>
        <v>10 10.1 4a</v>
      </c>
      <c r="M25" s="6" t="str">
        <f>CONCATENATE("PDCMTR50A63D451U")</f>
        <v>PDCMTR50A63D451U</v>
      </c>
      <c r="N25" s="6" t="s">
        <v>92</v>
      </c>
      <c r="O25" s="6" t="s">
        <v>70</v>
      </c>
      <c r="P25" s="7">
        <v>43255</v>
      </c>
      <c r="Q25" s="6" t="s">
        <v>30</v>
      </c>
      <c r="R25" s="6" t="s">
        <v>31</v>
      </c>
      <c r="S25" s="6" t="s">
        <v>32</v>
      </c>
      <c r="T25" s="6">
        <v>772.2</v>
      </c>
      <c r="U25" s="6">
        <v>332.97</v>
      </c>
      <c r="V25" s="6">
        <v>307.49</v>
      </c>
      <c r="W25" s="6">
        <v>0</v>
      </c>
      <c r="X25" s="6">
        <v>131.74</v>
      </c>
    </row>
    <row r="26" spans="1:24" x14ac:dyDescent="0.25">
      <c r="A26" s="6" t="s">
        <v>25</v>
      </c>
      <c r="B26" s="6" t="s">
        <v>26</v>
      </c>
      <c r="C26" s="6" t="s">
        <v>46</v>
      </c>
      <c r="D26" s="6" t="s">
        <v>71</v>
      </c>
      <c r="E26" s="6" t="s">
        <v>27</v>
      </c>
      <c r="F26" s="6" t="s">
        <v>72</v>
      </c>
      <c r="G26" s="6">
        <v>2017</v>
      </c>
      <c r="H26" s="6" t="str">
        <f>CONCATENATE("74770226848")</f>
        <v>74770226848</v>
      </c>
      <c r="I26" s="6" t="s">
        <v>28</v>
      </c>
      <c r="J26" s="6" t="s">
        <v>29</v>
      </c>
      <c r="K26" s="6" t="str">
        <f>CONCATENATE("214")</f>
        <v>214</v>
      </c>
      <c r="L26" s="6" t="str">
        <f>CONCATENATE("11 11.2 4b")</f>
        <v>11 11.2 4b</v>
      </c>
      <c r="M26" s="6" t="str">
        <f>CONCATENATE("BCCNRC78C21I436T")</f>
        <v>BCCNRC78C21I436T</v>
      </c>
      <c r="N26" s="6" t="s">
        <v>93</v>
      </c>
      <c r="O26" s="6" t="s">
        <v>70</v>
      </c>
      <c r="P26" s="7">
        <v>43255</v>
      </c>
      <c r="Q26" s="6" t="s">
        <v>30</v>
      </c>
      <c r="R26" s="6" t="s">
        <v>31</v>
      </c>
      <c r="S26" s="6" t="s">
        <v>32</v>
      </c>
      <c r="T26" s="8">
        <v>1988.21</v>
      </c>
      <c r="U26" s="6">
        <v>857.32</v>
      </c>
      <c r="V26" s="6">
        <v>791.71</v>
      </c>
      <c r="W26" s="6">
        <v>0</v>
      </c>
      <c r="X26" s="6">
        <v>339.18</v>
      </c>
    </row>
    <row r="27" spans="1:24" x14ac:dyDescent="0.25">
      <c r="A27" s="6" t="s">
        <v>25</v>
      </c>
      <c r="B27" s="6" t="s">
        <v>26</v>
      </c>
      <c r="C27" s="6" t="s">
        <v>46</v>
      </c>
      <c r="D27" s="6" t="s">
        <v>71</v>
      </c>
      <c r="E27" s="6" t="s">
        <v>27</v>
      </c>
      <c r="F27" s="6" t="s">
        <v>94</v>
      </c>
      <c r="G27" s="6">
        <v>2017</v>
      </c>
      <c r="H27" s="6" t="str">
        <f>CONCATENATE("74770031800")</f>
        <v>74770031800</v>
      </c>
      <c r="I27" s="6" t="s">
        <v>28</v>
      </c>
      <c r="J27" s="6" t="s">
        <v>29</v>
      </c>
      <c r="K27" s="6" t="str">
        <f>CONCATENATE("214")</f>
        <v>214</v>
      </c>
      <c r="L27" s="6" t="str">
        <f>CONCATENATE("11 11.2 4b")</f>
        <v>11 11.2 4b</v>
      </c>
      <c r="M27" s="6" t="str">
        <f>CONCATENATE("GTTPLA55T01I156X")</f>
        <v>GTTPLA55T01I156X</v>
      </c>
      <c r="N27" s="6" t="s">
        <v>95</v>
      </c>
      <c r="O27" s="6" t="s">
        <v>70</v>
      </c>
      <c r="P27" s="7">
        <v>43255</v>
      </c>
      <c r="Q27" s="6" t="s">
        <v>30</v>
      </c>
      <c r="R27" s="6" t="s">
        <v>31</v>
      </c>
      <c r="S27" s="6" t="s">
        <v>32</v>
      </c>
      <c r="T27" s="6">
        <v>255.29</v>
      </c>
      <c r="U27" s="6">
        <v>110.08</v>
      </c>
      <c r="V27" s="6">
        <v>101.66</v>
      </c>
      <c r="W27" s="6">
        <v>0</v>
      </c>
      <c r="X27" s="6">
        <v>43.55</v>
      </c>
    </row>
    <row r="28" spans="1:24" ht="24.75" x14ac:dyDescent="0.25">
      <c r="A28" s="6" t="s">
        <v>25</v>
      </c>
      <c r="B28" s="6" t="s">
        <v>26</v>
      </c>
      <c r="C28" s="6" t="s">
        <v>46</v>
      </c>
      <c r="D28" s="6" t="s">
        <v>71</v>
      </c>
      <c r="E28" s="6" t="s">
        <v>27</v>
      </c>
      <c r="F28" s="6" t="s">
        <v>96</v>
      </c>
      <c r="G28" s="6">
        <v>2017</v>
      </c>
      <c r="H28" s="6" t="str">
        <f>CONCATENATE("74770047384")</f>
        <v>74770047384</v>
      </c>
      <c r="I28" s="6" t="s">
        <v>28</v>
      </c>
      <c r="J28" s="6" t="s">
        <v>29</v>
      </c>
      <c r="K28" s="6" t="str">
        <f>CONCATENATE("214")</f>
        <v>214</v>
      </c>
      <c r="L28" s="6" t="str">
        <f>CONCATENATE("11 11.2 4b")</f>
        <v>11 11.2 4b</v>
      </c>
      <c r="M28" s="6" t="str">
        <f>CONCATENATE("01781940430")</f>
        <v>01781940430</v>
      </c>
      <c r="N28" s="6" t="s">
        <v>97</v>
      </c>
      <c r="O28" s="6" t="s">
        <v>70</v>
      </c>
      <c r="P28" s="7">
        <v>43255</v>
      </c>
      <c r="Q28" s="6" t="s">
        <v>30</v>
      </c>
      <c r="R28" s="6" t="s">
        <v>31</v>
      </c>
      <c r="S28" s="6" t="s">
        <v>32</v>
      </c>
      <c r="T28" s="8">
        <v>3847.09</v>
      </c>
      <c r="U28" s="8">
        <v>1658.87</v>
      </c>
      <c r="V28" s="8">
        <v>1531.91</v>
      </c>
      <c r="W28" s="6">
        <v>0</v>
      </c>
      <c r="X28" s="6">
        <v>656.31</v>
      </c>
    </row>
    <row r="29" spans="1:24" ht="24.75" x14ac:dyDescent="0.25">
      <c r="A29" s="6" t="s">
        <v>25</v>
      </c>
      <c r="B29" s="6" t="s">
        <v>26</v>
      </c>
      <c r="C29" s="6" t="s">
        <v>46</v>
      </c>
      <c r="D29" s="6" t="s">
        <v>71</v>
      </c>
      <c r="E29" s="6" t="s">
        <v>27</v>
      </c>
      <c r="F29" s="6" t="s">
        <v>72</v>
      </c>
      <c r="G29" s="6">
        <v>2017</v>
      </c>
      <c r="H29" s="6" t="str">
        <f>CONCATENATE("74770300775")</f>
        <v>74770300775</v>
      </c>
      <c r="I29" s="6" t="s">
        <v>28</v>
      </c>
      <c r="J29" s="6" t="s">
        <v>29</v>
      </c>
      <c r="K29" s="6" t="str">
        <f>CONCATENATE("214")</f>
        <v>214</v>
      </c>
      <c r="L29" s="6" t="str">
        <f>CONCATENATE("11 11.2 4b")</f>
        <v>11 11.2 4b</v>
      </c>
      <c r="M29" s="6" t="str">
        <f>CONCATENATE("01644070433")</f>
        <v>01644070433</v>
      </c>
      <c r="N29" s="6" t="s">
        <v>98</v>
      </c>
      <c r="O29" s="6" t="s">
        <v>70</v>
      </c>
      <c r="P29" s="7">
        <v>43255</v>
      </c>
      <c r="Q29" s="6" t="s">
        <v>30</v>
      </c>
      <c r="R29" s="6" t="s">
        <v>31</v>
      </c>
      <c r="S29" s="6" t="s">
        <v>32</v>
      </c>
      <c r="T29" s="6">
        <v>161.79</v>
      </c>
      <c r="U29" s="6">
        <v>69.760000000000005</v>
      </c>
      <c r="V29" s="6">
        <v>64.42</v>
      </c>
      <c r="W29" s="6">
        <v>0</v>
      </c>
      <c r="X29" s="6">
        <v>27.61</v>
      </c>
    </row>
    <row r="30" spans="1:24" x14ac:dyDescent="0.25">
      <c r="A30" s="6" t="s">
        <v>25</v>
      </c>
      <c r="B30" s="6" t="s">
        <v>26</v>
      </c>
      <c r="C30" s="6" t="s">
        <v>46</v>
      </c>
      <c r="D30" s="6" t="s">
        <v>71</v>
      </c>
      <c r="E30" s="6" t="s">
        <v>33</v>
      </c>
      <c r="F30" s="6" t="s">
        <v>99</v>
      </c>
      <c r="G30" s="6">
        <v>2017</v>
      </c>
      <c r="H30" s="6" t="str">
        <f>CONCATENATE("74770234404")</f>
        <v>74770234404</v>
      </c>
      <c r="I30" s="6" t="s">
        <v>28</v>
      </c>
      <c r="J30" s="6" t="s">
        <v>29</v>
      </c>
      <c r="K30" s="6" t="str">
        <f>CONCATENATE("214")</f>
        <v>214</v>
      </c>
      <c r="L30" s="6" t="str">
        <f>CONCATENATE("11 11.1 4b")</f>
        <v>11 11.1 4b</v>
      </c>
      <c r="M30" s="6" t="str">
        <f>CONCATENATE("MDRLNZ55L06M078F")</f>
        <v>MDRLNZ55L06M078F</v>
      </c>
      <c r="N30" s="6" t="s">
        <v>100</v>
      </c>
      <c r="O30" s="6" t="s">
        <v>70</v>
      </c>
      <c r="P30" s="7">
        <v>43255</v>
      </c>
      <c r="Q30" s="6" t="s">
        <v>30</v>
      </c>
      <c r="R30" s="6" t="s">
        <v>31</v>
      </c>
      <c r="S30" s="6" t="s">
        <v>32</v>
      </c>
      <c r="T30" s="6">
        <v>321.58999999999997</v>
      </c>
      <c r="U30" s="6">
        <v>138.66999999999999</v>
      </c>
      <c r="V30" s="6">
        <v>128.06</v>
      </c>
      <c r="W30" s="6">
        <v>0</v>
      </c>
      <c r="X30" s="6">
        <v>54.86</v>
      </c>
    </row>
    <row r="31" spans="1:24" x14ac:dyDescent="0.25">
      <c r="A31" s="6" t="s">
        <v>25</v>
      </c>
      <c r="B31" s="6" t="s">
        <v>26</v>
      </c>
      <c r="C31" s="6" t="s">
        <v>46</v>
      </c>
      <c r="D31" s="6" t="s">
        <v>71</v>
      </c>
      <c r="E31" s="6" t="s">
        <v>37</v>
      </c>
      <c r="F31" s="6" t="s">
        <v>101</v>
      </c>
      <c r="G31" s="6">
        <v>2017</v>
      </c>
      <c r="H31" s="6" t="str">
        <f>CONCATENATE("74770205719")</f>
        <v>74770205719</v>
      </c>
      <c r="I31" s="6" t="s">
        <v>28</v>
      </c>
      <c r="J31" s="6" t="s">
        <v>29</v>
      </c>
      <c r="K31" s="6" t="str">
        <f>CONCATENATE("214")</f>
        <v>214</v>
      </c>
      <c r="L31" s="6" t="str">
        <f>CONCATENATE("11 11.2 4b")</f>
        <v>11 11.2 4b</v>
      </c>
      <c r="M31" s="6" t="str">
        <f>CONCATENATE("PLZGNN59L55A334J")</f>
        <v>PLZGNN59L55A334J</v>
      </c>
      <c r="N31" s="6" t="s">
        <v>102</v>
      </c>
      <c r="O31" s="6" t="s">
        <v>70</v>
      </c>
      <c r="P31" s="7">
        <v>43255</v>
      </c>
      <c r="Q31" s="6" t="s">
        <v>30</v>
      </c>
      <c r="R31" s="6" t="s">
        <v>31</v>
      </c>
      <c r="S31" s="6" t="s">
        <v>32</v>
      </c>
      <c r="T31" s="6">
        <v>93.71</v>
      </c>
      <c r="U31" s="6">
        <v>40.409999999999997</v>
      </c>
      <c r="V31" s="6">
        <v>37.32</v>
      </c>
      <c r="W31" s="6">
        <v>0</v>
      </c>
      <c r="X31" s="6">
        <v>15.98</v>
      </c>
    </row>
    <row r="32" spans="1:24" x14ac:dyDescent="0.25">
      <c r="A32" s="6" t="s">
        <v>25</v>
      </c>
      <c r="B32" s="6" t="s">
        <v>26</v>
      </c>
      <c r="C32" s="6" t="s">
        <v>46</v>
      </c>
      <c r="D32" s="6" t="s">
        <v>71</v>
      </c>
      <c r="E32" s="6" t="s">
        <v>27</v>
      </c>
      <c r="F32" s="6" t="s">
        <v>72</v>
      </c>
      <c r="G32" s="6">
        <v>2017</v>
      </c>
      <c r="H32" s="6" t="str">
        <f>CONCATENATE("74770300825")</f>
        <v>74770300825</v>
      </c>
      <c r="I32" s="6" t="s">
        <v>28</v>
      </c>
      <c r="J32" s="6" t="s">
        <v>29</v>
      </c>
      <c r="K32" s="6" t="str">
        <f>CONCATENATE("214")</f>
        <v>214</v>
      </c>
      <c r="L32" s="6" t="str">
        <f>CONCATENATE("11 11.2 4b")</f>
        <v>11 11.2 4b</v>
      </c>
      <c r="M32" s="6" t="str">
        <f>CONCATENATE("PZZGNN45T67H876H")</f>
        <v>PZZGNN45T67H876H</v>
      </c>
      <c r="N32" s="6" t="s">
        <v>103</v>
      </c>
      <c r="O32" s="6" t="s">
        <v>70</v>
      </c>
      <c r="P32" s="7">
        <v>43255</v>
      </c>
      <c r="Q32" s="6" t="s">
        <v>30</v>
      </c>
      <c r="R32" s="6" t="s">
        <v>31</v>
      </c>
      <c r="S32" s="6" t="s">
        <v>32</v>
      </c>
      <c r="T32" s="6">
        <v>480.82</v>
      </c>
      <c r="U32" s="6">
        <v>207.33</v>
      </c>
      <c r="V32" s="6">
        <v>191.46</v>
      </c>
      <c r="W32" s="6">
        <v>0</v>
      </c>
      <c r="X32" s="6">
        <v>82.03</v>
      </c>
    </row>
    <row r="33" spans="1:24" x14ac:dyDescent="0.25">
      <c r="A33" s="6" t="s">
        <v>25</v>
      </c>
      <c r="B33" s="6" t="s">
        <v>26</v>
      </c>
      <c r="C33" s="6" t="s">
        <v>46</v>
      </c>
      <c r="D33" s="6" t="s">
        <v>71</v>
      </c>
      <c r="E33" s="6" t="s">
        <v>27</v>
      </c>
      <c r="F33" s="6" t="s">
        <v>94</v>
      </c>
      <c r="G33" s="6">
        <v>2017</v>
      </c>
      <c r="H33" s="6" t="str">
        <f>CONCATENATE("74770031040")</f>
        <v>74770031040</v>
      </c>
      <c r="I33" s="6" t="s">
        <v>28</v>
      </c>
      <c r="J33" s="6" t="s">
        <v>29</v>
      </c>
      <c r="K33" s="6" t="str">
        <f>CONCATENATE("214")</f>
        <v>214</v>
      </c>
      <c r="L33" s="6" t="str">
        <f>CONCATENATE("11 11.2 4b")</f>
        <v>11 11.2 4b</v>
      </c>
      <c r="M33" s="6" t="str">
        <f>CONCATENATE("PRMMRN59B20I156U")</f>
        <v>PRMMRN59B20I156U</v>
      </c>
      <c r="N33" s="6" t="s">
        <v>104</v>
      </c>
      <c r="O33" s="6" t="s">
        <v>70</v>
      </c>
      <c r="P33" s="7">
        <v>43255</v>
      </c>
      <c r="Q33" s="6" t="s">
        <v>30</v>
      </c>
      <c r="R33" s="6" t="s">
        <v>31</v>
      </c>
      <c r="S33" s="6" t="s">
        <v>32</v>
      </c>
      <c r="T33" s="6">
        <v>274.52999999999997</v>
      </c>
      <c r="U33" s="6">
        <v>118.38</v>
      </c>
      <c r="V33" s="6">
        <v>109.32</v>
      </c>
      <c r="W33" s="6">
        <v>0</v>
      </c>
      <c r="X33" s="6">
        <v>46.83</v>
      </c>
    </row>
    <row r="34" spans="1:24" ht="24.75" x14ac:dyDescent="0.25">
      <c r="A34" s="6" t="s">
        <v>25</v>
      </c>
      <c r="B34" s="6" t="s">
        <v>26</v>
      </c>
      <c r="C34" s="6" t="s">
        <v>46</v>
      </c>
      <c r="D34" s="6" t="s">
        <v>47</v>
      </c>
      <c r="E34" s="6" t="s">
        <v>37</v>
      </c>
      <c r="F34" s="6" t="s">
        <v>85</v>
      </c>
      <c r="G34" s="6">
        <v>2017</v>
      </c>
      <c r="H34" s="6" t="str">
        <f>CONCATENATE("74770107618")</f>
        <v>74770107618</v>
      </c>
      <c r="I34" s="6" t="s">
        <v>28</v>
      </c>
      <c r="J34" s="6" t="s">
        <v>29</v>
      </c>
      <c r="K34" s="6" t="str">
        <f>CONCATENATE("214")</f>
        <v>214</v>
      </c>
      <c r="L34" s="6" t="str">
        <f>CONCATENATE("11 11.2 4b")</f>
        <v>11 11.2 4b</v>
      </c>
      <c r="M34" s="6" t="str">
        <f>CONCATENATE("GRGGNN57H70A271N")</f>
        <v>GRGGNN57H70A271N</v>
      </c>
      <c r="N34" s="6" t="s">
        <v>105</v>
      </c>
      <c r="O34" s="6" t="s">
        <v>70</v>
      </c>
      <c r="P34" s="7">
        <v>43255</v>
      </c>
      <c r="Q34" s="6" t="s">
        <v>30</v>
      </c>
      <c r="R34" s="6" t="s">
        <v>31</v>
      </c>
      <c r="S34" s="6" t="s">
        <v>32</v>
      </c>
      <c r="T34" s="6">
        <v>202.94</v>
      </c>
      <c r="U34" s="6">
        <v>87.51</v>
      </c>
      <c r="V34" s="6">
        <v>80.81</v>
      </c>
      <c r="W34" s="6">
        <v>0</v>
      </c>
      <c r="X34" s="6">
        <v>34.619999999999997</v>
      </c>
    </row>
    <row r="35" spans="1:24" ht="24.75" x14ac:dyDescent="0.25">
      <c r="A35" s="6" t="s">
        <v>25</v>
      </c>
      <c r="B35" s="6" t="s">
        <v>26</v>
      </c>
      <c r="C35" s="6" t="s">
        <v>46</v>
      </c>
      <c r="D35" s="6" t="s">
        <v>71</v>
      </c>
      <c r="E35" s="6" t="s">
        <v>27</v>
      </c>
      <c r="F35" s="6" t="s">
        <v>106</v>
      </c>
      <c r="G35" s="6">
        <v>2017</v>
      </c>
      <c r="H35" s="6" t="str">
        <f>CONCATENATE("74770297328")</f>
        <v>74770297328</v>
      </c>
      <c r="I35" s="6" t="s">
        <v>28</v>
      </c>
      <c r="J35" s="6" t="s">
        <v>29</v>
      </c>
      <c r="K35" s="6" t="str">
        <f>CONCATENATE("214")</f>
        <v>214</v>
      </c>
      <c r="L35" s="6" t="str">
        <f>CONCATENATE("11 11.2 4b")</f>
        <v>11 11.2 4b</v>
      </c>
      <c r="M35" s="6" t="str">
        <f>CONCATENATE("01110060439")</f>
        <v>01110060439</v>
      </c>
      <c r="N35" s="6" t="s">
        <v>107</v>
      </c>
      <c r="O35" s="6" t="s">
        <v>70</v>
      </c>
      <c r="P35" s="7">
        <v>43255</v>
      </c>
      <c r="Q35" s="6" t="s">
        <v>30</v>
      </c>
      <c r="R35" s="6" t="s">
        <v>31</v>
      </c>
      <c r="S35" s="6" t="s">
        <v>32</v>
      </c>
      <c r="T35" s="6">
        <v>647.08000000000004</v>
      </c>
      <c r="U35" s="6">
        <v>279.02</v>
      </c>
      <c r="V35" s="6">
        <v>257.67</v>
      </c>
      <c r="W35" s="6">
        <v>0</v>
      </c>
      <c r="X35" s="6">
        <v>110.39</v>
      </c>
    </row>
    <row r="36" spans="1:24" x14ac:dyDescent="0.25">
      <c r="A36" s="6" t="s">
        <v>25</v>
      </c>
      <c r="B36" s="6" t="s">
        <v>26</v>
      </c>
      <c r="C36" s="6" t="s">
        <v>46</v>
      </c>
      <c r="D36" s="6" t="s">
        <v>71</v>
      </c>
      <c r="E36" s="6" t="s">
        <v>27</v>
      </c>
      <c r="F36" s="6" t="s">
        <v>108</v>
      </c>
      <c r="G36" s="6">
        <v>2017</v>
      </c>
      <c r="H36" s="6" t="str">
        <f>CONCATENATE("74770042617")</f>
        <v>74770042617</v>
      </c>
      <c r="I36" s="6" t="s">
        <v>28</v>
      </c>
      <c r="J36" s="6" t="s">
        <v>29</v>
      </c>
      <c r="K36" s="6" t="str">
        <f>CONCATENATE("214")</f>
        <v>214</v>
      </c>
      <c r="L36" s="6" t="str">
        <f>CONCATENATE("11 11.2 4b")</f>
        <v>11 11.2 4b</v>
      </c>
      <c r="M36" s="6" t="str">
        <f>CONCATENATE("SMMVNI58D62G479R")</f>
        <v>SMMVNI58D62G479R</v>
      </c>
      <c r="N36" s="6" t="s">
        <v>109</v>
      </c>
      <c r="O36" s="6" t="s">
        <v>70</v>
      </c>
      <c r="P36" s="7">
        <v>43255</v>
      </c>
      <c r="Q36" s="6" t="s">
        <v>30</v>
      </c>
      <c r="R36" s="6" t="s">
        <v>31</v>
      </c>
      <c r="S36" s="6" t="s">
        <v>32</v>
      </c>
      <c r="T36" s="6">
        <v>447.74</v>
      </c>
      <c r="U36" s="6">
        <v>193.07</v>
      </c>
      <c r="V36" s="6">
        <v>178.29</v>
      </c>
      <c r="W36" s="6">
        <v>0</v>
      </c>
      <c r="X36" s="6">
        <v>76.38</v>
      </c>
    </row>
    <row r="37" spans="1:24" x14ac:dyDescent="0.25">
      <c r="A37" s="6" t="s">
        <v>25</v>
      </c>
      <c r="B37" s="6" t="s">
        <v>26</v>
      </c>
      <c r="C37" s="6" t="s">
        <v>46</v>
      </c>
      <c r="D37" s="6" t="s">
        <v>71</v>
      </c>
      <c r="E37" s="6" t="s">
        <v>37</v>
      </c>
      <c r="F37" s="6" t="s">
        <v>81</v>
      </c>
      <c r="G37" s="6">
        <v>2017</v>
      </c>
      <c r="H37" s="6" t="str">
        <f>CONCATENATE("74770181274")</f>
        <v>74770181274</v>
      </c>
      <c r="I37" s="6" t="s">
        <v>28</v>
      </c>
      <c r="J37" s="6" t="s">
        <v>29</v>
      </c>
      <c r="K37" s="6" t="str">
        <f>CONCATENATE("214")</f>
        <v>214</v>
      </c>
      <c r="L37" s="6" t="str">
        <f>CONCATENATE("11 11.2 4b")</f>
        <v>11 11.2 4b</v>
      </c>
      <c r="M37" s="6" t="str">
        <f>CONCATENATE("02182330429")</f>
        <v>02182330429</v>
      </c>
      <c r="N37" s="6" t="s">
        <v>82</v>
      </c>
      <c r="O37" s="6" t="s">
        <v>70</v>
      </c>
      <c r="P37" s="7">
        <v>43255</v>
      </c>
      <c r="Q37" s="6" t="s">
        <v>30</v>
      </c>
      <c r="R37" s="6" t="s">
        <v>31</v>
      </c>
      <c r="S37" s="6" t="s">
        <v>32</v>
      </c>
      <c r="T37" s="6">
        <v>104.15</v>
      </c>
      <c r="U37" s="6">
        <v>44.91</v>
      </c>
      <c r="V37" s="6">
        <v>41.47</v>
      </c>
      <c r="W37" s="6">
        <v>0</v>
      </c>
      <c r="X37" s="6">
        <v>17.77</v>
      </c>
    </row>
    <row r="38" spans="1:24" x14ac:dyDescent="0.25">
      <c r="A38" s="6" t="s">
        <v>25</v>
      </c>
      <c r="B38" s="6" t="s">
        <v>26</v>
      </c>
      <c r="C38" s="6" t="s">
        <v>46</v>
      </c>
      <c r="D38" s="6" t="s">
        <v>71</v>
      </c>
      <c r="E38" s="6" t="s">
        <v>27</v>
      </c>
      <c r="F38" s="6" t="s">
        <v>88</v>
      </c>
      <c r="G38" s="6">
        <v>2017</v>
      </c>
      <c r="H38" s="6" t="str">
        <f>CONCATENATE("74770095268")</f>
        <v>74770095268</v>
      </c>
      <c r="I38" s="6" t="s">
        <v>28</v>
      </c>
      <c r="J38" s="6" t="s">
        <v>29</v>
      </c>
      <c r="K38" s="6" t="str">
        <f>CONCATENATE("214")</f>
        <v>214</v>
      </c>
      <c r="L38" s="6" t="str">
        <f>CONCATENATE("11 11.2 4b")</f>
        <v>11 11.2 4b</v>
      </c>
      <c r="M38" s="6" t="str">
        <f>CONCATENATE("BNDGRL80B04F051G")</f>
        <v>BNDGRL80B04F051G</v>
      </c>
      <c r="N38" s="6" t="s">
        <v>110</v>
      </c>
      <c r="O38" s="6" t="s">
        <v>70</v>
      </c>
      <c r="P38" s="7">
        <v>43255</v>
      </c>
      <c r="Q38" s="6" t="s">
        <v>30</v>
      </c>
      <c r="R38" s="6" t="s">
        <v>31</v>
      </c>
      <c r="S38" s="6" t="s">
        <v>32</v>
      </c>
      <c r="T38" s="6">
        <v>94.99</v>
      </c>
      <c r="U38" s="6">
        <v>40.96</v>
      </c>
      <c r="V38" s="6">
        <v>37.83</v>
      </c>
      <c r="W38" s="6">
        <v>0</v>
      </c>
      <c r="X38" s="6">
        <v>16.2</v>
      </c>
    </row>
    <row r="39" spans="1:24" x14ac:dyDescent="0.25">
      <c r="A39" s="6" t="s">
        <v>25</v>
      </c>
      <c r="B39" s="6" t="s">
        <v>26</v>
      </c>
      <c r="C39" s="6" t="s">
        <v>46</v>
      </c>
      <c r="D39" s="6" t="s">
        <v>71</v>
      </c>
      <c r="E39" s="6" t="s">
        <v>41</v>
      </c>
      <c r="F39" s="6" t="s">
        <v>45</v>
      </c>
      <c r="G39" s="6">
        <v>2017</v>
      </c>
      <c r="H39" s="6" t="str">
        <f>CONCATENATE("74770221765")</f>
        <v>74770221765</v>
      </c>
      <c r="I39" s="6" t="s">
        <v>28</v>
      </c>
      <c r="J39" s="6" t="s">
        <v>29</v>
      </c>
      <c r="K39" s="6" t="str">
        <f>CONCATENATE("214")</f>
        <v>214</v>
      </c>
      <c r="L39" s="6" t="str">
        <f>CONCATENATE("11 11.2 4b")</f>
        <v>11 11.2 4b</v>
      </c>
      <c r="M39" s="6" t="str">
        <f>CONCATENATE("DMBMRN80C05I377Y")</f>
        <v>DMBMRN80C05I377Y</v>
      </c>
      <c r="N39" s="6" t="s">
        <v>111</v>
      </c>
      <c r="O39" s="6" t="s">
        <v>70</v>
      </c>
      <c r="P39" s="7">
        <v>43255</v>
      </c>
      <c r="Q39" s="6" t="s">
        <v>30</v>
      </c>
      <c r="R39" s="6" t="s">
        <v>31</v>
      </c>
      <c r="S39" s="6" t="s">
        <v>32</v>
      </c>
      <c r="T39" s="6">
        <v>182.12</v>
      </c>
      <c r="U39" s="6">
        <v>78.53</v>
      </c>
      <c r="V39" s="6">
        <v>72.52</v>
      </c>
      <c r="W39" s="6">
        <v>0</v>
      </c>
      <c r="X39" s="6">
        <v>31.07</v>
      </c>
    </row>
    <row r="40" spans="1:24" x14ac:dyDescent="0.25">
      <c r="A40" s="6" t="s">
        <v>25</v>
      </c>
      <c r="B40" s="6" t="s">
        <v>26</v>
      </c>
      <c r="C40" s="6" t="s">
        <v>46</v>
      </c>
      <c r="D40" s="6" t="s">
        <v>71</v>
      </c>
      <c r="E40" s="6" t="s">
        <v>27</v>
      </c>
      <c r="F40" s="6" t="s">
        <v>72</v>
      </c>
      <c r="G40" s="6">
        <v>2017</v>
      </c>
      <c r="H40" s="6" t="str">
        <f>CONCATENATE("74770296718")</f>
        <v>74770296718</v>
      </c>
      <c r="I40" s="6" t="s">
        <v>28</v>
      </c>
      <c r="J40" s="6" t="s">
        <v>29</v>
      </c>
      <c r="K40" s="6" t="str">
        <f>CONCATENATE("214")</f>
        <v>214</v>
      </c>
      <c r="L40" s="6" t="str">
        <f>CONCATENATE("11 11.1 4b")</f>
        <v>11 11.1 4b</v>
      </c>
      <c r="M40" s="6" t="str">
        <f>CONCATENATE("GRDVLR60S45I436E")</f>
        <v>GRDVLR60S45I436E</v>
      </c>
      <c r="N40" s="6" t="s">
        <v>112</v>
      </c>
      <c r="O40" s="6" t="s">
        <v>70</v>
      </c>
      <c r="P40" s="7">
        <v>43255</v>
      </c>
      <c r="Q40" s="6" t="s">
        <v>30</v>
      </c>
      <c r="R40" s="6" t="s">
        <v>31</v>
      </c>
      <c r="S40" s="6" t="s">
        <v>32</v>
      </c>
      <c r="T40" s="6">
        <v>318.47000000000003</v>
      </c>
      <c r="U40" s="6">
        <v>137.32</v>
      </c>
      <c r="V40" s="6">
        <v>126.81</v>
      </c>
      <c r="W40" s="6">
        <v>0</v>
      </c>
      <c r="X40" s="6">
        <v>54.34</v>
      </c>
    </row>
    <row r="41" spans="1:24" x14ac:dyDescent="0.25">
      <c r="A41" s="6" t="s">
        <v>25</v>
      </c>
      <c r="B41" s="6" t="s">
        <v>26</v>
      </c>
      <c r="C41" s="6" t="s">
        <v>46</v>
      </c>
      <c r="D41" s="6" t="s">
        <v>71</v>
      </c>
      <c r="E41" s="6" t="s">
        <v>27</v>
      </c>
      <c r="F41" s="6" t="s">
        <v>72</v>
      </c>
      <c r="G41" s="6">
        <v>2017</v>
      </c>
      <c r="H41" s="6" t="str">
        <f>CONCATENATE("74770296726")</f>
        <v>74770296726</v>
      </c>
      <c r="I41" s="6" t="s">
        <v>28</v>
      </c>
      <c r="J41" s="6" t="s">
        <v>29</v>
      </c>
      <c r="K41" s="6" t="str">
        <f>CONCATENATE("214")</f>
        <v>214</v>
      </c>
      <c r="L41" s="6" t="str">
        <f>CONCATENATE("11 11.2 4b")</f>
        <v>11 11.2 4b</v>
      </c>
      <c r="M41" s="6" t="str">
        <f>CONCATENATE("LMBGLN62D26H876Y")</f>
        <v>LMBGLN62D26H876Y</v>
      </c>
      <c r="N41" s="6" t="s">
        <v>113</v>
      </c>
      <c r="O41" s="6" t="s">
        <v>70</v>
      </c>
      <c r="P41" s="7">
        <v>43255</v>
      </c>
      <c r="Q41" s="6" t="s">
        <v>30</v>
      </c>
      <c r="R41" s="6" t="s">
        <v>31</v>
      </c>
      <c r="S41" s="6" t="s">
        <v>32</v>
      </c>
      <c r="T41" s="6">
        <v>324.42</v>
      </c>
      <c r="U41" s="6">
        <v>139.88999999999999</v>
      </c>
      <c r="V41" s="6">
        <v>129.18</v>
      </c>
      <c r="W41" s="6">
        <v>0</v>
      </c>
      <c r="X41" s="6">
        <v>55.35</v>
      </c>
    </row>
    <row r="42" spans="1:24" x14ac:dyDescent="0.25">
      <c r="A42" s="6" t="s">
        <v>25</v>
      </c>
      <c r="B42" s="6" t="s">
        <v>26</v>
      </c>
      <c r="C42" s="6" t="s">
        <v>46</v>
      </c>
      <c r="D42" s="6" t="s">
        <v>71</v>
      </c>
      <c r="E42" s="6" t="s">
        <v>27</v>
      </c>
      <c r="F42" s="6" t="s">
        <v>88</v>
      </c>
      <c r="G42" s="6">
        <v>2017</v>
      </c>
      <c r="H42" s="6" t="str">
        <f>CONCATENATE("74770095763")</f>
        <v>74770095763</v>
      </c>
      <c r="I42" s="6" t="s">
        <v>28</v>
      </c>
      <c r="J42" s="6" t="s">
        <v>29</v>
      </c>
      <c r="K42" s="6" t="str">
        <f>CONCATENATE("214")</f>
        <v>214</v>
      </c>
      <c r="L42" s="6" t="str">
        <f>CONCATENATE("11 11.2 4b")</f>
        <v>11 11.2 4b</v>
      </c>
      <c r="M42" s="6" t="str">
        <f>CONCATENATE("MRCNZE66H03B474V")</f>
        <v>MRCNZE66H03B474V</v>
      </c>
      <c r="N42" s="6" t="s">
        <v>114</v>
      </c>
      <c r="O42" s="6" t="s">
        <v>70</v>
      </c>
      <c r="P42" s="7">
        <v>43255</v>
      </c>
      <c r="Q42" s="6" t="s">
        <v>30</v>
      </c>
      <c r="R42" s="6" t="s">
        <v>31</v>
      </c>
      <c r="S42" s="6" t="s">
        <v>32</v>
      </c>
      <c r="T42" s="6">
        <v>72.66</v>
      </c>
      <c r="U42" s="6">
        <v>31.33</v>
      </c>
      <c r="V42" s="6">
        <v>28.93</v>
      </c>
      <c r="W42" s="6">
        <v>0</v>
      </c>
      <c r="X42" s="6">
        <v>12.4</v>
      </c>
    </row>
    <row r="43" spans="1:24" x14ac:dyDescent="0.25">
      <c r="A43" s="6" t="s">
        <v>25</v>
      </c>
      <c r="B43" s="6" t="s">
        <v>26</v>
      </c>
      <c r="C43" s="6" t="s">
        <v>46</v>
      </c>
      <c r="D43" s="6" t="s">
        <v>71</v>
      </c>
      <c r="E43" s="6" t="s">
        <v>27</v>
      </c>
      <c r="F43" s="6" t="s">
        <v>115</v>
      </c>
      <c r="G43" s="6">
        <v>2017</v>
      </c>
      <c r="H43" s="6" t="str">
        <f>CONCATENATE("74770273162")</f>
        <v>74770273162</v>
      </c>
      <c r="I43" s="6" t="s">
        <v>28</v>
      </c>
      <c r="J43" s="6" t="s">
        <v>29</v>
      </c>
      <c r="K43" s="6" t="str">
        <f>CONCATENATE("214")</f>
        <v>214</v>
      </c>
      <c r="L43" s="6" t="str">
        <f>CONCATENATE("11 11.2 4b")</f>
        <v>11 11.2 4b</v>
      </c>
      <c r="M43" s="6" t="str">
        <f>CONCATENATE("PLCFNC57C19E783Z")</f>
        <v>PLCFNC57C19E783Z</v>
      </c>
      <c r="N43" s="6" t="s">
        <v>116</v>
      </c>
      <c r="O43" s="6" t="s">
        <v>70</v>
      </c>
      <c r="P43" s="7">
        <v>43255</v>
      </c>
      <c r="Q43" s="6" t="s">
        <v>30</v>
      </c>
      <c r="R43" s="6" t="s">
        <v>31</v>
      </c>
      <c r="S43" s="6" t="s">
        <v>32</v>
      </c>
      <c r="T43" s="6">
        <v>135.51</v>
      </c>
      <c r="U43" s="6">
        <v>58.43</v>
      </c>
      <c r="V43" s="6">
        <v>53.96</v>
      </c>
      <c r="W43" s="6">
        <v>0</v>
      </c>
      <c r="X43" s="6">
        <v>23.12</v>
      </c>
    </row>
    <row r="44" spans="1:24" x14ac:dyDescent="0.25">
      <c r="A44" s="6" t="s">
        <v>25</v>
      </c>
      <c r="B44" s="6" t="s">
        <v>26</v>
      </c>
      <c r="C44" s="6" t="s">
        <v>46</v>
      </c>
      <c r="D44" s="6" t="s">
        <v>71</v>
      </c>
      <c r="E44" s="6" t="s">
        <v>27</v>
      </c>
      <c r="F44" s="6" t="s">
        <v>88</v>
      </c>
      <c r="G44" s="6">
        <v>2017</v>
      </c>
      <c r="H44" s="6" t="str">
        <f>CONCATENATE("74770291511")</f>
        <v>74770291511</v>
      </c>
      <c r="I44" s="6" t="s">
        <v>28</v>
      </c>
      <c r="J44" s="6" t="s">
        <v>29</v>
      </c>
      <c r="K44" s="6" t="str">
        <f>CONCATENATE("214")</f>
        <v>214</v>
      </c>
      <c r="L44" s="6" t="str">
        <f>CONCATENATE("11 11.2 4b")</f>
        <v>11 11.2 4b</v>
      </c>
      <c r="M44" s="6" t="str">
        <f>CONCATENATE("SLVMFR63D08G690U")</f>
        <v>SLVMFR63D08G690U</v>
      </c>
      <c r="N44" s="6" t="s">
        <v>89</v>
      </c>
      <c r="O44" s="6" t="s">
        <v>70</v>
      </c>
      <c r="P44" s="7">
        <v>43255</v>
      </c>
      <c r="Q44" s="6" t="s">
        <v>30</v>
      </c>
      <c r="R44" s="6" t="s">
        <v>31</v>
      </c>
      <c r="S44" s="6" t="s">
        <v>32</v>
      </c>
      <c r="T44" s="6">
        <v>168.06</v>
      </c>
      <c r="U44" s="6">
        <v>72.47</v>
      </c>
      <c r="V44" s="6">
        <v>66.92</v>
      </c>
      <c r="W44" s="6">
        <v>0</v>
      </c>
      <c r="X44" s="6">
        <v>28.67</v>
      </c>
    </row>
    <row r="45" spans="1:24" x14ac:dyDescent="0.25">
      <c r="A45" s="6" t="s">
        <v>25</v>
      </c>
      <c r="B45" s="6" t="s">
        <v>26</v>
      </c>
      <c r="C45" s="6" t="s">
        <v>46</v>
      </c>
      <c r="D45" s="6" t="s">
        <v>71</v>
      </c>
      <c r="E45" s="6" t="s">
        <v>27</v>
      </c>
      <c r="F45" s="6" t="s">
        <v>88</v>
      </c>
      <c r="G45" s="6">
        <v>2017</v>
      </c>
      <c r="H45" s="6" t="str">
        <f>CONCATENATE("74770095326")</f>
        <v>74770095326</v>
      </c>
      <c r="I45" s="6" t="s">
        <v>28</v>
      </c>
      <c r="J45" s="6" t="s">
        <v>29</v>
      </c>
      <c r="K45" s="6" t="str">
        <f>CONCATENATE("214")</f>
        <v>214</v>
      </c>
      <c r="L45" s="6" t="str">
        <f>CONCATENATE("11 11.1 4b")</f>
        <v>11 11.1 4b</v>
      </c>
      <c r="M45" s="6" t="str">
        <f>CONCATENATE("BNDGRL80B04F051G")</f>
        <v>BNDGRL80B04F051G</v>
      </c>
      <c r="N45" s="6" t="s">
        <v>110</v>
      </c>
      <c r="O45" s="6" t="s">
        <v>70</v>
      </c>
      <c r="P45" s="7">
        <v>43255</v>
      </c>
      <c r="Q45" s="6" t="s">
        <v>30</v>
      </c>
      <c r="R45" s="6" t="s">
        <v>31</v>
      </c>
      <c r="S45" s="6" t="s">
        <v>32</v>
      </c>
      <c r="T45" s="6">
        <v>893.89</v>
      </c>
      <c r="U45" s="6">
        <v>385.45</v>
      </c>
      <c r="V45" s="6">
        <v>355.95</v>
      </c>
      <c r="W45" s="6">
        <v>0</v>
      </c>
      <c r="X45" s="6">
        <v>152.49</v>
      </c>
    </row>
    <row r="46" spans="1:24" x14ac:dyDescent="0.25">
      <c r="A46" s="6" t="s">
        <v>25</v>
      </c>
      <c r="B46" s="6" t="s">
        <v>26</v>
      </c>
      <c r="C46" s="6" t="s">
        <v>46</v>
      </c>
      <c r="D46" s="6" t="s">
        <v>71</v>
      </c>
      <c r="E46" s="6" t="s">
        <v>27</v>
      </c>
      <c r="F46" s="6" t="s">
        <v>106</v>
      </c>
      <c r="G46" s="6">
        <v>2017</v>
      </c>
      <c r="H46" s="6" t="str">
        <f>CONCATENATE("74770292832")</f>
        <v>74770292832</v>
      </c>
      <c r="I46" s="6" t="s">
        <v>28</v>
      </c>
      <c r="J46" s="6" t="s">
        <v>29</v>
      </c>
      <c r="K46" s="6" t="str">
        <f>CONCATENATE("214")</f>
        <v>214</v>
      </c>
      <c r="L46" s="6" t="str">
        <f>CONCATENATE("11 11.2 4b")</f>
        <v>11 11.2 4b</v>
      </c>
      <c r="M46" s="6" t="str">
        <f>CONCATENATE("CHSMCG56R23F205C")</f>
        <v>CHSMCG56R23F205C</v>
      </c>
      <c r="N46" s="6" t="s">
        <v>117</v>
      </c>
      <c r="O46" s="6" t="s">
        <v>70</v>
      </c>
      <c r="P46" s="7">
        <v>43255</v>
      </c>
      <c r="Q46" s="6" t="s">
        <v>30</v>
      </c>
      <c r="R46" s="6" t="s">
        <v>31</v>
      </c>
      <c r="S46" s="6" t="s">
        <v>32</v>
      </c>
      <c r="T46" s="6">
        <v>325.52</v>
      </c>
      <c r="U46" s="6">
        <v>140.36000000000001</v>
      </c>
      <c r="V46" s="6">
        <v>129.62</v>
      </c>
      <c r="W46" s="6">
        <v>0</v>
      </c>
      <c r="X46" s="6">
        <v>55.54</v>
      </c>
    </row>
    <row r="47" spans="1:24" ht="24.75" x14ac:dyDescent="0.25">
      <c r="A47" s="6" t="s">
        <v>25</v>
      </c>
      <c r="B47" s="6" t="s">
        <v>26</v>
      </c>
      <c r="C47" s="6" t="s">
        <v>46</v>
      </c>
      <c r="D47" s="6" t="s">
        <v>47</v>
      </c>
      <c r="E47" s="6" t="s">
        <v>27</v>
      </c>
      <c r="F47" s="6" t="s">
        <v>118</v>
      </c>
      <c r="G47" s="6">
        <v>2017</v>
      </c>
      <c r="H47" s="6" t="str">
        <f>CONCATENATE("74770291974")</f>
        <v>74770291974</v>
      </c>
      <c r="I47" s="6" t="s">
        <v>28</v>
      </c>
      <c r="J47" s="6" t="s">
        <v>29</v>
      </c>
      <c r="K47" s="6" t="str">
        <f>CONCATENATE("214")</f>
        <v>214</v>
      </c>
      <c r="L47" s="6" t="str">
        <f>CONCATENATE("11 11.2 4b")</f>
        <v>11 11.2 4b</v>
      </c>
      <c r="M47" s="6" t="str">
        <f>CONCATENATE("MNTGPP52E04L597W")</f>
        <v>MNTGPP52E04L597W</v>
      </c>
      <c r="N47" s="6" t="s">
        <v>119</v>
      </c>
      <c r="O47" s="6" t="s">
        <v>70</v>
      </c>
      <c r="P47" s="7">
        <v>43255</v>
      </c>
      <c r="Q47" s="6" t="s">
        <v>30</v>
      </c>
      <c r="R47" s="6" t="s">
        <v>31</v>
      </c>
      <c r="S47" s="6" t="s">
        <v>32</v>
      </c>
      <c r="T47" s="8">
        <v>8369.8799999999992</v>
      </c>
      <c r="U47" s="8">
        <v>3609.09</v>
      </c>
      <c r="V47" s="8">
        <v>3332.89</v>
      </c>
      <c r="W47" s="6">
        <v>0</v>
      </c>
      <c r="X47" s="8">
        <v>1427.9</v>
      </c>
    </row>
    <row r="48" spans="1:24" x14ac:dyDescent="0.25">
      <c r="A48" s="6" t="s">
        <v>25</v>
      </c>
      <c r="B48" s="6" t="s">
        <v>26</v>
      </c>
      <c r="C48" s="6" t="s">
        <v>46</v>
      </c>
      <c r="D48" s="6" t="s">
        <v>71</v>
      </c>
      <c r="E48" s="6" t="s">
        <v>43</v>
      </c>
      <c r="F48" s="6" t="s">
        <v>120</v>
      </c>
      <c r="G48" s="6">
        <v>2017</v>
      </c>
      <c r="H48" s="6" t="str">
        <f>CONCATENATE("74770252422")</f>
        <v>74770252422</v>
      </c>
      <c r="I48" s="6" t="s">
        <v>28</v>
      </c>
      <c r="J48" s="6" t="s">
        <v>29</v>
      </c>
      <c r="K48" s="6" t="str">
        <f>CONCATENATE("214")</f>
        <v>214</v>
      </c>
      <c r="L48" s="6" t="str">
        <f>CONCATENATE("11 11.2 4b")</f>
        <v>11 11.2 4b</v>
      </c>
      <c r="M48" s="6" t="str">
        <f>CONCATENATE("PGLLSN58T46E783J")</f>
        <v>PGLLSN58T46E783J</v>
      </c>
      <c r="N48" s="6" t="s">
        <v>121</v>
      </c>
      <c r="O48" s="6" t="s">
        <v>70</v>
      </c>
      <c r="P48" s="7">
        <v>43255</v>
      </c>
      <c r="Q48" s="6" t="s">
        <v>30</v>
      </c>
      <c r="R48" s="6" t="s">
        <v>31</v>
      </c>
      <c r="S48" s="6" t="s">
        <v>32</v>
      </c>
      <c r="T48" s="6">
        <v>349.95</v>
      </c>
      <c r="U48" s="6">
        <v>150.9</v>
      </c>
      <c r="V48" s="6">
        <v>139.35</v>
      </c>
      <c r="W48" s="6">
        <v>0</v>
      </c>
      <c r="X48" s="6">
        <v>59.7</v>
      </c>
    </row>
    <row r="49" spans="1:24" x14ac:dyDescent="0.25">
      <c r="A49" s="6" t="s">
        <v>25</v>
      </c>
      <c r="B49" s="6" t="s">
        <v>26</v>
      </c>
      <c r="C49" s="6" t="s">
        <v>46</v>
      </c>
      <c r="D49" s="6" t="s">
        <v>71</v>
      </c>
      <c r="E49" s="6" t="s">
        <v>43</v>
      </c>
      <c r="F49" s="6" t="s">
        <v>122</v>
      </c>
      <c r="G49" s="6">
        <v>2017</v>
      </c>
      <c r="H49" s="6" t="str">
        <f>CONCATENATE("74770085335")</f>
        <v>74770085335</v>
      </c>
      <c r="I49" s="6" t="s">
        <v>28</v>
      </c>
      <c r="J49" s="6" t="s">
        <v>29</v>
      </c>
      <c r="K49" s="6" t="str">
        <f>CONCATENATE("214")</f>
        <v>214</v>
      </c>
      <c r="L49" s="6" t="str">
        <f>CONCATENATE("11 11.2 4b")</f>
        <v>11 11.2 4b</v>
      </c>
      <c r="M49" s="6" t="str">
        <f>CONCATENATE("CRZDGI78L10G203Q")</f>
        <v>CRZDGI78L10G203Q</v>
      </c>
      <c r="N49" s="6" t="s">
        <v>123</v>
      </c>
      <c r="O49" s="6" t="s">
        <v>70</v>
      </c>
      <c r="P49" s="7">
        <v>43255</v>
      </c>
      <c r="Q49" s="6" t="s">
        <v>30</v>
      </c>
      <c r="R49" s="6" t="s">
        <v>31</v>
      </c>
      <c r="S49" s="6" t="s">
        <v>32</v>
      </c>
      <c r="T49" s="8">
        <v>4715.03</v>
      </c>
      <c r="U49" s="8">
        <v>2033.12</v>
      </c>
      <c r="V49" s="8">
        <v>1877.52</v>
      </c>
      <c r="W49" s="6">
        <v>0</v>
      </c>
      <c r="X49" s="6">
        <v>804.39</v>
      </c>
    </row>
    <row r="50" spans="1:24" x14ac:dyDescent="0.25">
      <c r="A50" s="6" t="s">
        <v>25</v>
      </c>
      <c r="B50" s="6" t="s">
        <v>26</v>
      </c>
      <c r="C50" s="6" t="s">
        <v>46</v>
      </c>
      <c r="D50" s="6" t="s">
        <v>71</v>
      </c>
      <c r="E50" s="6" t="s">
        <v>43</v>
      </c>
      <c r="F50" s="6" t="s">
        <v>120</v>
      </c>
      <c r="G50" s="6">
        <v>2017</v>
      </c>
      <c r="H50" s="6" t="str">
        <f>CONCATENATE("74770197445")</f>
        <v>74770197445</v>
      </c>
      <c r="I50" s="6" t="s">
        <v>28</v>
      </c>
      <c r="J50" s="6" t="s">
        <v>29</v>
      </c>
      <c r="K50" s="6" t="str">
        <f>CONCATENATE("214")</f>
        <v>214</v>
      </c>
      <c r="L50" s="6" t="str">
        <f>CONCATENATE("11 11.2 4b")</f>
        <v>11 11.2 4b</v>
      </c>
      <c r="M50" s="6" t="str">
        <f>CONCATENATE("BNFSFN76L30I403V")</f>
        <v>BNFSFN76L30I403V</v>
      </c>
      <c r="N50" s="6" t="s">
        <v>124</v>
      </c>
      <c r="O50" s="6" t="s">
        <v>70</v>
      </c>
      <c r="P50" s="7">
        <v>43255</v>
      </c>
      <c r="Q50" s="6" t="s">
        <v>30</v>
      </c>
      <c r="R50" s="6" t="s">
        <v>31</v>
      </c>
      <c r="S50" s="6" t="s">
        <v>32</v>
      </c>
      <c r="T50" s="6">
        <v>746.86</v>
      </c>
      <c r="U50" s="6">
        <v>322.05</v>
      </c>
      <c r="V50" s="6">
        <v>297.39999999999998</v>
      </c>
      <c r="W50" s="6">
        <v>0</v>
      </c>
      <c r="X50" s="6">
        <v>127.41</v>
      </c>
    </row>
    <row r="51" spans="1:24" x14ac:dyDescent="0.25">
      <c r="A51" s="6" t="s">
        <v>25</v>
      </c>
      <c r="B51" s="6" t="s">
        <v>26</v>
      </c>
      <c r="C51" s="6" t="s">
        <v>46</v>
      </c>
      <c r="D51" s="6" t="s">
        <v>71</v>
      </c>
      <c r="E51" s="6" t="s">
        <v>27</v>
      </c>
      <c r="F51" s="6" t="s">
        <v>72</v>
      </c>
      <c r="G51" s="6">
        <v>2017</v>
      </c>
      <c r="H51" s="6" t="str">
        <f>CONCATENATE("74770306087")</f>
        <v>74770306087</v>
      </c>
      <c r="I51" s="6" t="s">
        <v>28</v>
      </c>
      <c r="J51" s="6" t="s">
        <v>29</v>
      </c>
      <c r="K51" s="6" t="str">
        <f>CONCATENATE("214")</f>
        <v>214</v>
      </c>
      <c r="L51" s="6" t="str">
        <f>CONCATENATE("11 11.1 4b")</f>
        <v>11 11.1 4b</v>
      </c>
      <c r="M51" s="6" t="str">
        <f>CONCATENATE("BGLCLL69A59B474A")</f>
        <v>BGLCLL69A59B474A</v>
      </c>
      <c r="N51" s="6" t="s">
        <v>125</v>
      </c>
      <c r="O51" s="6" t="s">
        <v>70</v>
      </c>
      <c r="P51" s="7">
        <v>43255</v>
      </c>
      <c r="Q51" s="6" t="s">
        <v>30</v>
      </c>
      <c r="R51" s="6" t="s">
        <v>31</v>
      </c>
      <c r="S51" s="6" t="s">
        <v>32</v>
      </c>
      <c r="T51" s="6">
        <v>131.69999999999999</v>
      </c>
      <c r="U51" s="6">
        <v>56.79</v>
      </c>
      <c r="V51" s="6">
        <v>52.44</v>
      </c>
      <c r="W51" s="6">
        <v>0</v>
      </c>
      <c r="X51" s="6">
        <v>22.47</v>
      </c>
    </row>
    <row r="52" spans="1:24" x14ac:dyDescent="0.25">
      <c r="A52" s="6" t="s">
        <v>25</v>
      </c>
      <c r="B52" s="6" t="s">
        <v>26</v>
      </c>
      <c r="C52" s="6" t="s">
        <v>46</v>
      </c>
      <c r="D52" s="6" t="s">
        <v>71</v>
      </c>
      <c r="E52" s="6" t="s">
        <v>42</v>
      </c>
      <c r="F52" s="6" t="s">
        <v>126</v>
      </c>
      <c r="G52" s="6">
        <v>2017</v>
      </c>
      <c r="H52" s="6" t="str">
        <f>CONCATENATE("74770194376")</f>
        <v>74770194376</v>
      </c>
      <c r="I52" s="6" t="s">
        <v>28</v>
      </c>
      <c r="J52" s="6" t="s">
        <v>29</v>
      </c>
      <c r="K52" s="6" t="str">
        <f>CONCATENATE("214")</f>
        <v>214</v>
      </c>
      <c r="L52" s="6" t="str">
        <f>CONCATENATE("11 11.2 4b")</f>
        <v>11 11.2 4b</v>
      </c>
      <c r="M52" s="6" t="str">
        <f>CONCATENATE("CRPMHL71R07E783O")</f>
        <v>CRPMHL71R07E783O</v>
      </c>
      <c r="N52" s="6" t="s">
        <v>127</v>
      </c>
      <c r="O52" s="6" t="s">
        <v>70</v>
      </c>
      <c r="P52" s="7">
        <v>43255</v>
      </c>
      <c r="Q52" s="6" t="s">
        <v>30</v>
      </c>
      <c r="R52" s="6" t="s">
        <v>31</v>
      </c>
      <c r="S52" s="6" t="s">
        <v>32</v>
      </c>
      <c r="T52" s="8">
        <v>1028.6600000000001</v>
      </c>
      <c r="U52" s="6">
        <v>443.56</v>
      </c>
      <c r="V52" s="6">
        <v>409.61</v>
      </c>
      <c r="W52" s="6">
        <v>0</v>
      </c>
      <c r="X52" s="6">
        <v>175.49</v>
      </c>
    </row>
    <row r="53" spans="1:24" x14ac:dyDescent="0.25">
      <c r="A53" s="6" t="s">
        <v>25</v>
      </c>
      <c r="B53" s="6" t="s">
        <v>26</v>
      </c>
      <c r="C53" s="6" t="s">
        <v>46</v>
      </c>
      <c r="D53" s="6" t="s">
        <v>71</v>
      </c>
      <c r="E53" s="6" t="s">
        <v>33</v>
      </c>
      <c r="F53" s="6" t="s">
        <v>99</v>
      </c>
      <c r="G53" s="6">
        <v>2017</v>
      </c>
      <c r="H53" s="6" t="str">
        <f>CONCATENATE("74770238553")</f>
        <v>74770238553</v>
      </c>
      <c r="I53" s="6" t="s">
        <v>28</v>
      </c>
      <c r="J53" s="6" t="s">
        <v>29</v>
      </c>
      <c r="K53" s="6" t="str">
        <f>CONCATENATE("214")</f>
        <v>214</v>
      </c>
      <c r="L53" s="6" t="str">
        <f>CONCATENATE("11 11.2 4b")</f>
        <v>11 11.2 4b</v>
      </c>
      <c r="M53" s="6" t="str">
        <f>CONCATENATE("CNGGST60B24A271E")</f>
        <v>CNGGST60B24A271E</v>
      </c>
      <c r="N53" s="6" t="s">
        <v>128</v>
      </c>
      <c r="O53" s="6" t="s">
        <v>70</v>
      </c>
      <c r="P53" s="7">
        <v>43255</v>
      </c>
      <c r="Q53" s="6" t="s">
        <v>30</v>
      </c>
      <c r="R53" s="6" t="s">
        <v>31</v>
      </c>
      <c r="S53" s="6" t="s">
        <v>32</v>
      </c>
      <c r="T53" s="8">
        <v>1107.69</v>
      </c>
      <c r="U53" s="6">
        <v>477.64</v>
      </c>
      <c r="V53" s="6">
        <v>441.08</v>
      </c>
      <c r="W53" s="6">
        <v>0</v>
      </c>
      <c r="X53" s="6">
        <v>188.97</v>
      </c>
    </row>
    <row r="54" spans="1:24" x14ac:dyDescent="0.25">
      <c r="A54" s="6" t="s">
        <v>25</v>
      </c>
      <c r="B54" s="6" t="s">
        <v>26</v>
      </c>
      <c r="C54" s="6" t="s">
        <v>46</v>
      </c>
      <c r="D54" s="6" t="s">
        <v>71</v>
      </c>
      <c r="E54" s="6" t="s">
        <v>33</v>
      </c>
      <c r="F54" s="6" t="s">
        <v>99</v>
      </c>
      <c r="G54" s="6">
        <v>2017</v>
      </c>
      <c r="H54" s="6" t="str">
        <f>CONCATENATE("74770032428")</f>
        <v>74770032428</v>
      </c>
      <c r="I54" s="6" t="s">
        <v>28</v>
      </c>
      <c r="J54" s="6" t="s">
        <v>29</v>
      </c>
      <c r="K54" s="6" t="str">
        <f>CONCATENATE("214")</f>
        <v>214</v>
      </c>
      <c r="L54" s="6" t="str">
        <f>CONCATENATE("11 11.1 4b")</f>
        <v>11 11.1 4b</v>
      </c>
      <c r="M54" s="6" t="str">
        <f>CONCATENATE("CNTRRT83E04H211Z")</f>
        <v>CNTRRT83E04H211Z</v>
      </c>
      <c r="N54" s="6" t="s">
        <v>129</v>
      </c>
      <c r="O54" s="6" t="s">
        <v>70</v>
      </c>
      <c r="P54" s="7">
        <v>43255</v>
      </c>
      <c r="Q54" s="6" t="s">
        <v>30</v>
      </c>
      <c r="R54" s="6" t="s">
        <v>31</v>
      </c>
      <c r="S54" s="6" t="s">
        <v>32</v>
      </c>
      <c r="T54" s="6">
        <v>315.64999999999998</v>
      </c>
      <c r="U54" s="6">
        <v>136.11000000000001</v>
      </c>
      <c r="V54" s="6">
        <v>125.69</v>
      </c>
      <c r="W54" s="6">
        <v>0</v>
      </c>
      <c r="X54" s="6">
        <v>53.85</v>
      </c>
    </row>
    <row r="55" spans="1:24" ht="24.75" x14ac:dyDescent="0.25">
      <c r="A55" s="6" t="s">
        <v>25</v>
      </c>
      <c r="B55" s="6" t="s">
        <v>26</v>
      </c>
      <c r="C55" s="6" t="s">
        <v>46</v>
      </c>
      <c r="D55" s="6" t="s">
        <v>71</v>
      </c>
      <c r="E55" s="6" t="s">
        <v>27</v>
      </c>
      <c r="F55" s="6" t="s">
        <v>72</v>
      </c>
      <c r="G55" s="6">
        <v>2017</v>
      </c>
      <c r="H55" s="6" t="str">
        <f>CONCATENATE("74770300841")</f>
        <v>74770300841</v>
      </c>
      <c r="I55" s="6" t="s">
        <v>28</v>
      </c>
      <c r="J55" s="6" t="s">
        <v>29</v>
      </c>
      <c r="K55" s="6" t="str">
        <f>CONCATENATE("214")</f>
        <v>214</v>
      </c>
      <c r="L55" s="6" t="str">
        <f>CONCATENATE("10 10.1 4a")</f>
        <v>10 10.1 4a</v>
      </c>
      <c r="M55" s="6" t="str">
        <f>CONCATENATE("01912770433")</f>
        <v>01912770433</v>
      </c>
      <c r="N55" s="6" t="s">
        <v>130</v>
      </c>
      <c r="O55" s="6" t="s">
        <v>70</v>
      </c>
      <c r="P55" s="7">
        <v>43255</v>
      </c>
      <c r="Q55" s="6" t="s">
        <v>30</v>
      </c>
      <c r="R55" s="6" t="s">
        <v>31</v>
      </c>
      <c r="S55" s="6" t="s">
        <v>32</v>
      </c>
      <c r="T55" s="6">
        <v>681.45</v>
      </c>
      <c r="U55" s="6">
        <v>293.83999999999997</v>
      </c>
      <c r="V55" s="6">
        <v>271.35000000000002</v>
      </c>
      <c r="W55" s="6">
        <v>0</v>
      </c>
      <c r="X55" s="6">
        <v>116.26</v>
      </c>
    </row>
    <row r="56" spans="1:24" x14ac:dyDescent="0.25">
      <c r="A56" s="6" t="s">
        <v>25</v>
      </c>
      <c r="B56" s="6" t="s">
        <v>26</v>
      </c>
      <c r="C56" s="6" t="s">
        <v>46</v>
      </c>
      <c r="D56" s="6" t="s">
        <v>71</v>
      </c>
      <c r="E56" s="6" t="s">
        <v>27</v>
      </c>
      <c r="F56" s="6" t="s">
        <v>94</v>
      </c>
      <c r="G56" s="6">
        <v>2017</v>
      </c>
      <c r="H56" s="6" t="str">
        <f>CONCATENATE("74770031909")</f>
        <v>74770031909</v>
      </c>
      <c r="I56" s="6" t="s">
        <v>28</v>
      </c>
      <c r="J56" s="6" t="s">
        <v>29</v>
      </c>
      <c r="K56" s="6" t="str">
        <f>CONCATENATE("214")</f>
        <v>214</v>
      </c>
      <c r="L56" s="6" t="str">
        <f>CONCATENATE("11 11.2 4b")</f>
        <v>11 11.2 4b</v>
      </c>
      <c r="M56" s="6" t="str">
        <f>CONCATENATE("GTTPLA55T01I156X")</f>
        <v>GTTPLA55T01I156X</v>
      </c>
      <c r="N56" s="6" t="s">
        <v>95</v>
      </c>
      <c r="O56" s="6" t="s">
        <v>70</v>
      </c>
      <c r="P56" s="7">
        <v>43255</v>
      </c>
      <c r="Q56" s="6" t="s">
        <v>30</v>
      </c>
      <c r="R56" s="6" t="s">
        <v>31</v>
      </c>
      <c r="S56" s="6" t="s">
        <v>32</v>
      </c>
      <c r="T56" s="6">
        <v>370.11</v>
      </c>
      <c r="U56" s="6">
        <v>159.59</v>
      </c>
      <c r="V56" s="6">
        <v>147.38</v>
      </c>
      <c r="W56" s="6">
        <v>0</v>
      </c>
      <c r="X56" s="6">
        <v>63.14</v>
      </c>
    </row>
    <row r="57" spans="1:24" x14ac:dyDescent="0.25">
      <c r="A57" s="6" t="s">
        <v>25</v>
      </c>
      <c r="B57" s="6" t="s">
        <v>26</v>
      </c>
      <c r="C57" s="6" t="s">
        <v>46</v>
      </c>
      <c r="D57" s="6" t="s">
        <v>71</v>
      </c>
      <c r="E57" s="6" t="s">
        <v>38</v>
      </c>
      <c r="F57" s="6" t="s">
        <v>131</v>
      </c>
      <c r="G57" s="6">
        <v>2017</v>
      </c>
      <c r="H57" s="6" t="str">
        <f>CONCATENATE("74770172885")</f>
        <v>74770172885</v>
      </c>
      <c r="I57" s="6" t="s">
        <v>28</v>
      </c>
      <c r="J57" s="6" t="s">
        <v>29</v>
      </c>
      <c r="K57" s="6" t="str">
        <f>CONCATENATE("214")</f>
        <v>214</v>
      </c>
      <c r="L57" s="6" t="str">
        <f>CONCATENATE("11 11.2 4b")</f>
        <v>11 11.2 4b</v>
      </c>
      <c r="M57" s="6" t="str">
        <f>CONCATENATE("GCMVTR92E31A271E")</f>
        <v>GCMVTR92E31A271E</v>
      </c>
      <c r="N57" s="6" t="s">
        <v>132</v>
      </c>
      <c r="O57" s="6" t="s">
        <v>70</v>
      </c>
      <c r="P57" s="7">
        <v>43255</v>
      </c>
      <c r="Q57" s="6" t="s">
        <v>30</v>
      </c>
      <c r="R57" s="6" t="s">
        <v>31</v>
      </c>
      <c r="S57" s="6" t="s">
        <v>32</v>
      </c>
      <c r="T57" s="6">
        <v>862</v>
      </c>
      <c r="U57" s="6">
        <v>371.69</v>
      </c>
      <c r="V57" s="6">
        <v>343.25</v>
      </c>
      <c r="W57" s="6">
        <v>0</v>
      </c>
      <c r="X57" s="6">
        <v>147.06</v>
      </c>
    </row>
    <row r="58" spans="1:24" x14ac:dyDescent="0.25">
      <c r="A58" s="6" t="s">
        <v>25</v>
      </c>
      <c r="B58" s="6" t="s">
        <v>26</v>
      </c>
      <c r="C58" s="6" t="s">
        <v>46</v>
      </c>
      <c r="D58" s="6" t="s">
        <v>71</v>
      </c>
      <c r="E58" s="6" t="s">
        <v>27</v>
      </c>
      <c r="F58" s="6" t="s">
        <v>88</v>
      </c>
      <c r="G58" s="6">
        <v>2017</v>
      </c>
      <c r="H58" s="6" t="str">
        <f>CONCATENATE("74770095615")</f>
        <v>74770095615</v>
      </c>
      <c r="I58" s="6" t="s">
        <v>28</v>
      </c>
      <c r="J58" s="6" t="s">
        <v>29</v>
      </c>
      <c r="K58" s="6" t="str">
        <f>CONCATENATE("214")</f>
        <v>214</v>
      </c>
      <c r="L58" s="6" t="str">
        <f>CONCATENATE("11 11.2 4b")</f>
        <v>11 11.2 4b</v>
      </c>
      <c r="M58" s="6" t="str">
        <f>CONCATENATE("MRCNZE66H03B474V")</f>
        <v>MRCNZE66H03B474V</v>
      </c>
      <c r="N58" s="6" t="s">
        <v>114</v>
      </c>
      <c r="O58" s="6" t="s">
        <v>70</v>
      </c>
      <c r="P58" s="7">
        <v>43255</v>
      </c>
      <c r="Q58" s="6" t="s">
        <v>30</v>
      </c>
      <c r="R58" s="6" t="s">
        <v>31</v>
      </c>
      <c r="S58" s="6" t="s">
        <v>32</v>
      </c>
      <c r="T58" s="6">
        <v>171.21</v>
      </c>
      <c r="U58" s="6">
        <v>73.83</v>
      </c>
      <c r="V58" s="6">
        <v>68.180000000000007</v>
      </c>
      <c r="W58" s="6">
        <v>0</v>
      </c>
      <c r="X58" s="6">
        <v>29.2</v>
      </c>
    </row>
    <row r="59" spans="1:24" x14ac:dyDescent="0.25">
      <c r="A59" s="6" t="s">
        <v>25</v>
      </c>
      <c r="B59" s="6" t="s">
        <v>26</v>
      </c>
      <c r="C59" s="6" t="s">
        <v>46</v>
      </c>
      <c r="D59" s="6" t="s">
        <v>71</v>
      </c>
      <c r="E59" s="6" t="s">
        <v>27</v>
      </c>
      <c r="F59" s="6" t="s">
        <v>88</v>
      </c>
      <c r="G59" s="6">
        <v>2017</v>
      </c>
      <c r="H59" s="6" t="str">
        <f>CONCATENATE("74770291644")</f>
        <v>74770291644</v>
      </c>
      <c r="I59" s="6" t="s">
        <v>28</v>
      </c>
      <c r="J59" s="6" t="s">
        <v>29</v>
      </c>
      <c r="K59" s="6" t="str">
        <f>CONCATENATE("214")</f>
        <v>214</v>
      </c>
      <c r="L59" s="6" t="str">
        <f>CONCATENATE("11 11.2 4b")</f>
        <v>11 11.2 4b</v>
      </c>
      <c r="M59" s="6" t="str">
        <f>CONCATENATE("SLVMFR63D08G690U")</f>
        <v>SLVMFR63D08G690U</v>
      </c>
      <c r="N59" s="6" t="s">
        <v>89</v>
      </c>
      <c r="O59" s="6" t="s">
        <v>70</v>
      </c>
      <c r="P59" s="7">
        <v>43255</v>
      </c>
      <c r="Q59" s="6" t="s">
        <v>30</v>
      </c>
      <c r="R59" s="6" t="s">
        <v>31</v>
      </c>
      <c r="S59" s="6" t="s">
        <v>32</v>
      </c>
      <c r="T59" s="6">
        <v>444.84</v>
      </c>
      <c r="U59" s="6">
        <v>191.82</v>
      </c>
      <c r="V59" s="6">
        <v>177.14</v>
      </c>
      <c r="W59" s="6">
        <v>0</v>
      </c>
      <c r="X59" s="6">
        <v>75.88</v>
      </c>
    </row>
    <row r="60" spans="1:24" x14ac:dyDescent="0.25">
      <c r="A60" s="6" t="s">
        <v>25</v>
      </c>
      <c r="B60" s="6" t="s">
        <v>26</v>
      </c>
      <c r="C60" s="6" t="s">
        <v>46</v>
      </c>
      <c r="D60" s="6" t="s">
        <v>71</v>
      </c>
      <c r="E60" s="6" t="s">
        <v>27</v>
      </c>
      <c r="F60" s="6" t="s">
        <v>72</v>
      </c>
      <c r="G60" s="6">
        <v>2017</v>
      </c>
      <c r="H60" s="6" t="str">
        <f>CONCATENATE("74770300783")</f>
        <v>74770300783</v>
      </c>
      <c r="I60" s="6" t="s">
        <v>28</v>
      </c>
      <c r="J60" s="6" t="s">
        <v>29</v>
      </c>
      <c r="K60" s="6" t="str">
        <f>CONCATENATE("214")</f>
        <v>214</v>
      </c>
      <c r="L60" s="6" t="str">
        <f>CONCATENATE("11 11.2 4b")</f>
        <v>11 11.2 4b</v>
      </c>
      <c r="M60" s="6" t="str">
        <f>CONCATENATE("TTVDDR61L23C582X")</f>
        <v>TTVDDR61L23C582X</v>
      </c>
      <c r="N60" s="6" t="s">
        <v>133</v>
      </c>
      <c r="O60" s="6" t="s">
        <v>70</v>
      </c>
      <c r="P60" s="7">
        <v>43255</v>
      </c>
      <c r="Q60" s="6" t="s">
        <v>30</v>
      </c>
      <c r="R60" s="6" t="s">
        <v>31</v>
      </c>
      <c r="S60" s="6" t="s">
        <v>32</v>
      </c>
      <c r="T60" s="6">
        <v>664.24</v>
      </c>
      <c r="U60" s="6">
        <v>286.42</v>
      </c>
      <c r="V60" s="6">
        <v>264.5</v>
      </c>
      <c r="W60" s="6">
        <v>0</v>
      </c>
      <c r="X60" s="6">
        <v>113.32</v>
      </c>
    </row>
    <row r="61" spans="1:24" ht="24.75" x14ac:dyDescent="0.25">
      <c r="A61" s="6" t="s">
        <v>25</v>
      </c>
      <c r="B61" s="6" t="s">
        <v>26</v>
      </c>
      <c r="C61" s="6" t="s">
        <v>46</v>
      </c>
      <c r="D61" s="6" t="s">
        <v>71</v>
      </c>
      <c r="E61" s="6" t="s">
        <v>27</v>
      </c>
      <c r="F61" s="6" t="s">
        <v>72</v>
      </c>
      <c r="G61" s="6">
        <v>2017</v>
      </c>
      <c r="H61" s="6" t="str">
        <f>CONCATENATE("74770227598")</f>
        <v>74770227598</v>
      </c>
      <c r="I61" s="6" t="s">
        <v>28</v>
      </c>
      <c r="J61" s="6" t="s">
        <v>29</v>
      </c>
      <c r="K61" s="6" t="str">
        <f>CONCATENATE("214")</f>
        <v>214</v>
      </c>
      <c r="L61" s="6" t="str">
        <f>CONCATENATE("11 11.2 4b")</f>
        <v>11 11.2 4b</v>
      </c>
      <c r="M61" s="6" t="str">
        <f>CONCATENATE("01892120435")</f>
        <v>01892120435</v>
      </c>
      <c r="N61" s="6" t="s">
        <v>134</v>
      </c>
      <c r="O61" s="6" t="s">
        <v>70</v>
      </c>
      <c r="P61" s="7">
        <v>43255</v>
      </c>
      <c r="Q61" s="6" t="s">
        <v>30</v>
      </c>
      <c r="R61" s="6" t="s">
        <v>31</v>
      </c>
      <c r="S61" s="6" t="s">
        <v>32</v>
      </c>
      <c r="T61" s="8">
        <v>1178.83</v>
      </c>
      <c r="U61" s="6">
        <v>508.31</v>
      </c>
      <c r="V61" s="6">
        <v>469.41</v>
      </c>
      <c r="W61" s="6">
        <v>0</v>
      </c>
      <c r="X61" s="6">
        <v>201.11</v>
      </c>
    </row>
    <row r="62" spans="1:24" x14ac:dyDescent="0.25">
      <c r="A62" s="6" t="s">
        <v>25</v>
      </c>
      <c r="B62" s="6" t="s">
        <v>26</v>
      </c>
      <c r="C62" s="6" t="s">
        <v>46</v>
      </c>
      <c r="D62" s="6" t="s">
        <v>71</v>
      </c>
      <c r="E62" s="6" t="s">
        <v>27</v>
      </c>
      <c r="F62" s="6" t="s">
        <v>106</v>
      </c>
      <c r="G62" s="6">
        <v>2017</v>
      </c>
      <c r="H62" s="6" t="str">
        <f>CONCATENATE("74770306574")</f>
        <v>74770306574</v>
      </c>
      <c r="I62" s="6" t="s">
        <v>28</v>
      </c>
      <c r="J62" s="6" t="s">
        <v>29</v>
      </c>
      <c r="K62" s="6" t="str">
        <f>CONCATENATE("214")</f>
        <v>214</v>
      </c>
      <c r="L62" s="6" t="str">
        <f>CONCATENATE("11 11.2 4b")</f>
        <v>11 11.2 4b</v>
      </c>
      <c r="M62" s="6" t="str">
        <f>CONCATENATE("VSSCLD43S05C886A")</f>
        <v>VSSCLD43S05C886A</v>
      </c>
      <c r="N62" s="6" t="s">
        <v>135</v>
      </c>
      <c r="O62" s="6" t="s">
        <v>70</v>
      </c>
      <c r="P62" s="7">
        <v>43255</v>
      </c>
      <c r="Q62" s="6" t="s">
        <v>30</v>
      </c>
      <c r="R62" s="6" t="s">
        <v>31</v>
      </c>
      <c r="S62" s="6" t="s">
        <v>32</v>
      </c>
      <c r="T62" s="6">
        <v>553.77</v>
      </c>
      <c r="U62" s="6">
        <v>238.79</v>
      </c>
      <c r="V62" s="6">
        <v>220.51</v>
      </c>
      <c r="W62" s="6">
        <v>0</v>
      </c>
      <c r="X62" s="6">
        <v>94.47</v>
      </c>
    </row>
    <row r="63" spans="1:24" x14ac:dyDescent="0.25">
      <c r="A63" s="6" t="s">
        <v>25</v>
      </c>
      <c r="B63" s="6" t="s">
        <v>26</v>
      </c>
      <c r="C63" s="6" t="s">
        <v>46</v>
      </c>
      <c r="D63" s="6" t="s">
        <v>71</v>
      </c>
      <c r="E63" s="6" t="s">
        <v>37</v>
      </c>
      <c r="F63" s="6" t="s">
        <v>85</v>
      </c>
      <c r="G63" s="6">
        <v>2017</v>
      </c>
      <c r="H63" s="6" t="str">
        <f>CONCATENATE("74770194525")</f>
        <v>74770194525</v>
      </c>
      <c r="I63" s="6" t="s">
        <v>28</v>
      </c>
      <c r="J63" s="6" t="s">
        <v>29</v>
      </c>
      <c r="K63" s="6" t="str">
        <f>CONCATENATE("214")</f>
        <v>214</v>
      </c>
      <c r="L63" s="6" t="str">
        <f>CONCATENATE("11 11.2 4b")</f>
        <v>11 11.2 4b</v>
      </c>
      <c r="M63" s="6" t="str">
        <f>CONCATENATE("CCHDMN79H24G516R")</f>
        <v>CCHDMN79H24G516R</v>
      </c>
      <c r="N63" s="6" t="s">
        <v>136</v>
      </c>
      <c r="O63" s="6" t="s">
        <v>70</v>
      </c>
      <c r="P63" s="7">
        <v>43255</v>
      </c>
      <c r="Q63" s="6" t="s">
        <v>30</v>
      </c>
      <c r="R63" s="6" t="s">
        <v>31</v>
      </c>
      <c r="S63" s="6" t="s">
        <v>32</v>
      </c>
      <c r="T63" s="6">
        <v>112.41</v>
      </c>
      <c r="U63" s="6">
        <v>48.47</v>
      </c>
      <c r="V63" s="6">
        <v>44.76</v>
      </c>
      <c r="W63" s="6">
        <v>0</v>
      </c>
      <c r="X63" s="6">
        <v>19.18</v>
      </c>
    </row>
    <row r="64" spans="1:24" x14ac:dyDescent="0.25">
      <c r="A64" s="6" t="s">
        <v>25</v>
      </c>
      <c r="B64" s="6" t="s">
        <v>26</v>
      </c>
      <c r="C64" s="6" t="s">
        <v>46</v>
      </c>
      <c r="D64" s="6" t="s">
        <v>71</v>
      </c>
      <c r="E64" s="6" t="s">
        <v>33</v>
      </c>
      <c r="F64" s="6" t="s">
        <v>99</v>
      </c>
      <c r="G64" s="6">
        <v>2017</v>
      </c>
      <c r="H64" s="6" t="str">
        <f>CONCATENATE("74770219959")</f>
        <v>74770219959</v>
      </c>
      <c r="I64" s="6" t="s">
        <v>28</v>
      </c>
      <c r="J64" s="6" t="s">
        <v>29</v>
      </c>
      <c r="K64" s="6" t="str">
        <f>CONCATENATE("214")</f>
        <v>214</v>
      </c>
      <c r="L64" s="6" t="str">
        <f>CONCATENATE("11 11.2 4b")</f>
        <v>11 11.2 4b</v>
      </c>
      <c r="M64" s="6" t="str">
        <f>CONCATENATE("MNCLRA79H67L191L")</f>
        <v>MNCLRA79H67L191L</v>
      </c>
      <c r="N64" s="6" t="s">
        <v>137</v>
      </c>
      <c r="O64" s="6" t="s">
        <v>70</v>
      </c>
      <c r="P64" s="7">
        <v>43255</v>
      </c>
      <c r="Q64" s="6" t="s">
        <v>30</v>
      </c>
      <c r="R64" s="6" t="s">
        <v>31</v>
      </c>
      <c r="S64" s="6" t="s">
        <v>32</v>
      </c>
      <c r="T64" s="6">
        <v>52.26</v>
      </c>
      <c r="U64" s="6">
        <v>22.53</v>
      </c>
      <c r="V64" s="6">
        <v>20.81</v>
      </c>
      <c r="W64" s="6">
        <v>0</v>
      </c>
      <c r="X64" s="6">
        <v>8.92</v>
      </c>
    </row>
    <row r="65" spans="1:24" x14ac:dyDescent="0.25">
      <c r="A65" s="6" t="s">
        <v>25</v>
      </c>
      <c r="B65" s="6" t="s">
        <v>26</v>
      </c>
      <c r="C65" s="6" t="s">
        <v>46</v>
      </c>
      <c r="D65" s="6" t="s">
        <v>71</v>
      </c>
      <c r="E65" s="6" t="s">
        <v>43</v>
      </c>
      <c r="F65" s="6" t="s">
        <v>122</v>
      </c>
      <c r="G65" s="6">
        <v>2017</v>
      </c>
      <c r="H65" s="6" t="str">
        <f>CONCATENATE("74770085475")</f>
        <v>74770085475</v>
      </c>
      <c r="I65" s="6" t="s">
        <v>28</v>
      </c>
      <c r="J65" s="6" t="s">
        <v>29</v>
      </c>
      <c r="K65" s="6" t="str">
        <f>CONCATENATE("214")</f>
        <v>214</v>
      </c>
      <c r="L65" s="6" t="str">
        <f>CONCATENATE("11 11.2 4b")</f>
        <v>11 11.2 4b</v>
      </c>
      <c r="M65" s="6" t="str">
        <f>CONCATENATE("CRZGMR87H18E388F")</f>
        <v>CRZGMR87H18E388F</v>
      </c>
      <c r="N65" s="6" t="s">
        <v>138</v>
      </c>
      <c r="O65" s="6" t="s">
        <v>70</v>
      </c>
      <c r="P65" s="7">
        <v>43255</v>
      </c>
      <c r="Q65" s="6" t="s">
        <v>30</v>
      </c>
      <c r="R65" s="6" t="s">
        <v>31</v>
      </c>
      <c r="S65" s="6" t="s">
        <v>32</v>
      </c>
      <c r="T65" s="8">
        <v>1381.95</v>
      </c>
      <c r="U65" s="6">
        <v>595.9</v>
      </c>
      <c r="V65" s="6">
        <v>550.29</v>
      </c>
      <c r="W65" s="6">
        <v>0</v>
      </c>
      <c r="X65" s="6">
        <v>235.76</v>
      </c>
    </row>
    <row r="66" spans="1:24" x14ac:dyDescent="0.25">
      <c r="A66" s="6" t="s">
        <v>25</v>
      </c>
      <c r="B66" s="6" t="s">
        <v>26</v>
      </c>
      <c r="C66" s="6" t="s">
        <v>46</v>
      </c>
      <c r="D66" s="6" t="s">
        <v>71</v>
      </c>
      <c r="E66" s="6" t="s">
        <v>27</v>
      </c>
      <c r="F66" s="6" t="s">
        <v>96</v>
      </c>
      <c r="G66" s="6">
        <v>2017</v>
      </c>
      <c r="H66" s="6" t="str">
        <f>CONCATENATE("74770316557")</f>
        <v>74770316557</v>
      </c>
      <c r="I66" s="6" t="s">
        <v>28</v>
      </c>
      <c r="J66" s="6" t="s">
        <v>29</v>
      </c>
      <c r="K66" s="6" t="str">
        <f>CONCATENATE("214")</f>
        <v>214</v>
      </c>
      <c r="L66" s="6" t="str">
        <f>CONCATENATE("11 11.1 4b")</f>
        <v>11 11.1 4b</v>
      </c>
      <c r="M66" s="6" t="str">
        <f>CONCATENATE("01082020437")</f>
        <v>01082020437</v>
      </c>
      <c r="N66" s="6" t="s">
        <v>139</v>
      </c>
      <c r="O66" s="6" t="s">
        <v>70</v>
      </c>
      <c r="P66" s="7">
        <v>43255</v>
      </c>
      <c r="Q66" s="6" t="s">
        <v>30</v>
      </c>
      <c r="R66" s="6" t="s">
        <v>31</v>
      </c>
      <c r="S66" s="6" t="s">
        <v>32</v>
      </c>
      <c r="T66" s="6">
        <v>33.659999999999997</v>
      </c>
      <c r="U66" s="6">
        <v>14.51</v>
      </c>
      <c r="V66" s="6">
        <v>13.4</v>
      </c>
      <c r="W66" s="6">
        <v>0</v>
      </c>
      <c r="X66" s="6">
        <v>5.75</v>
      </c>
    </row>
    <row r="67" spans="1:24" x14ac:dyDescent="0.25">
      <c r="A67" s="6" t="s">
        <v>25</v>
      </c>
      <c r="B67" s="6" t="s">
        <v>26</v>
      </c>
      <c r="C67" s="6" t="s">
        <v>46</v>
      </c>
      <c r="D67" s="6" t="s">
        <v>71</v>
      </c>
      <c r="E67" s="6" t="s">
        <v>37</v>
      </c>
      <c r="F67" s="6" t="s">
        <v>85</v>
      </c>
      <c r="G67" s="6">
        <v>2017</v>
      </c>
      <c r="H67" s="6" t="str">
        <f>CONCATENATE("74770047004")</f>
        <v>74770047004</v>
      </c>
      <c r="I67" s="6" t="s">
        <v>28</v>
      </c>
      <c r="J67" s="6" t="s">
        <v>29</v>
      </c>
      <c r="K67" s="6" t="str">
        <f>CONCATENATE("214")</f>
        <v>214</v>
      </c>
      <c r="L67" s="6" t="str">
        <f>CONCATENATE("11 11.2 4b")</f>
        <v>11 11.2 4b</v>
      </c>
      <c r="M67" s="6" t="str">
        <f>CONCATENATE("PSNPRR59T04F949V")</f>
        <v>PSNPRR59T04F949V</v>
      </c>
      <c r="N67" s="6" t="s">
        <v>140</v>
      </c>
      <c r="O67" s="6" t="s">
        <v>70</v>
      </c>
      <c r="P67" s="7">
        <v>43255</v>
      </c>
      <c r="Q67" s="6" t="s">
        <v>30</v>
      </c>
      <c r="R67" s="6" t="s">
        <v>31</v>
      </c>
      <c r="S67" s="6" t="s">
        <v>32</v>
      </c>
      <c r="T67" s="6">
        <v>84.26</v>
      </c>
      <c r="U67" s="6">
        <v>36.33</v>
      </c>
      <c r="V67" s="6">
        <v>33.549999999999997</v>
      </c>
      <c r="W67" s="6">
        <v>0</v>
      </c>
      <c r="X67" s="6">
        <v>14.38</v>
      </c>
    </row>
    <row r="68" spans="1:24" x14ac:dyDescent="0.25">
      <c r="A68" s="6" t="s">
        <v>25</v>
      </c>
      <c r="B68" s="6" t="s">
        <v>26</v>
      </c>
      <c r="C68" s="6" t="s">
        <v>46</v>
      </c>
      <c r="D68" s="6" t="s">
        <v>71</v>
      </c>
      <c r="E68" s="6" t="s">
        <v>37</v>
      </c>
      <c r="F68" s="6" t="s">
        <v>101</v>
      </c>
      <c r="G68" s="6">
        <v>2017</v>
      </c>
      <c r="H68" s="6" t="str">
        <f>CONCATENATE("74770062557")</f>
        <v>74770062557</v>
      </c>
      <c r="I68" s="6" t="s">
        <v>28</v>
      </c>
      <c r="J68" s="6" t="s">
        <v>29</v>
      </c>
      <c r="K68" s="6" t="str">
        <f>CONCATENATE("214")</f>
        <v>214</v>
      </c>
      <c r="L68" s="6" t="str">
        <f>CONCATENATE("11 11.2 4b")</f>
        <v>11 11.2 4b</v>
      </c>
      <c r="M68" s="6" t="str">
        <f>CONCATENATE("01297060434")</f>
        <v>01297060434</v>
      </c>
      <c r="N68" s="6" t="s">
        <v>141</v>
      </c>
      <c r="O68" s="6" t="s">
        <v>70</v>
      </c>
      <c r="P68" s="7">
        <v>43255</v>
      </c>
      <c r="Q68" s="6" t="s">
        <v>30</v>
      </c>
      <c r="R68" s="6" t="s">
        <v>31</v>
      </c>
      <c r="S68" s="6" t="s">
        <v>32</v>
      </c>
      <c r="T68" s="8">
        <v>1558.98</v>
      </c>
      <c r="U68" s="6">
        <v>672.23</v>
      </c>
      <c r="V68" s="6">
        <v>620.79</v>
      </c>
      <c r="W68" s="6">
        <v>0</v>
      </c>
      <c r="X68" s="6">
        <v>265.95999999999998</v>
      </c>
    </row>
    <row r="69" spans="1:24" x14ac:dyDescent="0.25">
      <c r="A69" s="6" t="s">
        <v>25</v>
      </c>
      <c r="B69" s="6" t="s">
        <v>26</v>
      </c>
      <c r="C69" s="6" t="s">
        <v>46</v>
      </c>
      <c r="D69" s="6" t="s">
        <v>71</v>
      </c>
      <c r="E69" s="6" t="s">
        <v>27</v>
      </c>
      <c r="F69" s="6" t="s">
        <v>94</v>
      </c>
      <c r="G69" s="6">
        <v>2017</v>
      </c>
      <c r="H69" s="6" t="str">
        <f>CONCATENATE("74770155617")</f>
        <v>74770155617</v>
      </c>
      <c r="I69" s="6" t="s">
        <v>28</v>
      </c>
      <c r="J69" s="6" t="s">
        <v>29</v>
      </c>
      <c r="K69" s="6" t="str">
        <f>CONCATENATE("214")</f>
        <v>214</v>
      </c>
      <c r="L69" s="6" t="str">
        <f>CONCATENATE("11 11.2 4b")</f>
        <v>11 11.2 4b</v>
      </c>
      <c r="M69" s="6" t="str">
        <f>CONCATENATE("DGNGCR33E08I156X")</f>
        <v>DGNGCR33E08I156X</v>
      </c>
      <c r="N69" s="6" t="s">
        <v>142</v>
      </c>
      <c r="O69" s="6" t="s">
        <v>70</v>
      </c>
      <c r="P69" s="7">
        <v>43255</v>
      </c>
      <c r="Q69" s="6" t="s">
        <v>30</v>
      </c>
      <c r="R69" s="6" t="s">
        <v>31</v>
      </c>
      <c r="S69" s="6" t="s">
        <v>32</v>
      </c>
      <c r="T69" s="8">
        <v>1647.92</v>
      </c>
      <c r="U69" s="6">
        <v>710.58</v>
      </c>
      <c r="V69" s="6">
        <v>656.2</v>
      </c>
      <c r="W69" s="6">
        <v>0</v>
      </c>
      <c r="X69" s="6">
        <v>281.14</v>
      </c>
    </row>
    <row r="70" spans="1:24" x14ac:dyDescent="0.25">
      <c r="A70" s="6" t="s">
        <v>25</v>
      </c>
      <c r="B70" s="6" t="s">
        <v>26</v>
      </c>
      <c r="C70" s="6" t="s">
        <v>46</v>
      </c>
      <c r="D70" s="6" t="s">
        <v>71</v>
      </c>
      <c r="E70" s="6" t="s">
        <v>27</v>
      </c>
      <c r="F70" s="6" t="s">
        <v>72</v>
      </c>
      <c r="G70" s="6">
        <v>2017</v>
      </c>
      <c r="H70" s="6" t="str">
        <f>CONCATENATE("74770300817")</f>
        <v>74770300817</v>
      </c>
      <c r="I70" s="6" t="s">
        <v>28</v>
      </c>
      <c r="J70" s="6" t="s">
        <v>29</v>
      </c>
      <c r="K70" s="6" t="str">
        <f>CONCATENATE("214")</f>
        <v>214</v>
      </c>
      <c r="L70" s="6" t="str">
        <f>CONCATENATE("11 11.2 4b")</f>
        <v>11 11.2 4b</v>
      </c>
      <c r="M70" s="6" t="str">
        <f>CONCATENATE("SNTLRT55E10H323Z")</f>
        <v>SNTLRT55E10H323Z</v>
      </c>
      <c r="N70" s="6" t="s">
        <v>143</v>
      </c>
      <c r="O70" s="6" t="s">
        <v>70</v>
      </c>
      <c r="P70" s="7">
        <v>43255</v>
      </c>
      <c r="Q70" s="6" t="s">
        <v>30</v>
      </c>
      <c r="R70" s="6" t="s">
        <v>31</v>
      </c>
      <c r="S70" s="6" t="s">
        <v>32</v>
      </c>
      <c r="T70" s="6">
        <v>711.6</v>
      </c>
      <c r="U70" s="6">
        <v>306.83999999999997</v>
      </c>
      <c r="V70" s="6">
        <v>283.36</v>
      </c>
      <c r="W70" s="6">
        <v>0</v>
      </c>
      <c r="X70" s="6">
        <v>121.4</v>
      </c>
    </row>
    <row r="71" spans="1:24" x14ac:dyDescent="0.25">
      <c r="A71" s="6" t="s">
        <v>25</v>
      </c>
      <c r="B71" s="6" t="s">
        <v>26</v>
      </c>
      <c r="C71" s="6" t="s">
        <v>46</v>
      </c>
      <c r="D71" s="6" t="s">
        <v>71</v>
      </c>
      <c r="E71" s="6" t="s">
        <v>37</v>
      </c>
      <c r="F71" s="6" t="s">
        <v>101</v>
      </c>
      <c r="G71" s="6">
        <v>2017</v>
      </c>
      <c r="H71" s="6" t="str">
        <f>CONCATENATE("74770134372")</f>
        <v>74770134372</v>
      </c>
      <c r="I71" s="6" t="s">
        <v>28</v>
      </c>
      <c r="J71" s="6" t="s">
        <v>29</v>
      </c>
      <c r="K71" s="6" t="str">
        <f>CONCATENATE("214")</f>
        <v>214</v>
      </c>
      <c r="L71" s="6" t="str">
        <f>CONCATENATE("11 11.2 4b")</f>
        <v>11 11.2 4b</v>
      </c>
      <c r="M71" s="6" t="str">
        <f>CONCATENATE("RFFGLI91D70I608T")</f>
        <v>RFFGLI91D70I608T</v>
      </c>
      <c r="N71" s="6" t="s">
        <v>144</v>
      </c>
      <c r="O71" s="6" t="s">
        <v>70</v>
      </c>
      <c r="P71" s="7">
        <v>43255</v>
      </c>
      <c r="Q71" s="6" t="s">
        <v>30</v>
      </c>
      <c r="R71" s="6" t="s">
        <v>31</v>
      </c>
      <c r="S71" s="6" t="s">
        <v>32</v>
      </c>
      <c r="T71" s="8">
        <v>2741.92</v>
      </c>
      <c r="U71" s="8">
        <v>1182.32</v>
      </c>
      <c r="V71" s="8">
        <v>1091.83</v>
      </c>
      <c r="W71" s="6">
        <v>0</v>
      </c>
      <c r="X71" s="6">
        <v>467.77</v>
      </c>
    </row>
    <row r="72" spans="1:24" x14ac:dyDescent="0.25">
      <c r="A72" s="6" t="s">
        <v>25</v>
      </c>
      <c r="B72" s="6" t="s">
        <v>26</v>
      </c>
      <c r="C72" s="6" t="s">
        <v>46</v>
      </c>
      <c r="D72" s="6" t="s">
        <v>71</v>
      </c>
      <c r="E72" s="6" t="s">
        <v>27</v>
      </c>
      <c r="F72" s="6" t="s">
        <v>115</v>
      </c>
      <c r="G72" s="6">
        <v>2017</v>
      </c>
      <c r="H72" s="6" t="str">
        <f>CONCATENATE("74770272651")</f>
        <v>74770272651</v>
      </c>
      <c r="I72" s="6" t="s">
        <v>28</v>
      </c>
      <c r="J72" s="6" t="s">
        <v>29</v>
      </c>
      <c r="K72" s="6" t="str">
        <f>CONCATENATE("214")</f>
        <v>214</v>
      </c>
      <c r="L72" s="6" t="str">
        <f>CONCATENATE("11 11.2 4b")</f>
        <v>11 11.2 4b</v>
      </c>
      <c r="M72" s="6" t="str">
        <f>CONCATENATE("PLCFNC57C19E783Z")</f>
        <v>PLCFNC57C19E783Z</v>
      </c>
      <c r="N72" s="6" t="s">
        <v>116</v>
      </c>
      <c r="O72" s="6" t="s">
        <v>70</v>
      </c>
      <c r="P72" s="7">
        <v>43255</v>
      </c>
      <c r="Q72" s="6" t="s">
        <v>30</v>
      </c>
      <c r="R72" s="6" t="s">
        <v>31</v>
      </c>
      <c r="S72" s="6" t="s">
        <v>32</v>
      </c>
      <c r="T72" s="8">
        <v>3374.25</v>
      </c>
      <c r="U72" s="8">
        <v>1454.98</v>
      </c>
      <c r="V72" s="8">
        <v>1343.63</v>
      </c>
      <c r="W72" s="6">
        <v>0</v>
      </c>
      <c r="X72" s="6">
        <v>575.64</v>
      </c>
    </row>
    <row r="73" spans="1:24" x14ac:dyDescent="0.25">
      <c r="A73" s="6" t="s">
        <v>25</v>
      </c>
      <c r="B73" s="6" t="s">
        <v>26</v>
      </c>
      <c r="C73" s="6" t="s">
        <v>46</v>
      </c>
      <c r="D73" s="6" t="s">
        <v>71</v>
      </c>
      <c r="E73" s="6" t="s">
        <v>43</v>
      </c>
      <c r="F73" s="6" t="s">
        <v>122</v>
      </c>
      <c r="G73" s="6">
        <v>2017</v>
      </c>
      <c r="H73" s="6" t="str">
        <f>CONCATENATE("74770127988")</f>
        <v>74770127988</v>
      </c>
      <c r="I73" s="6" t="s">
        <v>28</v>
      </c>
      <c r="J73" s="6" t="s">
        <v>29</v>
      </c>
      <c r="K73" s="6" t="str">
        <f>CONCATENATE("214")</f>
        <v>214</v>
      </c>
      <c r="L73" s="6" t="str">
        <f>CONCATENATE("11 11.2 4b")</f>
        <v>11 11.2 4b</v>
      </c>
      <c r="M73" s="6" t="str">
        <f>CONCATENATE("DTTRTI67R42D211X")</f>
        <v>DTTRTI67R42D211X</v>
      </c>
      <c r="N73" s="6" t="s">
        <v>145</v>
      </c>
      <c r="O73" s="6" t="s">
        <v>70</v>
      </c>
      <c r="P73" s="7">
        <v>43255</v>
      </c>
      <c r="Q73" s="6" t="s">
        <v>30</v>
      </c>
      <c r="R73" s="6" t="s">
        <v>31</v>
      </c>
      <c r="S73" s="6" t="s">
        <v>32</v>
      </c>
      <c r="T73" s="6">
        <v>157.59</v>
      </c>
      <c r="U73" s="6">
        <v>67.95</v>
      </c>
      <c r="V73" s="6">
        <v>62.75</v>
      </c>
      <c r="W73" s="6">
        <v>0</v>
      </c>
      <c r="X73" s="6">
        <v>26.89</v>
      </c>
    </row>
    <row r="74" spans="1:24" ht="24.75" x14ac:dyDescent="0.25">
      <c r="A74" s="6" t="s">
        <v>25</v>
      </c>
      <c r="B74" s="6" t="s">
        <v>26</v>
      </c>
      <c r="C74" s="6" t="s">
        <v>46</v>
      </c>
      <c r="D74" s="6" t="s">
        <v>71</v>
      </c>
      <c r="E74" s="6" t="s">
        <v>38</v>
      </c>
      <c r="F74" s="6" t="s">
        <v>146</v>
      </c>
      <c r="G74" s="6">
        <v>2017</v>
      </c>
      <c r="H74" s="6" t="str">
        <f>CONCATENATE("74770085582")</f>
        <v>74770085582</v>
      </c>
      <c r="I74" s="6" t="s">
        <v>28</v>
      </c>
      <c r="J74" s="6" t="s">
        <v>29</v>
      </c>
      <c r="K74" s="6" t="str">
        <f>CONCATENATE("214")</f>
        <v>214</v>
      </c>
      <c r="L74" s="6" t="str">
        <f>CONCATENATE("11 11.2 4b")</f>
        <v>11 11.2 4b</v>
      </c>
      <c r="M74" s="6" t="str">
        <f>CONCATENATE("01779890431")</f>
        <v>01779890431</v>
      </c>
      <c r="N74" s="6" t="s">
        <v>147</v>
      </c>
      <c r="O74" s="6" t="s">
        <v>70</v>
      </c>
      <c r="P74" s="7">
        <v>43255</v>
      </c>
      <c r="Q74" s="6" t="s">
        <v>30</v>
      </c>
      <c r="R74" s="6" t="s">
        <v>31</v>
      </c>
      <c r="S74" s="6" t="s">
        <v>32</v>
      </c>
      <c r="T74" s="8">
        <v>1625.49</v>
      </c>
      <c r="U74" s="6">
        <v>700.91</v>
      </c>
      <c r="V74" s="6">
        <v>647.27</v>
      </c>
      <c r="W74" s="6">
        <v>0</v>
      </c>
      <c r="X74" s="6">
        <v>277.31</v>
      </c>
    </row>
    <row r="75" spans="1:24" x14ac:dyDescent="0.25">
      <c r="A75" s="6" t="s">
        <v>25</v>
      </c>
      <c r="B75" s="6" t="s">
        <v>26</v>
      </c>
      <c r="C75" s="6" t="s">
        <v>46</v>
      </c>
      <c r="D75" s="6" t="s">
        <v>71</v>
      </c>
      <c r="E75" s="6" t="s">
        <v>27</v>
      </c>
      <c r="F75" s="6" t="s">
        <v>72</v>
      </c>
      <c r="G75" s="6">
        <v>2017</v>
      </c>
      <c r="H75" s="6" t="str">
        <f>CONCATENATE("74770300809")</f>
        <v>74770300809</v>
      </c>
      <c r="I75" s="6" t="s">
        <v>28</v>
      </c>
      <c r="J75" s="6" t="s">
        <v>29</v>
      </c>
      <c r="K75" s="6" t="str">
        <f>CONCATENATE("214")</f>
        <v>214</v>
      </c>
      <c r="L75" s="6" t="str">
        <f>CONCATENATE("11 11.2 4b")</f>
        <v>11 11.2 4b</v>
      </c>
      <c r="M75" s="6" t="str">
        <f>CONCATENATE("SNTLRT55E10H323Z")</f>
        <v>SNTLRT55E10H323Z</v>
      </c>
      <c r="N75" s="6" t="s">
        <v>143</v>
      </c>
      <c r="O75" s="6" t="s">
        <v>70</v>
      </c>
      <c r="P75" s="7">
        <v>43255</v>
      </c>
      <c r="Q75" s="6" t="s">
        <v>30</v>
      </c>
      <c r="R75" s="6" t="s">
        <v>31</v>
      </c>
      <c r="S75" s="6" t="s">
        <v>32</v>
      </c>
      <c r="T75" s="6">
        <v>484.29</v>
      </c>
      <c r="U75" s="6">
        <v>208.83</v>
      </c>
      <c r="V75" s="6">
        <v>192.84</v>
      </c>
      <c r="W75" s="6">
        <v>0</v>
      </c>
      <c r="X75" s="6">
        <v>82.62</v>
      </c>
    </row>
    <row r="76" spans="1:24" ht="24.75" x14ac:dyDescent="0.25">
      <c r="A76" s="6" t="s">
        <v>25</v>
      </c>
      <c r="B76" s="6" t="s">
        <v>26</v>
      </c>
      <c r="C76" s="6" t="s">
        <v>46</v>
      </c>
      <c r="D76" s="6" t="s">
        <v>71</v>
      </c>
      <c r="E76" s="6" t="s">
        <v>27</v>
      </c>
      <c r="F76" s="6" t="s">
        <v>106</v>
      </c>
      <c r="G76" s="6">
        <v>2017</v>
      </c>
      <c r="H76" s="6" t="str">
        <f>CONCATENATE("74770297294")</f>
        <v>74770297294</v>
      </c>
      <c r="I76" s="6" t="s">
        <v>28</v>
      </c>
      <c r="J76" s="6" t="s">
        <v>29</v>
      </c>
      <c r="K76" s="6" t="str">
        <f>CONCATENATE("214")</f>
        <v>214</v>
      </c>
      <c r="L76" s="6" t="str">
        <f>CONCATENATE("11 11.2 4b")</f>
        <v>11 11.2 4b</v>
      </c>
      <c r="M76" s="6" t="str">
        <f>CONCATENATE("01110060439")</f>
        <v>01110060439</v>
      </c>
      <c r="N76" s="6" t="s">
        <v>107</v>
      </c>
      <c r="O76" s="6" t="s">
        <v>70</v>
      </c>
      <c r="P76" s="7">
        <v>43255</v>
      </c>
      <c r="Q76" s="6" t="s">
        <v>30</v>
      </c>
      <c r="R76" s="6" t="s">
        <v>31</v>
      </c>
      <c r="S76" s="6" t="s">
        <v>32</v>
      </c>
      <c r="T76" s="8">
        <v>10725.58</v>
      </c>
      <c r="U76" s="8">
        <v>4624.87</v>
      </c>
      <c r="V76" s="8">
        <v>4270.93</v>
      </c>
      <c r="W76" s="6">
        <v>0</v>
      </c>
      <c r="X76" s="8">
        <v>1829.78</v>
      </c>
    </row>
    <row r="77" spans="1:24" x14ac:dyDescent="0.25">
      <c r="A77" s="6" t="s">
        <v>25</v>
      </c>
      <c r="B77" s="6" t="s">
        <v>26</v>
      </c>
      <c r="C77" s="6" t="s">
        <v>46</v>
      </c>
      <c r="D77" s="6" t="s">
        <v>71</v>
      </c>
      <c r="E77" s="6" t="s">
        <v>37</v>
      </c>
      <c r="F77" s="6" t="s">
        <v>101</v>
      </c>
      <c r="G77" s="6">
        <v>2017</v>
      </c>
      <c r="H77" s="6" t="str">
        <f>CONCATENATE("74770078736")</f>
        <v>74770078736</v>
      </c>
      <c r="I77" s="6" t="s">
        <v>28</v>
      </c>
      <c r="J77" s="6" t="s">
        <v>29</v>
      </c>
      <c r="K77" s="6" t="str">
        <f>CONCATENATE("214")</f>
        <v>214</v>
      </c>
      <c r="L77" s="6" t="str">
        <f>CONCATENATE("11 11.2 4b")</f>
        <v>11 11.2 4b</v>
      </c>
      <c r="M77" s="6" t="str">
        <f>CONCATENATE("SLVNZR54P13I156M")</f>
        <v>SLVNZR54P13I156M</v>
      </c>
      <c r="N77" s="6" t="s">
        <v>148</v>
      </c>
      <c r="O77" s="6" t="s">
        <v>70</v>
      </c>
      <c r="P77" s="7">
        <v>43255</v>
      </c>
      <c r="Q77" s="6" t="s">
        <v>30</v>
      </c>
      <c r="R77" s="6" t="s">
        <v>31</v>
      </c>
      <c r="S77" s="6" t="s">
        <v>32</v>
      </c>
      <c r="T77" s="6">
        <v>645.08000000000004</v>
      </c>
      <c r="U77" s="6">
        <v>278.16000000000003</v>
      </c>
      <c r="V77" s="6">
        <v>256.87</v>
      </c>
      <c r="W77" s="6">
        <v>0</v>
      </c>
      <c r="X77" s="6">
        <v>110.05</v>
      </c>
    </row>
    <row r="78" spans="1:24" ht="24.75" x14ac:dyDescent="0.25">
      <c r="A78" s="6" t="s">
        <v>25</v>
      </c>
      <c r="B78" s="6" t="s">
        <v>26</v>
      </c>
      <c r="C78" s="6" t="s">
        <v>46</v>
      </c>
      <c r="D78" s="6" t="s">
        <v>47</v>
      </c>
      <c r="E78" s="6" t="s">
        <v>42</v>
      </c>
      <c r="F78" s="6" t="s">
        <v>57</v>
      </c>
      <c r="G78" s="6">
        <v>2017</v>
      </c>
      <c r="H78" s="6" t="str">
        <f>CONCATENATE("74770173073")</f>
        <v>74770173073</v>
      </c>
      <c r="I78" s="6" t="s">
        <v>28</v>
      </c>
      <c r="J78" s="6" t="s">
        <v>29</v>
      </c>
      <c r="K78" s="6" t="str">
        <f>CONCATENATE("214")</f>
        <v>214</v>
      </c>
      <c r="L78" s="6" t="str">
        <f>CONCATENATE("11 11.2 4b")</f>
        <v>11 11.2 4b</v>
      </c>
      <c r="M78" s="6" t="str">
        <f>CONCATENATE("01430170447")</f>
        <v>01430170447</v>
      </c>
      <c r="N78" s="6" t="s">
        <v>149</v>
      </c>
      <c r="O78" s="6" t="s">
        <v>70</v>
      </c>
      <c r="P78" s="7">
        <v>43255</v>
      </c>
      <c r="Q78" s="6" t="s">
        <v>30</v>
      </c>
      <c r="R78" s="6" t="s">
        <v>31</v>
      </c>
      <c r="S78" s="6" t="s">
        <v>32</v>
      </c>
      <c r="T78" s="8">
        <v>5695.17</v>
      </c>
      <c r="U78" s="8">
        <v>2455.7600000000002</v>
      </c>
      <c r="V78" s="8">
        <v>2267.8200000000002</v>
      </c>
      <c r="W78" s="6">
        <v>0</v>
      </c>
      <c r="X78" s="6">
        <v>971.59</v>
      </c>
    </row>
    <row r="79" spans="1:24" ht="24.75" x14ac:dyDescent="0.25">
      <c r="A79" s="6" t="s">
        <v>25</v>
      </c>
      <c r="B79" s="6" t="s">
        <v>26</v>
      </c>
      <c r="C79" s="6" t="s">
        <v>46</v>
      </c>
      <c r="D79" s="6" t="s">
        <v>47</v>
      </c>
      <c r="E79" s="6" t="s">
        <v>33</v>
      </c>
      <c r="F79" s="6" t="s">
        <v>150</v>
      </c>
      <c r="G79" s="6">
        <v>2017</v>
      </c>
      <c r="H79" s="6" t="str">
        <f>CONCATENATE("74770195316")</f>
        <v>74770195316</v>
      </c>
      <c r="I79" s="6" t="s">
        <v>28</v>
      </c>
      <c r="J79" s="6" t="s">
        <v>29</v>
      </c>
      <c r="K79" s="6" t="str">
        <f>CONCATENATE("214")</f>
        <v>214</v>
      </c>
      <c r="L79" s="6" t="str">
        <f>CONCATENATE("11 11.2 4b")</f>
        <v>11 11.2 4b</v>
      </c>
      <c r="M79" s="6" t="str">
        <f>CONCATENATE("FRRSMN76M12H769D")</f>
        <v>FRRSMN76M12H769D</v>
      </c>
      <c r="N79" s="6" t="s">
        <v>151</v>
      </c>
      <c r="O79" s="6" t="s">
        <v>70</v>
      </c>
      <c r="P79" s="7">
        <v>43255</v>
      </c>
      <c r="Q79" s="6" t="s">
        <v>30</v>
      </c>
      <c r="R79" s="6" t="s">
        <v>31</v>
      </c>
      <c r="S79" s="6" t="s">
        <v>32</v>
      </c>
      <c r="T79" s="8">
        <v>1023.48</v>
      </c>
      <c r="U79" s="6">
        <v>441.32</v>
      </c>
      <c r="V79" s="6">
        <v>407.55</v>
      </c>
      <c r="W79" s="6">
        <v>0</v>
      </c>
      <c r="X79" s="6">
        <v>174.61</v>
      </c>
    </row>
    <row r="80" spans="1:24" x14ac:dyDescent="0.25">
      <c r="A80" s="6" t="s">
        <v>25</v>
      </c>
      <c r="B80" s="6" t="s">
        <v>26</v>
      </c>
      <c r="C80" s="6" t="s">
        <v>46</v>
      </c>
      <c r="D80" s="6" t="s">
        <v>71</v>
      </c>
      <c r="E80" s="6" t="s">
        <v>37</v>
      </c>
      <c r="F80" s="6" t="s">
        <v>81</v>
      </c>
      <c r="G80" s="6">
        <v>2017</v>
      </c>
      <c r="H80" s="6" t="str">
        <f>CONCATENATE("74770056476")</f>
        <v>74770056476</v>
      </c>
      <c r="I80" s="6" t="s">
        <v>28</v>
      </c>
      <c r="J80" s="6" t="s">
        <v>29</v>
      </c>
      <c r="K80" s="6" t="str">
        <f>CONCATENATE("214")</f>
        <v>214</v>
      </c>
      <c r="L80" s="6" t="str">
        <f>CONCATENATE("10 10.1 4a")</f>
        <v>10 10.1 4a</v>
      </c>
      <c r="M80" s="6" t="str">
        <f>CONCATENATE("01745850436")</f>
        <v>01745850436</v>
      </c>
      <c r="N80" s="6" t="s">
        <v>152</v>
      </c>
      <c r="O80" s="6" t="s">
        <v>70</v>
      </c>
      <c r="P80" s="7">
        <v>43255</v>
      </c>
      <c r="Q80" s="6" t="s">
        <v>30</v>
      </c>
      <c r="R80" s="6" t="s">
        <v>31</v>
      </c>
      <c r="S80" s="6" t="s">
        <v>32</v>
      </c>
      <c r="T80" s="6">
        <v>135</v>
      </c>
      <c r="U80" s="6">
        <v>58.21</v>
      </c>
      <c r="V80" s="6">
        <v>53.76</v>
      </c>
      <c r="W80" s="6">
        <v>0</v>
      </c>
      <c r="X80" s="6">
        <v>23.03</v>
      </c>
    </row>
    <row r="81" spans="1:24" ht="24.75" x14ac:dyDescent="0.25">
      <c r="A81" s="6" t="s">
        <v>25</v>
      </c>
      <c r="B81" s="6" t="s">
        <v>26</v>
      </c>
      <c r="C81" s="6" t="s">
        <v>46</v>
      </c>
      <c r="D81" s="6" t="s">
        <v>47</v>
      </c>
      <c r="E81" s="6" t="s">
        <v>37</v>
      </c>
      <c r="F81" s="6" t="s">
        <v>153</v>
      </c>
      <c r="G81" s="6">
        <v>2017</v>
      </c>
      <c r="H81" s="6" t="str">
        <f>CONCATENATE("74770261530")</f>
        <v>74770261530</v>
      </c>
      <c r="I81" s="6" t="s">
        <v>28</v>
      </c>
      <c r="J81" s="6" t="s">
        <v>29</v>
      </c>
      <c r="K81" s="6" t="str">
        <f>CONCATENATE("214")</f>
        <v>214</v>
      </c>
      <c r="L81" s="6" t="str">
        <f>CONCATENATE("11 11.1 4b")</f>
        <v>11 11.1 4b</v>
      </c>
      <c r="M81" s="6" t="str">
        <f>CONCATENATE("NGLFNC56S63A462R")</f>
        <v>NGLFNC56S63A462R</v>
      </c>
      <c r="N81" s="6" t="s">
        <v>154</v>
      </c>
      <c r="O81" s="6" t="s">
        <v>70</v>
      </c>
      <c r="P81" s="7">
        <v>43255</v>
      </c>
      <c r="Q81" s="6" t="s">
        <v>30</v>
      </c>
      <c r="R81" s="6" t="s">
        <v>31</v>
      </c>
      <c r="S81" s="6" t="s">
        <v>32</v>
      </c>
      <c r="T81" s="8">
        <v>9746.01</v>
      </c>
      <c r="U81" s="8">
        <v>4202.4799999999996</v>
      </c>
      <c r="V81" s="8">
        <v>3880.86</v>
      </c>
      <c r="W81" s="6">
        <v>0</v>
      </c>
      <c r="X81" s="8">
        <v>1662.67</v>
      </c>
    </row>
    <row r="82" spans="1:24" ht="24.75" x14ac:dyDescent="0.25">
      <c r="A82" s="6" t="s">
        <v>25</v>
      </c>
      <c r="B82" s="6" t="s">
        <v>26</v>
      </c>
      <c r="C82" s="6" t="s">
        <v>46</v>
      </c>
      <c r="D82" s="6" t="s">
        <v>47</v>
      </c>
      <c r="E82" s="6" t="s">
        <v>37</v>
      </c>
      <c r="F82" s="6" t="s">
        <v>153</v>
      </c>
      <c r="G82" s="6">
        <v>2017</v>
      </c>
      <c r="H82" s="6" t="str">
        <f>CONCATENATE("74770165475")</f>
        <v>74770165475</v>
      </c>
      <c r="I82" s="6" t="s">
        <v>28</v>
      </c>
      <c r="J82" s="6" t="s">
        <v>29</v>
      </c>
      <c r="K82" s="6" t="str">
        <f>CONCATENATE("214")</f>
        <v>214</v>
      </c>
      <c r="L82" s="6" t="str">
        <f>CONCATENATE("11 11.2 4b")</f>
        <v>11 11.2 4b</v>
      </c>
      <c r="M82" s="6" t="str">
        <f>CONCATENATE("VGNFNC34S22H321F")</f>
        <v>VGNFNC34S22H321F</v>
      </c>
      <c r="N82" s="6" t="s">
        <v>155</v>
      </c>
      <c r="O82" s="6" t="s">
        <v>70</v>
      </c>
      <c r="P82" s="7">
        <v>43255</v>
      </c>
      <c r="Q82" s="6" t="s">
        <v>30</v>
      </c>
      <c r="R82" s="6" t="s">
        <v>31</v>
      </c>
      <c r="S82" s="6" t="s">
        <v>32</v>
      </c>
      <c r="T82" s="6">
        <v>241.18</v>
      </c>
      <c r="U82" s="6">
        <v>104</v>
      </c>
      <c r="V82" s="6">
        <v>96.04</v>
      </c>
      <c r="W82" s="6">
        <v>0</v>
      </c>
      <c r="X82" s="6">
        <v>41.14</v>
      </c>
    </row>
    <row r="83" spans="1:24" ht="24.75" x14ac:dyDescent="0.25">
      <c r="A83" s="6" t="s">
        <v>25</v>
      </c>
      <c r="B83" s="6" t="s">
        <v>26</v>
      </c>
      <c r="C83" s="6" t="s">
        <v>46</v>
      </c>
      <c r="D83" s="6" t="s">
        <v>47</v>
      </c>
      <c r="E83" s="6" t="s">
        <v>43</v>
      </c>
      <c r="F83" s="6" t="s">
        <v>51</v>
      </c>
      <c r="G83" s="6">
        <v>2017</v>
      </c>
      <c r="H83" s="6" t="str">
        <f>CONCATENATE("74770173487")</f>
        <v>74770173487</v>
      </c>
      <c r="I83" s="6" t="s">
        <v>28</v>
      </c>
      <c r="J83" s="6" t="s">
        <v>29</v>
      </c>
      <c r="K83" s="6" t="str">
        <f>CONCATENATE("214")</f>
        <v>214</v>
      </c>
      <c r="L83" s="6" t="str">
        <f>CONCATENATE("10 10.1 4a")</f>
        <v>10 10.1 4a</v>
      </c>
      <c r="M83" s="6" t="str">
        <f>CONCATENATE("DSNNGL56A16F570Q")</f>
        <v>DSNNGL56A16F570Q</v>
      </c>
      <c r="N83" s="6" t="s">
        <v>156</v>
      </c>
      <c r="O83" s="6" t="s">
        <v>70</v>
      </c>
      <c r="P83" s="7">
        <v>43255</v>
      </c>
      <c r="Q83" s="6" t="s">
        <v>30</v>
      </c>
      <c r="R83" s="6" t="s">
        <v>31</v>
      </c>
      <c r="S83" s="6" t="s">
        <v>32</v>
      </c>
      <c r="T83" s="6">
        <v>360</v>
      </c>
      <c r="U83" s="6">
        <v>155.22999999999999</v>
      </c>
      <c r="V83" s="6">
        <v>143.35</v>
      </c>
      <c r="W83" s="6">
        <v>0</v>
      </c>
      <c r="X83" s="6">
        <v>61.42</v>
      </c>
    </row>
    <row r="84" spans="1:24" ht="24.75" x14ac:dyDescent="0.25">
      <c r="A84" s="6" t="s">
        <v>25</v>
      </c>
      <c r="B84" s="6" t="s">
        <v>26</v>
      </c>
      <c r="C84" s="6" t="s">
        <v>46</v>
      </c>
      <c r="D84" s="6" t="s">
        <v>47</v>
      </c>
      <c r="E84" s="6" t="s">
        <v>43</v>
      </c>
      <c r="F84" s="6" t="s">
        <v>51</v>
      </c>
      <c r="G84" s="6">
        <v>2017</v>
      </c>
      <c r="H84" s="6" t="str">
        <f>CONCATENATE("74770173511")</f>
        <v>74770173511</v>
      </c>
      <c r="I84" s="6" t="s">
        <v>28</v>
      </c>
      <c r="J84" s="6" t="s">
        <v>29</v>
      </c>
      <c r="K84" s="6" t="str">
        <f>CONCATENATE("214")</f>
        <v>214</v>
      </c>
      <c r="L84" s="6" t="str">
        <f>CONCATENATE("10 10.1 4a")</f>
        <v>10 10.1 4a</v>
      </c>
      <c r="M84" s="6" t="str">
        <f>CONCATENATE("CSTLRT70D18A252E")</f>
        <v>CSTLRT70D18A252E</v>
      </c>
      <c r="N84" s="6" t="s">
        <v>157</v>
      </c>
      <c r="O84" s="6" t="s">
        <v>70</v>
      </c>
      <c r="P84" s="7">
        <v>43255</v>
      </c>
      <c r="Q84" s="6" t="s">
        <v>30</v>
      </c>
      <c r="R84" s="6" t="s">
        <v>31</v>
      </c>
      <c r="S84" s="6" t="s">
        <v>32</v>
      </c>
      <c r="T84" s="8">
        <v>1390.26</v>
      </c>
      <c r="U84" s="6">
        <v>599.48</v>
      </c>
      <c r="V84" s="6">
        <v>553.6</v>
      </c>
      <c r="W84" s="6">
        <v>0</v>
      </c>
      <c r="X84" s="6">
        <v>237.18</v>
      </c>
    </row>
    <row r="85" spans="1:24" x14ac:dyDescent="0.25">
      <c r="A85" s="6" t="s">
        <v>25</v>
      </c>
      <c r="B85" s="6" t="s">
        <v>26</v>
      </c>
      <c r="C85" s="6" t="s">
        <v>46</v>
      </c>
      <c r="D85" s="6" t="s">
        <v>71</v>
      </c>
      <c r="E85" s="6" t="s">
        <v>33</v>
      </c>
      <c r="F85" s="6" t="s">
        <v>99</v>
      </c>
      <c r="G85" s="6">
        <v>2017</v>
      </c>
      <c r="H85" s="6" t="str">
        <f>CONCATENATE("74770156888")</f>
        <v>74770156888</v>
      </c>
      <c r="I85" s="6" t="s">
        <v>28</v>
      </c>
      <c r="J85" s="6" t="s">
        <v>29</v>
      </c>
      <c r="K85" s="6" t="str">
        <f>CONCATENATE("214")</f>
        <v>214</v>
      </c>
      <c r="L85" s="6" t="str">
        <f>CONCATENATE("11 11.2 4b")</f>
        <v>11 11.2 4b</v>
      </c>
      <c r="M85" s="6" t="str">
        <f>CONCATENATE("SBBSLV77S69H211C")</f>
        <v>SBBSLV77S69H211C</v>
      </c>
      <c r="N85" s="6" t="s">
        <v>158</v>
      </c>
      <c r="O85" s="6" t="s">
        <v>70</v>
      </c>
      <c r="P85" s="7">
        <v>43255</v>
      </c>
      <c r="Q85" s="6" t="s">
        <v>30</v>
      </c>
      <c r="R85" s="6" t="s">
        <v>31</v>
      </c>
      <c r="S85" s="6" t="s">
        <v>32</v>
      </c>
      <c r="T85" s="8">
        <v>18814.02</v>
      </c>
      <c r="U85" s="8">
        <v>8112.61</v>
      </c>
      <c r="V85" s="8">
        <v>7491.74</v>
      </c>
      <c r="W85" s="6">
        <v>0</v>
      </c>
      <c r="X85" s="8">
        <v>3209.67</v>
      </c>
    </row>
    <row r="86" spans="1:24" x14ac:dyDescent="0.25">
      <c r="A86" s="6" t="s">
        <v>25</v>
      </c>
      <c r="B86" s="6" t="s">
        <v>26</v>
      </c>
      <c r="C86" s="6" t="s">
        <v>46</v>
      </c>
      <c r="D86" s="6" t="s">
        <v>71</v>
      </c>
      <c r="E86" s="6" t="s">
        <v>27</v>
      </c>
      <c r="F86" s="6" t="s">
        <v>115</v>
      </c>
      <c r="G86" s="6">
        <v>2017</v>
      </c>
      <c r="H86" s="6" t="str">
        <f>CONCATENATE("74770229693")</f>
        <v>74770229693</v>
      </c>
      <c r="I86" s="6" t="s">
        <v>28</v>
      </c>
      <c r="J86" s="6" t="s">
        <v>29</v>
      </c>
      <c r="K86" s="6" t="str">
        <f>CONCATENATE("214")</f>
        <v>214</v>
      </c>
      <c r="L86" s="6" t="str">
        <f>CONCATENATE("10 10.1 4a")</f>
        <v>10 10.1 4a</v>
      </c>
      <c r="M86" s="6" t="str">
        <f>CONCATENATE("MNTLNI30P67F567C")</f>
        <v>MNTLNI30P67F567C</v>
      </c>
      <c r="N86" s="6" t="s">
        <v>159</v>
      </c>
      <c r="O86" s="6" t="s">
        <v>70</v>
      </c>
      <c r="P86" s="7">
        <v>43255</v>
      </c>
      <c r="Q86" s="6" t="s">
        <v>30</v>
      </c>
      <c r="R86" s="6" t="s">
        <v>31</v>
      </c>
      <c r="S86" s="6" t="s">
        <v>32</v>
      </c>
      <c r="T86" s="6">
        <v>900.96</v>
      </c>
      <c r="U86" s="6">
        <v>388.49</v>
      </c>
      <c r="V86" s="6">
        <v>358.76</v>
      </c>
      <c r="W86" s="6">
        <v>0</v>
      </c>
      <c r="X86" s="6">
        <v>153.71</v>
      </c>
    </row>
    <row r="87" spans="1:24" ht="24.75" x14ac:dyDescent="0.25">
      <c r="A87" s="6" t="s">
        <v>25</v>
      </c>
      <c r="B87" s="6" t="s">
        <v>26</v>
      </c>
      <c r="C87" s="6" t="s">
        <v>46</v>
      </c>
      <c r="D87" s="6" t="s">
        <v>47</v>
      </c>
      <c r="E87" s="6" t="s">
        <v>43</v>
      </c>
      <c r="F87" s="6" t="s">
        <v>51</v>
      </c>
      <c r="G87" s="6">
        <v>2017</v>
      </c>
      <c r="H87" s="6" t="str">
        <f>CONCATENATE("74770180565")</f>
        <v>74770180565</v>
      </c>
      <c r="I87" s="6" t="s">
        <v>28</v>
      </c>
      <c r="J87" s="6" t="s">
        <v>29</v>
      </c>
      <c r="K87" s="6" t="str">
        <f>CONCATENATE("214")</f>
        <v>214</v>
      </c>
      <c r="L87" s="6" t="str">
        <f>CONCATENATE("11 11.2 4b")</f>
        <v>11 11.2 4b</v>
      </c>
      <c r="M87" s="6" t="str">
        <f>CONCATENATE("FRVFNZ55C19C321Q")</f>
        <v>FRVFNZ55C19C321Q</v>
      </c>
      <c r="N87" s="6" t="s">
        <v>160</v>
      </c>
      <c r="O87" s="6" t="s">
        <v>70</v>
      </c>
      <c r="P87" s="7">
        <v>43255</v>
      </c>
      <c r="Q87" s="6" t="s">
        <v>30</v>
      </c>
      <c r="R87" s="6" t="s">
        <v>31</v>
      </c>
      <c r="S87" s="6" t="s">
        <v>32</v>
      </c>
      <c r="T87" s="8">
        <v>3667.7</v>
      </c>
      <c r="U87" s="8">
        <v>1581.51</v>
      </c>
      <c r="V87" s="8">
        <v>1460.48</v>
      </c>
      <c r="W87" s="6">
        <v>0</v>
      </c>
      <c r="X87" s="6">
        <v>625.71</v>
      </c>
    </row>
    <row r="88" spans="1:24" x14ac:dyDescent="0.25">
      <c r="A88" s="6" t="s">
        <v>25</v>
      </c>
      <c r="B88" s="6" t="s">
        <v>26</v>
      </c>
      <c r="C88" s="6" t="s">
        <v>46</v>
      </c>
      <c r="D88" s="6" t="s">
        <v>71</v>
      </c>
      <c r="E88" s="6" t="s">
        <v>37</v>
      </c>
      <c r="F88" s="6" t="s">
        <v>101</v>
      </c>
      <c r="G88" s="6">
        <v>2017</v>
      </c>
      <c r="H88" s="6" t="str">
        <f>CONCATENATE("74770093347")</f>
        <v>74770093347</v>
      </c>
      <c r="I88" s="6" t="s">
        <v>28</v>
      </c>
      <c r="J88" s="6" t="s">
        <v>29</v>
      </c>
      <c r="K88" s="6" t="str">
        <f>CONCATENATE("214")</f>
        <v>214</v>
      </c>
      <c r="L88" s="6" t="str">
        <f>CONCATENATE("11 11.1 4b")</f>
        <v>11 11.1 4b</v>
      </c>
      <c r="M88" s="6" t="str">
        <f>CONCATENATE("BCCFRZ54C10B474R")</f>
        <v>BCCFRZ54C10B474R</v>
      </c>
      <c r="N88" s="6" t="s">
        <v>161</v>
      </c>
      <c r="O88" s="6" t="s">
        <v>70</v>
      </c>
      <c r="P88" s="7">
        <v>43255</v>
      </c>
      <c r="Q88" s="6" t="s">
        <v>30</v>
      </c>
      <c r="R88" s="6" t="s">
        <v>31</v>
      </c>
      <c r="S88" s="6" t="s">
        <v>32</v>
      </c>
      <c r="T88" s="6">
        <v>178.45</v>
      </c>
      <c r="U88" s="6">
        <v>76.95</v>
      </c>
      <c r="V88" s="6">
        <v>71.06</v>
      </c>
      <c r="W88" s="6">
        <v>0</v>
      </c>
      <c r="X88" s="6">
        <v>30.44</v>
      </c>
    </row>
    <row r="89" spans="1:24" ht="24.75" x14ac:dyDescent="0.25">
      <c r="A89" s="6" t="s">
        <v>25</v>
      </c>
      <c r="B89" s="6" t="s">
        <v>26</v>
      </c>
      <c r="C89" s="6" t="s">
        <v>46</v>
      </c>
      <c r="D89" s="6" t="s">
        <v>47</v>
      </c>
      <c r="E89" s="6" t="s">
        <v>43</v>
      </c>
      <c r="F89" s="6" t="s">
        <v>51</v>
      </c>
      <c r="G89" s="6">
        <v>2017</v>
      </c>
      <c r="H89" s="6" t="str">
        <f>CONCATENATE("74770312069")</f>
        <v>74770312069</v>
      </c>
      <c r="I89" s="6" t="s">
        <v>28</v>
      </c>
      <c r="J89" s="6" t="s">
        <v>29</v>
      </c>
      <c r="K89" s="6" t="str">
        <f>CONCATENATE("214")</f>
        <v>214</v>
      </c>
      <c r="L89" s="6" t="str">
        <f>CONCATENATE("10 10.1 4a")</f>
        <v>10 10.1 4a</v>
      </c>
      <c r="M89" s="6" t="str">
        <f>CONCATENATE("01109820447")</f>
        <v>01109820447</v>
      </c>
      <c r="N89" s="6" t="s">
        <v>162</v>
      </c>
      <c r="O89" s="6" t="s">
        <v>70</v>
      </c>
      <c r="P89" s="7">
        <v>43255</v>
      </c>
      <c r="Q89" s="6" t="s">
        <v>30</v>
      </c>
      <c r="R89" s="6" t="s">
        <v>31</v>
      </c>
      <c r="S89" s="6" t="s">
        <v>32</v>
      </c>
      <c r="T89" s="8">
        <v>2160</v>
      </c>
      <c r="U89" s="6">
        <v>931.39</v>
      </c>
      <c r="V89" s="6">
        <v>860.11</v>
      </c>
      <c r="W89" s="6">
        <v>0</v>
      </c>
      <c r="X89" s="6">
        <v>368.5</v>
      </c>
    </row>
    <row r="90" spans="1:24" ht="24.75" x14ac:dyDescent="0.25">
      <c r="A90" s="6" t="s">
        <v>25</v>
      </c>
      <c r="B90" s="6" t="s">
        <v>26</v>
      </c>
      <c r="C90" s="6" t="s">
        <v>46</v>
      </c>
      <c r="D90" s="6" t="s">
        <v>60</v>
      </c>
      <c r="E90" s="6" t="s">
        <v>37</v>
      </c>
      <c r="F90" s="6" t="s">
        <v>163</v>
      </c>
      <c r="G90" s="6">
        <v>2017</v>
      </c>
      <c r="H90" s="6" t="str">
        <f>CONCATENATE("74770313836")</f>
        <v>74770313836</v>
      </c>
      <c r="I90" s="6" t="s">
        <v>44</v>
      </c>
      <c r="J90" s="6" t="s">
        <v>29</v>
      </c>
      <c r="K90" s="6" t="str">
        <f>CONCATENATE("214")</f>
        <v>214</v>
      </c>
      <c r="L90" s="6" t="str">
        <f>CONCATENATE("11 11.1 4b")</f>
        <v>11 11.1 4b</v>
      </c>
      <c r="M90" s="6" t="str">
        <f>CONCATENATE("MNCDNL71E11L081O")</f>
        <v>MNCDNL71E11L081O</v>
      </c>
      <c r="N90" s="6" t="s">
        <v>65</v>
      </c>
      <c r="O90" s="6" t="s">
        <v>70</v>
      </c>
      <c r="P90" s="7">
        <v>43255</v>
      </c>
      <c r="Q90" s="6" t="s">
        <v>30</v>
      </c>
      <c r="R90" s="6" t="s">
        <v>31</v>
      </c>
      <c r="S90" s="6" t="s">
        <v>32</v>
      </c>
      <c r="T90" s="8">
        <v>18890.46</v>
      </c>
      <c r="U90" s="8">
        <v>8145.57</v>
      </c>
      <c r="V90" s="8">
        <v>7522.18</v>
      </c>
      <c r="W90" s="6">
        <v>0</v>
      </c>
      <c r="X90" s="8">
        <v>3222.71</v>
      </c>
    </row>
    <row r="91" spans="1:24" ht="24.75" x14ac:dyDescent="0.25">
      <c r="A91" s="6" t="s">
        <v>25</v>
      </c>
      <c r="B91" s="6" t="s">
        <v>26</v>
      </c>
      <c r="C91" s="6" t="s">
        <v>46</v>
      </c>
      <c r="D91" s="6" t="s">
        <v>60</v>
      </c>
      <c r="E91" s="6" t="s">
        <v>38</v>
      </c>
      <c r="F91" s="6" t="s">
        <v>64</v>
      </c>
      <c r="G91" s="6">
        <v>2017</v>
      </c>
      <c r="H91" s="6" t="str">
        <f>CONCATENATE("74770211253")</f>
        <v>74770211253</v>
      </c>
      <c r="I91" s="6" t="s">
        <v>44</v>
      </c>
      <c r="J91" s="6" t="s">
        <v>29</v>
      </c>
      <c r="K91" s="6" t="str">
        <f>CONCATENATE("214")</f>
        <v>214</v>
      </c>
      <c r="L91" s="6" t="str">
        <f>CONCATENATE("11 11.2 4b")</f>
        <v>11 11.2 4b</v>
      </c>
      <c r="M91" s="6" t="str">
        <f>CONCATENATE("01398710416")</f>
        <v>01398710416</v>
      </c>
      <c r="N91" s="6" t="s">
        <v>164</v>
      </c>
      <c r="O91" s="6" t="s">
        <v>70</v>
      </c>
      <c r="P91" s="7">
        <v>43255</v>
      </c>
      <c r="Q91" s="6" t="s">
        <v>30</v>
      </c>
      <c r="R91" s="6" t="s">
        <v>31</v>
      </c>
      <c r="S91" s="6" t="s">
        <v>32</v>
      </c>
      <c r="T91" s="8">
        <v>31652.45</v>
      </c>
      <c r="U91" s="8">
        <v>13648.54</v>
      </c>
      <c r="V91" s="8">
        <v>12604.01</v>
      </c>
      <c r="W91" s="6">
        <v>0</v>
      </c>
      <c r="X91" s="8">
        <v>5399.9</v>
      </c>
    </row>
    <row r="92" spans="1:24" ht="24.75" x14ac:dyDescent="0.25">
      <c r="A92" s="6" t="s">
        <v>25</v>
      </c>
      <c r="B92" s="6" t="s">
        <v>26</v>
      </c>
      <c r="C92" s="6" t="s">
        <v>46</v>
      </c>
      <c r="D92" s="6" t="s">
        <v>60</v>
      </c>
      <c r="E92" s="6" t="s">
        <v>37</v>
      </c>
      <c r="F92" s="6" t="s">
        <v>75</v>
      </c>
      <c r="G92" s="6">
        <v>2017</v>
      </c>
      <c r="H92" s="6" t="str">
        <f>CONCATENATE("74770298045")</f>
        <v>74770298045</v>
      </c>
      <c r="I92" s="6" t="s">
        <v>44</v>
      </c>
      <c r="J92" s="6" t="s">
        <v>29</v>
      </c>
      <c r="K92" s="6" t="str">
        <f>CONCATENATE("214")</f>
        <v>214</v>
      </c>
      <c r="L92" s="6" t="str">
        <f>CONCATENATE("11 11.2 4b")</f>
        <v>11 11.2 4b</v>
      </c>
      <c r="M92" s="6" t="str">
        <f>CONCATENATE("FDDNTN68S25A895Y")</f>
        <v>FDDNTN68S25A895Y</v>
      </c>
      <c r="N92" s="6" t="s">
        <v>165</v>
      </c>
      <c r="O92" s="6" t="s">
        <v>70</v>
      </c>
      <c r="P92" s="7">
        <v>43255</v>
      </c>
      <c r="Q92" s="6" t="s">
        <v>30</v>
      </c>
      <c r="R92" s="6" t="s">
        <v>31</v>
      </c>
      <c r="S92" s="6" t="s">
        <v>32</v>
      </c>
      <c r="T92" s="6">
        <v>931.37</v>
      </c>
      <c r="U92" s="6">
        <v>401.61</v>
      </c>
      <c r="V92" s="6">
        <v>370.87</v>
      </c>
      <c r="W92" s="6">
        <v>0</v>
      </c>
      <c r="X92" s="6">
        <v>158.88999999999999</v>
      </c>
    </row>
    <row r="93" spans="1:24" ht="24.75" x14ac:dyDescent="0.25">
      <c r="A93" s="6" t="s">
        <v>25</v>
      </c>
      <c r="B93" s="6" t="s">
        <v>26</v>
      </c>
      <c r="C93" s="6" t="s">
        <v>46</v>
      </c>
      <c r="D93" s="6" t="s">
        <v>60</v>
      </c>
      <c r="E93" s="6" t="s">
        <v>38</v>
      </c>
      <c r="F93" s="6" t="s">
        <v>64</v>
      </c>
      <c r="G93" s="6">
        <v>2017</v>
      </c>
      <c r="H93" s="6" t="str">
        <f>CONCATENATE("74770143019")</f>
        <v>74770143019</v>
      </c>
      <c r="I93" s="6" t="s">
        <v>44</v>
      </c>
      <c r="J93" s="6" t="s">
        <v>29</v>
      </c>
      <c r="K93" s="6" t="str">
        <f>CONCATENATE("214")</f>
        <v>214</v>
      </c>
      <c r="L93" s="6" t="str">
        <f>CONCATENATE("11 11.2 4b")</f>
        <v>11 11.2 4b</v>
      </c>
      <c r="M93" s="6" t="str">
        <f>CONCATENATE("RCLLNZ74L07L500H")</f>
        <v>RCLLNZ74L07L500H</v>
      </c>
      <c r="N93" s="6" t="s">
        <v>166</v>
      </c>
      <c r="O93" s="6" t="s">
        <v>70</v>
      </c>
      <c r="P93" s="7">
        <v>43255</v>
      </c>
      <c r="Q93" s="6" t="s">
        <v>30</v>
      </c>
      <c r="R93" s="6" t="s">
        <v>31</v>
      </c>
      <c r="S93" s="6" t="s">
        <v>32</v>
      </c>
      <c r="T93" s="6">
        <v>685.33</v>
      </c>
      <c r="U93" s="6">
        <v>295.51</v>
      </c>
      <c r="V93" s="6">
        <v>272.89999999999998</v>
      </c>
      <c r="W93" s="6">
        <v>0</v>
      </c>
      <c r="X93" s="6">
        <v>116.92</v>
      </c>
    </row>
    <row r="94" spans="1:24" ht="24.75" x14ac:dyDescent="0.25">
      <c r="A94" s="6" t="s">
        <v>25</v>
      </c>
      <c r="B94" s="6" t="s">
        <v>26</v>
      </c>
      <c r="C94" s="6" t="s">
        <v>46</v>
      </c>
      <c r="D94" s="6" t="s">
        <v>60</v>
      </c>
      <c r="E94" s="6" t="s">
        <v>38</v>
      </c>
      <c r="F94" s="6" t="s">
        <v>64</v>
      </c>
      <c r="G94" s="6">
        <v>2017</v>
      </c>
      <c r="H94" s="6" t="str">
        <f>CONCATENATE("74770142748")</f>
        <v>74770142748</v>
      </c>
      <c r="I94" s="6" t="s">
        <v>44</v>
      </c>
      <c r="J94" s="6" t="s">
        <v>29</v>
      </c>
      <c r="K94" s="6" t="str">
        <f>CONCATENATE("214")</f>
        <v>214</v>
      </c>
      <c r="L94" s="6" t="str">
        <f>CONCATENATE("11 11.2 4b")</f>
        <v>11 11.2 4b</v>
      </c>
      <c r="M94" s="6" t="str">
        <f>CONCATENATE("RCLLNZ74L07L500H")</f>
        <v>RCLLNZ74L07L500H</v>
      </c>
      <c r="N94" s="6" t="s">
        <v>166</v>
      </c>
      <c r="O94" s="6" t="s">
        <v>70</v>
      </c>
      <c r="P94" s="7">
        <v>43255</v>
      </c>
      <c r="Q94" s="6" t="s">
        <v>30</v>
      </c>
      <c r="R94" s="6" t="s">
        <v>31</v>
      </c>
      <c r="S94" s="6" t="s">
        <v>32</v>
      </c>
      <c r="T94" s="6">
        <v>546.1</v>
      </c>
      <c r="U94" s="6">
        <v>235.48</v>
      </c>
      <c r="V94" s="6">
        <v>217.46</v>
      </c>
      <c r="W94" s="6">
        <v>0</v>
      </c>
      <c r="X94" s="6">
        <v>93.16</v>
      </c>
    </row>
    <row r="95" spans="1:24" ht="24.75" x14ac:dyDescent="0.25">
      <c r="A95" s="6" t="s">
        <v>25</v>
      </c>
      <c r="B95" s="6" t="s">
        <v>26</v>
      </c>
      <c r="C95" s="6" t="s">
        <v>46</v>
      </c>
      <c r="D95" s="6" t="s">
        <v>60</v>
      </c>
      <c r="E95" s="6" t="s">
        <v>38</v>
      </c>
      <c r="F95" s="6" t="s">
        <v>64</v>
      </c>
      <c r="G95" s="6">
        <v>2017</v>
      </c>
      <c r="H95" s="6" t="str">
        <f>CONCATENATE("74770142334")</f>
        <v>74770142334</v>
      </c>
      <c r="I95" s="6" t="s">
        <v>44</v>
      </c>
      <c r="J95" s="6" t="s">
        <v>29</v>
      </c>
      <c r="K95" s="6" t="str">
        <f>CONCATENATE("214")</f>
        <v>214</v>
      </c>
      <c r="L95" s="6" t="str">
        <f>CONCATENATE("11 11.2 4b")</f>
        <v>11 11.2 4b</v>
      </c>
      <c r="M95" s="6" t="str">
        <f>CONCATENATE("RCLLNZ74L07L500H")</f>
        <v>RCLLNZ74L07L500H</v>
      </c>
      <c r="N95" s="6" t="s">
        <v>166</v>
      </c>
      <c r="O95" s="6" t="s">
        <v>70</v>
      </c>
      <c r="P95" s="7">
        <v>43255</v>
      </c>
      <c r="Q95" s="6" t="s">
        <v>30</v>
      </c>
      <c r="R95" s="6" t="s">
        <v>31</v>
      </c>
      <c r="S95" s="6" t="s">
        <v>32</v>
      </c>
      <c r="T95" s="8">
        <v>8307.9699999999993</v>
      </c>
      <c r="U95" s="8">
        <v>3582.4</v>
      </c>
      <c r="V95" s="8">
        <v>3308.23</v>
      </c>
      <c r="W95" s="6">
        <v>0</v>
      </c>
      <c r="X95" s="8">
        <v>1417.34</v>
      </c>
    </row>
    <row r="96" spans="1:24" ht="24.75" x14ac:dyDescent="0.25">
      <c r="A96" s="6" t="s">
        <v>25</v>
      </c>
      <c r="B96" s="6" t="s">
        <v>26</v>
      </c>
      <c r="C96" s="6" t="s">
        <v>46</v>
      </c>
      <c r="D96" s="6" t="s">
        <v>47</v>
      </c>
      <c r="E96" s="6" t="s">
        <v>37</v>
      </c>
      <c r="F96" s="6" t="s">
        <v>153</v>
      </c>
      <c r="G96" s="6">
        <v>2017</v>
      </c>
      <c r="H96" s="6" t="str">
        <f>CONCATENATE("74770270283")</f>
        <v>74770270283</v>
      </c>
      <c r="I96" s="6" t="s">
        <v>28</v>
      </c>
      <c r="J96" s="6" t="s">
        <v>29</v>
      </c>
      <c r="K96" s="6" t="str">
        <f>CONCATENATE("214")</f>
        <v>214</v>
      </c>
      <c r="L96" s="6" t="str">
        <f>CONCATENATE("11 11.2 4b")</f>
        <v>11 11.2 4b</v>
      </c>
      <c r="M96" s="6" t="str">
        <f>CONCATENATE("MRODLU48C61D210H")</f>
        <v>MRODLU48C61D210H</v>
      </c>
      <c r="N96" s="6" t="s">
        <v>167</v>
      </c>
      <c r="O96" s="6" t="s">
        <v>70</v>
      </c>
      <c r="P96" s="7">
        <v>43255</v>
      </c>
      <c r="Q96" s="6" t="s">
        <v>30</v>
      </c>
      <c r="R96" s="6" t="s">
        <v>31</v>
      </c>
      <c r="S96" s="6" t="s">
        <v>32</v>
      </c>
      <c r="T96" s="6">
        <v>207.74</v>
      </c>
      <c r="U96" s="6">
        <v>89.58</v>
      </c>
      <c r="V96" s="6">
        <v>82.72</v>
      </c>
      <c r="W96" s="6">
        <v>0</v>
      </c>
      <c r="X96" s="6">
        <v>35.44</v>
      </c>
    </row>
    <row r="97" spans="1:24" ht="24.75" x14ac:dyDescent="0.25">
      <c r="A97" s="6" t="s">
        <v>25</v>
      </c>
      <c r="B97" s="6" t="s">
        <v>26</v>
      </c>
      <c r="C97" s="6" t="s">
        <v>46</v>
      </c>
      <c r="D97" s="6" t="s">
        <v>47</v>
      </c>
      <c r="E97" s="6" t="s">
        <v>37</v>
      </c>
      <c r="F97" s="6" t="s">
        <v>153</v>
      </c>
      <c r="G97" s="6">
        <v>2017</v>
      </c>
      <c r="H97" s="6" t="str">
        <f>CONCATENATE("74770276322")</f>
        <v>74770276322</v>
      </c>
      <c r="I97" s="6" t="s">
        <v>28</v>
      </c>
      <c r="J97" s="6" t="s">
        <v>29</v>
      </c>
      <c r="K97" s="6" t="str">
        <f>CONCATENATE("214")</f>
        <v>214</v>
      </c>
      <c r="L97" s="6" t="str">
        <f>CONCATENATE("11 11.2 4b")</f>
        <v>11 11.2 4b</v>
      </c>
      <c r="M97" s="6" t="str">
        <f>CONCATENATE("GRTJNN62M01Z126J")</f>
        <v>GRTJNN62M01Z126J</v>
      </c>
      <c r="N97" s="6" t="s">
        <v>168</v>
      </c>
      <c r="O97" s="6" t="s">
        <v>70</v>
      </c>
      <c r="P97" s="7">
        <v>43255</v>
      </c>
      <c r="Q97" s="6" t="s">
        <v>30</v>
      </c>
      <c r="R97" s="6" t="s">
        <v>31</v>
      </c>
      <c r="S97" s="6" t="s">
        <v>32</v>
      </c>
      <c r="T97" s="6">
        <v>132.28</v>
      </c>
      <c r="U97" s="6">
        <v>57.04</v>
      </c>
      <c r="V97" s="6">
        <v>52.67</v>
      </c>
      <c r="W97" s="6">
        <v>0</v>
      </c>
      <c r="X97" s="6">
        <v>22.57</v>
      </c>
    </row>
    <row r="98" spans="1:24" ht="24.75" x14ac:dyDescent="0.25">
      <c r="A98" s="6" t="s">
        <v>25</v>
      </c>
      <c r="B98" s="6" t="s">
        <v>26</v>
      </c>
      <c r="C98" s="6" t="s">
        <v>46</v>
      </c>
      <c r="D98" s="6" t="s">
        <v>60</v>
      </c>
      <c r="E98" s="6" t="s">
        <v>37</v>
      </c>
      <c r="F98" s="6" t="s">
        <v>75</v>
      </c>
      <c r="G98" s="6">
        <v>2017</v>
      </c>
      <c r="H98" s="6" t="str">
        <f>CONCATENATE("74770289036")</f>
        <v>74770289036</v>
      </c>
      <c r="I98" s="6" t="s">
        <v>44</v>
      </c>
      <c r="J98" s="6" t="s">
        <v>29</v>
      </c>
      <c r="K98" s="6" t="str">
        <f>CONCATENATE("214")</f>
        <v>214</v>
      </c>
      <c r="L98" s="6" t="str">
        <f>CONCATENATE("11 11.2 4b")</f>
        <v>11 11.2 4b</v>
      </c>
      <c r="M98" s="6" t="str">
        <f>CONCATENATE("01160920417")</f>
        <v>01160920417</v>
      </c>
      <c r="N98" s="6" t="s">
        <v>169</v>
      </c>
      <c r="O98" s="6" t="s">
        <v>70</v>
      </c>
      <c r="P98" s="7">
        <v>43255</v>
      </c>
      <c r="Q98" s="6" t="s">
        <v>30</v>
      </c>
      <c r="R98" s="6" t="s">
        <v>31</v>
      </c>
      <c r="S98" s="6" t="s">
        <v>32</v>
      </c>
      <c r="T98" s="8">
        <v>7441.45</v>
      </c>
      <c r="U98" s="8">
        <v>3208.75</v>
      </c>
      <c r="V98" s="8">
        <v>2963.19</v>
      </c>
      <c r="W98" s="6">
        <v>0</v>
      </c>
      <c r="X98" s="8">
        <v>1269.51</v>
      </c>
    </row>
    <row r="99" spans="1:24" ht="24.75" x14ac:dyDescent="0.25">
      <c r="A99" s="6" t="s">
        <v>25</v>
      </c>
      <c r="B99" s="6" t="s">
        <v>26</v>
      </c>
      <c r="C99" s="6" t="s">
        <v>46</v>
      </c>
      <c r="D99" s="6" t="s">
        <v>47</v>
      </c>
      <c r="E99" s="6" t="s">
        <v>33</v>
      </c>
      <c r="F99" s="6" t="s">
        <v>150</v>
      </c>
      <c r="G99" s="6">
        <v>2017</v>
      </c>
      <c r="H99" s="6" t="str">
        <f>CONCATENATE("74770217888")</f>
        <v>74770217888</v>
      </c>
      <c r="I99" s="6" t="s">
        <v>28</v>
      </c>
      <c r="J99" s="6" t="s">
        <v>29</v>
      </c>
      <c r="K99" s="6" t="str">
        <f>CONCATENATE("214")</f>
        <v>214</v>
      </c>
      <c r="L99" s="6" t="str">
        <f>CONCATENATE("11 11.2 4b")</f>
        <v>11 11.2 4b</v>
      </c>
      <c r="M99" s="6" t="str">
        <f>CONCATENATE("MGLNZR47B15A462B")</f>
        <v>MGLNZR47B15A462B</v>
      </c>
      <c r="N99" s="6" t="s">
        <v>170</v>
      </c>
      <c r="O99" s="6" t="s">
        <v>70</v>
      </c>
      <c r="P99" s="7">
        <v>43255</v>
      </c>
      <c r="Q99" s="6" t="s">
        <v>30</v>
      </c>
      <c r="R99" s="6" t="s">
        <v>31</v>
      </c>
      <c r="S99" s="6" t="s">
        <v>32</v>
      </c>
      <c r="T99" s="8">
        <v>1289.0899999999999</v>
      </c>
      <c r="U99" s="6">
        <v>555.86</v>
      </c>
      <c r="V99" s="6">
        <v>513.32000000000005</v>
      </c>
      <c r="W99" s="6">
        <v>0</v>
      </c>
      <c r="X99" s="6">
        <v>219.91</v>
      </c>
    </row>
    <row r="100" spans="1:24" ht="24.75" x14ac:dyDescent="0.25">
      <c r="A100" s="6" t="s">
        <v>25</v>
      </c>
      <c r="B100" s="6" t="s">
        <v>26</v>
      </c>
      <c r="C100" s="6" t="s">
        <v>46</v>
      </c>
      <c r="D100" s="6" t="s">
        <v>47</v>
      </c>
      <c r="E100" s="6" t="s">
        <v>33</v>
      </c>
      <c r="F100" s="6" t="s">
        <v>150</v>
      </c>
      <c r="G100" s="6">
        <v>2017</v>
      </c>
      <c r="H100" s="6" t="str">
        <f>CONCATENATE("74770293491")</f>
        <v>74770293491</v>
      </c>
      <c r="I100" s="6" t="s">
        <v>28</v>
      </c>
      <c r="J100" s="6" t="s">
        <v>29</v>
      </c>
      <c r="K100" s="6" t="str">
        <f>CONCATENATE("214")</f>
        <v>214</v>
      </c>
      <c r="L100" s="6" t="str">
        <f>CONCATENATE("11 11.2 4b")</f>
        <v>11 11.2 4b</v>
      </c>
      <c r="M100" s="6" t="str">
        <f>CONCATENATE("MGLNZR47B15A462B")</f>
        <v>MGLNZR47B15A462B</v>
      </c>
      <c r="N100" s="6" t="s">
        <v>170</v>
      </c>
      <c r="O100" s="6" t="s">
        <v>70</v>
      </c>
      <c r="P100" s="7">
        <v>43255</v>
      </c>
      <c r="Q100" s="6" t="s">
        <v>30</v>
      </c>
      <c r="R100" s="6" t="s">
        <v>31</v>
      </c>
      <c r="S100" s="6" t="s">
        <v>32</v>
      </c>
      <c r="T100" s="8">
        <v>6142.54</v>
      </c>
      <c r="U100" s="8">
        <v>2648.66</v>
      </c>
      <c r="V100" s="8">
        <v>2445.96</v>
      </c>
      <c r="W100" s="6">
        <v>0</v>
      </c>
      <c r="X100" s="8">
        <v>1047.92</v>
      </c>
    </row>
    <row r="101" spans="1:24" ht="24.75" x14ac:dyDescent="0.25">
      <c r="A101" s="6" t="s">
        <v>25</v>
      </c>
      <c r="B101" s="6" t="s">
        <v>26</v>
      </c>
      <c r="C101" s="6" t="s">
        <v>46</v>
      </c>
      <c r="D101" s="6" t="s">
        <v>47</v>
      </c>
      <c r="E101" s="6" t="s">
        <v>40</v>
      </c>
      <c r="F101" s="6" t="s">
        <v>40</v>
      </c>
      <c r="G101" s="6">
        <v>2017</v>
      </c>
      <c r="H101" s="6" t="str">
        <f>CONCATENATE("74770101835")</f>
        <v>74770101835</v>
      </c>
      <c r="I101" s="6" t="s">
        <v>28</v>
      </c>
      <c r="J101" s="6" t="s">
        <v>29</v>
      </c>
      <c r="K101" s="6" t="str">
        <f>CONCATENATE("214")</f>
        <v>214</v>
      </c>
      <c r="L101" s="6" t="str">
        <f>CONCATENATE("11 11.2 4b")</f>
        <v>11 11.2 4b</v>
      </c>
      <c r="M101" s="6" t="str">
        <f>CONCATENATE("CCCRRT51P27C321Z")</f>
        <v>CCCRRT51P27C321Z</v>
      </c>
      <c r="N101" s="6" t="s">
        <v>171</v>
      </c>
      <c r="O101" s="6" t="s">
        <v>70</v>
      </c>
      <c r="P101" s="7">
        <v>43255</v>
      </c>
      <c r="Q101" s="6" t="s">
        <v>30</v>
      </c>
      <c r="R101" s="6" t="s">
        <v>31</v>
      </c>
      <c r="S101" s="6" t="s">
        <v>32</v>
      </c>
      <c r="T101" s="6">
        <v>142.94999999999999</v>
      </c>
      <c r="U101" s="6">
        <v>61.64</v>
      </c>
      <c r="V101" s="6">
        <v>56.92</v>
      </c>
      <c r="W101" s="6">
        <v>0</v>
      </c>
      <c r="X101" s="6">
        <v>24.39</v>
      </c>
    </row>
    <row r="102" spans="1:24" ht="24.75" x14ac:dyDescent="0.25">
      <c r="A102" s="6" t="s">
        <v>25</v>
      </c>
      <c r="B102" s="6" t="s">
        <v>26</v>
      </c>
      <c r="C102" s="6" t="s">
        <v>46</v>
      </c>
      <c r="D102" s="6" t="s">
        <v>47</v>
      </c>
      <c r="E102" s="6" t="s">
        <v>40</v>
      </c>
      <c r="F102" s="6" t="s">
        <v>40</v>
      </c>
      <c r="G102" s="6">
        <v>2017</v>
      </c>
      <c r="H102" s="6" t="str">
        <f>CONCATENATE("74770250566")</f>
        <v>74770250566</v>
      </c>
      <c r="I102" s="6" t="s">
        <v>28</v>
      </c>
      <c r="J102" s="6" t="s">
        <v>29</v>
      </c>
      <c r="K102" s="6" t="str">
        <f>CONCATENATE("214")</f>
        <v>214</v>
      </c>
      <c r="L102" s="6" t="str">
        <f>CONCATENATE("11 11.2 4b")</f>
        <v>11 11.2 4b</v>
      </c>
      <c r="M102" s="6" t="str">
        <f>CONCATENATE("CCCCLD59H22G005J")</f>
        <v>CCCCLD59H22G005J</v>
      </c>
      <c r="N102" s="6" t="s">
        <v>172</v>
      </c>
      <c r="O102" s="6" t="s">
        <v>70</v>
      </c>
      <c r="P102" s="7">
        <v>43255</v>
      </c>
      <c r="Q102" s="6" t="s">
        <v>30</v>
      </c>
      <c r="R102" s="6" t="s">
        <v>31</v>
      </c>
      <c r="S102" s="6" t="s">
        <v>32</v>
      </c>
      <c r="T102" s="6">
        <v>62.68</v>
      </c>
      <c r="U102" s="6">
        <v>27.03</v>
      </c>
      <c r="V102" s="6">
        <v>24.96</v>
      </c>
      <c r="W102" s="6">
        <v>0</v>
      </c>
      <c r="X102" s="6">
        <v>10.69</v>
      </c>
    </row>
    <row r="103" spans="1:24" ht="24.75" x14ac:dyDescent="0.25">
      <c r="A103" s="6" t="s">
        <v>25</v>
      </c>
      <c r="B103" s="6" t="s">
        <v>26</v>
      </c>
      <c r="C103" s="6" t="s">
        <v>46</v>
      </c>
      <c r="D103" s="6" t="s">
        <v>47</v>
      </c>
      <c r="E103" s="6" t="s">
        <v>33</v>
      </c>
      <c r="F103" s="6" t="s">
        <v>150</v>
      </c>
      <c r="G103" s="6">
        <v>2017</v>
      </c>
      <c r="H103" s="6" t="str">
        <f>CONCATENATE("74770225600")</f>
        <v>74770225600</v>
      </c>
      <c r="I103" s="6" t="s">
        <v>28</v>
      </c>
      <c r="J103" s="6" t="s">
        <v>29</v>
      </c>
      <c r="K103" s="6" t="str">
        <f>CONCATENATE("214")</f>
        <v>214</v>
      </c>
      <c r="L103" s="6" t="str">
        <f>CONCATENATE("11 11.1 4b")</f>
        <v>11 11.1 4b</v>
      </c>
      <c r="M103" s="6" t="str">
        <f>CONCATENATE("01068800448")</f>
        <v>01068800448</v>
      </c>
      <c r="N103" s="6" t="s">
        <v>173</v>
      </c>
      <c r="O103" s="6" t="s">
        <v>70</v>
      </c>
      <c r="P103" s="7">
        <v>43255</v>
      </c>
      <c r="Q103" s="6" t="s">
        <v>30</v>
      </c>
      <c r="R103" s="6" t="s">
        <v>31</v>
      </c>
      <c r="S103" s="6" t="s">
        <v>32</v>
      </c>
      <c r="T103" s="8">
        <v>3700.52</v>
      </c>
      <c r="U103" s="8">
        <v>1595.66</v>
      </c>
      <c r="V103" s="8">
        <v>1473.55</v>
      </c>
      <c r="W103" s="6">
        <v>0</v>
      </c>
      <c r="X103" s="6">
        <v>631.30999999999995</v>
      </c>
    </row>
    <row r="104" spans="1:24" ht="24.75" x14ac:dyDescent="0.25">
      <c r="A104" s="6" t="s">
        <v>25</v>
      </c>
      <c r="B104" s="6" t="s">
        <v>26</v>
      </c>
      <c r="C104" s="6" t="s">
        <v>46</v>
      </c>
      <c r="D104" s="6" t="s">
        <v>47</v>
      </c>
      <c r="E104" s="6" t="s">
        <v>37</v>
      </c>
      <c r="F104" s="6" t="s">
        <v>153</v>
      </c>
      <c r="G104" s="6">
        <v>2017</v>
      </c>
      <c r="H104" s="6" t="str">
        <f>CONCATENATE("74770194426")</f>
        <v>74770194426</v>
      </c>
      <c r="I104" s="6" t="s">
        <v>28</v>
      </c>
      <c r="J104" s="6" t="s">
        <v>29</v>
      </c>
      <c r="K104" s="6" t="str">
        <f>CONCATENATE("214")</f>
        <v>214</v>
      </c>
      <c r="L104" s="6" t="str">
        <f>CONCATENATE("11 11.2 4b")</f>
        <v>11 11.2 4b</v>
      </c>
      <c r="M104" s="6" t="str">
        <f>CONCATENATE("02043380449")</f>
        <v>02043380449</v>
      </c>
      <c r="N104" s="6" t="s">
        <v>174</v>
      </c>
      <c r="O104" s="6" t="s">
        <v>70</v>
      </c>
      <c r="P104" s="7">
        <v>43255</v>
      </c>
      <c r="Q104" s="6" t="s">
        <v>30</v>
      </c>
      <c r="R104" s="6" t="s">
        <v>31</v>
      </c>
      <c r="S104" s="6" t="s">
        <v>32</v>
      </c>
      <c r="T104" s="6">
        <v>144.44</v>
      </c>
      <c r="U104" s="6">
        <v>62.28</v>
      </c>
      <c r="V104" s="6">
        <v>57.52</v>
      </c>
      <c r="W104" s="6">
        <v>0</v>
      </c>
      <c r="X104" s="6">
        <v>24.64</v>
      </c>
    </row>
    <row r="105" spans="1:24" ht="24.75" x14ac:dyDescent="0.25">
      <c r="A105" s="6" t="s">
        <v>25</v>
      </c>
      <c r="B105" s="6" t="s">
        <v>26</v>
      </c>
      <c r="C105" s="6" t="s">
        <v>46</v>
      </c>
      <c r="D105" s="6" t="s">
        <v>60</v>
      </c>
      <c r="E105" s="6" t="s">
        <v>27</v>
      </c>
      <c r="F105" s="6" t="s">
        <v>175</v>
      </c>
      <c r="G105" s="6">
        <v>2017</v>
      </c>
      <c r="H105" s="6" t="str">
        <f>CONCATENATE("74770276256")</f>
        <v>74770276256</v>
      </c>
      <c r="I105" s="6" t="s">
        <v>28</v>
      </c>
      <c r="J105" s="6" t="s">
        <v>29</v>
      </c>
      <c r="K105" s="6" t="str">
        <f>CONCATENATE("214")</f>
        <v>214</v>
      </c>
      <c r="L105" s="6" t="str">
        <f>CONCATENATE("11 11.1 4b")</f>
        <v>11 11.1 4b</v>
      </c>
      <c r="M105" s="6" t="str">
        <f>CONCATENATE("BNVDGI79T07G479T")</f>
        <v>BNVDGI79T07G479T</v>
      </c>
      <c r="N105" s="6" t="s">
        <v>176</v>
      </c>
      <c r="O105" s="6" t="s">
        <v>70</v>
      </c>
      <c r="P105" s="7">
        <v>43255</v>
      </c>
      <c r="Q105" s="6" t="s">
        <v>30</v>
      </c>
      <c r="R105" s="6" t="s">
        <v>31</v>
      </c>
      <c r="S105" s="6" t="s">
        <v>32</v>
      </c>
      <c r="T105" s="6">
        <v>849.9</v>
      </c>
      <c r="U105" s="6">
        <v>366.48</v>
      </c>
      <c r="V105" s="6">
        <v>338.43</v>
      </c>
      <c r="W105" s="6">
        <v>0</v>
      </c>
      <c r="X105" s="6">
        <v>144.99</v>
      </c>
    </row>
    <row r="106" spans="1:24" ht="24.75" x14ac:dyDescent="0.25">
      <c r="A106" s="6" t="s">
        <v>25</v>
      </c>
      <c r="B106" s="6" t="s">
        <v>26</v>
      </c>
      <c r="C106" s="6" t="s">
        <v>46</v>
      </c>
      <c r="D106" s="6" t="s">
        <v>60</v>
      </c>
      <c r="E106" s="6" t="s">
        <v>37</v>
      </c>
      <c r="F106" s="6" t="s">
        <v>177</v>
      </c>
      <c r="G106" s="6">
        <v>2017</v>
      </c>
      <c r="H106" s="6" t="str">
        <f>CONCATENATE("74770317811")</f>
        <v>74770317811</v>
      </c>
      <c r="I106" s="6" t="s">
        <v>44</v>
      </c>
      <c r="J106" s="6" t="s">
        <v>29</v>
      </c>
      <c r="K106" s="6" t="str">
        <f>CONCATENATE("214")</f>
        <v>214</v>
      </c>
      <c r="L106" s="6" t="str">
        <f>CONCATENATE("11 11.2 4b")</f>
        <v>11 11.2 4b</v>
      </c>
      <c r="M106" s="6" t="str">
        <f>CONCATENATE("02328730417")</f>
        <v>02328730417</v>
      </c>
      <c r="N106" s="6" t="s">
        <v>178</v>
      </c>
      <c r="O106" s="6" t="s">
        <v>70</v>
      </c>
      <c r="P106" s="7">
        <v>43255</v>
      </c>
      <c r="Q106" s="6" t="s">
        <v>30</v>
      </c>
      <c r="R106" s="6" t="s">
        <v>31</v>
      </c>
      <c r="S106" s="6" t="s">
        <v>32</v>
      </c>
      <c r="T106" s="6">
        <v>153.80000000000001</v>
      </c>
      <c r="U106" s="6">
        <v>66.319999999999993</v>
      </c>
      <c r="V106" s="6">
        <v>61.24</v>
      </c>
      <c r="W106" s="6">
        <v>0</v>
      </c>
      <c r="X106" s="6">
        <v>26.24</v>
      </c>
    </row>
    <row r="107" spans="1:24" ht="24.75" x14ac:dyDescent="0.25">
      <c r="A107" s="6" t="s">
        <v>25</v>
      </c>
      <c r="B107" s="6" t="s">
        <v>26</v>
      </c>
      <c r="C107" s="6" t="s">
        <v>46</v>
      </c>
      <c r="D107" s="6" t="s">
        <v>60</v>
      </c>
      <c r="E107" s="6" t="s">
        <v>27</v>
      </c>
      <c r="F107" s="6" t="s">
        <v>179</v>
      </c>
      <c r="G107" s="6">
        <v>2017</v>
      </c>
      <c r="H107" s="6" t="str">
        <f>CONCATENATE("74770282189")</f>
        <v>74770282189</v>
      </c>
      <c r="I107" s="6" t="s">
        <v>44</v>
      </c>
      <c r="J107" s="6" t="s">
        <v>29</v>
      </c>
      <c r="K107" s="6" t="str">
        <f>CONCATENATE("214")</f>
        <v>214</v>
      </c>
      <c r="L107" s="6" t="str">
        <f>CONCATENATE("11 11.2 4b")</f>
        <v>11 11.2 4b</v>
      </c>
      <c r="M107" s="6" t="str">
        <f>CONCATENATE("01429170416")</f>
        <v>01429170416</v>
      </c>
      <c r="N107" s="6" t="s">
        <v>180</v>
      </c>
      <c r="O107" s="6" t="s">
        <v>70</v>
      </c>
      <c r="P107" s="7">
        <v>43255</v>
      </c>
      <c r="Q107" s="6" t="s">
        <v>30</v>
      </c>
      <c r="R107" s="6" t="s">
        <v>31</v>
      </c>
      <c r="S107" s="6" t="s">
        <v>32</v>
      </c>
      <c r="T107" s="8">
        <v>1914.09</v>
      </c>
      <c r="U107" s="6">
        <v>825.36</v>
      </c>
      <c r="V107" s="6">
        <v>762.19</v>
      </c>
      <c r="W107" s="6">
        <v>0</v>
      </c>
      <c r="X107" s="6">
        <v>326.54000000000002</v>
      </c>
    </row>
    <row r="108" spans="1:24" ht="24.75" x14ac:dyDescent="0.25">
      <c r="A108" s="6" t="s">
        <v>25</v>
      </c>
      <c r="B108" s="6" t="s">
        <v>26</v>
      </c>
      <c r="C108" s="6" t="s">
        <v>46</v>
      </c>
      <c r="D108" s="6" t="s">
        <v>60</v>
      </c>
      <c r="E108" s="6" t="s">
        <v>37</v>
      </c>
      <c r="F108" s="6" t="s">
        <v>75</v>
      </c>
      <c r="G108" s="6">
        <v>2017</v>
      </c>
      <c r="H108" s="6" t="str">
        <f>CONCATENATE("74770310956")</f>
        <v>74770310956</v>
      </c>
      <c r="I108" s="6" t="s">
        <v>44</v>
      </c>
      <c r="J108" s="6" t="s">
        <v>29</v>
      </c>
      <c r="K108" s="6" t="str">
        <f>CONCATENATE("214")</f>
        <v>214</v>
      </c>
      <c r="L108" s="6" t="str">
        <f>CONCATENATE("11 11.2 4b")</f>
        <v>11 11.2 4b</v>
      </c>
      <c r="M108" s="6" t="str">
        <f>CONCATENATE("CMLLSN67A71F205G")</f>
        <v>CMLLSN67A71F205G</v>
      </c>
      <c r="N108" s="6" t="s">
        <v>181</v>
      </c>
      <c r="O108" s="6" t="s">
        <v>70</v>
      </c>
      <c r="P108" s="7">
        <v>43255</v>
      </c>
      <c r="Q108" s="6" t="s">
        <v>30</v>
      </c>
      <c r="R108" s="6" t="s">
        <v>31</v>
      </c>
      <c r="S108" s="6" t="s">
        <v>32</v>
      </c>
      <c r="T108" s="6">
        <v>499.49</v>
      </c>
      <c r="U108" s="6">
        <v>215.38</v>
      </c>
      <c r="V108" s="6">
        <v>198.9</v>
      </c>
      <c r="W108" s="6">
        <v>0</v>
      </c>
      <c r="X108" s="6">
        <v>85.21</v>
      </c>
    </row>
    <row r="109" spans="1:24" ht="24.75" x14ac:dyDescent="0.25">
      <c r="A109" s="6" t="s">
        <v>25</v>
      </c>
      <c r="B109" s="6" t="s">
        <v>26</v>
      </c>
      <c r="C109" s="6" t="s">
        <v>46</v>
      </c>
      <c r="D109" s="6" t="s">
        <v>47</v>
      </c>
      <c r="E109" s="6" t="s">
        <v>42</v>
      </c>
      <c r="F109" s="6" t="s">
        <v>57</v>
      </c>
      <c r="G109" s="6">
        <v>2017</v>
      </c>
      <c r="H109" s="6" t="str">
        <f>CONCATENATE("74770208671")</f>
        <v>74770208671</v>
      </c>
      <c r="I109" s="6" t="s">
        <v>28</v>
      </c>
      <c r="J109" s="6" t="s">
        <v>29</v>
      </c>
      <c r="K109" s="6" t="str">
        <f>CONCATENATE("214")</f>
        <v>214</v>
      </c>
      <c r="L109" s="6" t="str">
        <f>CONCATENATE("11 11.2 4b")</f>
        <v>11 11.2 4b</v>
      </c>
      <c r="M109" s="6" t="str">
        <f>CONCATENATE("SPCGRR42B27F599L")</f>
        <v>SPCGRR42B27F599L</v>
      </c>
      <c r="N109" s="6" t="s">
        <v>182</v>
      </c>
      <c r="O109" s="6" t="s">
        <v>70</v>
      </c>
      <c r="P109" s="7">
        <v>43255</v>
      </c>
      <c r="Q109" s="6" t="s">
        <v>30</v>
      </c>
      <c r="R109" s="6" t="s">
        <v>31</v>
      </c>
      <c r="S109" s="6" t="s">
        <v>32</v>
      </c>
      <c r="T109" s="6">
        <v>840.76</v>
      </c>
      <c r="U109" s="6">
        <v>362.54</v>
      </c>
      <c r="V109" s="6">
        <v>334.79</v>
      </c>
      <c r="W109" s="6">
        <v>0</v>
      </c>
      <c r="X109" s="6">
        <v>143.43</v>
      </c>
    </row>
    <row r="110" spans="1:24" ht="24.75" x14ac:dyDescent="0.25">
      <c r="A110" s="6" t="s">
        <v>25</v>
      </c>
      <c r="B110" s="6" t="s">
        <v>34</v>
      </c>
      <c r="C110" s="6" t="s">
        <v>46</v>
      </c>
      <c r="D110" s="6" t="s">
        <v>47</v>
      </c>
      <c r="E110" s="6" t="s">
        <v>40</v>
      </c>
      <c r="F110" s="6" t="s">
        <v>40</v>
      </c>
      <c r="G110" s="6">
        <v>2017</v>
      </c>
      <c r="H110" s="6" t="str">
        <f>CONCATENATE("74275301492")</f>
        <v>74275301492</v>
      </c>
      <c r="I110" s="6" t="s">
        <v>28</v>
      </c>
      <c r="J110" s="6" t="s">
        <v>35</v>
      </c>
      <c r="K110" s="6" t="str">
        <f>CONCATENATE("")</f>
        <v/>
      </c>
      <c r="L110" s="6" t="str">
        <f>CONCATENATE("4 4.1 2a")</f>
        <v>4 4.1 2a</v>
      </c>
      <c r="M110" s="6" t="str">
        <f>CONCATENATE("CMLRNI68R48G005K")</f>
        <v>CMLRNI68R48G005K</v>
      </c>
      <c r="N110" s="6" t="s">
        <v>183</v>
      </c>
      <c r="O110" s="6" t="s">
        <v>184</v>
      </c>
      <c r="P110" s="7">
        <v>43257</v>
      </c>
      <c r="Q110" s="6" t="s">
        <v>30</v>
      </c>
      <c r="R110" s="6" t="s">
        <v>39</v>
      </c>
      <c r="S110" s="6" t="s">
        <v>32</v>
      </c>
      <c r="T110" s="8">
        <v>19585.2</v>
      </c>
      <c r="U110" s="8">
        <v>8445.14</v>
      </c>
      <c r="V110" s="8">
        <v>7798.83</v>
      </c>
      <c r="W110" s="6">
        <v>0</v>
      </c>
      <c r="X110" s="8">
        <v>3341.23</v>
      </c>
    </row>
    <row r="111" spans="1:24" x14ac:dyDescent="0.25">
      <c r="A111" s="6" t="s">
        <v>25</v>
      </c>
      <c r="B111" s="6" t="s">
        <v>34</v>
      </c>
      <c r="C111" s="6" t="s">
        <v>46</v>
      </c>
      <c r="D111" s="6" t="s">
        <v>71</v>
      </c>
      <c r="E111" s="6" t="s">
        <v>27</v>
      </c>
      <c r="F111" s="6" t="s">
        <v>108</v>
      </c>
      <c r="G111" s="6">
        <v>2017</v>
      </c>
      <c r="H111" s="6" t="str">
        <f>CONCATENATE("74275300973")</f>
        <v>74275300973</v>
      </c>
      <c r="I111" s="6" t="s">
        <v>28</v>
      </c>
      <c r="J111" s="6" t="s">
        <v>35</v>
      </c>
      <c r="K111" s="6" t="str">
        <f>CONCATENATE("")</f>
        <v/>
      </c>
      <c r="L111" s="6" t="str">
        <f>CONCATENATE("4 4.1 2a")</f>
        <v>4 4.1 2a</v>
      </c>
      <c r="M111" s="6" t="str">
        <f>CONCATENATE("MSSPFC49D28A329Y")</f>
        <v>MSSPFC49D28A329Y</v>
      </c>
      <c r="N111" s="6" t="s">
        <v>185</v>
      </c>
      <c r="O111" s="6" t="s">
        <v>184</v>
      </c>
      <c r="P111" s="7">
        <v>43257</v>
      </c>
      <c r="Q111" s="6" t="s">
        <v>30</v>
      </c>
      <c r="R111" s="6" t="s">
        <v>31</v>
      </c>
      <c r="S111" s="6" t="s">
        <v>32</v>
      </c>
      <c r="T111" s="8">
        <v>31650</v>
      </c>
      <c r="U111" s="8">
        <v>13647.48</v>
      </c>
      <c r="V111" s="8">
        <v>12603.03</v>
      </c>
      <c r="W111" s="6">
        <v>0</v>
      </c>
      <c r="X111" s="8">
        <v>5399.49</v>
      </c>
    </row>
    <row r="112" spans="1:24" x14ac:dyDescent="0.25">
      <c r="A112" s="6" t="s">
        <v>25</v>
      </c>
      <c r="B112" s="6" t="s">
        <v>34</v>
      </c>
      <c r="C112" s="6" t="s">
        <v>46</v>
      </c>
      <c r="D112" s="6" t="s">
        <v>71</v>
      </c>
      <c r="E112" s="6" t="s">
        <v>43</v>
      </c>
      <c r="F112" s="6" t="s">
        <v>186</v>
      </c>
      <c r="G112" s="6">
        <v>2017</v>
      </c>
      <c r="H112" s="6" t="str">
        <f>CONCATENATE("74275300957")</f>
        <v>74275300957</v>
      </c>
      <c r="I112" s="6" t="s">
        <v>28</v>
      </c>
      <c r="J112" s="6" t="s">
        <v>35</v>
      </c>
      <c r="K112" s="6" t="str">
        <f>CONCATENATE("")</f>
        <v/>
      </c>
      <c r="L112" s="6" t="str">
        <f>CONCATENATE("4 4.1 2a")</f>
        <v>4 4.1 2a</v>
      </c>
      <c r="M112" s="6" t="str">
        <f>CONCATENATE("MSCNRA57A70I156P")</f>
        <v>MSCNRA57A70I156P</v>
      </c>
      <c r="N112" s="6" t="s">
        <v>187</v>
      </c>
      <c r="O112" s="6" t="s">
        <v>184</v>
      </c>
      <c r="P112" s="7">
        <v>43257</v>
      </c>
      <c r="Q112" s="6" t="s">
        <v>30</v>
      </c>
      <c r="R112" s="6" t="s">
        <v>31</v>
      </c>
      <c r="S112" s="6" t="s">
        <v>32</v>
      </c>
      <c r="T112" s="8">
        <v>13500</v>
      </c>
      <c r="U112" s="8">
        <v>5821.2</v>
      </c>
      <c r="V112" s="8">
        <v>5375.7</v>
      </c>
      <c r="W112" s="6">
        <v>0</v>
      </c>
      <c r="X112" s="8">
        <v>2303.1</v>
      </c>
    </row>
    <row r="113" spans="1:24" x14ac:dyDescent="0.25">
      <c r="A113" s="6" t="s">
        <v>25</v>
      </c>
      <c r="B113" s="6" t="s">
        <v>34</v>
      </c>
      <c r="C113" s="6" t="s">
        <v>46</v>
      </c>
      <c r="D113" s="6" t="s">
        <v>71</v>
      </c>
      <c r="E113" s="6" t="s">
        <v>27</v>
      </c>
      <c r="F113" s="6" t="s">
        <v>88</v>
      </c>
      <c r="G113" s="6">
        <v>2017</v>
      </c>
      <c r="H113" s="6" t="str">
        <f>CONCATENATE("74275300965")</f>
        <v>74275300965</v>
      </c>
      <c r="I113" s="6" t="s">
        <v>28</v>
      </c>
      <c r="J113" s="6" t="s">
        <v>35</v>
      </c>
      <c r="K113" s="6" t="str">
        <f>CONCATENATE("")</f>
        <v/>
      </c>
      <c r="L113" s="6" t="str">
        <f>CONCATENATE("4 4.1 2a")</f>
        <v>4 4.1 2a</v>
      </c>
      <c r="M113" s="6" t="str">
        <f>CONCATENATE("PLMTRS28C54G657W")</f>
        <v>PLMTRS28C54G657W</v>
      </c>
      <c r="N113" s="6" t="s">
        <v>188</v>
      </c>
      <c r="O113" s="6" t="s">
        <v>184</v>
      </c>
      <c r="P113" s="7">
        <v>43257</v>
      </c>
      <c r="Q113" s="6" t="s">
        <v>30</v>
      </c>
      <c r="R113" s="6" t="s">
        <v>31</v>
      </c>
      <c r="S113" s="6" t="s">
        <v>32</v>
      </c>
      <c r="T113" s="8">
        <v>15690</v>
      </c>
      <c r="U113" s="8">
        <v>6765.53</v>
      </c>
      <c r="V113" s="8">
        <v>6247.76</v>
      </c>
      <c r="W113" s="6">
        <v>0</v>
      </c>
      <c r="X113" s="8">
        <v>2676.71</v>
      </c>
    </row>
    <row r="114" spans="1:24" ht="24.75" x14ac:dyDescent="0.25">
      <c r="A114" s="6" t="s">
        <v>25</v>
      </c>
      <c r="B114" s="6" t="s">
        <v>34</v>
      </c>
      <c r="C114" s="6" t="s">
        <v>46</v>
      </c>
      <c r="D114" s="6" t="s">
        <v>90</v>
      </c>
      <c r="E114" s="6" t="s">
        <v>40</v>
      </c>
      <c r="F114" s="6" t="s">
        <v>40</v>
      </c>
      <c r="G114" s="6">
        <v>2017</v>
      </c>
      <c r="H114" s="6" t="str">
        <f>CONCATENATE("74275301476")</f>
        <v>74275301476</v>
      </c>
      <c r="I114" s="6" t="s">
        <v>28</v>
      </c>
      <c r="J114" s="6" t="s">
        <v>35</v>
      </c>
      <c r="K114" s="6" t="str">
        <f>CONCATENATE("")</f>
        <v/>
      </c>
      <c r="L114" s="6" t="str">
        <f>CONCATENATE("3 3.2 3a")</f>
        <v>3 3.2 3a</v>
      </c>
      <c r="M114" s="6" t="str">
        <f>CONCATENATE("01584420424")</f>
        <v>01584420424</v>
      </c>
      <c r="N114" s="6" t="s">
        <v>189</v>
      </c>
      <c r="O114" s="6" t="s">
        <v>190</v>
      </c>
      <c r="P114" s="7">
        <v>43257</v>
      </c>
      <c r="Q114" s="6" t="s">
        <v>30</v>
      </c>
      <c r="R114" s="6" t="s">
        <v>39</v>
      </c>
      <c r="S114" s="6" t="s">
        <v>32</v>
      </c>
      <c r="T114" s="8">
        <v>782671.01</v>
      </c>
      <c r="U114" s="8">
        <v>337487.74</v>
      </c>
      <c r="V114" s="8">
        <v>311659.59999999998</v>
      </c>
      <c r="W114" s="6">
        <v>0</v>
      </c>
      <c r="X114" s="8">
        <v>133523.67000000001</v>
      </c>
    </row>
    <row r="115" spans="1:24" x14ac:dyDescent="0.25">
      <c r="A115" s="6" t="s">
        <v>25</v>
      </c>
      <c r="B115" s="6" t="s">
        <v>34</v>
      </c>
      <c r="C115" s="6" t="s">
        <v>46</v>
      </c>
      <c r="D115" s="6" t="s">
        <v>71</v>
      </c>
      <c r="E115" s="6" t="s">
        <v>40</v>
      </c>
      <c r="F115" s="6" t="s">
        <v>40</v>
      </c>
      <c r="G115" s="6">
        <v>2017</v>
      </c>
      <c r="H115" s="6" t="str">
        <f>CONCATENATE("74275301427")</f>
        <v>74275301427</v>
      </c>
      <c r="I115" s="6" t="s">
        <v>28</v>
      </c>
      <c r="J115" s="6" t="s">
        <v>35</v>
      </c>
      <c r="K115" s="6" t="str">
        <f>CONCATENATE("")</f>
        <v/>
      </c>
      <c r="L115" s="6" t="str">
        <f>CONCATENATE("4 4.1 2a")</f>
        <v>4 4.1 2a</v>
      </c>
      <c r="M115" s="6" t="str">
        <f>CONCATENATE("RNGNNE67D11L501X")</f>
        <v>RNGNNE67D11L501X</v>
      </c>
      <c r="N115" s="6" t="s">
        <v>191</v>
      </c>
      <c r="O115" s="6" t="s">
        <v>192</v>
      </c>
      <c r="P115" s="7">
        <v>43257</v>
      </c>
      <c r="Q115" s="6" t="s">
        <v>30</v>
      </c>
      <c r="R115" s="6" t="s">
        <v>36</v>
      </c>
      <c r="S115" s="6" t="s">
        <v>32</v>
      </c>
      <c r="T115" s="8">
        <v>97367.27</v>
      </c>
      <c r="U115" s="8">
        <v>41984.77</v>
      </c>
      <c r="V115" s="8">
        <v>38771.65</v>
      </c>
      <c r="W115" s="6">
        <v>0</v>
      </c>
      <c r="X115" s="8">
        <v>16610.849999999999</v>
      </c>
    </row>
    <row r="116" spans="1:24" ht="24.75" x14ac:dyDescent="0.25">
      <c r="A116" s="6" t="s">
        <v>25</v>
      </c>
      <c r="B116" s="6" t="s">
        <v>34</v>
      </c>
      <c r="C116" s="6" t="s">
        <v>46</v>
      </c>
      <c r="D116" s="6" t="s">
        <v>71</v>
      </c>
      <c r="E116" s="6" t="s">
        <v>40</v>
      </c>
      <c r="F116" s="6" t="s">
        <v>40</v>
      </c>
      <c r="G116" s="6">
        <v>2017</v>
      </c>
      <c r="H116" s="6" t="str">
        <f>CONCATENATE("74275300825")</f>
        <v>74275300825</v>
      </c>
      <c r="I116" s="6" t="s">
        <v>28</v>
      </c>
      <c r="J116" s="6" t="s">
        <v>35</v>
      </c>
      <c r="K116" s="6" t="str">
        <f>CONCATENATE("")</f>
        <v/>
      </c>
      <c r="L116" s="6" t="str">
        <f>CONCATENATE("4 4.1 2a")</f>
        <v>4 4.1 2a</v>
      </c>
      <c r="M116" s="6" t="str">
        <f>CONCATENATE("00638950436")</f>
        <v>00638950436</v>
      </c>
      <c r="N116" s="6" t="s">
        <v>193</v>
      </c>
      <c r="O116" s="6" t="s">
        <v>192</v>
      </c>
      <c r="P116" s="7">
        <v>43257</v>
      </c>
      <c r="Q116" s="6" t="s">
        <v>30</v>
      </c>
      <c r="R116" s="6" t="s">
        <v>39</v>
      </c>
      <c r="S116" s="6" t="s">
        <v>32</v>
      </c>
      <c r="T116" s="8">
        <v>63284.44</v>
      </c>
      <c r="U116" s="8">
        <v>27288.25</v>
      </c>
      <c r="V116" s="8">
        <v>25199.86</v>
      </c>
      <c r="W116" s="6">
        <v>0</v>
      </c>
      <c r="X116" s="8">
        <v>10796.33</v>
      </c>
    </row>
    <row r="117" spans="1:24" x14ac:dyDescent="0.25">
      <c r="A117" s="6" t="s">
        <v>25</v>
      </c>
      <c r="B117" s="6" t="s">
        <v>34</v>
      </c>
      <c r="C117" s="6" t="s">
        <v>46</v>
      </c>
      <c r="D117" s="6" t="s">
        <v>71</v>
      </c>
      <c r="E117" s="6" t="s">
        <v>40</v>
      </c>
      <c r="F117" s="6" t="s">
        <v>40</v>
      </c>
      <c r="G117" s="6">
        <v>2017</v>
      </c>
      <c r="H117" s="6" t="str">
        <f>CONCATENATE("74275300874")</f>
        <v>74275300874</v>
      </c>
      <c r="I117" s="6" t="s">
        <v>28</v>
      </c>
      <c r="J117" s="6" t="s">
        <v>35</v>
      </c>
      <c r="K117" s="6" t="str">
        <f>CONCATENATE("")</f>
        <v/>
      </c>
      <c r="L117" s="6" t="str">
        <f>CONCATENATE("4 4.1 2a")</f>
        <v>4 4.1 2a</v>
      </c>
      <c r="M117" s="6" t="str">
        <f>CONCATENATE("GBNMRA56E17F051J")</f>
        <v>GBNMRA56E17F051J</v>
      </c>
      <c r="N117" s="6" t="s">
        <v>194</v>
      </c>
      <c r="O117" s="6" t="s">
        <v>192</v>
      </c>
      <c r="P117" s="7">
        <v>43257</v>
      </c>
      <c r="Q117" s="6" t="s">
        <v>30</v>
      </c>
      <c r="R117" s="6" t="s">
        <v>31</v>
      </c>
      <c r="S117" s="6" t="s">
        <v>32</v>
      </c>
      <c r="T117" s="8">
        <v>52416</v>
      </c>
      <c r="U117" s="8">
        <v>22601.78</v>
      </c>
      <c r="V117" s="8">
        <v>20872.05</v>
      </c>
      <c r="W117" s="6">
        <v>0</v>
      </c>
      <c r="X117" s="8">
        <v>8942.17</v>
      </c>
    </row>
  </sheetData>
  <mergeCells count="2">
    <mergeCell ref="A1:X1"/>
    <mergeCell ref="A2:X2"/>
  </mergeCells>
  <pageMargins left="0.75" right="0.75" top="1" bottom="1" header="0.5" footer="0.5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2018-06-12T08:10:10Z</dcterms:created>
  <dcterms:modified xsi:type="dcterms:W3CDTF">2018-06-12T08:10:52Z</dcterms:modified>
</cp:coreProperties>
</file>