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_completo\BACKUP_cartella_Documenti\INVIO_DECRETI_A_REGIONIeCAA\Programmazione_2014-2020 (Settore 70-88)\Decreto n. 162\"/>
    </mc:Choice>
  </mc:AlternateContent>
  <xr:revisionPtr revIDLastSave="0" documentId="8_{C7D505AB-C491-431C-BA04-8FC3F51B2453}" xr6:coauthVersionLast="31" xr6:coauthVersionMax="31" xr10:uidLastSave="{00000000-0000-0000-0000-000000000000}"/>
  <bookViews>
    <workbookView xWindow="0" yWindow="0" windowWidth="28800" windowHeight="11625" xr2:uid="{323C4BD4-51E8-4E99-8E86-8F668B1F16C2}"/>
  </bookViews>
  <sheets>
    <sheet name="Dettaglio_Domande_Pagabili_AGEA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0" i="1" l="1"/>
  <c r="L190" i="1"/>
  <c r="K190" i="1"/>
  <c r="H190" i="1"/>
  <c r="M189" i="1"/>
  <c r="L189" i="1"/>
  <c r="K189" i="1"/>
  <c r="H189" i="1"/>
  <c r="M188" i="1"/>
  <c r="L188" i="1"/>
  <c r="K188" i="1"/>
  <c r="H188" i="1"/>
  <c r="M187" i="1"/>
  <c r="L187" i="1"/>
  <c r="K187" i="1"/>
  <c r="H187" i="1"/>
  <c r="M186" i="1"/>
  <c r="L186" i="1"/>
  <c r="K186" i="1"/>
  <c r="H186" i="1"/>
  <c r="M185" i="1"/>
  <c r="L185" i="1"/>
  <c r="K185" i="1"/>
  <c r="H185" i="1"/>
  <c r="M184" i="1"/>
  <c r="L184" i="1"/>
  <c r="K184" i="1"/>
  <c r="H184" i="1"/>
  <c r="M183" i="1"/>
  <c r="L183" i="1"/>
  <c r="K183" i="1"/>
  <c r="H183" i="1"/>
  <c r="M182" i="1"/>
  <c r="L182" i="1"/>
  <c r="K182" i="1"/>
  <c r="H182" i="1"/>
  <c r="M181" i="1"/>
  <c r="L181" i="1"/>
  <c r="K181" i="1"/>
  <c r="H181" i="1"/>
  <c r="M180" i="1"/>
  <c r="L180" i="1"/>
  <c r="K180" i="1"/>
  <c r="H180" i="1"/>
  <c r="M179" i="1"/>
  <c r="L179" i="1"/>
  <c r="K179" i="1"/>
  <c r="H179" i="1"/>
  <c r="M178" i="1"/>
  <c r="L178" i="1"/>
  <c r="K178" i="1"/>
  <c r="H178" i="1"/>
  <c r="M177" i="1"/>
  <c r="L177" i="1"/>
  <c r="K177" i="1"/>
  <c r="H177" i="1"/>
  <c r="M176" i="1"/>
  <c r="L176" i="1"/>
  <c r="K176" i="1"/>
  <c r="H176" i="1"/>
  <c r="M175" i="1"/>
  <c r="L175" i="1"/>
  <c r="K175" i="1"/>
  <c r="H175" i="1"/>
  <c r="M174" i="1"/>
  <c r="L174" i="1"/>
  <c r="K174" i="1"/>
  <c r="H174" i="1"/>
  <c r="M173" i="1"/>
  <c r="L173" i="1"/>
  <c r="K173" i="1"/>
  <c r="H173" i="1"/>
  <c r="M172" i="1"/>
  <c r="L172" i="1"/>
  <c r="K172" i="1"/>
  <c r="H172" i="1"/>
  <c r="M171" i="1"/>
  <c r="L171" i="1"/>
  <c r="K171" i="1"/>
  <c r="H171" i="1"/>
  <c r="M170" i="1"/>
  <c r="L170" i="1"/>
  <c r="K170" i="1"/>
  <c r="H170" i="1"/>
  <c r="M169" i="1"/>
  <c r="L169" i="1"/>
  <c r="K169" i="1"/>
  <c r="H169" i="1"/>
  <c r="M168" i="1"/>
  <c r="L168" i="1"/>
  <c r="K168" i="1"/>
  <c r="H168" i="1"/>
  <c r="M167" i="1"/>
  <c r="L167" i="1"/>
  <c r="K167" i="1"/>
  <c r="H167" i="1"/>
  <c r="M166" i="1"/>
  <c r="L166" i="1"/>
  <c r="K166" i="1"/>
  <c r="H166" i="1"/>
  <c r="M165" i="1"/>
  <c r="L165" i="1"/>
  <c r="K165" i="1"/>
  <c r="H165" i="1"/>
  <c r="M164" i="1"/>
  <c r="L164" i="1"/>
  <c r="K164" i="1"/>
  <c r="H164" i="1"/>
  <c r="M163" i="1"/>
  <c r="L163" i="1"/>
  <c r="K163" i="1"/>
  <c r="H163" i="1"/>
  <c r="M162" i="1"/>
  <c r="L162" i="1"/>
  <c r="K162" i="1"/>
  <c r="H162" i="1"/>
  <c r="M161" i="1"/>
  <c r="L161" i="1"/>
  <c r="K161" i="1"/>
  <c r="H161" i="1"/>
  <c r="M160" i="1"/>
  <c r="L160" i="1"/>
  <c r="K160" i="1"/>
  <c r="H160" i="1"/>
  <c r="M159" i="1"/>
  <c r="L159" i="1"/>
  <c r="K159" i="1"/>
  <c r="H159" i="1"/>
  <c r="M158" i="1"/>
  <c r="L158" i="1"/>
  <c r="K158" i="1"/>
  <c r="H158" i="1"/>
  <c r="M157" i="1"/>
  <c r="L157" i="1"/>
  <c r="K157" i="1"/>
  <c r="H157" i="1"/>
  <c r="M156" i="1"/>
  <c r="L156" i="1"/>
  <c r="K156" i="1"/>
  <c r="H156" i="1"/>
  <c r="M155" i="1"/>
  <c r="L155" i="1"/>
  <c r="K155" i="1"/>
  <c r="H155" i="1"/>
  <c r="M154" i="1"/>
  <c r="L154" i="1"/>
  <c r="K154" i="1"/>
  <c r="H154" i="1"/>
  <c r="M153" i="1"/>
  <c r="L153" i="1"/>
  <c r="K153" i="1"/>
  <c r="H153" i="1"/>
  <c r="M152" i="1"/>
  <c r="L152" i="1"/>
  <c r="K152" i="1"/>
  <c r="H152" i="1"/>
  <c r="M151" i="1"/>
  <c r="L151" i="1"/>
  <c r="K151" i="1"/>
  <c r="H151" i="1"/>
  <c r="M150" i="1"/>
  <c r="L150" i="1"/>
  <c r="K150" i="1"/>
  <c r="H150" i="1"/>
  <c r="M149" i="1"/>
  <c r="L149" i="1"/>
  <c r="K149" i="1"/>
  <c r="H149" i="1"/>
  <c r="M148" i="1"/>
  <c r="L148" i="1"/>
  <c r="K148" i="1"/>
  <c r="H148" i="1"/>
  <c r="M147" i="1"/>
  <c r="L147" i="1"/>
  <c r="K147" i="1"/>
  <c r="H147" i="1"/>
  <c r="M146" i="1"/>
  <c r="L146" i="1"/>
  <c r="K146" i="1"/>
  <c r="H146" i="1"/>
  <c r="M145" i="1"/>
  <c r="L145" i="1"/>
  <c r="K145" i="1"/>
  <c r="H145" i="1"/>
  <c r="M144" i="1"/>
  <c r="L144" i="1"/>
  <c r="K144" i="1"/>
  <c r="H144" i="1"/>
  <c r="M143" i="1"/>
  <c r="L143" i="1"/>
  <c r="K143" i="1"/>
  <c r="H143" i="1"/>
  <c r="M142" i="1"/>
  <c r="L142" i="1"/>
  <c r="K142" i="1"/>
  <c r="H142" i="1"/>
  <c r="M141" i="1"/>
  <c r="L141" i="1"/>
  <c r="K141" i="1"/>
  <c r="H141" i="1"/>
  <c r="M140" i="1"/>
  <c r="L140" i="1"/>
  <c r="K140" i="1"/>
  <c r="H140" i="1"/>
  <c r="M139" i="1"/>
  <c r="L139" i="1"/>
  <c r="K139" i="1"/>
  <c r="H139" i="1"/>
  <c r="M138" i="1"/>
  <c r="L138" i="1"/>
  <c r="K138" i="1"/>
  <c r="H138" i="1"/>
  <c r="M137" i="1"/>
  <c r="L137" i="1"/>
  <c r="K137" i="1"/>
  <c r="H137" i="1"/>
  <c r="M136" i="1"/>
  <c r="L136" i="1"/>
  <c r="K136" i="1"/>
  <c r="H136" i="1"/>
  <c r="M135" i="1"/>
  <c r="L135" i="1"/>
  <c r="K135" i="1"/>
  <c r="H135" i="1"/>
  <c r="M134" i="1"/>
  <c r="L134" i="1"/>
  <c r="K134" i="1"/>
  <c r="H134" i="1"/>
  <c r="M133" i="1"/>
  <c r="L133" i="1"/>
  <c r="K133" i="1"/>
  <c r="H133" i="1"/>
  <c r="M132" i="1"/>
  <c r="L132" i="1"/>
  <c r="K132" i="1"/>
  <c r="H132" i="1"/>
  <c r="M131" i="1"/>
  <c r="L131" i="1"/>
  <c r="K131" i="1"/>
  <c r="H131" i="1"/>
  <c r="M130" i="1"/>
  <c r="L130" i="1"/>
  <c r="K130" i="1"/>
  <c r="H130" i="1"/>
  <c r="M129" i="1"/>
  <c r="L129" i="1"/>
  <c r="K129" i="1"/>
  <c r="H129" i="1"/>
  <c r="M128" i="1"/>
  <c r="L128" i="1"/>
  <c r="K128" i="1"/>
  <c r="H128" i="1"/>
  <c r="M127" i="1"/>
  <c r="L127" i="1"/>
  <c r="K127" i="1"/>
  <c r="H127" i="1"/>
  <c r="M126" i="1"/>
  <c r="L126" i="1"/>
  <c r="K126" i="1"/>
  <c r="H126" i="1"/>
  <c r="M125" i="1"/>
  <c r="L125" i="1"/>
  <c r="K125" i="1"/>
  <c r="H125" i="1"/>
  <c r="M124" i="1"/>
  <c r="L124" i="1"/>
  <c r="K124" i="1"/>
  <c r="H124" i="1"/>
  <c r="M123" i="1"/>
  <c r="L123" i="1"/>
  <c r="K123" i="1"/>
  <c r="H123" i="1"/>
  <c r="M122" i="1"/>
  <c r="L122" i="1"/>
  <c r="K122" i="1"/>
  <c r="H122" i="1"/>
  <c r="M121" i="1"/>
  <c r="L121" i="1"/>
  <c r="K121" i="1"/>
  <c r="H121" i="1"/>
  <c r="M120" i="1"/>
  <c r="L120" i="1"/>
  <c r="K120" i="1"/>
  <c r="H120" i="1"/>
  <c r="M119" i="1"/>
  <c r="L119" i="1"/>
  <c r="K119" i="1"/>
  <c r="H119" i="1"/>
  <c r="M118" i="1"/>
  <c r="L118" i="1"/>
  <c r="K118" i="1"/>
  <c r="H118" i="1"/>
  <c r="M117" i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<sst xmlns="http://schemas.openxmlformats.org/spreadsheetml/2006/main" count="2456" uniqueCount="299">
  <si>
    <t>Dettaglio Domande Pagabili Decreto 162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</si>
  <si>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</si>
  <si>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</si>
  <si>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</si>
  <si>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</si>
  <si>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</si>
  <si>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</si>
  <si>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</si>
  <si>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</si>
  <si>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</si>
  <si>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</si>
  <si>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</si>
  <si>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</si>
  <si>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</si>
  <si>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</si>
  <si>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</si>
  <si>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</si>
  <si>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</si>
  <si>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</si>
  <si>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</si>
  <si>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</si>
  <si>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</si>
  <si>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</si>
  <si>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</si>
  <si>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</si>
  <si>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</si>
  <si>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</si>
  <si>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CAA Confagricoltura srl</t>
  </si>
  <si>
    <t>NO</t>
  </si>
  <si>
    <t>Trascinamenti</t>
  </si>
  <si>
    <t>In Liquidazione</t>
  </si>
  <si>
    <t>Saldo</t>
  </si>
  <si>
    <t>Co-Finanziato</t>
  </si>
  <si>
    <t>CAA Coldiretti srl</t>
  </si>
  <si>
    <t>SI</t>
  </si>
  <si>
    <t>CAA CIA srl</t>
  </si>
  <si>
    <t>Misure Strutturali</t>
  </si>
  <si>
    <t>IN PROPRIO</t>
  </si>
  <si>
    <t>Nuova Programmazione</t>
  </si>
  <si>
    <t>CAA-CAF AGRI S.R.L.</t>
  </si>
  <si>
    <t>CAA LiberiAgricoltori srl già CAA AGCI srl</t>
  </si>
  <si>
    <t>CAA UNICAA srl</t>
  </si>
  <si>
    <t>CAA degli Agricoltori Srl</t>
  </si>
  <si>
    <t>CAA Copagri srl</t>
  </si>
  <si>
    <t>CAA AGRISERVIZI s.r.l.</t>
  </si>
  <si>
    <t>CAA AGRISERVIZI - MESSINA - 001</t>
  </si>
  <si>
    <t>MARCHE</t>
  </si>
  <si>
    <t>SERV. DEC. AGRICOLTURA E ALIM. -ASCOLI PICENO</t>
  </si>
  <si>
    <t>CARLINI TIZIANO</t>
  </si>
  <si>
    <t>AGEA.ASR.2016.0068854</t>
  </si>
  <si>
    <t>VAGNONI LILIANA</t>
  </si>
  <si>
    <t>AGEA.ASR.2016.0190395</t>
  </si>
  <si>
    <t>SERV. DEC. AGRICOLTURA E ALIM. - MACERATA</t>
  </si>
  <si>
    <t>COMUNE DI PIEVEBOVIGLIANA</t>
  </si>
  <si>
    <t>AGEA.ASR.2018.0418896</t>
  </si>
  <si>
    <t>UNIONE MONTANA ALTE VALLI DEL POTENZA E DELL'ESINO</t>
  </si>
  <si>
    <t>SERV. DEC. AGRICOLTURA E ALIMENTAZIONE - PESARO</t>
  </si>
  <si>
    <t>PAGLIARDINI PIER PAOLO</t>
  </si>
  <si>
    <t>AGEA.ASR.2018.0097005</t>
  </si>
  <si>
    <t>SERV. DEC. AGRICOLTURA E ALIMENTAZIONE - ANCONA</t>
  </si>
  <si>
    <t>CAA Coldiretti - ANCONA - 004</t>
  </si>
  <si>
    <t>MANIZZA FEDERICA</t>
  </si>
  <si>
    <t>AGEA.ASR.2018.0386694</t>
  </si>
  <si>
    <t>CAA Copagri - ANCONA - 504</t>
  </si>
  <si>
    <t>GASPARRINI ROSARIO</t>
  </si>
  <si>
    <t>CAA CIA - ANCONA - 003</t>
  </si>
  <si>
    <t>GIACONI REGINALDO</t>
  </si>
  <si>
    <t>CAA Confagricoltura - MACERATA - 001</t>
  </si>
  <si>
    <t>LUCI S.N.C. DI TACCONI ANTONELLA &amp; C. - SOCIETA' AGRICOLA</t>
  </si>
  <si>
    <t>CAA Coldiretti - ANCONA - 002</t>
  </si>
  <si>
    <t>ANTONELLI ADELE</t>
  </si>
  <si>
    <t>CAA Coldiretti - ANCONA - 006</t>
  </si>
  <si>
    <t>CARBONARI MARIA</t>
  </si>
  <si>
    <t>GASPARINI EMILIA</t>
  </si>
  <si>
    <t>CAA Confagricoltura - ANCONA - 001</t>
  </si>
  <si>
    <t>GIULIONI GIUDITTA</t>
  </si>
  <si>
    <t>LUCCI LUCIANO</t>
  </si>
  <si>
    <t>CAA Coldiretti - MACERATA - 009</t>
  </si>
  <si>
    <t>ALBANI MAURIZIO</t>
  </si>
  <si>
    <t>AGEA.ASR.2018.0386719</t>
  </si>
  <si>
    <t>COMUNE DI ORTEZZANO</t>
  </si>
  <si>
    <t>AGEA.ASR.2018.0418956</t>
  </si>
  <si>
    <t>CAA CIA - RIMINI - 006</t>
  </si>
  <si>
    <t>TORSANI LUCIA</t>
  </si>
  <si>
    <t>CAA Coldiretti - PESARO E URBINO - 008</t>
  </si>
  <si>
    <t>ROMAGNOLI EMILIO</t>
  </si>
  <si>
    <t>AGEA.ASR.2018.0386747</t>
  </si>
  <si>
    <t>CAA Coldiretti - PESARO E URBINO - 001</t>
  </si>
  <si>
    <t>BACCHIOCCHI NADIA</t>
  </si>
  <si>
    <t>DI DOMENICO NICOLETTA</t>
  </si>
  <si>
    <t>CAA CIA - PESARO E URBINO - 005</t>
  </si>
  <si>
    <t>BIONDI ANNA</t>
  </si>
  <si>
    <t>COMUNE DI MOGLIANO</t>
  </si>
  <si>
    <t>AGEA.ASR.2018.0398093</t>
  </si>
  <si>
    <t>GIAMPAOLETTI FRANCO</t>
  </si>
  <si>
    <t>AGEA.ASR.2018.0386401</t>
  </si>
  <si>
    <t>CAA Coldiretti - MACERATA - 017</t>
  </si>
  <si>
    <t>GALASSI DANIELE</t>
  </si>
  <si>
    <t>CAA CIA - ANCONA - 005</t>
  </si>
  <si>
    <t>AMADIO EMILIO</t>
  </si>
  <si>
    <t>CAA Coldiretti - MACERATA - 018</t>
  </si>
  <si>
    <t>GELOSI LUIGI</t>
  </si>
  <si>
    <t>CAA CIA - ROMA - 006</t>
  </si>
  <si>
    <t>GENTILONI SILVERI MICHELE</t>
  </si>
  <si>
    <t>MANIZZA MAURIZIO</t>
  </si>
  <si>
    <t>CAA Coldiretti - MACERATA - 007</t>
  </si>
  <si>
    <t>BUROCCHI MARIA-ASSUNTA</t>
  </si>
  <si>
    <t>CAA Copagri - ASCOLI PICENO - 501</t>
  </si>
  <si>
    <t>AZZURRO GALIZIO</t>
  </si>
  <si>
    <t>CAA Coldiretti - ASCOLI PICENO - 010</t>
  </si>
  <si>
    <t>ARMANDI CLARA</t>
  </si>
  <si>
    <t>CAA Coldiretti - MACERATA - 010</t>
  </si>
  <si>
    <t>CACCIAMANI PAOLA</t>
  </si>
  <si>
    <t>SOCIETA' AGRICOLA CAGLINI FRANCESCA E CECILIA S.S.</t>
  </si>
  <si>
    <t>BALEANI GIAMPAOLO</t>
  </si>
  <si>
    <t>CAA Copagri - ANCONA - 506</t>
  </si>
  <si>
    <t>CECCHINI BRUNA</t>
  </si>
  <si>
    <t>CAA CIA - ASCOLI PICENO - 004</t>
  </si>
  <si>
    <t>SERGIACOMI MARIO</t>
  </si>
  <si>
    <t>CAA Coldiretti - MACERATA - 008</t>
  </si>
  <si>
    <t>BIANCHI MARCO</t>
  </si>
  <si>
    <t>CAA Coldiretti - ANCONA - 003</t>
  </si>
  <si>
    <t>GIRONI FRANCESCA</t>
  </si>
  <si>
    <t>CANDRIA TOMMASO</t>
  </si>
  <si>
    <t>CAA LiberiAgricoltori - MACERATA - 001</t>
  </si>
  <si>
    <t>CAPPELLETTI LUIGI</t>
  </si>
  <si>
    <t>CARANTI GIUSEPPE</t>
  </si>
  <si>
    <t>PEROTTI BERNARDINA</t>
  </si>
  <si>
    <t>MARCELLI CLARA</t>
  </si>
  <si>
    <t>IL GALLO SOCIETA' AGRICOLA SEMPLICE</t>
  </si>
  <si>
    <t>CAA Copagri - MACERATA - 503</t>
  </si>
  <si>
    <t>CARTECHINI MASSIMO</t>
  </si>
  <si>
    <t>CAA CIA - MACERATA - 001</t>
  </si>
  <si>
    <t>CASTELLANI ERALDO</t>
  </si>
  <si>
    <t>CIAMPECHINI COSTANTINO</t>
  </si>
  <si>
    <t>CIARALLI MAURO</t>
  </si>
  <si>
    <t>CAA CIA - ANCONA - 002</t>
  </si>
  <si>
    <t>MEZZABOTTA RENZO</t>
  </si>
  <si>
    <t>BOCCI STEFANO</t>
  </si>
  <si>
    <t>CAA CAF AGRI - ANCONA - 225</t>
  </si>
  <si>
    <t>BROCANI GIUSEPPE</t>
  </si>
  <si>
    <t>CAA Coldiretti - ASCOLI PICENO - 040</t>
  </si>
  <si>
    <t>LANCIOTTI AGOSTINO</t>
  </si>
  <si>
    <t>GIOMBI ARCANGELO</t>
  </si>
  <si>
    <t>COMPAGNONI GIANLUIGI</t>
  </si>
  <si>
    <t>BARTOLAZZI MENCHETTI PIER FRANCESCO</t>
  </si>
  <si>
    <t>BALDUCCI PATRIZIA</t>
  </si>
  <si>
    <t>BONGARZONI CORRADO</t>
  </si>
  <si>
    <t>CAA Coldiretti - FERMO - 001</t>
  </si>
  <si>
    <t>SERVILI ANDREA</t>
  </si>
  <si>
    <t>CICCARELLI GIORGIO</t>
  </si>
  <si>
    <t>COSIMI RENZO</t>
  </si>
  <si>
    <t>CAA CAF AGRI - PESARO E URBINO - 221</t>
  </si>
  <si>
    <t>CIUCCI SERGIO</t>
  </si>
  <si>
    <t>GIUSTINI DANIELA</t>
  </si>
  <si>
    <t>ANGELONI PAOLO</t>
  </si>
  <si>
    <t>CAA CAF AGRI - MACERATA - 224</t>
  </si>
  <si>
    <t>GIROLAMI GINO</t>
  </si>
  <si>
    <t>BIAGIOLI GIANCARLO</t>
  </si>
  <si>
    <t>CARBINI PATRIZIA</t>
  </si>
  <si>
    <t>CAA Coldiretti - ANCONA - 008</t>
  </si>
  <si>
    <t>SANTILLI PIETRO</t>
  </si>
  <si>
    <t>GAGLIARDINI CLAUDIO</t>
  </si>
  <si>
    <t>GAGLIARDINI MARIA PINA</t>
  </si>
  <si>
    <t>COMUNANZA AGRARIA DI S.GIOVANNI-GROTTE E PRECICCHIE</t>
  </si>
  <si>
    <t>CAA CAF AGRI - PESARO E URBINO - 222</t>
  </si>
  <si>
    <t>JANSTA SVATOPLUK</t>
  </si>
  <si>
    <t>SOVERCHIA QUINTO</t>
  </si>
  <si>
    <t>BALDUCCIO ANTONINO</t>
  </si>
  <si>
    <t>TOGNI GIOVANNI</t>
  </si>
  <si>
    <t>BRAVI SERENELLA</t>
  </si>
  <si>
    <t>BUGATTI ROBERTO</t>
  </si>
  <si>
    <t>CAA CIA - PESARO E URBINO - 002</t>
  </si>
  <si>
    <t>MANGANI ASSUNTA</t>
  </si>
  <si>
    <t>ANTINORI MARIELLA</t>
  </si>
  <si>
    <t>BARTOLINI ENRICO</t>
  </si>
  <si>
    <t>BIANCHI IGINIO</t>
  </si>
  <si>
    <t>CAA Degli Agricoltori - ANCONA - 101</t>
  </si>
  <si>
    <t>GIULIANI GIULIANO</t>
  </si>
  <si>
    <t>BONIFAZI ALDERANO</t>
  </si>
  <si>
    <t>CARIOLI FULVIA</t>
  </si>
  <si>
    <t>GIGLIETTI PIERINA</t>
  </si>
  <si>
    <t>GALASSI ANTONIO</t>
  </si>
  <si>
    <t>FRANCIONI MARIO</t>
  </si>
  <si>
    <t>FOGLIA ROSANNA</t>
  </si>
  <si>
    <t>FIORETTI PAOLA</t>
  </si>
  <si>
    <t>FRANCESCONI MARIA LUISA</t>
  </si>
  <si>
    <t>FIORETTI GIGLIOLA</t>
  </si>
  <si>
    <t>FIORANELLI FLORIANA</t>
  </si>
  <si>
    <t>FARABOLINI CECILIA</t>
  </si>
  <si>
    <t>CACCIAMANI ALESSANDRO</t>
  </si>
  <si>
    <t>CAA Coldiretti - ANCONA - 005</t>
  </si>
  <si>
    <t>BATTISTONI ANTONIA</t>
  </si>
  <si>
    <t>TEMPESTILLI GIUSEPPE</t>
  </si>
  <si>
    <t>BOLZONETTI PIETRO</t>
  </si>
  <si>
    <t>RECCHI FRANCESCHINI MARIO ANTONIO</t>
  </si>
  <si>
    <t>PIGNOTTI NAZARIO</t>
  </si>
  <si>
    <t>BOTTICELLI EMILIO</t>
  </si>
  <si>
    <t>CAA Confagricoltura - ASCOLI PICENO - 001</t>
  </si>
  <si>
    <t>R4M SOCIETA' AGRICOLA DI RICCI STELLA E MOSCARDELLI LUCA &amp; C. SNC</t>
  </si>
  <si>
    <t>ANNESSI GABRIELE E ANTONIO S.S.</t>
  </si>
  <si>
    <t>CAA LiberiAgricoltori - MACERATA - 002</t>
  </si>
  <si>
    <t>AUTORINO LORENZO</t>
  </si>
  <si>
    <t>BALDONI DUILIO</t>
  </si>
  <si>
    <t>BALEANI FABRIZIO</t>
  </si>
  <si>
    <t>BALZI CLAUDIO</t>
  </si>
  <si>
    <t>SPINOZZI PIO</t>
  </si>
  <si>
    <t>SILIQUINI EMIDIO</t>
  </si>
  <si>
    <t>CAA Coldiretti - ASCOLI PICENO - 030</t>
  </si>
  <si>
    <t>SERGIACOMI EMIDIO</t>
  </si>
  <si>
    <t>CAA CAF AGRI - ANCONA - 221</t>
  </si>
  <si>
    <t>CAIROLA FLAVIO</t>
  </si>
  <si>
    <t>SEGHETTI AGOSTINO</t>
  </si>
  <si>
    <t>BARTOLONI PAOLA</t>
  </si>
  <si>
    <t>BARTOLINI DESIDERIO</t>
  </si>
  <si>
    <t>BONFRANCESCHI GIANDORICO</t>
  </si>
  <si>
    <t>CAA Coldiretti - ANCONA - 001</t>
  </si>
  <si>
    <t>FORIA MASSIMO</t>
  </si>
  <si>
    <t>CAA CIA - ANCONA - 001</t>
  </si>
  <si>
    <t>GRANDI ELENA</t>
  </si>
  <si>
    <t>CRISOSTOMI MARIO</t>
  </si>
  <si>
    <t>BINDI EMILIA</t>
  </si>
  <si>
    <t>ARTEGIANI SILVIA</t>
  </si>
  <si>
    <t>CAA CAF AGRI - MACERATA - 226</t>
  </si>
  <si>
    <t>CARBONI GIUSEPPE</t>
  </si>
  <si>
    <t>GIOVANNOZZI ERMANNO</t>
  </si>
  <si>
    <t>CASTAGNA MARTINA</t>
  </si>
  <si>
    <t>GIACHINI MAURIZIO</t>
  </si>
  <si>
    <t>CETORETTA ADELE</t>
  </si>
  <si>
    <t>FONDAZIONE OPERA DEL SACRO CUORE DI GESU'</t>
  </si>
  <si>
    <t>CICCARELLI SOCIETA'AGRICOLA</t>
  </si>
  <si>
    <t>CINGOLANI GIAMPAOLO</t>
  </si>
  <si>
    <t>CIOCCOLONI ENRICO</t>
  </si>
  <si>
    <t>TAGLIAVENTI ELISA</t>
  </si>
  <si>
    <t>FREZZOTTI ANNARITA</t>
  </si>
  <si>
    <t>LATINI E RUBINI SOC. SEMPLICE</t>
  </si>
  <si>
    <t>MANIERI ANTONIETTA</t>
  </si>
  <si>
    <t>SIMONETTI CINZIA</t>
  </si>
  <si>
    <t>LAURIA NICOLA</t>
  </si>
  <si>
    <t>LAZZARINI FRANCO</t>
  </si>
  <si>
    <t>MAZZARINI SIMONE</t>
  </si>
  <si>
    <t>MELONI GABRIELLA</t>
  </si>
  <si>
    <t>ZENI SABRINA</t>
  </si>
  <si>
    <t>MANCINI SERGIO</t>
  </si>
  <si>
    <t>MARIANI ADRIANA</t>
  </si>
  <si>
    <t>MARTINANGELI MASSIMO</t>
  </si>
  <si>
    <t>CAA CIA - ANCONA - 004</t>
  </si>
  <si>
    <t>MAZZETTI PAOLA</t>
  </si>
  <si>
    <t>CAA CAF AGRI - ANCONA - 228</t>
  </si>
  <si>
    <t>BERNARDI MARIO</t>
  </si>
  <si>
    <t>CAA CAF AGRI - ANCONA - 226</t>
  </si>
  <si>
    <t>BORRONI LUIGI</t>
  </si>
  <si>
    <t>CAA UNICAA - PESARO E URBINO - 003</t>
  </si>
  <si>
    <t>FARISELLO DOMENICO</t>
  </si>
  <si>
    <t>IL QUADRIFOGLIO S.R.L.</t>
  </si>
  <si>
    <t>GENANGELI ANNA MARIA</t>
  </si>
  <si>
    <t>SPURI MARIA</t>
  </si>
  <si>
    <t>TRUFFELLINI ADRIO</t>
  </si>
  <si>
    <t>ALNHILAN DI OLIVIA BIZZARRI &amp; C. - SOCIETA' AGRICOLA IN ACCOMANDI TA S</t>
  </si>
  <si>
    <t>BATTISTONI ROBERTO</t>
  </si>
  <si>
    <t>BECI ENNIO</t>
  </si>
  <si>
    <t>BELLOCCHI SANDRO</t>
  </si>
  <si>
    <t>BELARDINELLI MARIO</t>
  </si>
  <si>
    <t>BELFIORE ELIO</t>
  </si>
  <si>
    <t>BIAGIOLI VITTORINO</t>
  </si>
  <si>
    <t>CADABO' SOCIETA' SEMPLICE AGRICOLA DI BUSCHI MATTEO E LANDI ROSSANO</t>
  </si>
  <si>
    <t>CAA CIA - PESARO E URBINO - 007</t>
  </si>
  <si>
    <t>PANZIRONI SIMONETTA</t>
  </si>
  <si>
    <t>AGEA.ASR.2018.0386746</t>
  </si>
  <si>
    <t>BALDELLI OLIVIERO</t>
  </si>
  <si>
    <t>CAA CIA - PESARO E URBINO - 008</t>
  </si>
  <si>
    <t>BALDISSERRI ANDREA</t>
  </si>
  <si>
    <t>BLASI FLORETTA</t>
  </si>
  <si>
    <t>CAA Confagricoltura - PESARO E URBINO - 001</t>
  </si>
  <si>
    <t>BRUSCOLI NADIA</t>
  </si>
  <si>
    <t>CAA CIA - PESARO E URBINO - 006</t>
  </si>
  <si>
    <t>ORAZIETTI GIACOMO</t>
  </si>
  <si>
    <t>COSTA MICHELE</t>
  </si>
  <si>
    <t>MAZZOLI ERIKA</t>
  </si>
  <si>
    <t>CAA LiberiAgricoltori - PESARO E URBINO - 001</t>
  </si>
  <si>
    <t>BRUSCOLI MARIANNA</t>
  </si>
  <si>
    <t>CAA Liberi Professionisti srl</t>
  </si>
  <si>
    <t>CAA Liberi Prof.- PESARO E URBINO - 001</t>
  </si>
  <si>
    <t>LEARDINI EUGENIO</t>
  </si>
  <si>
    <t>AGEA.ASR.2018.0386718</t>
  </si>
  <si>
    <t>AGORA' SRL</t>
  </si>
  <si>
    <t>AGEA.ASR.2018.0394436</t>
  </si>
  <si>
    <t>PEPARELLO VITTORIO</t>
  </si>
  <si>
    <t>AGEA.ASR.2018.0397950</t>
  </si>
  <si>
    <t>COMUNE DI AMANDOLA</t>
  </si>
  <si>
    <t>AGEA.ASR.2018.0418873</t>
  </si>
  <si>
    <t>AGEA.ASR.2018.0386710</t>
  </si>
  <si>
    <t>STOPPONI MARIA OLIMPIA</t>
  </si>
  <si>
    <t>MARIANELLI LUCIO</t>
  </si>
  <si>
    <t>VALENTINI GIANCARLO</t>
  </si>
  <si>
    <t>TOPI PAOLO</t>
  </si>
  <si>
    <t>PIERFEDERICI TOMMASO</t>
  </si>
  <si>
    <t>BICCHI FRANCESCO</t>
  </si>
  <si>
    <t>VALENTINI ALESSANDRO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</si>
</sst>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12642-FF9D-4BF8-9D42-C04ED0B05F00}">
  <dimension ref="A1:X190"/>
  <sheetViews>
    <sheetView showGridLines="0" tabSelected="1" workbookViewId="0">
      <selection activeCell="I198" sqref="I198"/>
    </sheetView>
  </sheetViews>
  <sheetFormatPr defaultRowHeight="15" x14ac:dyDescent="0.25"/>
  <cols>
    <col min="1" max="1" width="15.5703125" style="4" bestFit="1" customWidth="1"/>
    <col min="2" max="2" width="16.28515625" style="4" bestFit="1" customWidth="1"/>
    <col min="3" max="3" width="18.42578125" style="4" bestFit="1" customWidth="1"/>
    <col min="4" max="4" width="36.5703125" style="4" bestFit="1" customWidth="1"/>
    <col min="5" max="5" width="32.42578125" style="4" bestFit="1" customWidth="1"/>
    <col min="6" max="6" width="36.5703125" style="4" bestFit="1" customWidth="1"/>
    <col min="7" max="7" width="8.42578125" style="4" bestFit="1" customWidth="1"/>
    <col min="8" max="8" width="12.7109375" style="4" bestFit="1" customWidth="1"/>
    <col min="9" max="9" width="21.140625" style="4" bestFit="1" customWidth="1"/>
    <col min="10" max="10" width="20.140625" style="4" bestFit="1" customWidth="1"/>
    <col min="11" max="13" width="17" style="4" bestFit="1" customWidth="1"/>
    <col min="14" max="14" width="36.5703125" style="4" bestFit="1" customWidth="1"/>
    <col min="15" max="15" width="18.85546875" style="4" bestFit="1" customWidth="1"/>
    <col min="16" max="16" width="23" style="4" bestFit="1" customWidth="1"/>
    <col min="17" max="17" width="16.28515625" style="4" bestFit="1" customWidth="1"/>
    <col min="18" max="18" width="17.85546875" style="4" bestFit="1" customWidth="1"/>
    <col min="19" max="19" width="20.28515625" style="4" bestFit="1" customWidth="1"/>
    <col min="20" max="20" width="18.42578125" style="4" bestFit="1" customWidth="1"/>
    <col min="21" max="21" width="24.5703125" style="4" bestFit="1" customWidth="1"/>
    <col min="22" max="23" width="27.140625" style="4" bestFit="1" customWidth="1"/>
    <col min="24" max="24" width="33.85546875" style="4" bestFit="1" customWidth="1"/>
    <col min="25" max="16384" width="9.140625" style="4"/>
  </cols>
  <sheetData>
    <row r="1" spans="1:2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</row>
    <row r="2" spans="1:2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</row>
    <row r="3" spans="1:24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</row>
    <row r="4" spans="1:24" ht="24.75" x14ac:dyDescent="0.25">
      <c r="A4" s="6" t="s">
        <v>25</v>
      </c>
      <c r="B4" s="6" t="s">
        <v>36</v>
      </c>
      <c r="C4" s="6" t="s">
        <v>46</v>
      </c>
      <c r="D4" s="6" t="s">
        <v>47</v>
      </c>
      <c r="E4" s="6" t="s">
        <v>37</v>
      </c>
      <c r="F4" s="6" t="s">
        <v>37</v>
      </c>
      <c r="G4" s="6">
        <v>2008</v>
      </c>
      <c r="H4" s="6" t="str">
        <f>CONCATENATE("84758382810")</f>
        <v>84758382810</v>
      </c>
      <c r="I4" s="6" t="s">
        <v>28</v>
      </c>
      <c r="J4" s="6" t="s">
        <v>29</v>
      </c>
      <c r="K4" s="6" t="str">
        <f>CONCATENATE("111")</f>
        <v>111</v>
      </c>
      <c r="L4" s="6" t="str">
        <f>CONCATENATE("1 1.1 2a")</f>
        <v>1 1.1 2a</v>
      </c>
      <c r="M4" s="6" t="str">
        <f>CONCATENATE("CRLTZN71D03H769I")</f>
        <v>CRLTZN71D03H769I</v>
      </c>
      <c r="N4" s="6" t="s">
        <v>48</v>
      </c>
      <c r="O4" s="6" t="s">
        <v>49</v>
      </c>
      <c r="P4" s="7">
        <v>42410</v>
      </c>
      <c r="Q4" s="6" t="s">
        <v>30</v>
      </c>
      <c r="R4" s="6" t="s">
        <v>31</v>
      </c>
      <c r="S4" s="6" t="s">
        <v>32</v>
      </c>
      <c r="T4" s="6">
        <v>160</v>
      </c>
      <c r="U4" s="6">
        <v>68.989999999999995</v>
      </c>
      <c r="V4" s="6">
        <v>63.71</v>
      </c>
      <c r="W4" s="6">
        <v>0</v>
      </c>
      <c r="X4" s="6">
        <v>27.3</v>
      </c>
    </row>
    <row r="5" spans="1:24" ht="24.75" x14ac:dyDescent="0.25">
      <c r="A5" s="6" t="s">
        <v>25</v>
      </c>
      <c r="B5" s="6" t="s">
        <v>36</v>
      </c>
      <c r="C5" s="6" t="s">
        <v>46</v>
      </c>
      <c r="D5" s="6" t="s">
        <v>47</v>
      </c>
      <c r="E5" s="6" t="s">
        <v>37</v>
      </c>
      <c r="F5" s="6" t="s">
        <v>37</v>
      </c>
      <c r="G5" s="6">
        <v>2008</v>
      </c>
      <c r="H5" s="6" t="str">
        <f>CONCATENATE("84758384105")</f>
        <v>84758384105</v>
      </c>
      <c r="I5" s="6" t="s">
        <v>28</v>
      </c>
      <c r="J5" s="6" t="s">
        <v>29</v>
      </c>
      <c r="K5" s="6" t="str">
        <f>CONCATENATE("111")</f>
        <v>111</v>
      </c>
      <c r="L5" s="6" t="str">
        <f>CONCATENATE("1 1.1 2a")</f>
        <v>1 1.1 2a</v>
      </c>
      <c r="M5" s="6" t="str">
        <f>CONCATENATE("VGNLLN61M50Z110B")</f>
        <v>VGNLLN61M50Z110B</v>
      </c>
      <c r="N5" s="6" t="s">
        <v>50</v>
      </c>
      <c r="O5" s="6" t="s">
        <v>51</v>
      </c>
      <c r="P5" s="7">
        <v>42514</v>
      </c>
      <c r="Q5" s="6" t="s">
        <v>30</v>
      </c>
      <c r="R5" s="6" t="s">
        <v>31</v>
      </c>
      <c r="S5" s="6" t="s">
        <v>32</v>
      </c>
      <c r="T5" s="6">
        <v>271</v>
      </c>
      <c r="U5" s="6">
        <v>116.86</v>
      </c>
      <c r="V5" s="6">
        <v>107.91</v>
      </c>
      <c r="W5" s="6">
        <v>0</v>
      </c>
      <c r="X5" s="6">
        <v>46.23</v>
      </c>
    </row>
    <row r="6" spans="1:24" x14ac:dyDescent="0.25">
      <c r="A6" s="6" t="s">
        <v>25</v>
      </c>
      <c r="B6" s="6" t="s">
        <v>36</v>
      </c>
      <c r="C6" s="6" t="s">
        <v>46</v>
      </c>
      <c r="D6" s="6" t="s">
        <v>52</v>
      </c>
      <c r="E6" s="6" t="s">
        <v>37</v>
      </c>
      <c r="F6" s="6" t="s">
        <v>37</v>
      </c>
      <c r="G6" s="6">
        <v>2018</v>
      </c>
      <c r="H6" s="6" t="str">
        <f>CONCATENATE("84758366169")</f>
        <v>84758366169</v>
      </c>
      <c r="I6" s="6" t="s">
        <v>28</v>
      </c>
      <c r="J6" s="6" t="s">
        <v>29</v>
      </c>
      <c r="K6" s="6" t="str">
        <f>CONCATENATE("321")</f>
        <v>321</v>
      </c>
      <c r="L6" s="6" t="str">
        <f>CONCATENATE("7 7.4 6a")</f>
        <v>7 7.4 6a</v>
      </c>
      <c r="M6" s="6" t="str">
        <f>CONCATENATE("00263270431")</f>
        <v>00263270431</v>
      </c>
      <c r="N6" s="6" t="s">
        <v>53</v>
      </c>
      <c r="O6" s="6" t="s">
        <v>54</v>
      </c>
      <c r="P6" s="7">
        <v>43230</v>
      </c>
      <c r="Q6" s="6" t="s">
        <v>30</v>
      </c>
      <c r="R6" s="6" t="s">
        <v>31</v>
      </c>
      <c r="S6" s="6" t="s">
        <v>32</v>
      </c>
      <c r="T6" s="8">
        <v>28800</v>
      </c>
      <c r="U6" s="8">
        <v>12418.56</v>
      </c>
      <c r="V6" s="8">
        <v>11468.16</v>
      </c>
      <c r="W6" s="6">
        <v>0</v>
      </c>
      <c r="X6" s="8">
        <v>4913.28</v>
      </c>
    </row>
    <row r="7" spans="1:24" ht="24.75" x14ac:dyDescent="0.25">
      <c r="A7" s="6" t="s">
        <v>25</v>
      </c>
      <c r="B7" s="6" t="s">
        <v>36</v>
      </c>
      <c r="C7" s="6" t="s">
        <v>46</v>
      </c>
      <c r="D7" s="6" t="s">
        <v>52</v>
      </c>
      <c r="E7" s="6" t="s">
        <v>37</v>
      </c>
      <c r="F7" s="6" t="s">
        <v>37</v>
      </c>
      <c r="G7" s="6">
        <v>2018</v>
      </c>
      <c r="H7" s="6" t="str">
        <f>CONCATENATE("84758359719")</f>
        <v>84758359719</v>
      </c>
      <c r="I7" s="6" t="s">
        <v>34</v>
      </c>
      <c r="J7" s="6" t="s">
        <v>29</v>
      </c>
      <c r="K7" s="6" t="str">
        <f>CONCATENATE("321")</f>
        <v>321</v>
      </c>
      <c r="L7" s="6" t="str">
        <f>CONCATENATE("7 7.4 6a")</f>
        <v>7 7.4 6a</v>
      </c>
      <c r="M7" s="6" t="str">
        <f>CONCATENATE("01874330432")</f>
        <v>01874330432</v>
      </c>
      <c r="N7" s="6" t="s">
        <v>55</v>
      </c>
      <c r="O7" s="6" t="s">
        <v>54</v>
      </c>
      <c r="P7" s="7">
        <v>43230</v>
      </c>
      <c r="Q7" s="6" t="s">
        <v>30</v>
      </c>
      <c r="R7" s="6" t="s">
        <v>31</v>
      </c>
      <c r="S7" s="6" t="s">
        <v>32</v>
      </c>
      <c r="T7" s="8">
        <v>65025</v>
      </c>
      <c r="U7" s="8">
        <v>28038.78</v>
      </c>
      <c r="V7" s="8">
        <v>25892.959999999999</v>
      </c>
      <c r="W7" s="6">
        <v>0</v>
      </c>
      <c r="X7" s="8">
        <v>11093.26</v>
      </c>
    </row>
    <row r="8" spans="1:24" ht="24.75" x14ac:dyDescent="0.25">
      <c r="A8" s="6" t="s">
        <v>25</v>
      </c>
      <c r="B8" s="6" t="s">
        <v>36</v>
      </c>
      <c r="C8" s="6" t="s">
        <v>46</v>
      </c>
      <c r="D8" s="6" t="s">
        <v>56</v>
      </c>
      <c r="E8" s="6" t="s">
        <v>37</v>
      </c>
      <c r="F8" s="6" t="s">
        <v>37</v>
      </c>
      <c r="G8" s="6">
        <v>2018</v>
      </c>
      <c r="H8" s="6" t="str">
        <f>CONCATENATE("84758389146")</f>
        <v>84758389146</v>
      </c>
      <c r="I8" s="6" t="s">
        <v>34</v>
      </c>
      <c r="J8" s="6" t="s">
        <v>29</v>
      </c>
      <c r="K8" s="6" t="str">
        <f>CONCATENATE("413")</f>
        <v>413</v>
      </c>
      <c r="L8" s="6" t="str">
        <f>CONCATENATE("19 19.2 6b")</f>
        <v>19 19.2 6b</v>
      </c>
      <c r="M8" s="6" t="str">
        <f>CONCATENATE("PGLPPL76H29I459S")</f>
        <v>PGLPPL76H29I459S</v>
      </c>
      <c r="N8" s="6" t="s">
        <v>57</v>
      </c>
      <c r="O8" s="6" t="s">
        <v>58</v>
      </c>
      <c r="P8" s="7">
        <v>43228</v>
      </c>
      <c r="Q8" s="6" t="s">
        <v>30</v>
      </c>
      <c r="R8" s="6" t="s">
        <v>31</v>
      </c>
      <c r="S8" s="6" t="s">
        <v>32</v>
      </c>
      <c r="T8" s="8">
        <v>79093.19</v>
      </c>
      <c r="U8" s="8">
        <v>34104.980000000003</v>
      </c>
      <c r="V8" s="8">
        <v>31494.91</v>
      </c>
      <c r="W8" s="6">
        <v>0</v>
      </c>
      <c r="X8" s="8">
        <v>13493.3</v>
      </c>
    </row>
    <row r="9" spans="1:24" ht="24.75" x14ac:dyDescent="0.25">
      <c r="A9" s="6" t="s">
        <v>25</v>
      </c>
      <c r="B9" s="6" t="s">
        <v>26</v>
      </c>
      <c r="C9" s="6" t="s">
        <v>46</v>
      </c>
      <c r="D9" s="6" t="s">
        <v>59</v>
      </c>
      <c r="E9" s="6" t="s">
        <v>33</v>
      </c>
      <c r="F9" s="6" t="s">
        <v>60</v>
      </c>
      <c r="G9" s="6">
        <v>2016</v>
      </c>
      <c r="H9" s="6" t="str">
        <f>CONCATENATE("64780055618")</f>
        <v>64780055618</v>
      </c>
      <c r="I9" s="6" t="s">
        <v>28</v>
      </c>
      <c r="J9" s="6" t="s">
        <v>29</v>
      </c>
      <c r="K9" s="6" t="str">
        <f>CONCATENATE("221")</f>
        <v>221</v>
      </c>
      <c r="L9" s="6" t="str">
        <f>CONCATENATE("8 8.1 5e")</f>
        <v>8 8.1 5e</v>
      </c>
      <c r="M9" s="6" t="str">
        <f>CONCATENATE("MNZFRC75P62I608R")</f>
        <v>MNZFRC75P62I608R</v>
      </c>
      <c r="N9" s="6" t="s">
        <v>61</v>
      </c>
      <c r="O9" s="6" t="s">
        <v>62</v>
      </c>
      <c r="P9" s="7">
        <v>43228</v>
      </c>
      <c r="Q9" s="6" t="s">
        <v>30</v>
      </c>
      <c r="R9" s="6" t="s">
        <v>31</v>
      </c>
      <c r="S9" s="6" t="s">
        <v>32</v>
      </c>
      <c r="T9" s="6">
        <v>276</v>
      </c>
      <c r="U9" s="6">
        <v>119.01</v>
      </c>
      <c r="V9" s="6">
        <v>109.9</v>
      </c>
      <c r="W9" s="6">
        <v>0</v>
      </c>
      <c r="X9" s="6">
        <v>47.09</v>
      </c>
    </row>
    <row r="10" spans="1:24" ht="24.75" x14ac:dyDescent="0.25">
      <c r="A10" s="6" t="s">
        <v>25</v>
      </c>
      <c r="B10" s="6" t="s">
        <v>26</v>
      </c>
      <c r="C10" s="6" t="s">
        <v>46</v>
      </c>
      <c r="D10" s="6" t="s">
        <v>59</v>
      </c>
      <c r="E10" s="6" t="s">
        <v>43</v>
      </c>
      <c r="F10" s="6" t="s">
        <v>63</v>
      </c>
      <c r="G10" s="6">
        <v>2016</v>
      </c>
      <c r="H10" s="6" t="str">
        <f>CONCATENATE("64780044448")</f>
        <v>64780044448</v>
      </c>
      <c r="I10" s="6" t="s">
        <v>28</v>
      </c>
      <c r="J10" s="6" t="s">
        <v>29</v>
      </c>
      <c r="K10" s="6" t="str">
        <f>CONCATENATE("221")</f>
        <v>221</v>
      </c>
      <c r="L10" s="6" t="str">
        <f>CONCATENATE("8 8.1 5e")</f>
        <v>8 8.1 5e</v>
      </c>
      <c r="M10" s="6" t="str">
        <f>CONCATENATE("GSPRSR54R07F496G")</f>
        <v>GSPRSR54R07F496G</v>
      </c>
      <c r="N10" s="6" t="s">
        <v>64</v>
      </c>
      <c r="O10" s="6" t="s">
        <v>62</v>
      </c>
      <c r="P10" s="7">
        <v>43228</v>
      </c>
      <c r="Q10" s="6" t="s">
        <v>30</v>
      </c>
      <c r="R10" s="6" t="s">
        <v>31</v>
      </c>
      <c r="S10" s="6" t="s">
        <v>32</v>
      </c>
      <c r="T10" s="8">
        <v>2502.4</v>
      </c>
      <c r="U10" s="8">
        <v>1079.03</v>
      </c>
      <c r="V10" s="6">
        <v>996.46</v>
      </c>
      <c r="W10" s="6">
        <v>0</v>
      </c>
      <c r="X10" s="6">
        <v>426.91</v>
      </c>
    </row>
    <row r="11" spans="1:24" ht="24.75" x14ac:dyDescent="0.25">
      <c r="A11" s="6" t="s">
        <v>25</v>
      </c>
      <c r="B11" s="6" t="s">
        <v>26</v>
      </c>
      <c r="C11" s="6" t="s">
        <v>46</v>
      </c>
      <c r="D11" s="6" t="s">
        <v>59</v>
      </c>
      <c r="E11" s="6" t="s">
        <v>35</v>
      </c>
      <c r="F11" s="6" t="s">
        <v>65</v>
      </c>
      <c r="G11" s="6">
        <v>2016</v>
      </c>
      <c r="H11" s="6" t="str">
        <f>CONCATENATE("64780035172")</f>
        <v>64780035172</v>
      </c>
      <c r="I11" s="6" t="s">
        <v>28</v>
      </c>
      <c r="J11" s="6" t="s">
        <v>29</v>
      </c>
      <c r="K11" s="6" t="str">
        <f>CONCATENATE("221")</f>
        <v>221</v>
      </c>
      <c r="L11" s="6" t="str">
        <f>CONCATENATE("8 8.1 5e")</f>
        <v>8 8.1 5e</v>
      </c>
      <c r="M11" s="6" t="str">
        <f>CONCATENATE("GCNRNL53R09D597Q")</f>
        <v>GCNRNL53R09D597Q</v>
      </c>
      <c r="N11" s="6" t="s">
        <v>66</v>
      </c>
      <c r="O11" s="6" t="s">
        <v>62</v>
      </c>
      <c r="P11" s="7">
        <v>43228</v>
      </c>
      <c r="Q11" s="6" t="s">
        <v>30</v>
      </c>
      <c r="R11" s="6" t="s">
        <v>31</v>
      </c>
      <c r="S11" s="6" t="s">
        <v>32</v>
      </c>
      <c r="T11" s="6">
        <v>128.58000000000001</v>
      </c>
      <c r="U11" s="6">
        <v>55.44</v>
      </c>
      <c r="V11" s="6">
        <v>51.2</v>
      </c>
      <c r="W11" s="6">
        <v>0</v>
      </c>
      <c r="X11" s="6">
        <v>21.94</v>
      </c>
    </row>
    <row r="12" spans="1:24" ht="24.75" x14ac:dyDescent="0.25">
      <c r="A12" s="6" t="s">
        <v>25</v>
      </c>
      <c r="B12" s="6" t="s">
        <v>26</v>
      </c>
      <c r="C12" s="6" t="s">
        <v>46</v>
      </c>
      <c r="D12" s="6" t="s">
        <v>52</v>
      </c>
      <c r="E12" s="6" t="s">
        <v>27</v>
      </c>
      <c r="F12" s="6" t="s">
        <v>67</v>
      </c>
      <c r="G12" s="6">
        <v>2016</v>
      </c>
      <c r="H12" s="6" t="str">
        <f>CONCATENATE("64780023459")</f>
        <v>64780023459</v>
      </c>
      <c r="I12" s="6" t="s">
        <v>28</v>
      </c>
      <c r="J12" s="6" t="s">
        <v>29</v>
      </c>
      <c r="K12" s="6" t="str">
        <f>CONCATENATE("221")</f>
        <v>221</v>
      </c>
      <c r="L12" s="6" t="str">
        <f>CONCATENATE("8 8.1 5e")</f>
        <v>8 8.1 5e</v>
      </c>
      <c r="M12" s="6" t="str">
        <f>CONCATENATE("01704820438")</f>
        <v>01704820438</v>
      </c>
      <c r="N12" s="6" t="s">
        <v>68</v>
      </c>
      <c r="O12" s="6" t="s">
        <v>62</v>
      </c>
      <c r="P12" s="7">
        <v>43228</v>
      </c>
      <c r="Q12" s="6" t="s">
        <v>30</v>
      </c>
      <c r="R12" s="6" t="s">
        <v>31</v>
      </c>
      <c r="S12" s="6" t="s">
        <v>32</v>
      </c>
      <c r="T12" s="8">
        <v>1938.9</v>
      </c>
      <c r="U12" s="6">
        <v>836.05</v>
      </c>
      <c r="V12" s="6">
        <v>772.07</v>
      </c>
      <c r="W12" s="6">
        <v>0</v>
      </c>
      <c r="X12" s="6">
        <v>330.78</v>
      </c>
    </row>
    <row r="13" spans="1:24" ht="24.75" x14ac:dyDescent="0.25">
      <c r="A13" s="6" t="s">
        <v>25</v>
      </c>
      <c r="B13" s="6" t="s">
        <v>26</v>
      </c>
      <c r="C13" s="6" t="s">
        <v>46</v>
      </c>
      <c r="D13" s="6" t="s">
        <v>59</v>
      </c>
      <c r="E13" s="6" t="s">
        <v>33</v>
      </c>
      <c r="F13" s="6" t="s">
        <v>69</v>
      </c>
      <c r="G13" s="6">
        <v>2016</v>
      </c>
      <c r="H13" s="6" t="str">
        <f>CONCATENATE("64780085714")</f>
        <v>64780085714</v>
      </c>
      <c r="I13" s="6" t="s">
        <v>28</v>
      </c>
      <c r="J13" s="6" t="s">
        <v>29</v>
      </c>
      <c r="K13" s="6" t="str">
        <f>CONCATENATE("221")</f>
        <v>221</v>
      </c>
      <c r="L13" s="6" t="str">
        <f>CONCATENATE("8 8.1 5e")</f>
        <v>8 8.1 5e</v>
      </c>
      <c r="M13" s="6" t="str">
        <f>CONCATENATE("NTNDLA32R71D451D")</f>
        <v>NTNDLA32R71D451D</v>
      </c>
      <c r="N13" s="6" t="s">
        <v>70</v>
      </c>
      <c r="O13" s="6" t="s">
        <v>62</v>
      </c>
      <c r="P13" s="7">
        <v>43228</v>
      </c>
      <c r="Q13" s="6" t="s">
        <v>30</v>
      </c>
      <c r="R13" s="6" t="s">
        <v>31</v>
      </c>
      <c r="S13" s="6" t="s">
        <v>32</v>
      </c>
      <c r="T13" s="6">
        <v>108.66</v>
      </c>
      <c r="U13" s="6">
        <v>46.85</v>
      </c>
      <c r="V13" s="6">
        <v>43.27</v>
      </c>
      <c r="W13" s="6">
        <v>0</v>
      </c>
      <c r="X13" s="6">
        <v>18.54</v>
      </c>
    </row>
    <row r="14" spans="1:24" ht="24.75" x14ac:dyDescent="0.25">
      <c r="A14" s="6" t="s">
        <v>25</v>
      </c>
      <c r="B14" s="6" t="s">
        <v>26</v>
      </c>
      <c r="C14" s="6" t="s">
        <v>46</v>
      </c>
      <c r="D14" s="6" t="s">
        <v>59</v>
      </c>
      <c r="E14" s="6" t="s">
        <v>33</v>
      </c>
      <c r="F14" s="6" t="s">
        <v>71</v>
      </c>
      <c r="G14" s="6">
        <v>2016</v>
      </c>
      <c r="H14" s="6" t="str">
        <f>CONCATENATE("64780064198")</f>
        <v>64780064198</v>
      </c>
      <c r="I14" s="6" t="s">
        <v>28</v>
      </c>
      <c r="J14" s="6" t="s">
        <v>29</v>
      </c>
      <c r="K14" s="6" t="str">
        <f>CONCATENATE("221")</f>
        <v>221</v>
      </c>
      <c r="L14" s="6" t="str">
        <f>CONCATENATE("8 8.1 5e")</f>
        <v>8 8.1 5e</v>
      </c>
      <c r="M14" s="6" t="str">
        <f>CONCATENATE("CRBMRA34B58A329D")</f>
        <v>CRBMRA34B58A329D</v>
      </c>
      <c r="N14" s="6" t="s">
        <v>72</v>
      </c>
      <c r="O14" s="6" t="s">
        <v>62</v>
      </c>
      <c r="P14" s="7">
        <v>43228</v>
      </c>
      <c r="Q14" s="6" t="s">
        <v>30</v>
      </c>
      <c r="R14" s="6" t="s">
        <v>31</v>
      </c>
      <c r="S14" s="6" t="s">
        <v>32</v>
      </c>
      <c r="T14" s="6">
        <v>638.23</v>
      </c>
      <c r="U14" s="6">
        <v>275.2</v>
      </c>
      <c r="V14" s="6">
        <v>254.14</v>
      </c>
      <c r="W14" s="6">
        <v>0</v>
      </c>
      <c r="X14" s="6">
        <v>108.89</v>
      </c>
    </row>
    <row r="15" spans="1:24" ht="24.75" x14ac:dyDescent="0.25">
      <c r="A15" s="6" t="s">
        <v>25</v>
      </c>
      <c r="B15" s="6" t="s">
        <v>26</v>
      </c>
      <c r="C15" s="6" t="s">
        <v>46</v>
      </c>
      <c r="D15" s="6" t="s">
        <v>59</v>
      </c>
      <c r="E15" s="6" t="s">
        <v>33</v>
      </c>
      <c r="F15" s="6" t="s">
        <v>71</v>
      </c>
      <c r="G15" s="6">
        <v>2016</v>
      </c>
      <c r="H15" s="6" t="str">
        <f>CONCATENATE("64780064321")</f>
        <v>64780064321</v>
      </c>
      <c r="I15" s="6" t="s">
        <v>28</v>
      </c>
      <c r="J15" s="6" t="s">
        <v>29</v>
      </c>
      <c r="K15" s="6" t="str">
        <f>CONCATENATE("221")</f>
        <v>221</v>
      </c>
      <c r="L15" s="6" t="str">
        <f>CONCATENATE("8 8.1 5e")</f>
        <v>8 8.1 5e</v>
      </c>
      <c r="M15" s="6" t="str">
        <f>CONCATENATE("GSPMLE30D63C248J")</f>
        <v>GSPMLE30D63C248J</v>
      </c>
      <c r="N15" s="6" t="s">
        <v>73</v>
      </c>
      <c r="O15" s="6" t="s">
        <v>62</v>
      </c>
      <c r="P15" s="7">
        <v>43228</v>
      </c>
      <c r="Q15" s="6" t="s">
        <v>30</v>
      </c>
      <c r="R15" s="6" t="s">
        <v>31</v>
      </c>
      <c r="S15" s="6" t="s">
        <v>32</v>
      </c>
      <c r="T15" s="6">
        <v>646.27</v>
      </c>
      <c r="U15" s="6">
        <v>278.67</v>
      </c>
      <c r="V15" s="6">
        <v>257.33999999999997</v>
      </c>
      <c r="W15" s="6">
        <v>0</v>
      </c>
      <c r="X15" s="6">
        <v>110.26</v>
      </c>
    </row>
    <row r="16" spans="1:24" ht="24.75" x14ac:dyDescent="0.25">
      <c r="A16" s="6" t="s">
        <v>25</v>
      </c>
      <c r="B16" s="6" t="s">
        <v>26</v>
      </c>
      <c r="C16" s="6" t="s">
        <v>46</v>
      </c>
      <c r="D16" s="6" t="s">
        <v>59</v>
      </c>
      <c r="E16" s="6" t="s">
        <v>27</v>
      </c>
      <c r="F16" s="6" t="s">
        <v>74</v>
      </c>
      <c r="G16" s="6">
        <v>2016</v>
      </c>
      <c r="H16" s="6" t="str">
        <f>CONCATENATE("64780074262")</f>
        <v>64780074262</v>
      </c>
      <c r="I16" s="6" t="s">
        <v>28</v>
      </c>
      <c r="J16" s="6" t="s">
        <v>29</v>
      </c>
      <c r="K16" s="6" t="str">
        <f>CONCATENATE("221")</f>
        <v>221</v>
      </c>
      <c r="L16" s="6" t="str">
        <f>CONCATENATE("8 8.1 5e")</f>
        <v>8 8.1 5e</v>
      </c>
      <c r="M16" s="6" t="str">
        <f>CONCATENATE("GLNGTT37E44D597H")</f>
        <v>GLNGTT37E44D597H</v>
      </c>
      <c r="N16" s="6" t="s">
        <v>75</v>
      </c>
      <c r="O16" s="6" t="s">
        <v>62</v>
      </c>
      <c r="P16" s="7">
        <v>43228</v>
      </c>
      <c r="Q16" s="6" t="s">
        <v>30</v>
      </c>
      <c r="R16" s="6" t="s">
        <v>31</v>
      </c>
      <c r="S16" s="6" t="s">
        <v>32</v>
      </c>
      <c r="T16" s="6">
        <v>276.87</v>
      </c>
      <c r="U16" s="6">
        <v>119.39</v>
      </c>
      <c r="V16" s="6">
        <v>110.25</v>
      </c>
      <c r="W16" s="6">
        <v>0</v>
      </c>
      <c r="X16" s="6">
        <v>47.23</v>
      </c>
    </row>
    <row r="17" spans="1:24" ht="24.75" x14ac:dyDescent="0.25">
      <c r="A17" s="6" t="s">
        <v>25</v>
      </c>
      <c r="B17" s="6" t="s">
        <v>26</v>
      </c>
      <c r="C17" s="6" t="s">
        <v>46</v>
      </c>
      <c r="D17" s="6" t="s">
        <v>59</v>
      </c>
      <c r="E17" s="6" t="s">
        <v>27</v>
      </c>
      <c r="F17" s="6" t="s">
        <v>74</v>
      </c>
      <c r="G17" s="6">
        <v>2016</v>
      </c>
      <c r="H17" s="6" t="str">
        <f>CONCATENATE("64780082091")</f>
        <v>64780082091</v>
      </c>
      <c r="I17" s="6" t="s">
        <v>34</v>
      </c>
      <c r="J17" s="6" t="s">
        <v>29</v>
      </c>
      <c r="K17" s="6" t="str">
        <f>CONCATENATE("221")</f>
        <v>221</v>
      </c>
      <c r="L17" s="6" t="str">
        <f>CONCATENATE("8 8.1 5e")</f>
        <v>8 8.1 5e</v>
      </c>
      <c r="M17" s="6" t="str">
        <f>CONCATENATE("LCCLCN29M12C615F")</f>
        <v>LCCLCN29M12C615F</v>
      </c>
      <c r="N17" s="6" t="s">
        <v>76</v>
      </c>
      <c r="O17" s="6" t="s">
        <v>62</v>
      </c>
      <c r="P17" s="7">
        <v>43228</v>
      </c>
      <c r="Q17" s="6" t="s">
        <v>30</v>
      </c>
      <c r="R17" s="6" t="s">
        <v>31</v>
      </c>
      <c r="S17" s="6" t="s">
        <v>32</v>
      </c>
      <c r="T17" s="8">
        <v>4256</v>
      </c>
      <c r="U17" s="8">
        <v>1835.19</v>
      </c>
      <c r="V17" s="8">
        <v>1694.74</v>
      </c>
      <c r="W17" s="6">
        <v>0</v>
      </c>
      <c r="X17" s="6">
        <v>726.07</v>
      </c>
    </row>
    <row r="18" spans="1:24" x14ac:dyDescent="0.25">
      <c r="A18" s="6" t="s">
        <v>25</v>
      </c>
      <c r="B18" s="6" t="s">
        <v>26</v>
      </c>
      <c r="C18" s="6" t="s">
        <v>46</v>
      </c>
      <c r="D18" s="6" t="s">
        <v>52</v>
      </c>
      <c r="E18" s="6" t="s">
        <v>33</v>
      </c>
      <c r="F18" s="6" t="s">
        <v>77</v>
      </c>
      <c r="G18" s="6">
        <v>2013</v>
      </c>
      <c r="H18" s="6" t="str">
        <f>CONCATENATE("34730108171")</f>
        <v>34730108171</v>
      </c>
      <c r="I18" s="6" t="s">
        <v>28</v>
      </c>
      <c r="J18" s="6" t="s">
        <v>29</v>
      </c>
      <c r="K18" s="6" t="str">
        <f>CONCATENATE("221")</f>
        <v>221</v>
      </c>
      <c r="L18" s="6" t="str">
        <f>CONCATENATE("8 8.1 5e")</f>
        <v>8 8.1 5e</v>
      </c>
      <c r="M18" s="6" t="str">
        <f>CONCATENATE("LBNMRZ57R05L191B")</f>
        <v>LBNMRZ57R05L191B</v>
      </c>
      <c r="N18" s="6" t="s">
        <v>78</v>
      </c>
      <c r="O18" s="6" t="s">
        <v>79</v>
      </c>
      <c r="P18" s="7">
        <v>43230</v>
      </c>
      <c r="Q18" s="6" t="s">
        <v>30</v>
      </c>
      <c r="R18" s="6" t="s">
        <v>31</v>
      </c>
      <c r="S18" s="6" t="s">
        <v>32</v>
      </c>
      <c r="T18" s="6">
        <v>79.19</v>
      </c>
      <c r="U18" s="6">
        <v>34.15</v>
      </c>
      <c r="V18" s="6">
        <v>31.53</v>
      </c>
      <c r="W18" s="6">
        <v>0</v>
      </c>
      <c r="X18" s="6">
        <v>13.51</v>
      </c>
    </row>
    <row r="19" spans="1:24" ht="24.75" x14ac:dyDescent="0.25">
      <c r="A19" s="6" t="s">
        <v>25</v>
      </c>
      <c r="B19" s="6" t="s">
        <v>36</v>
      </c>
      <c r="C19" s="6" t="s">
        <v>46</v>
      </c>
      <c r="D19" s="6" t="s">
        <v>47</v>
      </c>
      <c r="E19" s="6" t="s">
        <v>37</v>
      </c>
      <c r="F19" s="6" t="s">
        <v>37</v>
      </c>
      <c r="G19" s="6">
        <v>2018</v>
      </c>
      <c r="H19" s="6" t="str">
        <f>CONCATENATE("84758367126")</f>
        <v>84758367126</v>
      </c>
      <c r="I19" s="6" t="s">
        <v>28</v>
      </c>
      <c r="J19" s="6" t="s">
        <v>29</v>
      </c>
      <c r="K19" s="6" t="str">
        <f>CONCATENATE("323")</f>
        <v>323</v>
      </c>
      <c r="L19" s="6" t="str">
        <f>CONCATENATE("7 7.6 6a")</f>
        <v>7 7.6 6a</v>
      </c>
      <c r="M19" s="6" t="str">
        <f>CONCATENATE("00390830446")</f>
        <v>00390830446</v>
      </c>
      <c r="N19" s="6" t="s">
        <v>80</v>
      </c>
      <c r="O19" s="6" t="s">
        <v>81</v>
      </c>
      <c r="P19" s="7">
        <v>43230</v>
      </c>
      <c r="Q19" s="6" t="s">
        <v>30</v>
      </c>
      <c r="R19" s="6" t="s">
        <v>31</v>
      </c>
      <c r="S19" s="6" t="s">
        <v>32</v>
      </c>
      <c r="T19" s="8">
        <v>10260</v>
      </c>
      <c r="U19" s="8">
        <v>4424.1099999999997</v>
      </c>
      <c r="V19" s="8">
        <v>4085.53</v>
      </c>
      <c r="W19" s="6">
        <v>0</v>
      </c>
      <c r="X19" s="8">
        <v>1750.36</v>
      </c>
    </row>
    <row r="20" spans="1:24" ht="24.75" x14ac:dyDescent="0.25">
      <c r="A20" s="6" t="s">
        <v>25</v>
      </c>
      <c r="B20" s="6" t="s">
        <v>26</v>
      </c>
      <c r="C20" s="6" t="s">
        <v>46</v>
      </c>
      <c r="D20" s="6" t="s">
        <v>56</v>
      </c>
      <c r="E20" s="6" t="s">
        <v>35</v>
      </c>
      <c r="F20" s="6" t="s">
        <v>82</v>
      </c>
      <c r="G20" s="6">
        <v>2016</v>
      </c>
      <c r="H20" s="6" t="str">
        <f>CONCATENATE("64780071599")</f>
        <v>64780071599</v>
      </c>
      <c r="I20" s="6" t="s">
        <v>28</v>
      </c>
      <c r="J20" s="6" t="s">
        <v>29</v>
      </c>
      <c r="K20" s="6" t="str">
        <f>CONCATENATE("221")</f>
        <v>221</v>
      </c>
      <c r="L20" s="6" t="str">
        <f>CONCATENATE("8 8.1 5e")</f>
        <v>8 8.1 5e</v>
      </c>
      <c r="M20" s="6" t="str">
        <f>CONCATENATE("TRSLCU45M47H949D")</f>
        <v>TRSLCU45M47H949D</v>
      </c>
      <c r="N20" s="6" t="s">
        <v>83</v>
      </c>
      <c r="O20" s="6" t="s">
        <v>62</v>
      </c>
      <c r="P20" s="7">
        <v>43228</v>
      </c>
      <c r="Q20" s="6" t="s">
        <v>30</v>
      </c>
      <c r="R20" s="6" t="s">
        <v>31</v>
      </c>
      <c r="S20" s="6" t="s">
        <v>32</v>
      </c>
      <c r="T20" s="8">
        <v>2381.86</v>
      </c>
      <c r="U20" s="8">
        <v>1027.06</v>
      </c>
      <c r="V20" s="6">
        <v>948.46</v>
      </c>
      <c r="W20" s="6">
        <v>0</v>
      </c>
      <c r="X20" s="6">
        <v>406.34</v>
      </c>
    </row>
    <row r="21" spans="1:24" ht="24.75" x14ac:dyDescent="0.25">
      <c r="A21" s="6" t="s">
        <v>25</v>
      </c>
      <c r="B21" s="6" t="s">
        <v>26</v>
      </c>
      <c r="C21" s="6" t="s">
        <v>46</v>
      </c>
      <c r="D21" s="6" t="s">
        <v>56</v>
      </c>
      <c r="E21" s="6" t="s">
        <v>33</v>
      </c>
      <c r="F21" s="6" t="s">
        <v>84</v>
      </c>
      <c r="G21" s="6">
        <v>2016</v>
      </c>
      <c r="H21" s="6" t="str">
        <f>CONCATENATE("64780097321")</f>
        <v>64780097321</v>
      </c>
      <c r="I21" s="6" t="s">
        <v>28</v>
      </c>
      <c r="J21" s="6" t="s">
        <v>29</v>
      </c>
      <c r="K21" s="6" t="str">
        <f>CONCATENATE("221")</f>
        <v>221</v>
      </c>
      <c r="L21" s="6" t="str">
        <f>CONCATENATE("8 8.1 5e")</f>
        <v>8 8.1 5e</v>
      </c>
      <c r="M21" s="6" t="str">
        <f>CONCATENATE("RMGMLE63H25L500A")</f>
        <v>RMGMLE63H25L500A</v>
      </c>
      <c r="N21" s="6" t="s">
        <v>85</v>
      </c>
      <c r="O21" s="6" t="s">
        <v>86</v>
      </c>
      <c r="P21" s="7">
        <v>43228</v>
      </c>
      <c r="Q21" s="6" t="s">
        <v>30</v>
      </c>
      <c r="R21" s="6" t="s">
        <v>31</v>
      </c>
      <c r="S21" s="6" t="s">
        <v>32</v>
      </c>
      <c r="T21" s="8">
        <v>4939.4799999999996</v>
      </c>
      <c r="U21" s="8">
        <v>2129.9</v>
      </c>
      <c r="V21" s="8">
        <v>1966.9</v>
      </c>
      <c r="W21" s="6">
        <v>0</v>
      </c>
      <c r="X21" s="6">
        <v>842.68</v>
      </c>
    </row>
    <row r="22" spans="1:24" ht="24.75" x14ac:dyDescent="0.25">
      <c r="A22" s="6" t="s">
        <v>25</v>
      </c>
      <c r="B22" s="6" t="s">
        <v>26</v>
      </c>
      <c r="C22" s="6" t="s">
        <v>46</v>
      </c>
      <c r="D22" s="6" t="s">
        <v>56</v>
      </c>
      <c r="E22" s="6" t="s">
        <v>33</v>
      </c>
      <c r="F22" s="6" t="s">
        <v>87</v>
      </c>
      <c r="G22" s="6">
        <v>2016</v>
      </c>
      <c r="H22" s="6" t="str">
        <f>CONCATENATE("64780090409")</f>
        <v>64780090409</v>
      </c>
      <c r="I22" s="6" t="s">
        <v>28</v>
      </c>
      <c r="J22" s="6" t="s">
        <v>29</v>
      </c>
      <c r="K22" s="6" t="str">
        <f>CONCATENATE("221")</f>
        <v>221</v>
      </c>
      <c r="L22" s="6" t="str">
        <f>CONCATENATE("8 8.1 5e")</f>
        <v>8 8.1 5e</v>
      </c>
      <c r="M22" s="6" t="str">
        <f>CONCATENATE("BCCNDA53L53D488U")</f>
        <v>BCCNDA53L53D488U</v>
      </c>
      <c r="N22" s="6" t="s">
        <v>88</v>
      </c>
      <c r="O22" s="6" t="s">
        <v>86</v>
      </c>
      <c r="P22" s="7">
        <v>43228</v>
      </c>
      <c r="Q22" s="6" t="s">
        <v>30</v>
      </c>
      <c r="R22" s="6" t="s">
        <v>31</v>
      </c>
      <c r="S22" s="6" t="s">
        <v>32</v>
      </c>
      <c r="T22" s="8">
        <v>5521</v>
      </c>
      <c r="U22" s="8">
        <v>2380.66</v>
      </c>
      <c r="V22" s="8">
        <v>2198.46</v>
      </c>
      <c r="W22" s="6">
        <v>0</v>
      </c>
      <c r="X22" s="6">
        <v>941.88</v>
      </c>
    </row>
    <row r="23" spans="1:24" ht="24.75" x14ac:dyDescent="0.25">
      <c r="A23" s="6" t="s">
        <v>25</v>
      </c>
      <c r="B23" s="6" t="s">
        <v>26</v>
      </c>
      <c r="C23" s="6" t="s">
        <v>46</v>
      </c>
      <c r="D23" s="6" t="s">
        <v>56</v>
      </c>
      <c r="E23" s="6" t="s">
        <v>33</v>
      </c>
      <c r="F23" s="6" t="s">
        <v>87</v>
      </c>
      <c r="G23" s="6">
        <v>2016</v>
      </c>
      <c r="H23" s="6" t="str">
        <f>CONCATENATE("64780087876")</f>
        <v>64780087876</v>
      </c>
      <c r="I23" s="6" t="s">
        <v>28</v>
      </c>
      <c r="J23" s="6" t="s">
        <v>29</v>
      </c>
      <c r="K23" s="6" t="str">
        <f>CONCATENATE("221")</f>
        <v>221</v>
      </c>
      <c r="L23" s="6" t="str">
        <f>CONCATENATE("8 8.1 5e")</f>
        <v>8 8.1 5e</v>
      </c>
      <c r="M23" s="6" t="str">
        <f>CONCATENATE("DDMNLT73M68B352P")</f>
        <v>DDMNLT73M68B352P</v>
      </c>
      <c r="N23" s="6" t="s">
        <v>89</v>
      </c>
      <c r="O23" s="6" t="s">
        <v>86</v>
      </c>
      <c r="P23" s="7">
        <v>43228</v>
      </c>
      <c r="Q23" s="6" t="s">
        <v>30</v>
      </c>
      <c r="R23" s="6" t="s">
        <v>31</v>
      </c>
      <c r="S23" s="6" t="s">
        <v>32</v>
      </c>
      <c r="T23" s="6">
        <v>798.43</v>
      </c>
      <c r="U23" s="6">
        <v>344.28</v>
      </c>
      <c r="V23" s="6">
        <v>317.93</v>
      </c>
      <c r="W23" s="6">
        <v>0</v>
      </c>
      <c r="X23" s="6">
        <v>136.22</v>
      </c>
    </row>
    <row r="24" spans="1:24" ht="24.75" x14ac:dyDescent="0.25">
      <c r="A24" s="6" t="s">
        <v>25</v>
      </c>
      <c r="B24" s="6" t="s">
        <v>26</v>
      </c>
      <c r="C24" s="6" t="s">
        <v>46</v>
      </c>
      <c r="D24" s="6" t="s">
        <v>56</v>
      </c>
      <c r="E24" s="6" t="s">
        <v>35</v>
      </c>
      <c r="F24" s="6" t="s">
        <v>90</v>
      </c>
      <c r="G24" s="6">
        <v>2016</v>
      </c>
      <c r="H24" s="6" t="str">
        <f>CONCATENATE("64780094062")</f>
        <v>64780094062</v>
      </c>
      <c r="I24" s="6" t="s">
        <v>28</v>
      </c>
      <c r="J24" s="6" t="s">
        <v>29</v>
      </c>
      <c r="K24" s="6" t="str">
        <f>CONCATENATE("221")</f>
        <v>221</v>
      </c>
      <c r="L24" s="6" t="str">
        <f>CONCATENATE("8 8.1 5e")</f>
        <v>8 8.1 5e</v>
      </c>
      <c r="M24" s="6" t="str">
        <f>CONCATENATE("BNDNNA40E41D541R")</f>
        <v>BNDNNA40E41D541R</v>
      </c>
      <c r="N24" s="6" t="s">
        <v>91</v>
      </c>
      <c r="O24" s="6" t="s">
        <v>86</v>
      </c>
      <c r="P24" s="7">
        <v>43228</v>
      </c>
      <c r="Q24" s="6" t="s">
        <v>30</v>
      </c>
      <c r="R24" s="6" t="s">
        <v>31</v>
      </c>
      <c r="S24" s="6" t="s">
        <v>32</v>
      </c>
      <c r="T24" s="6">
        <v>839.21</v>
      </c>
      <c r="U24" s="6">
        <v>361.87</v>
      </c>
      <c r="V24" s="6">
        <v>334.17</v>
      </c>
      <c r="W24" s="6">
        <v>0</v>
      </c>
      <c r="X24" s="6">
        <v>143.16999999999999</v>
      </c>
    </row>
    <row r="25" spans="1:24" x14ac:dyDescent="0.25">
      <c r="A25" s="6" t="s">
        <v>25</v>
      </c>
      <c r="B25" s="6" t="s">
        <v>36</v>
      </c>
      <c r="C25" s="6" t="s">
        <v>46</v>
      </c>
      <c r="D25" s="6" t="s">
        <v>52</v>
      </c>
      <c r="E25" s="6" t="s">
        <v>37</v>
      </c>
      <c r="F25" s="6" t="s">
        <v>37</v>
      </c>
      <c r="G25" s="6">
        <v>2018</v>
      </c>
      <c r="H25" s="6" t="str">
        <f>CONCATENATE("84758386993")</f>
        <v>84758386993</v>
      </c>
      <c r="I25" s="6" t="s">
        <v>28</v>
      </c>
      <c r="J25" s="6" t="s">
        <v>29</v>
      </c>
      <c r="K25" s="6" t="str">
        <f>CONCATENATE("323")</f>
        <v>323</v>
      </c>
      <c r="L25" s="6" t="str">
        <f>CONCATENATE("7 7.6 6a")</f>
        <v>7 7.6 6a</v>
      </c>
      <c r="M25" s="6" t="str">
        <f>CONCATENATE("00244400438")</f>
        <v>00244400438</v>
      </c>
      <c r="N25" s="6" t="s">
        <v>92</v>
      </c>
      <c r="O25" s="6" t="s">
        <v>93</v>
      </c>
      <c r="P25" s="7">
        <v>43228</v>
      </c>
      <c r="Q25" s="6" t="s">
        <v>30</v>
      </c>
      <c r="R25" s="6" t="s">
        <v>31</v>
      </c>
      <c r="S25" s="6" t="s">
        <v>32</v>
      </c>
      <c r="T25" s="8">
        <v>46959.39</v>
      </c>
      <c r="U25" s="8">
        <v>20248.89</v>
      </c>
      <c r="V25" s="8">
        <v>18699.23</v>
      </c>
      <c r="W25" s="6">
        <v>0</v>
      </c>
      <c r="X25" s="8">
        <v>8011.27</v>
      </c>
    </row>
    <row r="26" spans="1:24" ht="24.75" x14ac:dyDescent="0.25">
      <c r="A26" s="6" t="s">
        <v>25</v>
      </c>
      <c r="B26" s="6" t="s">
        <v>26</v>
      </c>
      <c r="C26" s="6" t="s">
        <v>46</v>
      </c>
      <c r="D26" s="6" t="s">
        <v>59</v>
      </c>
      <c r="E26" s="6" t="s">
        <v>33</v>
      </c>
      <c r="F26" s="6" t="s">
        <v>71</v>
      </c>
      <c r="G26" s="6">
        <v>2017</v>
      </c>
      <c r="H26" s="6" t="str">
        <f>CONCATENATE("74780031436")</f>
        <v>74780031436</v>
      </c>
      <c r="I26" s="6" t="s">
        <v>28</v>
      </c>
      <c r="J26" s="6" t="s">
        <v>29</v>
      </c>
      <c r="K26" s="6" t="str">
        <f>CONCATENATE("221")</f>
        <v>221</v>
      </c>
      <c r="L26" s="6" t="str">
        <f>CONCATENATE("8 8.1 5e")</f>
        <v>8 8.1 5e</v>
      </c>
      <c r="M26" s="6" t="str">
        <f>CONCATENATE("GMPFNC47H20H575D")</f>
        <v>GMPFNC47H20H575D</v>
      </c>
      <c r="N26" s="6" t="s">
        <v>94</v>
      </c>
      <c r="O26" s="6" t="s">
        <v>95</v>
      </c>
      <c r="P26" s="7">
        <v>43228</v>
      </c>
      <c r="Q26" s="6" t="s">
        <v>30</v>
      </c>
      <c r="R26" s="6" t="s">
        <v>31</v>
      </c>
      <c r="S26" s="6" t="s">
        <v>32</v>
      </c>
      <c r="T26" s="6">
        <v>537.6</v>
      </c>
      <c r="U26" s="6">
        <v>231.81</v>
      </c>
      <c r="V26" s="6">
        <v>214.07</v>
      </c>
      <c r="W26" s="6">
        <v>0</v>
      </c>
      <c r="X26" s="6">
        <v>91.72</v>
      </c>
    </row>
    <row r="27" spans="1:24" x14ac:dyDescent="0.25">
      <c r="A27" s="6" t="s">
        <v>25</v>
      </c>
      <c r="B27" s="6" t="s">
        <v>26</v>
      </c>
      <c r="C27" s="6" t="s">
        <v>46</v>
      </c>
      <c r="D27" s="6" t="s">
        <v>52</v>
      </c>
      <c r="E27" s="6" t="s">
        <v>33</v>
      </c>
      <c r="F27" s="6" t="s">
        <v>96</v>
      </c>
      <c r="G27" s="6">
        <v>2017</v>
      </c>
      <c r="H27" s="6" t="str">
        <f>CONCATENATE("74780057522")</f>
        <v>74780057522</v>
      </c>
      <c r="I27" s="6" t="s">
        <v>28</v>
      </c>
      <c r="J27" s="6" t="s">
        <v>29</v>
      </c>
      <c r="K27" s="6" t="str">
        <f>CONCATENATE("221")</f>
        <v>221</v>
      </c>
      <c r="L27" s="6" t="str">
        <f>CONCATENATE("8 8.1 5e")</f>
        <v>8 8.1 5e</v>
      </c>
      <c r="M27" s="6" t="str">
        <f>CONCATENATE("GLSDNL27T26D609Y")</f>
        <v>GLSDNL27T26D609Y</v>
      </c>
      <c r="N27" s="6" t="s">
        <v>97</v>
      </c>
      <c r="O27" s="6" t="s">
        <v>95</v>
      </c>
      <c r="P27" s="7">
        <v>43228</v>
      </c>
      <c r="Q27" s="6" t="s">
        <v>30</v>
      </c>
      <c r="R27" s="6" t="s">
        <v>31</v>
      </c>
      <c r="S27" s="6" t="s">
        <v>32</v>
      </c>
      <c r="T27" s="6">
        <v>170.14</v>
      </c>
      <c r="U27" s="6">
        <v>73.36</v>
      </c>
      <c r="V27" s="6">
        <v>67.75</v>
      </c>
      <c r="W27" s="6">
        <v>0</v>
      </c>
      <c r="X27" s="6">
        <v>29.03</v>
      </c>
    </row>
    <row r="28" spans="1:24" ht="24.75" x14ac:dyDescent="0.25">
      <c r="A28" s="6" t="s">
        <v>25</v>
      </c>
      <c r="B28" s="6" t="s">
        <v>26</v>
      </c>
      <c r="C28" s="6" t="s">
        <v>46</v>
      </c>
      <c r="D28" s="6" t="s">
        <v>59</v>
      </c>
      <c r="E28" s="6" t="s">
        <v>35</v>
      </c>
      <c r="F28" s="6" t="s">
        <v>98</v>
      </c>
      <c r="G28" s="6">
        <v>2017</v>
      </c>
      <c r="H28" s="6" t="str">
        <f>CONCATENATE("74780073222")</f>
        <v>74780073222</v>
      </c>
      <c r="I28" s="6" t="s">
        <v>28</v>
      </c>
      <c r="J28" s="6" t="s">
        <v>29</v>
      </c>
      <c r="K28" s="6" t="str">
        <f>CONCATENATE("221")</f>
        <v>221</v>
      </c>
      <c r="L28" s="6" t="str">
        <f>CONCATENATE("8 8.1 5e")</f>
        <v>8 8.1 5e</v>
      </c>
      <c r="M28" s="6" t="str">
        <f>CONCATENATE("MDAMLE55M16E837H")</f>
        <v>MDAMLE55M16E837H</v>
      </c>
      <c r="N28" s="6" t="s">
        <v>99</v>
      </c>
      <c r="O28" s="6" t="s">
        <v>95</v>
      </c>
      <c r="P28" s="7">
        <v>43228</v>
      </c>
      <c r="Q28" s="6" t="s">
        <v>30</v>
      </c>
      <c r="R28" s="6" t="s">
        <v>31</v>
      </c>
      <c r="S28" s="6" t="s">
        <v>32</v>
      </c>
      <c r="T28" s="6">
        <v>162.99</v>
      </c>
      <c r="U28" s="6">
        <v>70.28</v>
      </c>
      <c r="V28" s="6">
        <v>64.900000000000006</v>
      </c>
      <c r="W28" s="6">
        <v>0</v>
      </c>
      <c r="X28" s="6">
        <v>27.81</v>
      </c>
    </row>
    <row r="29" spans="1:24" x14ac:dyDescent="0.25">
      <c r="A29" s="6" t="s">
        <v>25</v>
      </c>
      <c r="B29" s="6" t="s">
        <v>26</v>
      </c>
      <c r="C29" s="6" t="s">
        <v>46</v>
      </c>
      <c r="D29" s="6" t="s">
        <v>52</v>
      </c>
      <c r="E29" s="6" t="s">
        <v>33</v>
      </c>
      <c r="F29" s="6" t="s">
        <v>100</v>
      </c>
      <c r="G29" s="6">
        <v>2017</v>
      </c>
      <c r="H29" s="6" t="str">
        <f>CONCATENATE("74780060534")</f>
        <v>74780060534</v>
      </c>
      <c r="I29" s="6" t="s">
        <v>28</v>
      </c>
      <c r="J29" s="6" t="s">
        <v>29</v>
      </c>
      <c r="K29" s="6" t="str">
        <f>CONCATENATE("221")</f>
        <v>221</v>
      </c>
      <c r="L29" s="6" t="str">
        <f>CONCATENATE("8 8.1 5e")</f>
        <v>8 8.1 5e</v>
      </c>
      <c r="M29" s="6" t="str">
        <f>CONCATENATE("GLSLGU50M25F632C")</f>
        <v>GLSLGU50M25F632C</v>
      </c>
      <c r="N29" s="6" t="s">
        <v>101</v>
      </c>
      <c r="O29" s="6" t="s">
        <v>95</v>
      </c>
      <c r="P29" s="7">
        <v>43228</v>
      </c>
      <c r="Q29" s="6" t="s">
        <v>30</v>
      </c>
      <c r="R29" s="6" t="s">
        <v>31</v>
      </c>
      <c r="S29" s="6" t="s">
        <v>32</v>
      </c>
      <c r="T29" s="6">
        <v>390.96</v>
      </c>
      <c r="U29" s="6">
        <v>168.58</v>
      </c>
      <c r="V29" s="6">
        <v>155.68</v>
      </c>
      <c r="W29" s="6">
        <v>0</v>
      </c>
      <c r="X29" s="6">
        <v>66.7</v>
      </c>
    </row>
    <row r="30" spans="1:24" x14ac:dyDescent="0.25">
      <c r="A30" s="6" t="s">
        <v>25</v>
      </c>
      <c r="B30" s="6" t="s">
        <v>26</v>
      </c>
      <c r="C30" s="6" t="s">
        <v>46</v>
      </c>
      <c r="D30" s="6" t="s">
        <v>52</v>
      </c>
      <c r="E30" s="6" t="s">
        <v>35</v>
      </c>
      <c r="F30" s="6" t="s">
        <v>102</v>
      </c>
      <c r="G30" s="6">
        <v>2017</v>
      </c>
      <c r="H30" s="6" t="str">
        <f>CONCATENATE("74780082074")</f>
        <v>74780082074</v>
      </c>
      <c r="I30" s="6" t="s">
        <v>28</v>
      </c>
      <c r="J30" s="6" t="s">
        <v>29</v>
      </c>
      <c r="K30" s="6" t="str">
        <f>CONCATENATE("221")</f>
        <v>221</v>
      </c>
      <c r="L30" s="6" t="str">
        <f>CONCATENATE("8 8.1 5e")</f>
        <v>8 8.1 5e</v>
      </c>
      <c r="M30" s="6" t="str">
        <f>CONCATENATE("GNTMHL49E09H501U")</f>
        <v>GNTMHL49E09H501U</v>
      </c>
      <c r="N30" s="6" t="s">
        <v>103</v>
      </c>
      <c r="O30" s="6" t="s">
        <v>95</v>
      </c>
      <c r="P30" s="7">
        <v>43228</v>
      </c>
      <c r="Q30" s="6" t="s">
        <v>30</v>
      </c>
      <c r="R30" s="6" t="s">
        <v>31</v>
      </c>
      <c r="S30" s="6" t="s">
        <v>32</v>
      </c>
      <c r="T30" s="8">
        <v>1143.92</v>
      </c>
      <c r="U30" s="6">
        <v>493.26</v>
      </c>
      <c r="V30" s="6">
        <v>455.51</v>
      </c>
      <c r="W30" s="6">
        <v>0</v>
      </c>
      <c r="X30" s="6">
        <v>195.15</v>
      </c>
    </row>
    <row r="31" spans="1:24" ht="24.75" x14ac:dyDescent="0.25">
      <c r="A31" s="6" t="s">
        <v>25</v>
      </c>
      <c r="B31" s="6" t="s">
        <v>26</v>
      </c>
      <c r="C31" s="6" t="s">
        <v>46</v>
      </c>
      <c r="D31" s="6" t="s">
        <v>59</v>
      </c>
      <c r="E31" s="6" t="s">
        <v>33</v>
      </c>
      <c r="F31" s="6" t="s">
        <v>60</v>
      </c>
      <c r="G31" s="6">
        <v>2017</v>
      </c>
      <c r="H31" s="6" t="str">
        <f>CONCATENATE("74780012576")</f>
        <v>74780012576</v>
      </c>
      <c r="I31" s="6" t="s">
        <v>34</v>
      </c>
      <c r="J31" s="6" t="s">
        <v>29</v>
      </c>
      <c r="K31" s="6" t="str">
        <f>CONCATENATE("221")</f>
        <v>221</v>
      </c>
      <c r="L31" s="6" t="str">
        <f>CONCATENATE("8 8.1 5e")</f>
        <v>8 8.1 5e</v>
      </c>
      <c r="M31" s="6" t="str">
        <f>CONCATENATE("MNZMRZ42S06I608X")</f>
        <v>MNZMRZ42S06I608X</v>
      </c>
      <c r="N31" s="6" t="s">
        <v>104</v>
      </c>
      <c r="O31" s="6" t="s">
        <v>95</v>
      </c>
      <c r="P31" s="7">
        <v>43228</v>
      </c>
      <c r="Q31" s="6" t="s">
        <v>30</v>
      </c>
      <c r="R31" s="6" t="s">
        <v>31</v>
      </c>
      <c r="S31" s="6" t="s">
        <v>32</v>
      </c>
      <c r="T31" s="6">
        <v>531.29999999999995</v>
      </c>
      <c r="U31" s="6">
        <v>229.1</v>
      </c>
      <c r="V31" s="6">
        <v>211.56</v>
      </c>
      <c r="W31" s="6">
        <v>0</v>
      </c>
      <c r="X31" s="6">
        <v>90.64</v>
      </c>
    </row>
    <row r="32" spans="1:24" x14ac:dyDescent="0.25">
      <c r="A32" s="6" t="s">
        <v>25</v>
      </c>
      <c r="B32" s="6" t="s">
        <v>26</v>
      </c>
      <c r="C32" s="6" t="s">
        <v>46</v>
      </c>
      <c r="D32" s="6" t="s">
        <v>52</v>
      </c>
      <c r="E32" s="6" t="s">
        <v>33</v>
      </c>
      <c r="F32" s="6" t="s">
        <v>105</v>
      </c>
      <c r="G32" s="6">
        <v>2017</v>
      </c>
      <c r="H32" s="6" t="str">
        <f>CONCATENATE("74780065855")</f>
        <v>74780065855</v>
      </c>
      <c r="I32" s="6" t="s">
        <v>28</v>
      </c>
      <c r="J32" s="6" t="s">
        <v>29</v>
      </c>
      <c r="K32" s="6" t="str">
        <f>CONCATENATE("221")</f>
        <v>221</v>
      </c>
      <c r="L32" s="6" t="str">
        <f>CONCATENATE("8 8.1 5e")</f>
        <v>8 8.1 5e</v>
      </c>
      <c r="M32" s="6" t="str">
        <f>CONCATENATE("BRCMSS61M55G436T")</f>
        <v>BRCMSS61M55G436T</v>
      </c>
      <c r="N32" s="6" t="s">
        <v>106</v>
      </c>
      <c r="O32" s="6" t="s">
        <v>95</v>
      </c>
      <c r="P32" s="7">
        <v>43228</v>
      </c>
      <c r="Q32" s="6" t="s">
        <v>30</v>
      </c>
      <c r="R32" s="6" t="s">
        <v>31</v>
      </c>
      <c r="S32" s="6" t="s">
        <v>32</v>
      </c>
      <c r="T32" s="6">
        <v>153.85</v>
      </c>
      <c r="U32" s="6">
        <v>66.34</v>
      </c>
      <c r="V32" s="6">
        <v>61.26</v>
      </c>
      <c r="W32" s="6">
        <v>0</v>
      </c>
      <c r="X32" s="6">
        <v>26.25</v>
      </c>
    </row>
    <row r="33" spans="1:24" ht="24.75" x14ac:dyDescent="0.25">
      <c r="A33" s="6" t="s">
        <v>25</v>
      </c>
      <c r="B33" s="6" t="s">
        <v>26</v>
      </c>
      <c r="C33" s="6" t="s">
        <v>46</v>
      </c>
      <c r="D33" s="6" t="s">
        <v>47</v>
      </c>
      <c r="E33" s="6" t="s">
        <v>43</v>
      </c>
      <c r="F33" s="6" t="s">
        <v>107</v>
      </c>
      <c r="G33" s="6">
        <v>2017</v>
      </c>
      <c r="H33" s="6" t="str">
        <f>CONCATENATE("74780075722")</f>
        <v>74780075722</v>
      </c>
      <c r="I33" s="6" t="s">
        <v>28</v>
      </c>
      <c r="J33" s="6" t="s">
        <v>29</v>
      </c>
      <c r="K33" s="6" t="str">
        <f>CONCATENATE("221")</f>
        <v>221</v>
      </c>
      <c r="L33" s="6" t="str">
        <f>CONCATENATE("8 8.1 5e")</f>
        <v>8 8.1 5e</v>
      </c>
      <c r="M33" s="6" t="str">
        <f>CONCATENATE("ZZRGLZ49T22F520V")</f>
        <v>ZZRGLZ49T22F520V</v>
      </c>
      <c r="N33" s="6" t="s">
        <v>108</v>
      </c>
      <c r="O33" s="6" t="s">
        <v>95</v>
      </c>
      <c r="P33" s="7">
        <v>43228</v>
      </c>
      <c r="Q33" s="6" t="s">
        <v>30</v>
      </c>
      <c r="R33" s="6" t="s">
        <v>31</v>
      </c>
      <c r="S33" s="6" t="s">
        <v>32</v>
      </c>
      <c r="T33" s="6">
        <v>665.5</v>
      </c>
      <c r="U33" s="6">
        <v>286.95999999999998</v>
      </c>
      <c r="V33" s="6">
        <v>265</v>
      </c>
      <c r="W33" s="6">
        <v>0</v>
      </c>
      <c r="X33" s="6">
        <v>113.54</v>
      </c>
    </row>
    <row r="34" spans="1:24" ht="24.75" x14ac:dyDescent="0.25">
      <c r="A34" s="6" t="s">
        <v>25</v>
      </c>
      <c r="B34" s="6" t="s">
        <v>26</v>
      </c>
      <c r="C34" s="6" t="s">
        <v>46</v>
      </c>
      <c r="D34" s="6" t="s">
        <v>47</v>
      </c>
      <c r="E34" s="6" t="s">
        <v>33</v>
      </c>
      <c r="F34" s="6" t="s">
        <v>109</v>
      </c>
      <c r="G34" s="6">
        <v>2017</v>
      </c>
      <c r="H34" s="6" t="str">
        <f>CONCATENATE("74780073677")</f>
        <v>74780073677</v>
      </c>
      <c r="I34" s="6" t="s">
        <v>28</v>
      </c>
      <c r="J34" s="6" t="s">
        <v>29</v>
      </c>
      <c r="K34" s="6" t="str">
        <f>CONCATENATE("221")</f>
        <v>221</v>
      </c>
      <c r="L34" s="6" t="str">
        <f>CONCATENATE("8 8.1 5e")</f>
        <v>8 8.1 5e</v>
      </c>
      <c r="M34" s="6" t="str">
        <f>CONCATENATE("RMNCLR49A47H588U")</f>
        <v>RMNCLR49A47H588U</v>
      </c>
      <c r="N34" s="6" t="s">
        <v>110</v>
      </c>
      <c r="O34" s="6" t="s">
        <v>95</v>
      </c>
      <c r="P34" s="7">
        <v>43228</v>
      </c>
      <c r="Q34" s="6" t="s">
        <v>30</v>
      </c>
      <c r="R34" s="6" t="s">
        <v>31</v>
      </c>
      <c r="S34" s="6" t="s">
        <v>32</v>
      </c>
      <c r="T34" s="6">
        <v>579.49</v>
      </c>
      <c r="U34" s="6">
        <v>249.88</v>
      </c>
      <c r="V34" s="6">
        <v>230.75</v>
      </c>
      <c r="W34" s="6">
        <v>0</v>
      </c>
      <c r="X34" s="6">
        <v>98.86</v>
      </c>
    </row>
    <row r="35" spans="1:24" x14ac:dyDescent="0.25">
      <c r="A35" s="6" t="s">
        <v>25</v>
      </c>
      <c r="B35" s="6" t="s">
        <v>26</v>
      </c>
      <c r="C35" s="6" t="s">
        <v>46</v>
      </c>
      <c r="D35" s="6" t="s">
        <v>52</v>
      </c>
      <c r="E35" s="6" t="s">
        <v>33</v>
      </c>
      <c r="F35" s="6" t="s">
        <v>111</v>
      </c>
      <c r="G35" s="6">
        <v>2017</v>
      </c>
      <c r="H35" s="6" t="str">
        <f>CONCATENATE("74780057233")</f>
        <v>74780057233</v>
      </c>
      <c r="I35" s="6" t="s">
        <v>28</v>
      </c>
      <c r="J35" s="6" t="s">
        <v>29</v>
      </c>
      <c r="K35" s="6" t="str">
        <f>CONCATENATE("221")</f>
        <v>221</v>
      </c>
      <c r="L35" s="6" t="str">
        <f>CONCATENATE("8 8.1 5e")</f>
        <v>8 8.1 5e</v>
      </c>
      <c r="M35" s="6" t="str">
        <f>CONCATENATE("CCCPLA63C48E783J")</f>
        <v>CCCPLA63C48E783J</v>
      </c>
      <c r="N35" s="6" t="s">
        <v>112</v>
      </c>
      <c r="O35" s="6" t="s">
        <v>95</v>
      </c>
      <c r="P35" s="7">
        <v>43228</v>
      </c>
      <c r="Q35" s="6" t="s">
        <v>30</v>
      </c>
      <c r="R35" s="6" t="s">
        <v>31</v>
      </c>
      <c r="S35" s="6" t="s">
        <v>32</v>
      </c>
      <c r="T35" s="6">
        <v>70.59</v>
      </c>
      <c r="U35" s="6">
        <v>30.44</v>
      </c>
      <c r="V35" s="6">
        <v>28.11</v>
      </c>
      <c r="W35" s="6">
        <v>0</v>
      </c>
      <c r="X35" s="6">
        <v>12.04</v>
      </c>
    </row>
    <row r="36" spans="1:24" ht="24.75" x14ac:dyDescent="0.25">
      <c r="A36" s="6" t="s">
        <v>25</v>
      </c>
      <c r="B36" s="6" t="s">
        <v>26</v>
      </c>
      <c r="C36" s="6" t="s">
        <v>46</v>
      </c>
      <c r="D36" s="6" t="s">
        <v>52</v>
      </c>
      <c r="E36" s="6" t="s">
        <v>27</v>
      </c>
      <c r="F36" s="6" t="s">
        <v>67</v>
      </c>
      <c r="G36" s="6">
        <v>2017</v>
      </c>
      <c r="H36" s="6" t="str">
        <f>CONCATENATE("74780060716")</f>
        <v>74780060716</v>
      </c>
      <c r="I36" s="6" t="s">
        <v>28</v>
      </c>
      <c r="J36" s="6" t="s">
        <v>29</v>
      </c>
      <c r="K36" s="6" t="str">
        <f>CONCATENATE("221")</f>
        <v>221</v>
      </c>
      <c r="L36" s="6" t="str">
        <f>CONCATENATE("8 8.1 5e")</f>
        <v>8 8.1 5e</v>
      </c>
      <c r="M36" s="6" t="str">
        <f>CONCATENATE("00665990438")</f>
        <v>00665990438</v>
      </c>
      <c r="N36" s="6" t="s">
        <v>113</v>
      </c>
      <c r="O36" s="6" t="s">
        <v>95</v>
      </c>
      <c r="P36" s="7">
        <v>43228</v>
      </c>
      <c r="Q36" s="6" t="s">
        <v>30</v>
      </c>
      <c r="R36" s="6" t="s">
        <v>31</v>
      </c>
      <c r="S36" s="6" t="s">
        <v>32</v>
      </c>
      <c r="T36" s="8">
        <v>2084.58</v>
      </c>
      <c r="U36" s="6">
        <v>898.87</v>
      </c>
      <c r="V36" s="6">
        <v>830.08</v>
      </c>
      <c r="W36" s="6">
        <v>0</v>
      </c>
      <c r="X36" s="6">
        <v>355.63</v>
      </c>
    </row>
    <row r="37" spans="1:24" x14ac:dyDescent="0.25">
      <c r="A37" s="6" t="s">
        <v>25</v>
      </c>
      <c r="B37" s="6" t="s">
        <v>26</v>
      </c>
      <c r="C37" s="6" t="s">
        <v>46</v>
      </c>
      <c r="D37" s="6" t="s">
        <v>52</v>
      </c>
      <c r="E37" s="6" t="s">
        <v>27</v>
      </c>
      <c r="F37" s="6" t="s">
        <v>67</v>
      </c>
      <c r="G37" s="6">
        <v>2017</v>
      </c>
      <c r="H37" s="6" t="str">
        <f>CONCATENATE("74780048976")</f>
        <v>74780048976</v>
      </c>
      <c r="I37" s="6" t="s">
        <v>28</v>
      </c>
      <c r="J37" s="6" t="s">
        <v>29</v>
      </c>
      <c r="K37" s="6" t="str">
        <f>CONCATENATE("221")</f>
        <v>221</v>
      </c>
      <c r="L37" s="6" t="str">
        <f>CONCATENATE("8 8.1 5e")</f>
        <v>8 8.1 5e</v>
      </c>
      <c r="M37" s="6" t="str">
        <f>CONCATENATE("BLNGPL42A26I156E")</f>
        <v>BLNGPL42A26I156E</v>
      </c>
      <c r="N37" s="6" t="s">
        <v>114</v>
      </c>
      <c r="O37" s="6" t="s">
        <v>95</v>
      </c>
      <c r="P37" s="7">
        <v>43228</v>
      </c>
      <c r="Q37" s="6" t="s">
        <v>30</v>
      </c>
      <c r="R37" s="6" t="s">
        <v>31</v>
      </c>
      <c r="S37" s="6" t="s">
        <v>32</v>
      </c>
      <c r="T37" s="6">
        <v>162</v>
      </c>
      <c r="U37" s="6">
        <v>69.849999999999994</v>
      </c>
      <c r="V37" s="6">
        <v>64.510000000000005</v>
      </c>
      <c r="W37" s="6">
        <v>0</v>
      </c>
      <c r="X37" s="6">
        <v>27.64</v>
      </c>
    </row>
    <row r="38" spans="1:24" ht="24.75" x14ac:dyDescent="0.25">
      <c r="A38" s="6" t="s">
        <v>25</v>
      </c>
      <c r="B38" s="6" t="s">
        <v>26</v>
      </c>
      <c r="C38" s="6" t="s">
        <v>46</v>
      </c>
      <c r="D38" s="6" t="s">
        <v>59</v>
      </c>
      <c r="E38" s="6" t="s">
        <v>43</v>
      </c>
      <c r="F38" s="6" t="s">
        <v>115</v>
      </c>
      <c r="G38" s="6">
        <v>2017</v>
      </c>
      <c r="H38" s="6" t="str">
        <f>CONCATENATE("74780015454")</f>
        <v>74780015454</v>
      </c>
      <c r="I38" s="6" t="s">
        <v>28</v>
      </c>
      <c r="J38" s="6" t="s">
        <v>29</v>
      </c>
      <c r="K38" s="6" t="str">
        <f>CONCATENATE("221")</f>
        <v>221</v>
      </c>
      <c r="L38" s="6" t="str">
        <f>CONCATENATE("8 8.1 5e")</f>
        <v>8 8.1 5e</v>
      </c>
      <c r="M38" s="6" t="str">
        <f>CONCATENATE("CCCBRN52A62F745W")</f>
        <v>CCCBRN52A62F745W</v>
      </c>
      <c r="N38" s="6" t="s">
        <v>116</v>
      </c>
      <c r="O38" s="6" t="s">
        <v>95</v>
      </c>
      <c r="P38" s="7">
        <v>43228</v>
      </c>
      <c r="Q38" s="6" t="s">
        <v>30</v>
      </c>
      <c r="R38" s="6" t="s">
        <v>31</v>
      </c>
      <c r="S38" s="6" t="s">
        <v>32</v>
      </c>
      <c r="T38" s="6">
        <v>90.55</v>
      </c>
      <c r="U38" s="6">
        <v>39.049999999999997</v>
      </c>
      <c r="V38" s="6">
        <v>36.06</v>
      </c>
      <c r="W38" s="6">
        <v>0</v>
      </c>
      <c r="X38" s="6">
        <v>15.44</v>
      </c>
    </row>
    <row r="39" spans="1:24" ht="24.75" x14ac:dyDescent="0.25">
      <c r="A39" s="6" t="s">
        <v>25</v>
      </c>
      <c r="B39" s="6" t="s">
        <v>26</v>
      </c>
      <c r="C39" s="6" t="s">
        <v>46</v>
      </c>
      <c r="D39" s="6" t="s">
        <v>47</v>
      </c>
      <c r="E39" s="6" t="s">
        <v>35</v>
      </c>
      <c r="F39" s="6" t="s">
        <v>117</v>
      </c>
      <c r="G39" s="6">
        <v>2017</v>
      </c>
      <c r="H39" s="6" t="str">
        <f>CONCATENATE("74780025727")</f>
        <v>74780025727</v>
      </c>
      <c r="I39" s="6" t="s">
        <v>28</v>
      </c>
      <c r="J39" s="6" t="s">
        <v>29</v>
      </c>
      <c r="K39" s="6" t="str">
        <f>CONCATENATE("221")</f>
        <v>221</v>
      </c>
      <c r="L39" s="6" t="str">
        <f>CONCATENATE("8 8.1 5e")</f>
        <v>8 8.1 5e</v>
      </c>
      <c r="M39" s="6" t="str">
        <f>CONCATENATE("SRGMRA33L03G005B")</f>
        <v>SRGMRA33L03G005B</v>
      </c>
      <c r="N39" s="6" t="s">
        <v>118</v>
      </c>
      <c r="O39" s="6" t="s">
        <v>95</v>
      </c>
      <c r="P39" s="7">
        <v>43228</v>
      </c>
      <c r="Q39" s="6" t="s">
        <v>30</v>
      </c>
      <c r="R39" s="6" t="s">
        <v>31</v>
      </c>
      <c r="S39" s="6" t="s">
        <v>32</v>
      </c>
      <c r="T39" s="6">
        <v>496.22</v>
      </c>
      <c r="U39" s="6">
        <v>213.97</v>
      </c>
      <c r="V39" s="6">
        <v>197.59</v>
      </c>
      <c r="W39" s="6">
        <v>0</v>
      </c>
      <c r="X39" s="6">
        <v>84.66</v>
      </c>
    </row>
    <row r="40" spans="1:24" x14ac:dyDescent="0.25">
      <c r="A40" s="6" t="s">
        <v>25</v>
      </c>
      <c r="B40" s="6" t="s">
        <v>26</v>
      </c>
      <c r="C40" s="6" t="s">
        <v>46</v>
      </c>
      <c r="D40" s="6" t="s">
        <v>52</v>
      </c>
      <c r="E40" s="6" t="s">
        <v>33</v>
      </c>
      <c r="F40" s="6" t="s">
        <v>119</v>
      </c>
      <c r="G40" s="6">
        <v>2017</v>
      </c>
      <c r="H40" s="6" t="str">
        <f>CONCATENATE("74780064254")</f>
        <v>74780064254</v>
      </c>
      <c r="I40" s="6" t="s">
        <v>28</v>
      </c>
      <c r="J40" s="6" t="s">
        <v>29</v>
      </c>
      <c r="K40" s="6" t="str">
        <f>CONCATENATE("221")</f>
        <v>221</v>
      </c>
      <c r="L40" s="6" t="str">
        <f>CONCATENATE("8 8.1 5e")</f>
        <v>8 8.1 5e</v>
      </c>
      <c r="M40" s="6" t="str">
        <f>CONCATENATE("BNCMRC73E05I156G")</f>
        <v>BNCMRC73E05I156G</v>
      </c>
      <c r="N40" s="6" t="s">
        <v>120</v>
      </c>
      <c r="O40" s="6" t="s">
        <v>95</v>
      </c>
      <c r="P40" s="7">
        <v>43228</v>
      </c>
      <c r="Q40" s="6" t="s">
        <v>30</v>
      </c>
      <c r="R40" s="6" t="s">
        <v>31</v>
      </c>
      <c r="S40" s="6" t="s">
        <v>32</v>
      </c>
      <c r="T40" s="6">
        <v>590</v>
      </c>
      <c r="U40" s="6">
        <v>254.41</v>
      </c>
      <c r="V40" s="6">
        <v>234.94</v>
      </c>
      <c r="W40" s="6">
        <v>0</v>
      </c>
      <c r="X40" s="6">
        <v>100.65</v>
      </c>
    </row>
    <row r="41" spans="1:24" ht="24.75" x14ac:dyDescent="0.25">
      <c r="A41" s="6" t="s">
        <v>25</v>
      </c>
      <c r="B41" s="6" t="s">
        <v>26</v>
      </c>
      <c r="C41" s="6" t="s">
        <v>46</v>
      </c>
      <c r="D41" s="6" t="s">
        <v>59</v>
      </c>
      <c r="E41" s="6" t="s">
        <v>33</v>
      </c>
      <c r="F41" s="6" t="s">
        <v>121</v>
      </c>
      <c r="G41" s="6">
        <v>2017</v>
      </c>
      <c r="H41" s="6" t="str">
        <f>CONCATENATE("74780051251")</f>
        <v>74780051251</v>
      </c>
      <c r="I41" s="6" t="s">
        <v>28</v>
      </c>
      <c r="J41" s="6" t="s">
        <v>29</v>
      </c>
      <c r="K41" s="6" t="str">
        <f>CONCATENATE("221")</f>
        <v>221</v>
      </c>
      <c r="L41" s="6" t="str">
        <f>CONCATENATE("8 8.1 5e")</f>
        <v>8 8.1 5e</v>
      </c>
      <c r="M41" s="6" t="str">
        <f>CONCATENATE("GRNFNC78L58C615H")</f>
        <v>GRNFNC78L58C615H</v>
      </c>
      <c r="N41" s="6" t="s">
        <v>122</v>
      </c>
      <c r="O41" s="6" t="s">
        <v>95</v>
      </c>
      <c r="P41" s="7">
        <v>43228</v>
      </c>
      <c r="Q41" s="6" t="s">
        <v>30</v>
      </c>
      <c r="R41" s="6" t="s">
        <v>31</v>
      </c>
      <c r="S41" s="6" t="s">
        <v>32</v>
      </c>
      <c r="T41" s="6">
        <v>650.5</v>
      </c>
      <c r="U41" s="6">
        <v>280.5</v>
      </c>
      <c r="V41" s="6">
        <v>259.02999999999997</v>
      </c>
      <c r="W41" s="6">
        <v>0</v>
      </c>
      <c r="X41" s="6">
        <v>110.97</v>
      </c>
    </row>
    <row r="42" spans="1:24" x14ac:dyDescent="0.25">
      <c r="A42" s="6" t="s">
        <v>25</v>
      </c>
      <c r="B42" s="6" t="s">
        <v>26</v>
      </c>
      <c r="C42" s="6" t="s">
        <v>46</v>
      </c>
      <c r="D42" s="6" t="s">
        <v>52</v>
      </c>
      <c r="E42" s="6" t="s">
        <v>33</v>
      </c>
      <c r="F42" s="6" t="s">
        <v>100</v>
      </c>
      <c r="G42" s="6">
        <v>2017</v>
      </c>
      <c r="H42" s="6" t="str">
        <f>CONCATENATE("74780064916")</f>
        <v>74780064916</v>
      </c>
      <c r="I42" s="6" t="s">
        <v>28</v>
      </c>
      <c r="J42" s="6" t="s">
        <v>29</v>
      </c>
      <c r="K42" s="6" t="str">
        <f>CONCATENATE("221")</f>
        <v>221</v>
      </c>
      <c r="L42" s="6" t="str">
        <f>CONCATENATE("8 8.1 5e")</f>
        <v>8 8.1 5e</v>
      </c>
      <c r="M42" s="6" t="str">
        <f>CONCATENATE("CNDTMS50R15F268U")</f>
        <v>CNDTMS50R15F268U</v>
      </c>
      <c r="N42" s="6" t="s">
        <v>123</v>
      </c>
      <c r="O42" s="6" t="s">
        <v>95</v>
      </c>
      <c r="P42" s="7">
        <v>43228</v>
      </c>
      <c r="Q42" s="6" t="s">
        <v>30</v>
      </c>
      <c r="R42" s="6" t="s">
        <v>31</v>
      </c>
      <c r="S42" s="6" t="s">
        <v>32</v>
      </c>
      <c r="T42" s="6">
        <v>181</v>
      </c>
      <c r="U42" s="6">
        <v>78.05</v>
      </c>
      <c r="V42" s="6">
        <v>72.069999999999993</v>
      </c>
      <c r="W42" s="6">
        <v>0</v>
      </c>
      <c r="X42" s="6">
        <v>30.88</v>
      </c>
    </row>
    <row r="43" spans="1:24" x14ac:dyDescent="0.25">
      <c r="A43" s="6" t="s">
        <v>25</v>
      </c>
      <c r="B43" s="6" t="s">
        <v>26</v>
      </c>
      <c r="C43" s="6" t="s">
        <v>46</v>
      </c>
      <c r="D43" s="6" t="s">
        <v>52</v>
      </c>
      <c r="E43" s="6" t="s">
        <v>40</v>
      </c>
      <c r="F43" s="6" t="s">
        <v>124</v>
      </c>
      <c r="G43" s="6">
        <v>2017</v>
      </c>
      <c r="H43" s="6" t="str">
        <f>CONCATENATE("74780002106")</f>
        <v>74780002106</v>
      </c>
      <c r="I43" s="6" t="s">
        <v>28</v>
      </c>
      <c r="J43" s="6" t="s">
        <v>29</v>
      </c>
      <c r="K43" s="6" t="str">
        <f>CONCATENATE("221")</f>
        <v>221</v>
      </c>
      <c r="L43" s="6" t="str">
        <f>CONCATENATE("8 8.1 5e")</f>
        <v>8 8.1 5e</v>
      </c>
      <c r="M43" s="6" t="str">
        <f>CONCATENATE("CPPLGU41C11L366U")</f>
        <v>CPPLGU41C11L366U</v>
      </c>
      <c r="N43" s="6" t="s">
        <v>125</v>
      </c>
      <c r="O43" s="6" t="s">
        <v>95</v>
      </c>
      <c r="P43" s="7">
        <v>43228</v>
      </c>
      <c r="Q43" s="6" t="s">
        <v>30</v>
      </c>
      <c r="R43" s="6" t="s">
        <v>31</v>
      </c>
      <c r="S43" s="6" t="s">
        <v>32</v>
      </c>
      <c r="T43" s="6">
        <v>90.5</v>
      </c>
      <c r="U43" s="6">
        <v>39.020000000000003</v>
      </c>
      <c r="V43" s="6">
        <v>36.04</v>
      </c>
      <c r="W43" s="6">
        <v>0</v>
      </c>
      <c r="X43" s="6">
        <v>15.44</v>
      </c>
    </row>
    <row r="44" spans="1:24" x14ac:dyDescent="0.25">
      <c r="A44" s="6" t="s">
        <v>25</v>
      </c>
      <c r="B44" s="6" t="s">
        <v>26</v>
      </c>
      <c r="C44" s="6" t="s">
        <v>46</v>
      </c>
      <c r="D44" s="6" t="s">
        <v>52</v>
      </c>
      <c r="E44" s="6" t="s">
        <v>33</v>
      </c>
      <c r="F44" s="6" t="s">
        <v>111</v>
      </c>
      <c r="G44" s="6">
        <v>2017</v>
      </c>
      <c r="H44" s="6" t="str">
        <f>CONCATENATE("74780057258")</f>
        <v>74780057258</v>
      </c>
      <c r="I44" s="6" t="s">
        <v>28</v>
      </c>
      <c r="J44" s="6" t="s">
        <v>29</v>
      </c>
      <c r="K44" s="6" t="str">
        <f>CONCATENATE("221")</f>
        <v>221</v>
      </c>
      <c r="L44" s="6" t="str">
        <f>CONCATENATE("8 8.1 5e")</f>
        <v>8 8.1 5e</v>
      </c>
      <c r="M44" s="6" t="str">
        <f>CONCATENATE("CRNGPP65A21E783V")</f>
        <v>CRNGPP65A21E783V</v>
      </c>
      <c r="N44" s="6" t="s">
        <v>126</v>
      </c>
      <c r="O44" s="6" t="s">
        <v>95</v>
      </c>
      <c r="P44" s="7">
        <v>43228</v>
      </c>
      <c r="Q44" s="6" t="s">
        <v>30</v>
      </c>
      <c r="R44" s="6" t="s">
        <v>31</v>
      </c>
      <c r="S44" s="6" t="s">
        <v>32</v>
      </c>
      <c r="T44" s="6">
        <v>132.13</v>
      </c>
      <c r="U44" s="6">
        <v>56.97</v>
      </c>
      <c r="V44" s="6">
        <v>52.61</v>
      </c>
      <c r="W44" s="6">
        <v>0</v>
      </c>
      <c r="X44" s="6">
        <v>22.55</v>
      </c>
    </row>
    <row r="45" spans="1:24" ht="24.75" x14ac:dyDescent="0.25">
      <c r="A45" s="6" t="s">
        <v>25</v>
      </c>
      <c r="B45" s="6" t="s">
        <v>26</v>
      </c>
      <c r="C45" s="6" t="s">
        <v>46</v>
      </c>
      <c r="D45" s="6" t="s">
        <v>47</v>
      </c>
      <c r="E45" s="6" t="s">
        <v>35</v>
      </c>
      <c r="F45" s="6" t="s">
        <v>117</v>
      </c>
      <c r="G45" s="6">
        <v>2017</v>
      </c>
      <c r="H45" s="6" t="str">
        <f>CONCATENATE("74780002007")</f>
        <v>74780002007</v>
      </c>
      <c r="I45" s="6" t="s">
        <v>28</v>
      </c>
      <c r="J45" s="6" t="s">
        <v>29</v>
      </c>
      <c r="K45" s="6" t="str">
        <f>CONCATENATE("221")</f>
        <v>221</v>
      </c>
      <c r="L45" s="6" t="str">
        <f>CONCATENATE("8 8.1 5e")</f>
        <v>8 8.1 5e</v>
      </c>
      <c r="M45" s="6" t="str">
        <f>CONCATENATE("PRTBNR32T48H321E")</f>
        <v>PRTBNR32T48H321E</v>
      </c>
      <c r="N45" s="6" t="s">
        <v>127</v>
      </c>
      <c r="O45" s="6" t="s">
        <v>95</v>
      </c>
      <c r="P45" s="7">
        <v>43228</v>
      </c>
      <c r="Q45" s="6" t="s">
        <v>30</v>
      </c>
      <c r="R45" s="6" t="s">
        <v>31</v>
      </c>
      <c r="S45" s="6" t="s">
        <v>32</v>
      </c>
      <c r="T45" s="6">
        <v>543.29</v>
      </c>
      <c r="U45" s="6">
        <v>234.27</v>
      </c>
      <c r="V45" s="6">
        <v>216.34</v>
      </c>
      <c r="W45" s="6">
        <v>0</v>
      </c>
      <c r="X45" s="6">
        <v>92.68</v>
      </c>
    </row>
    <row r="46" spans="1:24" ht="24.75" x14ac:dyDescent="0.25">
      <c r="A46" s="6" t="s">
        <v>25</v>
      </c>
      <c r="B46" s="6" t="s">
        <v>26</v>
      </c>
      <c r="C46" s="6" t="s">
        <v>46</v>
      </c>
      <c r="D46" s="6" t="s">
        <v>47</v>
      </c>
      <c r="E46" s="6" t="s">
        <v>35</v>
      </c>
      <c r="F46" s="6" t="s">
        <v>117</v>
      </c>
      <c r="G46" s="6">
        <v>2017</v>
      </c>
      <c r="H46" s="6" t="str">
        <f>CONCATENATE("74780025669")</f>
        <v>74780025669</v>
      </c>
      <c r="I46" s="6" t="s">
        <v>28</v>
      </c>
      <c r="J46" s="6" t="s">
        <v>29</v>
      </c>
      <c r="K46" s="6" t="str">
        <f>CONCATENATE("221")</f>
        <v>221</v>
      </c>
      <c r="L46" s="6" t="str">
        <f>CONCATENATE("8 8.1 5e")</f>
        <v>8 8.1 5e</v>
      </c>
      <c r="M46" s="6" t="str">
        <f>CONCATENATE("MRCCLR53A62C331Z")</f>
        <v>MRCCLR53A62C331Z</v>
      </c>
      <c r="N46" s="6" t="s">
        <v>128</v>
      </c>
      <c r="O46" s="6" t="s">
        <v>95</v>
      </c>
      <c r="P46" s="7">
        <v>43228</v>
      </c>
      <c r="Q46" s="6" t="s">
        <v>30</v>
      </c>
      <c r="R46" s="6" t="s">
        <v>31</v>
      </c>
      <c r="S46" s="6" t="s">
        <v>32</v>
      </c>
      <c r="T46" s="8">
        <v>1335.49</v>
      </c>
      <c r="U46" s="6">
        <v>575.86</v>
      </c>
      <c r="V46" s="6">
        <v>531.79</v>
      </c>
      <c r="W46" s="6">
        <v>0</v>
      </c>
      <c r="X46" s="6">
        <v>227.84</v>
      </c>
    </row>
    <row r="47" spans="1:24" ht="24.75" x14ac:dyDescent="0.25">
      <c r="A47" s="6" t="s">
        <v>25</v>
      </c>
      <c r="B47" s="6" t="s">
        <v>26</v>
      </c>
      <c r="C47" s="6" t="s">
        <v>46</v>
      </c>
      <c r="D47" s="6" t="s">
        <v>47</v>
      </c>
      <c r="E47" s="6" t="s">
        <v>35</v>
      </c>
      <c r="F47" s="6" t="s">
        <v>117</v>
      </c>
      <c r="G47" s="6">
        <v>2017</v>
      </c>
      <c r="H47" s="6" t="str">
        <f>CONCATENATE("74780025701")</f>
        <v>74780025701</v>
      </c>
      <c r="I47" s="6" t="s">
        <v>28</v>
      </c>
      <c r="J47" s="6" t="s">
        <v>29</v>
      </c>
      <c r="K47" s="6" t="str">
        <f>CONCATENATE("221")</f>
        <v>221</v>
      </c>
      <c r="L47" s="6" t="str">
        <f>CONCATENATE("8 8.1 5e")</f>
        <v>8 8.1 5e</v>
      </c>
      <c r="M47" s="6" t="str">
        <f>CONCATENATE("MRCCLR53A62C331Z")</f>
        <v>MRCCLR53A62C331Z</v>
      </c>
      <c r="N47" s="6" t="s">
        <v>128</v>
      </c>
      <c r="O47" s="6" t="s">
        <v>95</v>
      </c>
      <c r="P47" s="7">
        <v>43228</v>
      </c>
      <c r="Q47" s="6" t="s">
        <v>30</v>
      </c>
      <c r="R47" s="6" t="s">
        <v>31</v>
      </c>
      <c r="S47" s="6" t="s">
        <v>32</v>
      </c>
      <c r="T47" s="6">
        <v>117.58</v>
      </c>
      <c r="U47" s="6">
        <v>50.7</v>
      </c>
      <c r="V47" s="6">
        <v>46.82</v>
      </c>
      <c r="W47" s="6">
        <v>0</v>
      </c>
      <c r="X47" s="6">
        <v>20.059999999999999</v>
      </c>
    </row>
    <row r="48" spans="1:24" ht="24.75" x14ac:dyDescent="0.25">
      <c r="A48" s="6" t="s">
        <v>25</v>
      </c>
      <c r="B48" s="6" t="s">
        <v>26</v>
      </c>
      <c r="C48" s="6" t="s">
        <v>46</v>
      </c>
      <c r="D48" s="6" t="s">
        <v>47</v>
      </c>
      <c r="E48" s="6" t="s">
        <v>33</v>
      </c>
      <c r="F48" s="6" t="s">
        <v>109</v>
      </c>
      <c r="G48" s="6">
        <v>2017</v>
      </c>
      <c r="H48" s="6" t="str">
        <f>CONCATENATE("74780074584")</f>
        <v>74780074584</v>
      </c>
      <c r="I48" s="6" t="s">
        <v>28</v>
      </c>
      <c r="J48" s="6" t="s">
        <v>29</v>
      </c>
      <c r="K48" s="6" t="str">
        <f>CONCATENATE("221")</f>
        <v>221</v>
      </c>
      <c r="L48" s="6" t="str">
        <f>CONCATENATE("8 8.1 5e")</f>
        <v>8 8.1 5e</v>
      </c>
      <c r="M48" s="6" t="str">
        <f>CONCATENATE("02076690441")</f>
        <v>02076690441</v>
      </c>
      <c r="N48" s="6" t="s">
        <v>129</v>
      </c>
      <c r="O48" s="6" t="s">
        <v>95</v>
      </c>
      <c r="P48" s="7">
        <v>43228</v>
      </c>
      <c r="Q48" s="6" t="s">
        <v>30</v>
      </c>
      <c r="R48" s="6" t="s">
        <v>31</v>
      </c>
      <c r="S48" s="6" t="s">
        <v>32</v>
      </c>
      <c r="T48" s="6">
        <v>519.75</v>
      </c>
      <c r="U48" s="6">
        <v>224.12</v>
      </c>
      <c r="V48" s="6">
        <v>206.96</v>
      </c>
      <c r="W48" s="6">
        <v>0</v>
      </c>
      <c r="X48" s="6">
        <v>88.67</v>
      </c>
    </row>
    <row r="49" spans="1:24" x14ac:dyDescent="0.25">
      <c r="A49" s="6" t="s">
        <v>25</v>
      </c>
      <c r="B49" s="6" t="s">
        <v>26</v>
      </c>
      <c r="C49" s="6" t="s">
        <v>46</v>
      </c>
      <c r="D49" s="6" t="s">
        <v>52</v>
      </c>
      <c r="E49" s="6" t="s">
        <v>43</v>
      </c>
      <c r="F49" s="6" t="s">
        <v>130</v>
      </c>
      <c r="G49" s="6">
        <v>2017</v>
      </c>
      <c r="H49" s="6" t="str">
        <f>CONCATENATE("74780066887")</f>
        <v>74780066887</v>
      </c>
      <c r="I49" s="6" t="s">
        <v>28</v>
      </c>
      <c r="J49" s="6" t="s">
        <v>29</v>
      </c>
      <c r="K49" s="6" t="str">
        <f>CONCATENATE("221")</f>
        <v>221</v>
      </c>
      <c r="L49" s="6" t="str">
        <f>CONCATENATE("8 8.1 5e")</f>
        <v>8 8.1 5e</v>
      </c>
      <c r="M49" s="6" t="str">
        <f>CONCATENATE("CRTMSM54T11L366N")</f>
        <v>CRTMSM54T11L366N</v>
      </c>
      <c r="N49" s="6" t="s">
        <v>131</v>
      </c>
      <c r="O49" s="6" t="s">
        <v>95</v>
      </c>
      <c r="P49" s="7">
        <v>43228</v>
      </c>
      <c r="Q49" s="6" t="s">
        <v>30</v>
      </c>
      <c r="R49" s="6" t="s">
        <v>31</v>
      </c>
      <c r="S49" s="6" t="s">
        <v>32</v>
      </c>
      <c r="T49" s="6">
        <v>518.4</v>
      </c>
      <c r="U49" s="6">
        <v>223.53</v>
      </c>
      <c r="V49" s="6">
        <v>206.43</v>
      </c>
      <c r="W49" s="6">
        <v>0</v>
      </c>
      <c r="X49" s="6">
        <v>88.44</v>
      </c>
    </row>
    <row r="50" spans="1:24" x14ac:dyDescent="0.25">
      <c r="A50" s="6" t="s">
        <v>25</v>
      </c>
      <c r="B50" s="6" t="s">
        <v>26</v>
      </c>
      <c r="C50" s="6" t="s">
        <v>46</v>
      </c>
      <c r="D50" s="6" t="s">
        <v>52</v>
      </c>
      <c r="E50" s="6" t="s">
        <v>35</v>
      </c>
      <c r="F50" s="6" t="s">
        <v>132</v>
      </c>
      <c r="G50" s="6">
        <v>2017</v>
      </c>
      <c r="H50" s="6" t="str">
        <f>CONCATENATE("74780032160")</f>
        <v>74780032160</v>
      </c>
      <c r="I50" s="6" t="s">
        <v>28</v>
      </c>
      <c r="J50" s="6" t="s">
        <v>29</v>
      </c>
      <c r="K50" s="6" t="str">
        <f>CONCATENATE("221")</f>
        <v>221</v>
      </c>
      <c r="L50" s="6" t="str">
        <f>CONCATENATE("8 8.1 5e")</f>
        <v>8 8.1 5e</v>
      </c>
      <c r="M50" s="6" t="str">
        <f>CONCATENATE("CSTRLD56A27L366J")</f>
        <v>CSTRLD56A27L366J</v>
      </c>
      <c r="N50" s="6" t="s">
        <v>133</v>
      </c>
      <c r="O50" s="6" t="s">
        <v>95</v>
      </c>
      <c r="P50" s="7">
        <v>43228</v>
      </c>
      <c r="Q50" s="6" t="s">
        <v>30</v>
      </c>
      <c r="R50" s="6" t="s">
        <v>31</v>
      </c>
      <c r="S50" s="6" t="s">
        <v>32</v>
      </c>
      <c r="T50" s="6">
        <v>108.6</v>
      </c>
      <c r="U50" s="6">
        <v>46.83</v>
      </c>
      <c r="V50" s="6">
        <v>43.24</v>
      </c>
      <c r="W50" s="6">
        <v>0</v>
      </c>
      <c r="X50" s="6">
        <v>18.53</v>
      </c>
    </row>
    <row r="51" spans="1:24" x14ac:dyDescent="0.25">
      <c r="A51" s="6" t="s">
        <v>25</v>
      </c>
      <c r="B51" s="6" t="s">
        <v>26</v>
      </c>
      <c r="C51" s="6" t="s">
        <v>46</v>
      </c>
      <c r="D51" s="6" t="s">
        <v>52</v>
      </c>
      <c r="E51" s="6" t="s">
        <v>33</v>
      </c>
      <c r="F51" s="6" t="s">
        <v>100</v>
      </c>
      <c r="G51" s="6">
        <v>2017</v>
      </c>
      <c r="H51" s="6" t="str">
        <f>CONCATENATE("74780064676")</f>
        <v>74780064676</v>
      </c>
      <c r="I51" s="6" t="s">
        <v>28</v>
      </c>
      <c r="J51" s="6" t="s">
        <v>29</v>
      </c>
      <c r="K51" s="6" t="str">
        <f>CONCATENATE("221")</f>
        <v>221</v>
      </c>
      <c r="L51" s="6" t="str">
        <f>CONCATENATE("8 8.1 5e")</f>
        <v>8 8.1 5e</v>
      </c>
      <c r="M51" s="6" t="str">
        <f>CONCATENATE("CMPCTN63L11F621Q")</f>
        <v>CMPCTN63L11F621Q</v>
      </c>
      <c r="N51" s="6" t="s">
        <v>134</v>
      </c>
      <c r="O51" s="6" t="s">
        <v>95</v>
      </c>
      <c r="P51" s="7">
        <v>43228</v>
      </c>
      <c r="Q51" s="6" t="s">
        <v>30</v>
      </c>
      <c r="R51" s="6" t="s">
        <v>31</v>
      </c>
      <c r="S51" s="6" t="s">
        <v>32</v>
      </c>
      <c r="T51" s="6">
        <v>578</v>
      </c>
      <c r="U51" s="6">
        <v>249.23</v>
      </c>
      <c r="V51" s="6">
        <v>230.16</v>
      </c>
      <c r="W51" s="6">
        <v>0</v>
      </c>
      <c r="X51" s="6">
        <v>98.61</v>
      </c>
    </row>
    <row r="52" spans="1:24" x14ac:dyDescent="0.25">
      <c r="A52" s="6" t="s">
        <v>25</v>
      </c>
      <c r="B52" s="6" t="s">
        <v>26</v>
      </c>
      <c r="C52" s="6" t="s">
        <v>46</v>
      </c>
      <c r="D52" s="6" t="s">
        <v>52</v>
      </c>
      <c r="E52" s="6" t="s">
        <v>35</v>
      </c>
      <c r="F52" s="6" t="s">
        <v>132</v>
      </c>
      <c r="G52" s="6">
        <v>2017</v>
      </c>
      <c r="H52" s="6" t="str">
        <f>CONCATENATE("74780032061")</f>
        <v>74780032061</v>
      </c>
      <c r="I52" s="6" t="s">
        <v>28</v>
      </c>
      <c r="J52" s="6" t="s">
        <v>29</v>
      </c>
      <c r="K52" s="6" t="str">
        <f>CONCATENATE("221")</f>
        <v>221</v>
      </c>
      <c r="L52" s="6" t="str">
        <f>CONCATENATE("8 8.1 5e")</f>
        <v>8 8.1 5e</v>
      </c>
      <c r="M52" s="6" t="str">
        <f>CONCATENATE("CRLMRA51D19B534L")</f>
        <v>CRLMRA51D19B534L</v>
      </c>
      <c r="N52" s="6" t="s">
        <v>135</v>
      </c>
      <c r="O52" s="6" t="s">
        <v>95</v>
      </c>
      <c r="P52" s="7">
        <v>43228</v>
      </c>
      <c r="Q52" s="6" t="s">
        <v>30</v>
      </c>
      <c r="R52" s="6" t="s">
        <v>31</v>
      </c>
      <c r="S52" s="6" t="s">
        <v>32</v>
      </c>
      <c r="T52" s="6">
        <v>173.76</v>
      </c>
      <c r="U52" s="6">
        <v>74.930000000000007</v>
      </c>
      <c r="V52" s="6">
        <v>69.19</v>
      </c>
      <c r="W52" s="6">
        <v>0</v>
      </c>
      <c r="X52" s="6">
        <v>29.64</v>
      </c>
    </row>
    <row r="53" spans="1:24" ht="24.75" x14ac:dyDescent="0.25">
      <c r="A53" s="6" t="s">
        <v>25</v>
      </c>
      <c r="B53" s="6" t="s">
        <v>26</v>
      </c>
      <c r="C53" s="6" t="s">
        <v>46</v>
      </c>
      <c r="D53" s="6" t="s">
        <v>59</v>
      </c>
      <c r="E53" s="6" t="s">
        <v>35</v>
      </c>
      <c r="F53" s="6" t="s">
        <v>136</v>
      </c>
      <c r="G53" s="6">
        <v>2017</v>
      </c>
      <c r="H53" s="6" t="str">
        <f>CONCATENATE("74780029307")</f>
        <v>74780029307</v>
      </c>
      <c r="I53" s="6" t="s">
        <v>28</v>
      </c>
      <c r="J53" s="6" t="s">
        <v>29</v>
      </c>
      <c r="K53" s="6" t="str">
        <f>CONCATENATE("221")</f>
        <v>221</v>
      </c>
      <c r="L53" s="6" t="str">
        <f>CONCATENATE("8 8.1 5e")</f>
        <v>8 8.1 5e</v>
      </c>
      <c r="M53" s="6" t="str">
        <f>CONCATENATE("MZZRNZ53A30D542S")</f>
        <v>MZZRNZ53A30D542S</v>
      </c>
      <c r="N53" s="6" t="s">
        <v>137</v>
      </c>
      <c r="O53" s="6" t="s">
        <v>95</v>
      </c>
      <c r="P53" s="7">
        <v>43228</v>
      </c>
      <c r="Q53" s="6" t="s">
        <v>30</v>
      </c>
      <c r="R53" s="6" t="s">
        <v>31</v>
      </c>
      <c r="S53" s="6" t="s">
        <v>32</v>
      </c>
      <c r="T53" s="6">
        <v>181.1</v>
      </c>
      <c r="U53" s="6">
        <v>78.09</v>
      </c>
      <c r="V53" s="6">
        <v>72.11</v>
      </c>
      <c r="W53" s="6">
        <v>0</v>
      </c>
      <c r="X53" s="6">
        <v>30.9</v>
      </c>
    </row>
    <row r="54" spans="1:24" ht="24.75" x14ac:dyDescent="0.25">
      <c r="A54" s="6" t="s">
        <v>25</v>
      </c>
      <c r="B54" s="6" t="s">
        <v>26</v>
      </c>
      <c r="C54" s="6" t="s">
        <v>46</v>
      </c>
      <c r="D54" s="6" t="s">
        <v>59</v>
      </c>
      <c r="E54" s="6" t="s">
        <v>33</v>
      </c>
      <c r="F54" s="6" t="s">
        <v>69</v>
      </c>
      <c r="G54" s="6">
        <v>2017</v>
      </c>
      <c r="H54" s="6" t="str">
        <f>CONCATENATE("74780064932")</f>
        <v>74780064932</v>
      </c>
      <c r="I54" s="6" t="s">
        <v>28</v>
      </c>
      <c r="J54" s="6" t="s">
        <v>29</v>
      </c>
      <c r="K54" s="6" t="str">
        <f>CONCATENATE("221")</f>
        <v>221</v>
      </c>
      <c r="L54" s="6" t="str">
        <f>CONCATENATE("8 8.1 5e")</f>
        <v>8 8.1 5e</v>
      </c>
      <c r="M54" s="6" t="str">
        <f>CONCATENATE("BCCSFN62B01D451H")</f>
        <v>BCCSFN62B01D451H</v>
      </c>
      <c r="N54" s="6" t="s">
        <v>138</v>
      </c>
      <c r="O54" s="6" t="s">
        <v>95</v>
      </c>
      <c r="P54" s="7">
        <v>43228</v>
      </c>
      <c r="Q54" s="6" t="s">
        <v>30</v>
      </c>
      <c r="R54" s="6" t="s">
        <v>31</v>
      </c>
      <c r="S54" s="6" t="s">
        <v>32</v>
      </c>
      <c r="T54" s="6">
        <v>421.96</v>
      </c>
      <c r="U54" s="6">
        <v>181.95</v>
      </c>
      <c r="V54" s="6">
        <v>168.02</v>
      </c>
      <c r="W54" s="6">
        <v>0</v>
      </c>
      <c r="X54" s="6">
        <v>71.989999999999995</v>
      </c>
    </row>
    <row r="55" spans="1:24" ht="24.75" x14ac:dyDescent="0.25">
      <c r="A55" s="6" t="s">
        <v>25</v>
      </c>
      <c r="B55" s="6" t="s">
        <v>26</v>
      </c>
      <c r="C55" s="6" t="s">
        <v>46</v>
      </c>
      <c r="D55" s="6" t="s">
        <v>59</v>
      </c>
      <c r="E55" s="6" t="s">
        <v>39</v>
      </c>
      <c r="F55" s="6" t="s">
        <v>139</v>
      </c>
      <c r="G55" s="6">
        <v>2017</v>
      </c>
      <c r="H55" s="6" t="str">
        <f>CONCATENATE("74780011446")</f>
        <v>74780011446</v>
      </c>
      <c r="I55" s="6" t="s">
        <v>28</v>
      </c>
      <c r="J55" s="6" t="s">
        <v>29</v>
      </c>
      <c r="K55" s="6" t="str">
        <f>CONCATENATE("221")</f>
        <v>221</v>
      </c>
      <c r="L55" s="6" t="str">
        <f>CONCATENATE("8 8.1 5e")</f>
        <v>8 8.1 5e</v>
      </c>
      <c r="M55" s="6" t="str">
        <f>CONCATENATE("BRCGPP65B08D211Q")</f>
        <v>BRCGPP65B08D211Q</v>
      </c>
      <c r="N55" s="6" t="s">
        <v>140</v>
      </c>
      <c r="O55" s="6" t="s">
        <v>95</v>
      </c>
      <c r="P55" s="7">
        <v>43228</v>
      </c>
      <c r="Q55" s="6" t="s">
        <v>30</v>
      </c>
      <c r="R55" s="6" t="s">
        <v>31</v>
      </c>
      <c r="S55" s="6" t="s">
        <v>32</v>
      </c>
      <c r="T55" s="6">
        <v>434.5</v>
      </c>
      <c r="U55" s="6">
        <v>187.36</v>
      </c>
      <c r="V55" s="6">
        <v>173.02</v>
      </c>
      <c r="W55" s="6">
        <v>0</v>
      </c>
      <c r="X55" s="6">
        <v>74.12</v>
      </c>
    </row>
    <row r="56" spans="1:24" ht="24.75" x14ac:dyDescent="0.25">
      <c r="A56" s="6" t="s">
        <v>25</v>
      </c>
      <c r="B56" s="6" t="s">
        <v>26</v>
      </c>
      <c r="C56" s="6" t="s">
        <v>46</v>
      </c>
      <c r="D56" s="6" t="s">
        <v>47</v>
      </c>
      <c r="E56" s="6" t="s">
        <v>33</v>
      </c>
      <c r="F56" s="6" t="s">
        <v>141</v>
      </c>
      <c r="G56" s="6">
        <v>2017</v>
      </c>
      <c r="H56" s="6" t="str">
        <f>CONCATENATE("74780024019")</f>
        <v>74780024019</v>
      </c>
      <c r="I56" s="6" t="s">
        <v>28</v>
      </c>
      <c r="J56" s="6" t="s">
        <v>29</v>
      </c>
      <c r="K56" s="6" t="str">
        <f>CONCATENATE("221")</f>
        <v>221</v>
      </c>
      <c r="L56" s="6" t="str">
        <f>CONCATENATE("8 8.1 5e")</f>
        <v>8 8.1 5e</v>
      </c>
      <c r="M56" s="6" t="str">
        <f>CONCATENATE("LNCGTN52C29D096W")</f>
        <v>LNCGTN52C29D096W</v>
      </c>
      <c r="N56" s="6" t="s">
        <v>142</v>
      </c>
      <c r="O56" s="6" t="s">
        <v>95</v>
      </c>
      <c r="P56" s="7">
        <v>43228</v>
      </c>
      <c r="Q56" s="6" t="s">
        <v>30</v>
      </c>
      <c r="R56" s="6" t="s">
        <v>31</v>
      </c>
      <c r="S56" s="6" t="s">
        <v>32</v>
      </c>
      <c r="T56" s="8">
        <v>1893.44</v>
      </c>
      <c r="U56" s="6">
        <v>816.45</v>
      </c>
      <c r="V56" s="6">
        <v>753.97</v>
      </c>
      <c r="W56" s="6">
        <v>0</v>
      </c>
      <c r="X56" s="6">
        <v>323.02</v>
      </c>
    </row>
    <row r="57" spans="1:24" ht="24.75" x14ac:dyDescent="0.25">
      <c r="A57" s="6" t="s">
        <v>25</v>
      </c>
      <c r="B57" s="6" t="s">
        <v>26</v>
      </c>
      <c r="C57" s="6" t="s">
        <v>46</v>
      </c>
      <c r="D57" s="6" t="s">
        <v>59</v>
      </c>
      <c r="E57" s="6" t="s">
        <v>43</v>
      </c>
      <c r="F57" s="6" t="s">
        <v>63</v>
      </c>
      <c r="G57" s="6">
        <v>2017</v>
      </c>
      <c r="H57" s="6" t="str">
        <f>CONCATENATE("74780048570")</f>
        <v>74780048570</v>
      </c>
      <c r="I57" s="6" t="s">
        <v>28</v>
      </c>
      <c r="J57" s="6" t="s">
        <v>29</v>
      </c>
      <c r="K57" s="6" t="str">
        <f>CONCATENATE("221")</f>
        <v>221</v>
      </c>
      <c r="L57" s="6" t="str">
        <f>CONCATENATE("8 8.1 5e")</f>
        <v>8 8.1 5e</v>
      </c>
      <c r="M57" s="6" t="str">
        <f>CONCATENATE("GSPRSR54R07F496G")</f>
        <v>GSPRSR54R07F496G</v>
      </c>
      <c r="N57" s="6" t="s">
        <v>64</v>
      </c>
      <c r="O57" s="6" t="s">
        <v>95</v>
      </c>
      <c r="P57" s="7">
        <v>43228</v>
      </c>
      <c r="Q57" s="6" t="s">
        <v>30</v>
      </c>
      <c r="R57" s="6" t="s">
        <v>31</v>
      </c>
      <c r="S57" s="6" t="s">
        <v>32</v>
      </c>
      <c r="T57" s="8">
        <v>2427.33</v>
      </c>
      <c r="U57" s="8">
        <v>1046.6600000000001</v>
      </c>
      <c r="V57" s="6">
        <v>966.56</v>
      </c>
      <c r="W57" s="6">
        <v>0</v>
      </c>
      <c r="X57" s="6">
        <v>414.11</v>
      </c>
    </row>
    <row r="58" spans="1:24" ht="24.75" x14ac:dyDescent="0.25">
      <c r="A58" s="6" t="s">
        <v>25</v>
      </c>
      <c r="B58" s="6" t="s">
        <v>26</v>
      </c>
      <c r="C58" s="6" t="s">
        <v>46</v>
      </c>
      <c r="D58" s="6" t="s">
        <v>59</v>
      </c>
      <c r="E58" s="6" t="s">
        <v>35</v>
      </c>
      <c r="F58" s="6" t="s">
        <v>98</v>
      </c>
      <c r="G58" s="6">
        <v>2017</v>
      </c>
      <c r="H58" s="6" t="str">
        <f>CONCATENATE("74780056300")</f>
        <v>74780056300</v>
      </c>
      <c r="I58" s="6" t="s">
        <v>28</v>
      </c>
      <c r="J58" s="6" t="s">
        <v>29</v>
      </c>
      <c r="K58" s="6" t="str">
        <f>CONCATENATE("221")</f>
        <v>221</v>
      </c>
      <c r="L58" s="6" t="str">
        <f>CONCATENATE("8 8.1 5e")</f>
        <v>8 8.1 5e</v>
      </c>
      <c r="M58" s="6" t="str">
        <f>CONCATENATE("GMBRNG54D02A366X")</f>
        <v>GMBRNG54D02A366X</v>
      </c>
      <c r="N58" s="6" t="s">
        <v>143</v>
      </c>
      <c r="O58" s="6" t="s">
        <v>95</v>
      </c>
      <c r="P58" s="7">
        <v>43228</v>
      </c>
      <c r="Q58" s="6" t="s">
        <v>30</v>
      </c>
      <c r="R58" s="6" t="s">
        <v>31</v>
      </c>
      <c r="S58" s="6" t="s">
        <v>32</v>
      </c>
      <c r="T58" s="6">
        <v>972</v>
      </c>
      <c r="U58" s="6">
        <v>419.13</v>
      </c>
      <c r="V58" s="6">
        <v>387.05</v>
      </c>
      <c r="W58" s="6">
        <v>0</v>
      </c>
      <c r="X58" s="6">
        <v>165.82</v>
      </c>
    </row>
    <row r="59" spans="1:24" ht="24.75" x14ac:dyDescent="0.25">
      <c r="A59" s="6" t="s">
        <v>25</v>
      </c>
      <c r="B59" s="6" t="s">
        <v>26</v>
      </c>
      <c r="C59" s="6" t="s">
        <v>46</v>
      </c>
      <c r="D59" s="6" t="s">
        <v>59</v>
      </c>
      <c r="E59" s="6" t="s">
        <v>27</v>
      </c>
      <c r="F59" s="6" t="s">
        <v>74</v>
      </c>
      <c r="G59" s="6">
        <v>2017</v>
      </c>
      <c r="H59" s="6" t="str">
        <f>CONCATENATE("74780059890")</f>
        <v>74780059890</v>
      </c>
      <c r="I59" s="6" t="s">
        <v>28</v>
      </c>
      <c r="J59" s="6" t="s">
        <v>29</v>
      </c>
      <c r="K59" s="6" t="str">
        <f>CONCATENATE("221")</f>
        <v>221</v>
      </c>
      <c r="L59" s="6" t="str">
        <f>CONCATENATE("8 8.1 5e")</f>
        <v>8 8.1 5e</v>
      </c>
      <c r="M59" s="6" t="str">
        <f>CONCATENATE("GLNGTT37E44D597H")</f>
        <v>GLNGTT37E44D597H</v>
      </c>
      <c r="N59" s="6" t="s">
        <v>75</v>
      </c>
      <c r="O59" s="6" t="s">
        <v>95</v>
      </c>
      <c r="P59" s="7">
        <v>43228</v>
      </c>
      <c r="Q59" s="6" t="s">
        <v>30</v>
      </c>
      <c r="R59" s="6" t="s">
        <v>31</v>
      </c>
      <c r="S59" s="6" t="s">
        <v>32</v>
      </c>
      <c r="T59" s="6">
        <v>282.52</v>
      </c>
      <c r="U59" s="6">
        <v>121.82</v>
      </c>
      <c r="V59" s="6">
        <v>112.5</v>
      </c>
      <c r="W59" s="6">
        <v>0</v>
      </c>
      <c r="X59" s="6">
        <v>48.2</v>
      </c>
    </row>
    <row r="60" spans="1:24" x14ac:dyDescent="0.25">
      <c r="A60" s="6" t="s">
        <v>25</v>
      </c>
      <c r="B60" s="6" t="s">
        <v>26</v>
      </c>
      <c r="C60" s="6" t="s">
        <v>46</v>
      </c>
      <c r="D60" s="6" t="s">
        <v>52</v>
      </c>
      <c r="E60" s="6" t="s">
        <v>33</v>
      </c>
      <c r="F60" s="6" t="s">
        <v>111</v>
      </c>
      <c r="G60" s="6">
        <v>2017</v>
      </c>
      <c r="H60" s="6" t="str">
        <f>CONCATENATE("74780057852")</f>
        <v>74780057852</v>
      </c>
      <c r="I60" s="6" t="s">
        <v>28</v>
      </c>
      <c r="J60" s="6" t="s">
        <v>29</v>
      </c>
      <c r="K60" s="6" t="str">
        <f>CONCATENATE("221")</f>
        <v>221</v>
      </c>
      <c r="L60" s="6" t="str">
        <f>CONCATENATE("8 8.1 5e")</f>
        <v>8 8.1 5e</v>
      </c>
      <c r="M60" s="6" t="str">
        <f>CONCATENATE("CMPGLG75T23E783N")</f>
        <v>CMPGLG75T23E783N</v>
      </c>
      <c r="N60" s="6" t="s">
        <v>144</v>
      </c>
      <c r="O60" s="6" t="s">
        <v>95</v>
      </c>
      <c r="P60" s="7">
        <v>43228</v>
      </c>
      <c r="Q60" s="6" t="s">
        <v>30</v>
      </c>
      <c r="R60" s="6" t="s">
        <v>31</v>
      </c>
      <c r="S60" s="6" t="s">
        <v>32</v>
      </c>
      <c r="T60" s="6">
        <v>351.14</v>
      </c>
      <c r="U60" s="6">
        <v>151.41</v>
      </c>
      <c r="V60" s="6">
        <v>139.82</v>
      </c>
      <c r="W60" s="6">
        <v>0</v>
      </c>
      <c r="X60" s="6">
        <v>59.91</v>
      </c>
    </row>
    <row r="61" spans="1:24" x14ac:dyDescent="0.25">
      <c r="A61" s="6" t="s">
        <v>25</v>
      </c>
      <c r="B61" s="6" t="s">
        <v>26</v>
      </c>
      <c r="C61" s="6" t="s">
        <v>46</v>
      </c>
      <c r="D61" s="6" t="s">
        <v>52</v>
      </c>
      <c r="E61" s="6" t="s">
        <v>27</v>
      </c>
      <c r="F61" s="6" t="s">
        <v>74</v>
      </c>
      <c r="G61" s="6">
        <v>2017</v>
      </c>
      <c r="H61" s="6" t="str">
        <f>CONCATENATE("74780057837")</f>
        <v>74780057837</v>
      </c>
      <c r="I61" s="6" t="s">
        <v>28</v>
      </c>
      <c r="J61" s="6" t="s">
        <v>29</v>
      </c>
      <c r="K61" s="6" t="str">
        <f>CONCATENATE("221")</f>
        <v>221</v>
      </c>
      <c r="L61" s="6" t="str">
        <f>CONCATENATE("8 8.1 5e")</f>
        <v>8 8.1 5e</v>
      </c>
      <c r="M61" s="6" t="str">
        <f>CONCATENATE("BRTPFR50E07E783V")</f>
        <v>BRTPFR50E07E783V</v>
      </c>
      <c r="N61" s="6" t="s">
        <v>145</v>
      </c>
      <c r="O61" s="6" t="s">
        <v>95</v>
      </c>
      <c r="P61" s="7">
        <v>43228</v>
      </c>
      <c r="Q61" s="6" t="s">
        <v>30</v>
      </c>
      <c r="R61" s="6" t="s">
        <v>31</v>
      </c>
      <c r="S61" s="6" t="s">
        <v>32</v>
      </c>
      <c r="T61" s="8">
        <v>2414.5</v>
      </c>
      <c r="U61" s="8">
        <v>1041.1300000000001</v>
      </c>
      <c r="V61" s="6">
        <v>961.45</v>
      </c>
      <c r="W61" s="6">
        <v>0</v>
      </c>
      <c r="X61" s="6">
        <v>411.92</v>
      </c>
    </row>
    <row r="62" spans="1:24" ht="24.75" x14ac:dyDescent="0.25">
      <c r="A62" s="6" t="s">
        <v>25</v>
      </c>
      <c r="B62" s="6" t="s">
        <v>26</v>
      </c>
      <c r="C62" s="6" t="s">
        <v>46</v>
      </c>
      <c r="D62" s="6" t="s">
        <v>59</v>
      </c>
      <c r="E62" s="6" t="s">
        <v>27</v>
      </c>
      <c r="F62" s="6" t="s">
        <v>74</v>
      </c>
      <c r="G62" s="6">
        <v>2017</v>
      </c>
      <c r="H62" s="6" t="str">
        <f>CONCATENATE("74780057803")</f>
        <v>74780057803</v>
      </c>
      <c r="I62" s="6" t="s">
        <v>28</v>
      </c>
      <c r="J62" s="6" t="s">
        <v>29</v>
      </c>
      <c r="K62" s="6" t="str">
        <f>CONCATENATE("221")</f>
        <v>221</v>
      </c>
      <c r="L62" s="6" t="str">
        <f>CONCATENATE("8 8.1 5e")</f>
        <v>8 8.1 5e</v>
      </c>
      <c r="M62" s="6" t="str">
        <f>CONCATENATE("BLDPRZ60T62D451T")</f>
        <v>BLDPRZ60T62D451T</v>
      </c>
      <c r="N62" s="6" t="s">
        <v>146</v>
      </c>
      <c r="O62" s="6" t="s">
        <v>95</v>
      </c>
      <c r="P62" s="7">
        <v>43228</v>
      </c>
      <c r="Q62" s="6" t="s">
        <v>30</v>
      </c>
      <c r="R62" s="6" t="s">
        <v>31</v>
      </c>
      <c r="S62" s="6" t="s">
        <v>32</v>
      </c>
      <c r="T62" s="6">
        <v>532.5</v>
      </c>
      <c r="U62" s="6">
        <v>229.61</v>
      </c>
      <c r="V62" s="6">
        <v>212.04</v>
      </c>
      <c r="W62" s="6">
        <v>0</v>
      </c>
      <c r="X62" s="6">
        <v>90.85</v>
      </c>
    </row>
    <row r="63" spans="1:24" x14ac:dyDescent="0.25">
      <c r="A63" s="6" t="s">
        <v>25</v>
      </c>
      <c r="B63" s="6" t="s">
        <v>26</v>
      </c>
      <c r="C63" s="6" t="s">
        <v>46</v>
      </c>
      <c r="D63" s="6" t="s">
        <v>52</v>
      </c>
      <c r="E63" s="6" t="s">
        <v>33</v>
      </c>
      <c r="F63" s="6" t="s">
        <v>111</v>
      </c>
      <c r="G63" s="6">
        <v>2017</v>
      </c>
      <c r="H63" s="6" t="str">
        <f>CONCATENATE("74780057183")</f>
        <v>74780057183</v>
      </c>
      <c r="I63" s="6" t="s">
        <v>28</v>
      </c>
      <c r="J63" s="6" t="s">
        <v>29</v>
      </c>
      <c r="K63" s="6" t="str">
        <f>CONCATENATE("221")</f>
        <v>221</v>
      </c>
      <c r="L63" s="6" t="str">
        <f>CONCATENATE("8 8.1 5e")</f>
        <v>8 8.1 5e</v>
      </c>
      <c r="M63" s="6" t="str">
        <f>CONCATENATE("BNGCRD60H18E783Z")</f>
        <v>BNGCRD60H18E783Z</v>
      </c>
      <c r="N63" s="6" t="s">
        <v>147</v>
      </c>
      <c r="O63" s="6" t="s">
        <v>95</v>
      </c>
      <c r="P63" s="7">
        <v>43228</v>
      </c>
      <c r="Q63" s="6" t="s">
        <v>30</v>
      </c>
      <c r="R63" s="6" t="s">
        <v>31</v>
      </c>
      <c r="S63" s="6" t="s">
        <v>32</v>
      </c>
      <c r="T63" s="6">
        <v>244.35</v>
      </c>
      <c r="U63" s="6">
        <v>105.36</v>
      </c>
      <c r="V63" s="6">
        <v>97.3</v>
      </c>
      <c r="W63" s="6">
        <v>0</v>
      </c>
      <c r="X63" s="6">
        <v>41.69</v>
      </c>
    </row>
    <row r="64" spans="1:24" ht="24.75" x14ac:dyDescent="0.25">
      <c r="A64" s="6" t="s">
        <v>25</v>
      </c>
      <c r="B64" s="6" t="s">
        <v>26</v>
      </c>
      <c r="C64" s="6" t="s">
        <v>46</v>
      </c>
      <c r="D64" s="6" t="s">
        <v>47</v>
      </c>
      <c r="E64" s="6" t="s">
        <v>33</v>
      </c>
      <c r="F64" s="6" t="s">
        <v>148</v>
      </c>
      <c r="G64" s="6">
        <v>2017</v>
      </c>
      <c r="H64" s="6" t="str">
        <f>CONCATENATE("74780064403")</f>
        <v>74780064403</v>
      </c>
      <c r="I64" s="6" t="s">
        <v>28</v>
      </c>
      <c r="J64" s="6" t="s">
        <v>29</v>
      </c>
      <c r="K64" s="6" t="str">
        <f>CONCATENATE("221")</f>
        <v>221</v>
      </c>
      <c r="L64" s="6" t="str">
        <f>CONCATENATE("8 8.1 5e")</f>
        <v>8 8.1 5e</v>
      </c>
      <c r="M64" s="6" t="str">
        <f>CONCATENATE("SRVNDR84C02A252U")</f>
        <v>SRVNDR84C02A252U</v>
      </c>
      <c r="N64" s="6" t="s">
        <v>149</v>
      </c>
      <c r="O64" s="6" t="s">
        <v>95</v>
      </c>
      <c r="P64" s="7">
        <v>43228</v>
      </c>
      <c r="Q64" s="6" t="s">
        <v>30</v>
      </c>
      <c r="R64" s="6" t="s">
        <v>31</v>
      </c>
      <c r="S64" s="6" t="s">
        <v>32</v>
      </c>
      <c r="T64" s="6">
        <v>166.61</v>
      </c>
      <c r="U64" s="6">
        <v>71.84</v>
      </c>
      <c r="V64" s="6">
        <v>66.34</v>
      </c>
      <c r="W64" s="6">
        <v>0</v>
      </c>
      <c r="X64" s="6">
        <v>28.43</v>
      </c>
    </row>
    <row r="65" spans="1:24" x14ac:dyDescent="0.25">
      <c r="A65" s="6" t="s">
        <v>25</v>
      </c>
      <c r="B65" s="6" t="s">
        <v>26</v>
      </c>
      <c r="C65" s="6" t="s">
        <v>46</v>
      </c>
      <c r="D65" s="6" t="s">
        <v>52</v>
      </c>
      <c r="E65" s="6" t="s">
        <v>33</v>
      </c>
      <c r="F65" s="6" t="s">
        <v>111</v>
      </c>
      <c r="G65" s="6">
        <v>2017</v>
      </c>
      <c r="H65" s="6" t="str">
        <f>CONCATENATE("74780057274")</f>
        <v>74780057274</v>
      </c>
      <c r="I65" s="6" t="s">
        <v>28</v>
      </c>
      <c r="J65" s="6" t="s">
        <v>29</v>
      </c>
      <c r="K65" s="6" t="str">
        <f>CONCATENATE("221")</f>
        <v>221</v>
      </c>
      <c r="L65" s="6" t="str">
        <f>CONCATENATE("8 8.1 5e")</f>
        <v>8 8.1 5e</v>
      </c>
      <c r="M65" s="6" t="str">
        <f>CONCATENATE("CCCGRG37D11E783M")</f>
        <v>CCCGRG37D11E783M</v>
      </c>
      <c r="N65" s="6" t="s">
        <v>150</v>
      </c>
      <c r="O65" s="6" t="s">
        <v>95</v>
      </c>
      <c r="P65" s="7">
        <v>43228</v>
      </c>
      <c r="Q65" s="6" t="s">
        <v>30</v>
      </c>
      <c r="R65" s="6" t="s">
        <v>31</v>
      </c>
      <c r="S65" s="6" t="s">
        <v>32</v>
      </c>
      <c r="T65" s="6">
        <v>526.71</v>
      </c>
      <c r="U65" s="6">
        <v>227.12</v>
      </c>
      <c r="V65" s="6">
        <v>209.74</v>
      </c>
      <c r="W65" s="6">
        <v>0</v>
      </c>
      <c r="X65" s="6">
        <v>89.85</v>
      </c>
    </row>
    <row r="66" spans="1:24" x14ac:dyDescent="0.25">
      <c r="A66" s="6" t="s">
        <v>25</v>
      </c>
      <c r="B66" s="6" t="s">
        <v>26</v>
      </c>
      <c r="C66" s="6" t="s">
        <v>46</v>
      </c>
      <c r="D66" s="6" t="s">
        <v>52</v>
      </c>
      <c r="E66" s="6" t="s">
        <v>33</v>
      </c>
      <c r="F66" s="6" t="s">
        <v>105</v>
      </c>
      <c r="G66" s="6">
        <v>2017</v>
      </c>
      <c r="H66" s="6" t="str">
        <f>CONCATENATE("74780065970")</f>
        <v>74780065970</v>
      </c>
      <c r="I66" s="6" t="s">
        <v>28</v>
      </c>
      <c r="J66" s="6" t="s">
        <v>29</v>
      </c>
      <c r="K66" s="6" t="str">
        <f>CONCATENATE("221")</f>
        <v>221</v>
      </c>
      <c r="L66" s="6" t="str">
        <f>CONCATENATE("8 8.1 5e")</f>
        <v>8 8.1 5e</v>
      </c>
      <c r="M66" s="6" t="str">
        <f>CONCATENATE("CSMRNZ57A03L501Z")</f>
        <v>CSMRNZ57A03L501Z</v>
      </c>
      <c r="N66" s="6" t="s">
        <v>151</v>
      </c>
      <c r="O66" s="6" t="s">
        <v>95</v>
      </c>
      <c r="P66" s="7">
        <v>43228</v>
      </c>
      <c r="Q66" s="6" t="s">
        <v>30</v>
      </c>
      <c r="R66" s="6" t="s">
        <v>31</v>
      </c>
      <c r="S66" s="6" t="s">
        <v>32</v>
      </c>
      <c r="T66" s="6">
        <v>99.55</v>
      </c>
      <c r="U66" s="6">
        <v>42.93</v>
      </c>
      <c r="V66" s="6">
        <v>39.64</v>
      </c>
      <c r="W66" s="6">
        <v>0</v>
      </c>
      <c r="X66" s="6">
        <v>16.98</v>
      </c>
    </row>
    <row r="67" spans="1:24" ht="24.75" x14ac:dyDescent="0.25">
      <c r="A67" s="6" t="s">
        <v>25</v>
      </c>
      <c r="B67" s="6" t="s">
        <v>26</v>
      </c>
      <c r="C67" s="6" t="s">
        <v>46</v>
      </c>
      <c r="D67" s="6" t="s">
        <v>56</v>
      </c>
      <c r="E67" s="6" t="s">
        <v>39</v>
      </c>
      <c r="F67" s="6" t="s">
        <v>152</v>
      </c>
      <c r="G67" s="6">
        <v>2017</v>
      </c>
      <c r="H67" s="6" t="str">
        <f>CONCATENATE("74780067950")</f>
        <v>74780067950</v>
      </c>
      <c r="I67" s="6" t="s">
        <v>28</v>
      </c>
      <c r="J67" s="6" t="s">
        <v>29</v>
      </c>
      <c r="K67" s="6" t="str">
        <f>CONCATENATE("221")</f>
        <v>221</v>
      </c>
      <c r="L67" s="6" t="str">
        <f>CONCATENATE("8 8.1 5e")</f>
        <v>8 8.1 5e</v>
      </c>
      <c r="M67" s="6" t="str">
        <f>CONCATENATE("CCCSRG45E31F136P")</f>
        <v>CCCSRG45E31F136P</v>
      </c>
      <c r="N67" s="6" t="s">
        <v>153</v>
      </c>
      <c r="O67" s="6" t="s">
        <v>95</v>
      </c>
      <c r="P67" s="7">
        <v>43228</v>
      </c>
      <c r="Q67" s="6" t="s">
        <v>30</v>
      </c>
      <c r="R67" s="6" t="s">
        <v>31</v>
      </c>
      <c r="S67" s="6" t="s">
        <v>32</v>
      </c>
      <c r="T67" s="6">
        <v>847.58</v>
      </c>
      <c r="U67" s="6">
        <v>365.48</v>
      </c>
      <c r="V67" s="6">
        <v>337.51</v>
      </c>
      <c r="W67" s="6">
        <v>0</v>
      </c>
      <c r="X67" s="6">
        <v>144.59</v>
      </c>
    </row>
    <row r="68" spans="1:24" x14ac:dyDescent="0.25">
      <c r="A68" s="6" t="s">
        <v>25</v>
      </c>
      <c r="B68" s="6" t="s">
        <v>26</v>
      </c>
      <c r="C68" s="6" t="s">
        <v>46</v>
      </c>
      <c r="D68" s="6" t="s">
        <v>52</v>
      </c>
      <c r="E68" s="6" t="s">
        <v>33</v>
      </c>
      <c r="F68" s="6" t="s">
        <v>105</v>
      </c>
      <c r="G68" s="6">
        <v>2017</v>
      </c>
      <c r="H68" s="6" t="str">
        <f>CONCATENATE("74780069162")</f>
        <v>74780069162</v>
      </c>
      <c r="I68" s="6" t="s">
        <v>28</v>
      </c>
      <c r="J68" s="6" t="s">
        <v>29</v>
      </c>
      <c r="K68" s="6" t="str">
        <f>CONCATENATE("221")</f>
        <v>221</v>
      </c>
      <c r="L68" s="6" t="str">
        <f>CONCATENATE("8 8.1 5e")</f>
        <v>8 8.1 5e</v>
      </c>
      <c r="M68" s="6" t="str">
        <f>CONCATENATE("GSTDNL64C68G436H")</f>
        <v>GSTDNL64C68G436H</v>
      </c>
      <c r="N68" s="6" t="s">
        <v>154</v>
      </c>
      <c r="O68" s="6" t="s">
        <v>95</v>
      </c>
      <c r="P68" s="7">
        <v>43228</v>
      </c>
      <c r="Q68" s="6" t="s">
        <v>30</v>
      </c>
      <c r="R68" s="6" t="s">
        <v>31</v>
      </c>
      <c r="S68" s="6" t="s">
        <v>32</v>
      </c>
      <c r="T68" s="6">
        <v>139.37</v>
      </c>
      <c r="U68" s="6">
        <v>60.1</v>
      </c>
      <c r="V68" s="6">
        <v>55.5</v>
      </c>
      <c r="W68" s="6">
        <v>0</v>
      </c>
      <c r="X68" s="6">
        <v>23.77</v>
      </c>
    </row>
    <row r="69" spans="1:24" ht="24.75" x14ac:dyDescent="0.25">
      <c r="A69" s="6" t="s">
        <v>25</v>
      </c>
      <c r="B69" s="6" t="s">
        <v>26</v>
      </c>
      <c r="C69" s="6" t="s">
        <v>46</v>
      </c>
      <c r="D69" s="6" t="s">
        <v>59</v>
      </c>
      <c r="E69" s="6" t="s">
        <v>33</v>
      </c>
      <c r="F69" s="6" t="s">
        <v>69</v>
      </c>
      <c r="G69" s="6">
        <v>2017</v>
      </c>
      <c r="H69" s="6" t="str">
        <f>CONCATENATE("74780065889")</f>
        <v>74780065889</v>
      </c>
      <c r="I69" s="6" t="s">
        <v>28</v>
      </c>
      <c r="J69" s="6" t="s">
        <v>29</v>
      </c>
      <c r="K69" s="6" t="str">
        <f>CONCATENATE("221")</f>
        <v>221</v>
      </c>
      <c r="L69" s="6" t="str">
        <f>CONCATENATE("8 8.1 5e")</f>
        <v>8 8.1 5e</v>
      </c>
      <c r="M69" s="6" t="str">
        <f>CONCATENATE("NGLPLA74S17D451N")</f>
        <v>NGLPLA74S17D451N</v>
      </c>
      <c r="N69" s="6" t="s">
        <v>155</v>
      </c>
      <c r="O69" s="6" t="s">
        <v>95</v>
      </c>
      <c r="P69" s="7">
        <v>43228</v>
      </c>
      <c r="Q69" s="6" t="s">
        <v>30</v>
      </c>
      <c r="R69" s="6" t="s">
        <v>31</v>
      </c>
      <c r="S69" s="6" t="s">
        <v>32</v>
      </c>
      <c r="T69" s="6">
        <v>130.38999999999999</v>
      </c>
      <c r="U69" s="6">
        <v>56.22</v>
      </c>
      <c r="V69" s="6">
        <v>51.92</v>
      </c>
      <c r="W69" s="6">
        <v>0</v>
      </c>
      <c r="X69" s="6">
        <v>22.25</v>
      </c>
    </row>
    <row r="70" spans="1:24" x14ac:dyDescent="0.25">
      <c r="A70" s="6" t="s">
        <v>25</v>
      </c>
      <c r="B70" s="6" t="s">
        <v>26</v>
      </c>
      <c r="C70" s="6" t="s">
        <v>46</v>
      </c>
      <c r="D70" s="6" t="s">
        <v>52</v>
      </c>
      <c r="E70" s="6" t="s">
        <v>39</v>
      </c>
      <c r="F70" s="6" t="s">
        <v>156</v>
      </c>
      <c r="G70" s="6">
        <v>2017</v>
      </c>
      <c r="H70" s="6" t="str">
        <f>CONCATENATE("74780031857")</f>
        <v>74780031857</v>
      </c>
      <c r="I70" s="6" t="s">
        <v>28</v>
      </c>
      <c r="J70" s="6" t="s">
        <v>29</v>
      </c>
      <c r="K70" s="6" t="str">
        <f>CONCATENATE("221")</f>
        <v>221</v>
      </c>
      <c r="L70" s="6" t="str">
        <f>CONCATENATE("8 8.1 5e")</f>
        <v>8 8.1 5e</v>
      </c>
      <c r="M70" s="6" t="str">
        <f>CONCATENATE("GRLGNI35D15I651B")</f>
        <v>GRLGNI35D15I651B</v>
      </c>
      <c r="N70" s="6" t="s">
        <v>157</v>
      </c>
      <c r="O70" s="6" t="s">
        <v>95</v>
      </c>
      <c r="P70" s="7">
        <v>43228</v>
      </c>
      <c r="Q70" s="6" t="s">
        <v>30</v>
      </c>
      <c r="R70" s="6" t="s">
        <v>31</v>
      </c>
      <c r="S70" s="6" t="s">
        <v>32</v>
      </c>
      <c r="T70" s="6">
        <v>354</v>
      </c>
      <c r="U70" s="6">
        <v>152.63999999999999</v>
      </c>
      <c r="V70" s="6">
        <v>140.96</v>
      </c>
      <c r="W70" s="6">
        <v>0</v>
      </c>
      <c r="X70" s="6">
        <v>60.4</v>
      </c>
    </row>
    <row r="71" spans="1:24" ht="24.75" x14ac:dyDescent="0.25">
      <c r="A71" s="6" t="s">
        <v>25</v>
      </c>
      <c r="B71" s="6" t="s">
        <v>26</v>
      </c>
      <c r="C71" s="6" t="s">
        <v>46</v>
      </c>
      <c r="D71" s="6" t="s">
        <v>59</v>
      </c>
      <c r="E71" s="6" t="s">
        <v>39</v>
      </c>
      <c r="F71" s="6" t="s">
        <v>139</v>
      </c>
      <c r="G71" s="6">
        <v>2017</v>
      </c>
      <c r="H71" s="6" t="str">
        <f>CONCATENATE("74780007600")</f>
        <v>74780007600</v>
      </c>
      <c r="I71" s="6" t="s">
        <v>28</v>
      </c>
      <c r="J71" s="6" t="s">
        <v>29</v>
      </c>
      <c r="K71" s="6" t="str">
        <f>CONCATENATE("221")</f>
        <v>221</v>
      </c>
      <c r="L71" s="6" t="str">
        <f>CONCATENATE("8 8.1 5e")</f>
        <v>8 8.1 5e</v>
      </c>
      <c r="M71" s="6" t="str">
        <f>CONCATENATE("BGLGCR60R15D211G")</f>
        <v>BGLGCR60R15D211G</v>
      </c>
      <c r="N71" s="6" t="s">
        <v>158</v>
      </c>
      <c r="O71" s="6" t="s">
        <v>95</v>
      </c>
      <c r="P71" s="7">
        <v>43228</v>
      </c>
      <c r="Q71" s="6" t="s">
        <v>30</v>
      </c>
      <c r="R71" s="6" t="s">
        <v>31</v>
      </c>
      <c r="S71" s="6" t="s">
        <v>32</v>
      </c>
      <c r="T71" s="6">
        <v>175.67</v>
      </c>
      <c r="U71" s="6">
        <v>75.75</v>
      </c>
      <c r="V71" s="6">
        <v>69.95</v>
      </c>
      <c r="W71" s="6">
        <v>0</v>
      </c>
      <c r="X71" s="6">
        <v>29.97</v>
      </c>
    </row>
    <row r="72" spans="1:24" ht="24.75" x14ac:dyDescent="0.25">
      <c r="A72" s="6" t="s">
        <v>25</v>
      </c>
      <c r="B72" s="6" t="s">
        <v>26</v>
      </c>
      <c r="C72" s="6" t="s">
        <v>46</v>
      </c>
      <c r="D72" s="6" t="s">
        <v>59</v>
      </c>
      <c r="E72" s="6" t="s">
        <v>35</v>
      </c>
      <c r="F72" s="6" t="s">
        <v>98</v>
      </c>
      <c r="G72" s="6">
        <v>2017</v>
      </c>
      <c r="H72" s="6" t="str">
        <f>CONCATENATE("74780056227")</f>
        <v>74780056227</v>
      </c>
      <c r="I72" s="6" t="s">
        <v>28</v>
      </c>
      <c r="J72" s="6" t="s">
        <v>29</v>
      </c>
      <c r="K72" s="6" t="str">
        <f>CONCATENATE("221")</f>
        <v>221</v>
      </c>
      <c r="L72" s="6" t="str">
        <f>CONCATENATE("8 8.1 5e")</f>
        <v>8 8.1 5e</v>
      </c>
      <c r="M72" s="6" t="str">
        <f>CONCATENATE("CRBPRZ61M70G771M")</f>
        <v>CRBPRZ61M70G771M</v>
      </c>
      <c r="N72" s="6" t="s">
        <v>159</v>
      </c>
      <c r="O72" s="6" t="s">
        <v>95</v>
      </c>
      <c r="P72" s="7">
        <v>43228</v>
      </c>
      <c r="Q72" s="6" t="s">
        <v>30</v>
      </c>
      <c r="R72" s="6" t="s">
        <v>31</v>
      </c>
      <c r="S72" s="6" t="s">
        <v>32</v>
      </c>
      <c r="T72" s="8">
        <v>1651.2</v>
      </c>
      <c r="U72" s="6">
        <v>712</v>
      </c>
      <c r="V72" s="6">
        <v>657.51</v>
      </c>
      <c r="W72" s="6">
        <v>0</v>
      </c>
      <c r="X72" s="6">
        <v>281.69</v>
      </c>
    </row>
    <row r="73" spans="1:24" ht="24.75" x14ac:dyDescent="0.25">
      <c r="A73" s="6" t="s">
        <v>25</v>
      </c>
      <c r="B73" s="6" t="s">
        <v>26</v>
      </c>
      <c r="C73" s="6" t="s">
        <v>46</v>
      </c>
      <c r="D73" s="6" t="s">
        <v>59</v>
      </c>
      <c r="E73" s="6" t="s">
        <v>33</v>
      </c>
      <c r="F73" s="6" t="s">
        <v>160</v>
      </c>
      <c r="G73" s="6">
        <v>2017</v>
      </c>
      <c r="H73" s="6" t="str">
        <f>CONCATENATE("74780041377")</f>
        <v>74780041377</v>
      </c>
      <c r="I73" s="6" t="s">
        <v>28</v>
      </c>
      <c r="J73" s="6" t="s">
        <v>29</v>
      </c>
      <c r="K73" s="6" t="str">
        <f>CONCATENATE("221")</f>
        <v>221</v>
      </c>
      <c r="L73" s="6" t="str">
        <f>CONCATENATE("8 8.1 5e")</f>
        <v>8 8.1 5e</v>
      </c>
      <c r="M73" s="6" t="str">
        <f>CONCATENATE("SNTPTR42H29A271S")</f>
        <v>SNTPTR42H29A271S</v>
      </c>
      <c r="N73" s="6" t="s">
        <v>161</v>
      </c>
      <c r="O73" s="6" t="s">
        <v>95</v>
      </c>
      <c r="P73" s="7">
        <v>43228</v>
      </c>
      <c r="Q73" s="6" t="s">
        <v>30</v>
      </c>
      <c r="R73" s="6" t="s">
        <v>31</v>
      </c>
      <c r="S73" s="6" t="s">
        <v>32</v>
      </c>
      <c r="T73" s="6">
        <v>335.04</v>
      </c>
      <c r="U73" s="6">
        <v>144.47</v>
      </c>
      <c r="V73" s="6">
        <v>133.41</v>
      </c>
      <c r="W73" s="6">
        <v>0</v>
      </c>
      <c r="X73" s="6">
        <v>57.16</v>
      </c>
    </row>
    <row r="74" spans="1:24" ht="24.75" x14ac:dyDescent="0.25">
      <c r="A74" s="6" t="s">
        <v>25</v>
      </c>
      <c r="B74" s="6" t="s">
        <v>26</v>
      </c>
      <c r="C74" s="6" t="s">
        <v>46</v>
      </c>
      <c r="D74" s="6" t="s">
        <v>59</v>
      </c>
      <c r="E74" s="6" t="s">
        <v>33</v>
      </c>
      <c r="F74" s="6" t="s">
        <v>121</v>
      </c>
      <c r="G74" s="6">
        <v>2017</v>
      </c>
      <c r="H74" s="6" t="str">
        <f>CONCATENATE("74780050816")</f>
        <v>74780050816</v>
      </c>
      <c r="I74" s="6" t="s">
        <v>28</v>
      </c>
      <c r="J74" s="6" t="s">
        <v>29</v>
      </c>
      <c r="K74" s="6" t="str">
        <f>CONCATENATE("221")</f>
        <v>221</v>
      </c>
      <c r="L74" s="6" t="str">
        <f>CONCATENATE("8 8.1 5e")</f>
        <v>8 8.1 5e</v>
      </c>
      <c r="M74" s="6" t="str">
        <f>CONCATENATE("GGLCLD57B01E388O")</f>
        <v>GGLCLD57B01E388O</v>
      </c>
      <c r="N74" s="6" t="s">
        <v>162</v>
      </c>
      <c r="O74" s="6" t="s">
        <v>95</v>
      </c>
      <c r="P74" s="7">
        <v>43228</v>
      </c>
      <c r="Q74" s="6" t="s">
        <v>30</v>
      </c>
      <c r="R74" s="6" t="s">
        <v>31</v>
      </c>
      <c r="S74" s="6" t="s">
        <v>32</v>
      </c>
      <c r="T74" s="6">
        <v>170.23</v>
      </c>
      <c r="U74" s="6">
        <v>73.400000000000006</v>
      </c>
      <c r="V74" s="6">
        <v>67.790000000000006</v>
      </c>
      <c r="W74" s="6">
        <v>0</v>
      </c>
      <c r="X74" s="6">
        <v>29.04</v>
      </c>
    </row>
    <row r="75" spans="1:24" ht="24.75" x14ac:dyDescent="0.25">
      <c r="A75" s="6" t="s">
        <v>25</v>
      </c>
      <c r="B75" s="6" t="s">
        <v>26</v>
      </c>
      <c r="C75" s="6" t="s">
        <v>46</v>
      </c>
      <c r="D75" s="6" t="s">
        <v>59</v>
      </c>
      <c r="E75" s="6" t="s">
        <v>33</v>
      </c>
      <c r="F75" s="6" t="s">
        <v>121</v>
      </c>
      <c r="G75" s="6">
        <v>2017</v>
      </c>
      <c r="H75" s="6" t="str">
        <f>CONCATENATE("74780050915")</f>
        <v>74780050915</v>
      </c>
      <c r="I75" s="6" t="s">
        <v>28</v>
      </c>
      <c r="J75" s="6" t="s">
        <v>29</v>
      </c>
      <c r="K75" s="6" t="str">
        <f>CONCATENATE("221")</f>
        <v>221</v>
      </c>
      <c r="L75" s="6" t="str">
        <f>CONCATENATE("8 8.1 5e")</f>
        <v>8 8.1 5e</v>
      </c>
      <c r="M75" s="6" t="str">
        <f>CONCATENATE("GGLMPN52P47E388A")</f>
        <v>GGLMPN52P47E388A</v>
      </c>
      <c r="N75" s="6" t="s">
        <v>163</v>
      </c>
      <c r="O75" s="6" t="s">
        <v>95</v>
      </c>
      <c r="P75" s="7">
        <v>43228</v>
      </c>
      <c r="Q75" s="6" t="s">
        <v>30</v>
      </c>
      <c r="R75" s="6" t="s">
        <v>31</v>
      </c>
      <c r="S75" s="6" t="s">
        <v>32</v>
      </c>
      <c r="T75" s="6">
        <v>173.86</v>
      </c>
      <c r="U75" s="6">
        <v>74.97</v>
      </c>
      <c r="V75" s="6">
        <v>69.23</v>
      </c>
      <c r="W75" s="6">
        <v>0</v>
      </c>
      <c r="X75" s="6">
        <v>29.66</v>
      </c>
    </row>
    <row r="76" spans="1:24" ht="24.75" x14ac:dyDescent="0.25">
      <c r="A76" s="6" t="s">
        <v>25</v>
      </c>
      <c r="B76" s="6" t="s">
        <v>26</v>
      </c>
      <c r="C76" s="6" t="s">
        <v>46</v>
      </c>
      <c r="D76" s="6" t="s">
        <v>59</v>
      </c>
      <c r="E76" s="6" t="s">
        <v>33</v>
      </c>
      <c r="F76" s="6" t="s">
        <v>69</v>
      </c>
      <c r="G76" s="6">
        <v>2017</v>
      </c>
      <c r="H76" s="6" t="str">
        <f>CONCATENATE("74780051475")</f>
        <v>74780051475</v>
      </c>
      <c r="I76" s="6" t="s">
        <v>28</v>
      </c>
      <c r="J76" s="6" t="s">
        <v>29</v>
      </c>
      <c r="K76" s="6" t="str">
        <f>CONCATENATE("221")</f>
        <v>221</v>
      </c>
      <c r="L76" s="6" t="str">
        <f>CONCATENATE("8 8.1 5e")</f>
        <v>8 8.1 5e</v>
      </c>
      <c r="M76" s="6" t="str">
        <f>CONCATENATE("01292470422")</f>
        <v>01292470422</v>
      </c>
      <c r="N76" s="6" t="s">
        <v>164</v>
      </c>
      <c r="O76" s="6" t="s">
        <v>95</v>
      </c>
      <c r="P76" s="7">
        <v>43228</v>
      </c>
      <c r="Q76" s="6" t="s">
        <v>30</v>
      </c>
      <c r="R76" s="6" t="s">
        <v>31</v>
      </c>
      <c r="S76" s="6" t="s">
        <v>32</v>
      </c>
      <c r="T76" s="8">
        <v>2068</v>
      </c>
      <c r="U76" s="6">
        <v>891.72</v>
      </c>
      <c r="V76" s="6">
        <v>823.48</v>
      </c>
      <c r="W76" s="6">
        <v>0</v>
      </c>
      <c r="X76" s="6">
        <v>352.8</v>
      </c>
    </row>
    <row r="77" spans="1:24" ht="24.75" x14ac:dyDescent="0.25">
      <c r="A77" s="6" t="s">
        <v>25</v>
      </c>
      <c r="B77" s="6" t="s">
        <v>26</v>
      </c>
      <c r="C77" s="6" t="s">
        <v>46</v>
      </c>
      <c r="D77" s="6" t="s">
        <v>56</v>
      </c>
      <c r="E77" s="6" t="s">
        <v>39</v>
      </c>
      <c r="F77" s="6" t="s">
        <v>165</v>
      </c>
      <c r="G77" s="6">
        <v>2017</v>
      </c>
      <c r="H77" s="6" t="str">
        <f>CONCATENATE("74780082165")</f>
        <v>74780082165</v>
      </c>
      <c r="I77" s="6" t="s">
        <v>28</v>
      </c>
      <c r="J77" s="6" t="s">
        <v>29</v>
      </c>
      <c r="K77" s="6" t="str">
        <f>CONCATENATE("221")</f>
        <v>221</v>
      </c>
      <c r="L77" s="6" t="str">
        <f>CONCATENATE("8 8.1 5e")</f>
        <v>8 8.1 5e</v>
      </c>
      <c r="M77" s="6" t="str">
        <f>CONCATENATE("JNSSTP79E17Z105C")</f>
        <v>JNSSTP79E17Z105C</v>
      </c>
      <c r="N77" s="6" t="s">
        <v>166</v>
      </c>
      <c r="O77" s="6" t="s">
        <v>95</v>
      </c>
      <c r="P77" s="7">
        <v>43228</v>
      </c>
      <c r="Q77" s="6" t="s">
        <v>30</v>
      </c>
      <c r="R77" s="6" t="s">
        <v>31</v>
      </c>
      <c r="S77" s="6" t="s">
        <v>32</v>
      </c>
      <c r="T77" s="6">
        <v>340.7</v>
      </c>
      <c r="U77" s="6">
        <v>146.91</v>
      </c>
      <c r="V77" s="6">
        <v>135.66999999999999</v>
      </c>
      <c r="W77" s="6">
        <v>0</v>
      </c>
      <c r="X77" s="6">
        <v>58.12</v>
      </c>
    </row>
    <row r="78" spans="1:24" ht="24.75" x14ac:dyDescent="0.25">
      <c r="A78" s="6" t="s">
        <v>25</v>
      </c>
      <c r="B78" s="6" t="s">
        <v>26</v>
      </c>
      <c r="C78" s="6" t="s">
        <v>46</v>
      </c>
      <c r="D78" s="6" t="s">
        <v>59</v>
      </c>
      <c r="E78" s="6" t="s">
        <v>33</v>
      </c>
      <c r="F78" s="6" t="s">
        <v>71</v>
      </c>
      <c r="G78" s="6">
        <v>2017</v>
      </c>
      <c r="H78" s="6" t="str">
        <f>CONCATENATE("74780031543")</f>
        <v>74780031543</v>
      </c>
      <c r="I78" s="6" t="s">
        <v>28</v>
      </c>
      <c r="J78" s="6" t="s">
        <v>29</v>
      </c>
      <c r="K78" s="6" t="str">
        <f>CONCATENATE("221")</f>
        <v>221</v>
      </c>
      <c r="L78" s="6" t="str">
        <f>CONCATENATE("8 8.1 5e")</f>
        <v>8 8.1 5e</v>
      </c>
      <c r="M78" s="6" t="str">
        <f>CONCATENATE("SVRQNT29S28I932Y")</f>
        <v>SVRQNT29S28I932Y</v>
      </c>
      <c r="N78" s="6" t="s">
        <v>167</v>
      </c>
      <c r="O78" s="6" t="s">
        <v>95</v>
      </c>
      <c r="P78" s="7">
        <v>43228</v>
      </c>
      <c r="Q78" s="6" t="s">
        <v>30</v>
      </c>
      <c r="R78" s="6" t="s">
        <v>31</v>
      </c>
      <c r="S78" s="6" t="s">
        <v>32</v>
      </c>
      <c r="T78" s="6">
        <v>921.6</v>
      </c>
      <c r="U78" s="6">
        <v>397.39</v>
      </c>
      <c r="V78" s="6">
        <v>366.98</v>
      </c>
      <c r="W78" s="6">
        <v>0</v>
      </c>
      <c r="X78" s="6">
        <v>157.22999999999999</v>
      </c>
    </row>
    <row r="79" spans="1:24" ht="24.75" x14ac:dyDescent="0.25">
      <c r="A79" s="6" t="s">
        <v>25</v>
      </c>
      <c r="B79" s="6" t="s">
        <v>26</v>
      </c>
      <c r="C79" s="6" t="s">
        <v>46</v>
      </c>
      <c r="D79" s="6" t="s">
        <v>59</v>
      </c>
      <c r="E79" s="6" t="s">
        <v>33</v>
      </c>
      <c r="F79" s="6" t="s">
        <v>69</v>
      </c>
      <c r="G79" s="6">
        <v>2017</v>
      </c>
      <c r="H79" s="6" t="str">
        <f>CONCATENATE("74780065541")</f>
        <v>74780065541</v>
      </c>
      <c r="I79" s="6" t="s">
        <v>28</v>
      </c>
      <c r="J79" s="6" t="s">
        <v>29</v>
      </c>
      <c r="K79" s="6" t="str">
        <f>CONCATENATE("221")</f>
        <v>221</v>
      </c>
      <c r="L79" s="6" t="str">
        <f>CONCATENATE("8 8.1 5e")</f>
        <v>8 8.1 5e</v>
      </c>
      <c r="M79" s="6" t="str">
        <f>CONCATENATE("BLDNNN29C15B385W")</f>
        <v>BLDNNN29C15B385W</v>
      </c>
      <c r="N79" s="6" t="s">
        <v>168</v>
      </c>
      <c r="O79" s="6" t="s">
        <v>95</v>
      </c>
      <c r="P79" s="7">
        <v>43228</v>
      </c>
      <c r="Q79" s="6" t="s">
        <v>30</v>
      </c>
      <c r="R79" s="6" t="s">
        <v>31</v>
      </c>
      <c r="S79" s="6" t="s">
        <v>32</v>
      </c>
      <c r="T79" s="6">
        <v>153.93</v>
      </c>
      <c r="U79" s="6">
        <v>66.37</v>
      </c>
      <c r="V79" s="6">
        <v>61.29</v>
      </c>
      <c r="W79" s="6">
        <v>0</v>
      </c>
      <c r="X79" s="6">
        <v>26.27</v>
      </c>
    </row>
    <row r="80" spans="1:24" ht="24.75" x14ac:dyDescent="0.25">
      <c r="A80" s="6" t="s">
        <v>25</v>
      </c>
      <c r="B80" s="6" t="s">
        <v>26</v>
      </c>
      <c r="C80" s="6" t="s">
        <v>46</v>
      </c>
      <c r="D80" s="6" t="s">
        <v>59</v>
      </c>
      <c r="E80" s="6" t="s">
        <v>33</v>
      </c>
      <c r="F80" s="6" t="s">
        <v>121</v>
      </c>
      <c r="G80" s="6">
        <v>2017</v>
      </c>
      <c r="H80" s="6" t="str">
        <f>CONCATENATE("74780051137")</f>
        <v>74780051137</v>
      </c>
      <c r="I80" s="6" t="s">
        <v>28</v>
      </c>
      <c r="J80" s="6" t="s">
        <v>29</v>
      </c>
      <c r="K80" s="6" t="str">
        <f>CONCATENATE("221")</f>
        <v>221</v>
      </c>
      <c r="L80" s="6" t="str">
        <f>CONCATENATE("8 8.1 5e")</f>
        <v>8 8.1 5e</v>
      </c>
      <c r="M80" s="6" t="str">
        <f>CONCATENATE("TGNGNN87C16E388I")</f>
        <v>TGNGNN87C16E388I</v>
      </c>
      <c r="N80" s="6" t="s">
        <v>169</v>
      </c>
      <c r="O80" s="6" t="s">
        <v>95</v>
      </c>
      <c r="P80" s="7">
        <v>43228</v>
      </c>
      <c r="Q80" s="6" t="s">
        <v>30</v>
      </c>
      <c r="R80" s="6" t="s">
        <v>31</v>
      </c>
      <c r="S80" s="6" t="s">
        <v>32</v>
      </c>
      <c r="T80" s="8">
        <v>1731.9</v>
      </c>
      <c r="U80" s="6">
        <v>746.8</v>
      </c>
      <c r="V80" s="6">
        <v>689.64</v>
      </c>
      <c r="W80" s="6">
        <v>0</v>
      </c>
      <c r="X80" s="6">
        <v>295.45999999999998</v>
      </c>
    </row>
    <row r="81" spans="1:24" ht="24.75" x14ac:dyDescent="0.25">
      <c r="A81" s="6" t="s">
        <v>25</v>
      </c>
      <c r="B81" s="6" t="s">
        <v>26</v>
      </c>
      <c r="C81" s="6" t="s">
        <v>46</v>
      </c>
      <c r="D81" s="6" t="s">
        <v>59</v>
      </c>
      <c r="E81" s="6" t="s">
        <v>27</v>
      </c>
      <c r="F81" s="6" t="s">
        <v>74</v>
      </c>
      <c r="G81" s="6">
        <v>2017</v>
      </c>
      <c r="H81" s="6" t="str">
        <f>CONCATENATE("74780021411")</f>
        <v>74780021411</v>
      </c>
      <c r="I81" s="6" t="s">
        <v>28</v>
      </c>
      <c r="J81" s="6" t="s">
        <v>29</v>
      </c>
      <c r="K81" s="6" t="str">
        <f>CONCATENATE("221")</f>
        <v>221</v>
      </c>
      <c r="L81" s="6" t="str">
        <f>CONCATENATE("8 8.1 5e")</f>
        <v>8 8.1 5e</v>
      </c>
      <c r="M81" s="6" t="str">
        <f>CONCATENATE("BRVSNL55R51I608T")</f>
        <v>BRVSNL55R51I608T</v>
      </c>
      <c r="N81" s="6" t="s">
        <v>170</v>
      </c>
      <c r="O81" s="6" t="s">
        <v>95</v>
      </c>
      <c r="P81" s="7">
        <v>43228</v>
      </c>
      <c r="Q81" s="6" t="s">
        <v>30</v>
      </c>
      <c r="R81" s="6" t="s">
        <v>31</v>
      </c>
      <c r="S81" s="6" t="s">
        <v>32</v>
      </c>
      <c r="T81" s="8">
        <v>2201.6</v>
      </c>
      <c r="U81" s="6">
        <v>949.33</v>
      </c>
      <c r="V81" s="6">
        <v>876.68</v>
      </c>
      <c r="W81" s="6">
        <v>0</v>
      </c>
      <c r="X81" s="6">
        <v>375.59</v>
      </c>
    </row>
    <row r="82" spans="1:24" ht="24.75" x14ac:dyDescent="0.25">
      <c r="A82" s="6" t="s">
        <v>25</v>
      </c>
      <c r="B82" s="6" t="s">
        <v>26</v>
      </c>
      <c r="C82" s="6" t="s">
        <v>46</v>
      </c>
      <c r="D82" s="6" t="s">
        <v>59</v>
      </c>
      <c r="E82" s="6" t="s">
        <v>33</v>
      </c>
      <c r="F82" s="6" t="s">
        <v>121</v>
      </c>
      <c r="G82" s="6">
        <v>2017</v>
      </c>
      <c r="H82" s="6" t="str">
        <f>CONCATENATE("74780050832")</f>
        <v>74780050832</v>
      </c>
      <c r="I82" s="6" t="s">
        <v>28</v>
      </c>
      <c r="J82" s="6" t="s">
        <v>29</v>
      </c>
      <c r="K82" s="6" t="str">
        <f>CONCATENATE("221")</f>
        <v>221</v>
      </c>
      <c r="L82" s="6" t="str">
        <f>CONCATENATE("8 8.1 5e")</f>
        <v>8 8.1 5e</v>
      </c>
      <c r="M82" s="6" t="str">
        <f>CONCATENATE("BGTRRT71E09E388U")</f>
        <v>BGTRRT71E09E388U</v>
      </c>
      <c r="N82" s="6" t="s">
        <v>171</v>
      </c>
      <c r="O82" s="6" t="s">
        <v>95</v>
      </c>
      <c r="P82" s="7">
        <v>43228</v>
      </c>
      <c r="Q82" s="6" t="s">
        <v>30</v>
      </c>
      <c r="R82" s="6" t="s">
        <v>31</v>
      </c>
      <c r="S82" s="6" t="s">
        <v>32</v>
      </c>
      <c r="T82" s="6">
        <v>244.49</v>
      </c>
      <c r="U82" s="6">
        <v>105.42</v>
      </c>
      <c r="V82" s="6">
        <v>97.36</v>
      </c>
      <c r="W82" s="6">
        <v>0</v>
      </c>
      <c r="X82" s="6">
        <v>41.71</v>
      </c>
    </row>
    <row r="83" spans="1:24" ht="24.75" x14ac:dyDescent="0.25">
      <c r="A83" s="6" t="s">
        <v>25</v>
      </c>
      <c r="B83" s="6" t="s">
        <v>26</v>
      </c>
      <c r="C83" s="6" t="s">
        <v>46</v>
      </c>
      <c r="D83" s="6" t="s">
        <v>56</v>
      </c>
      <c r="E83" s="6" t="s">
        <v>35</v>
      </c>
      <c r="F83" s="6" t="s">
        <v>172</v>
      </c>
      <c r="G83" s="6">
        <v>2017</v>
      </c>
      <c r="H83" s="6" t="str">
        <f>CONCATENATE("74780076514")</f>
        <v>74780076514</v>
      </c>
      <c r="I83" s="6" t="s">
        <v>34</v>
      </c>
      <c r="J83" s="6" t="s">
        <v>29</v>
      </c>
      <c r="K83" s="6" t="str">
        <f>CONCATENATE("221")</f>
        <v>221</v>
      </c>
      <c r="L83" s="6" t="str">
        <f>CONCATENATE("8 8.1 5e")</f>
        <v>8 8.1 5e</v>
      </c>
      <c r="M83" s="6" t="str">
        <f>CONCATENATE("MNGSNT40A50L500O")</f>
        <v>MNGSNT40A50L500O</v>
      </c>
      <c r="N83" s="6" t="s">
        <v>173</v>
      </c>
      <c r="O83" s="6" t="s">
        <v>95</v>
      </c>
      <c r="P83" s="7">
        <v>43228</v>
      </c>
      <c r="Q83" s="6" t="s">
        <v>30</v>
      </c>
      <c r="R83" s="6" t="s">
        <v>31</v>
      </c>
      <c r="S83" s="6" t="s">
        <v>32</v>
      </c>
      <c r="T83" s="6">
        <v>874.8</v>
      </c>
      <c r="U83" s="6">
        <v>377.21</v>
      </c>
      <c r="V83" s="6">
        <v>348.35</v>
      </c>
      <c r="W83" s="6">
        <v>0</v>
      </c>
      <c r="X83" s="6">
        <v>149.24</v>
      </c>
    </row>
    <row r="84" spans="1:24" x14ac:dyDescent="0.25">
      <c r="A84" s="6" t="s">
        <v>25</v>
      </c>
      <c r="B84" s="6" t="s">
        <v>26</v>
      </c>
      <c r="C84" s="6" t="s">
        <v>46</v>
      </c>
      <c r="D84" s="6" t="s">
        <v>52</v>
      </c>
      <c r="E84" s="6" t="s">
        <v>43</v>
      </c>
      <c r="F84" s="6" t="s">
        <v>130</v>
      </c>
      <c r="G84" s="6">
        <v>2017</v>
      </c>
      <c r="H84" s="6" t="str">
        <f>CONCATENATE("74780056037")</f>
        <v>74780056037</v>
      </c>
      <c r="I84" s="6" t="s">
        <v>28</v>
      </c>
      <c r="J84" s="6" t="s">
        <v>29</v>
      </c>
      <c r="K84" s="6" t="str">
        <f>CONCATENATE("221")</f>
        <v>221</v>
      </c>
      <c r="L84" s="6" t="str">
        <f>CONCATENATE("8 8.1 5e")</f>
        <v>8 8.1 5e</v>
      </c>
      <c r="M84" s="6" t="str">
        <f>CONCATENATE("NTNMLL75T66E783X")</f>
        <v>NTNMLL75T66E783X</v>
      </c>
      <c r="N84" s="6" t="s">
        <v>174</v>
      </c>
      <c r="O84" s="6" t="s">
        <v>95</v>
      </c>
      <c r="P84" s="7">
        <v>43228</v>
      </c>
      <c r="Q84" s="6" t="s">
        <v>30</v>
      </c>
      <c r="R84" s="6" t="s">
        <v>31</v>
      </c>
      <c r="S84" s="6" t="s">
        <v>32</v>
      </c>
      <c r="T84" s="6">
        <v>79.64</v>
      </c>
      <c r="U84" s="6">
        <v>34.340000000000003</v>
      </c>
      <c r="V84" s="6">
        <v>31.71</v>
      </c>
      <c r="W84" s="6">
        <v>0</v>
      </c>
      <c r="X84" s="6">
        <v>13.59</v>
      </c>
    </row>
    <row r="85" spans="1:24" x14ac:dyDescent="0.25">
      <c r="A85" s="6" t="s">
        <v>25</v>
      </c>
      <c r="B85" s="6" t="s">
        <v>26</v>
      </c>
      <c r="C85" s="6" t="s">
        <v>46</v>
      </c>
      <c r="D85" s="6" t="s">
        <v>52</v>
      </c>
      <c r="E85" s="6" t="s">
        <v>39</v>
      </c>
      <c r="F85" s="6" t="s">
        <v>156</v>
      </c>
      <c r="G85" s="6">
        <v>2017</v>
      </c>
      <c r="H85" s="6" t="str">
        <f>CONCATENATE("74780056094")</f>
        <v>74780056094</v>
      </c>
      <c r="I85" s="6" t="s">
        <v>28</v>
      </c>
      <c r="J85" s="6" t="s">
        <v>29</v>
      </c>
      <c r="K85" s="6" t="str">
        <f>CONCATENATE("221")</f>
        <v>221</v>
      </c>
      <c r="L85" s="6" t="str">
        <f>CONCATENATE("8 8.1 5e")</f>
        <v>8 8.1 5e</v>
      </c>
      <c r="M85" s="6" t="str">
        <f>CONCATENATE("BRTNRC42B22E694F")</f>
        <v>BRTNRC42B22E694F</v>
      </c>
      <c r="N85" s="6" t="s">
        <v>175</v>
      </c>
      <c r="O85" s="6" t="s">
        <v>95</v>
      </c>
      <c r="P85" s="7">
        <v>43228</v>
      </c>
      <c r="Q85" s="6" t="s">
        <v>30</v>
      </c>
      <c r="R85" s="6" t="s">
        <v>31</v>
      </c>
      <c r="S85" s="6" t="s">
        <v>32</v>
      </c>
      <c r="T85" s="6">
        <v>682.44</v>
      </c>
      <c r="U85" s="6">
        <v>294.27</v>
      </c>
      <c r="V85" s="6">
        <v>271.75</v>
      </c>
      <c r="W85" s="6">
        <v>0</v>
      </c>
      <c r="X85" s="6">
        <v>116.42</v>
      </c>
    </row>
    <row r="86" spans="1:24" x14ac:dyDescent="0.25">
      <c r="A86" s="6" t="s">
        <v>25</v>
      </c>
      <c r="B86" s="6" t="s">
        <v>26</v>
      </c>
      <c r="C86" s="6" t="s">
        <v>46</v>
      </c>
      <c r="D86" s="6" t="s">
        <v>52</v>
      </c>
      <c r="E86" s="6" t="s">
        <v>39</v>
      </c>
      <c r="F86" s="6" t="s">
        <v>156</v>
      </c>
      <c r="G86" s="6">
        <v>2017</v>
      </c>
      <c r="H86" s="6" t="str">
        <f>CONCATENATE("74780056169")</f>
        <v>74780056169</v>
      </c>
      <c r="I86" s="6" t="s">
        <v>28</v>
      </c>
      <c r="J86" s="6" t="s">
        <v>29</v>
      </c>
      <c r="K86" s="6" t="str">
        <f>CONCATENATE("221")</f>
        <v>221</v>
      </c>
      <c r="L86" s="6" t="str">
        <f>CONCATENATE("8 8.1 5e")</f>
        <v>8 8.1 5e</v>
      </c>
      <c r="M86" s="6" t="str">
        <f>CONCATENATE("BNCGNI60B13L366K")</f>
        <v>BNCGNI60B13L366K</v>
      </c>
      <c r="N86" s="6" t="s">
        <v>176</v>
      </c>
      <c r="O86" s="6" t="s">
        <v>95</v>
      </c>
      <c r="P86" s="7">
        <v>43228</v>
      </c>
      <c r="Q86" s="6" t="s">
        <v>30</v>
      </c>
      <c r="R86" s="6" t="s">
        <v>31</v>
      </c>
      <c r="S86" s="6" t="s">
        <v>32</v>
      </c>
      <c r="T86" s="6">
        <v>81.23</v>
      </c>
      <c r="U86" s="6">
        <v>35.03</v>
      </c>
      <c r="V86" s="6">
        <v>32.35</v>
      </c>
      <c r="W86" s="6">
        <v>0</v>
      </c>
      <c r="X86" s="6">
        <v>13.85</v>
      </c>
    </row>
    <row r="87" spans="1:24" ht="24.75" x14ac:dyDescent="0.25">
      <c r="A87" s="6" t="s">
        <v>25</v>
      </c>
      <c r="B87" s="6" t="s">
        <v>26</v>
      </c>
      <c r="C87" s="6" t="s">
        <v>46</v>
      </c>
      <c r="D87" s="6" t="s">
        <v>59</v>
      </c>
      <c r="E87" s="6" t="s">
        <v>42</v>
      </c>
      <c r="F87" s="6" t="s">
        <v>177</v>
      </c>
      <c r="G87" s="6">
        <v>2017</v>
      </c>
      <c r="H87" s="6" t="str">
        <f>CONCATENATE("74780024712")</f>
        <v>74780024712</v>
      </c>
      <c r="I87" s="6" t="s">
        <v>28</v>
      </c>
      <c r="J87" s="6" t="s">
        <v>29</v>
      </c>
      <c r="K87" s="6" t="str">
        <f>CONCATENATE("221")</f>
        <v>221</v>
      </c>
      <c r="L87" s="6" t="str">
        <f>CONCATENATE("8 8.1 5e")</f>
        <v>8 8.1 5e</v>
      </c>
      <c r="M87" s="6" t="str">
        <f>CONCATENATE("GLNGLN33C20A271V")</f>
        <v>GLNGLN33C20A271V</v>
      </c>
      <c r="N87" s="6" t="s">
        <v>178</v>
      </c>
      <c r="O87" s="6" t="s">
        <v>95</v>
      </c>
      <c r="P87" s="7">
        <v>43228</v>
      </c>
      <c r="Q87" s="6" t="s">
        <v>30</v>
      </c>
      <c r="R87" s="6" t="s">
        <v>31</v>
      </c>
      <c r="S87" s="6" t="s">
        <v>32</v>
      </c>
      <c r="T87" s="6">
        <v>434.64</v>
      </c>
      <c r="U87" s="6">
        <v>187.42</v>
      </c>
      <c r="V87" s="6">
        <v>173.07</v>
      </c>
      <c r="W87" s="6">
        <v>0</v>
      </c>
      <c r="X87" s="6">
        <v>74.150000000000006</v>
      </c>
    </row>
    <row r="88" spans="1:24" x14ac:dyDescent="0.25">
      <c r="A88" s="6" t="s">
        <v>25</v>
      </c>
      <c r="B88" s="6" t="s">
        <v>26</v>
      </c>
      <c r="C88" s="6" t="s">
        <v>46</v>
      </c>
      <c r="D88" s="6" t="s">
        <v>52</v>
      </c>
      <c r="E88" s="6" t="s">
        <v>33</v>
      </c>
      <c r="F88" s="6" t="s">
        <v>100</v>
      </c>
      <c r="G88" s="6">
        <v>2017</v>
      </c>
      <c r="H88" s="6" t="str">
        <f>CONCATENATE("74780060005")</f>
        <v>74780060005</v>
      </c>
      <c r="I88" s="6" t="s">
        <v>28</v>
      </c>
      <c r="J88" s="6" t="s">
        <v>29</v>
      </c>
      <c r="K88" s="6" t="str">
        <f>CONCATENATE("221")</f>
        <v>221</v>
      </c>
      <c r="L88" s="6" t="str">
        <f>CONCATENATE("8 8.1 5e")</f>
        <v>8 8.1 5e</v>
      </c>
      <c r="M88" s="6" t="str">
        <f>CONCATENATE("BNFLRN57T10F552S")</f>
        <v>BNFLRN57T10F552S</v>
      </c>
      <c r="N88" s="6" t="s">
        <v>179</v>
      </c>
      <c r="O88" s="6" t="s">
        <v>95</v>
      </c>
      <c r="P88" s="7">
        <v>43228</v>
      </c>
      <c r="Q88" s="6" t="s">
        <v>30</v>
      </c>
      <c r="R88" s="6" t="s">
        <v>31</v>
      </c>
      <c r="S88" s="6" t="s">
        <v>32</v>
      </c>
      <c r="T88" s="6">
        <v>217.2</v>
      </c>
      <c r="U88" s="6">
        <v>93.66</v>
      </c>
      <c r="V88" s="6">
        <v>86.49</v>
      </c>
      <c r="W88" s="6">
        <v>0</v>
      </c>
      <c r="X88" s="6">
        <v>37.049999999999997</v>
      </c>
    </row>
    <row r="89" spans="1:24" x14ac:dyDescent="0.25">
      <c r="A89" s="6" t="s">
        <v>25</v>
      </c>
      <c r="B89" s="6" t="s">
        <v>26</v>
      </c>
      <c r="C89" s="6" t="s">
        <v>46</v>
      </c>
      <c r="D89" s="6" t="s">
        <v>52</v>
      </c>
      <c r="E89" s="6" t="s">
        <v>33</v>
      </c>
      <c r="F89" s="6" t="s">
        <v>100</v>
      </c>
      <c r="G89" s="6">
        <v>2017</v>
      </c>
      <c r="H89" s="6" t="str">
        <f>CONCATENATE("74780060088")</f>
        <v>74780060088</v>
      </c>
      <c r="I89" s="6" t="s">
        <v>28</v>
      </c>
      <c r="J89" s="6" t="s">
        <v>29</v>
      </c>
      <c r="K89" s="6" t="str">
        <f>CONCATENATE("221")</f>
        <v>221</v>
      </c>
      <c r="L89" s="6" t="str">
        <f>CONCATENATE("8 8.1 5e")</f>
        <v>8 8.1 5e</v>
      </c>
      <c r="M89" s="6" t="str">
        <f>CONCATENATE("CRLFLV60T43D121X")</f>
        <v>CRLFLV60T43D121X</v>
      </c>
      <c r="N89" s="6" t="s">
        <v>180</v>
      </c>
      <c r="O89" s="6" t="s">
        <v>95</v>
      </c>
      <c r="P89" s="7">
        <v>43228</v>
      </c>
      <c r="Q89" s="6" t="s">
        <v>30</v>
      </c>
      <c r="R89" s="6" t="s">
        <v>31</v>
      </c>
      <c r="S89" s="6" t="s">
        <v>32</v>
      </c>
      <c r="T89" s="6">
        <v>97.74</v>
      </c>
      <c r="U89" s="6">
        <v>42.15</v>
      </c>
      <c r="V89" s="6">
        <v>38.92</v>
      </c>
      <c r="W89" s="6">
        <v>0</v>
      </c>
      <c r="X89" s="6">
        <v>16.670000000000002</v>
      </c>
    </row>
    <row r="90" spans="1:24" x14ac:dyDescent="0.25">
      <c r="A90" s="6" t="s">
        <v>25</v>
      </c>
      <c r="B90" s="6" t="s">
        <v>26</v>
      </c>
      <c r="C90" s="6" t="s">
        <v>46</v>
      </c>
      <c r="D90" s="6" t="s">
        <v>52</v>
      </c>
      <c r="E90" s="6" t="s">
        <v>43</v>
      </c>
      <c r="F90" s="6" t="s">
        <v>130</v>
      </c>
      <c r="G90" s="6">
        <v>2017</v>
      </c>
      <c r="H90" s="6" t="str">
        <f>CONCATENATE("74780071127")</f>
        <v>74780071127</v>
      </c>
      <c r="I90" s="6" t="s">
        <v>28</v>
      </c>
      <c r="J90" s="6" t="s">
        <v>29</v>
      </c>
      <c r="K90" s="6" t="str">
        <f>CONCATENATE("221")</f>
        <v>221</v>
      </c>
      <c r="L90" s="6" t="str">
        <f>CONCATENATE("8 8.1 5e")</f>
        <v>8 8.1 5e</v>
      </c>
      <c r="M90" s="6" t="str">
        <f>CONCATENATE("GGLPRN40R43C704N")</f>
        <v>GGLPRN40R43C704N</v>
      </c>
      <c r="N90" s="6" t="s">
        <v>181</v>
      </c>
      <c r="O90" s="6" t="s">
        <v>95</v>
      </c>
      <c r="P90" s="7">
        <v>43228</v>
      </c>
      <c r="Q90" s="6" t="s">
        <v>30</v>
      </c>
      <c r="R90" s="6" t="s">
        <v>31</v>
      </c>
      <c r="S90" s="6" t="s">
        <v>32</v>
      </c>
      <c r="T90" s="6">
        <v>695.75</v>
      </c>
      <c r="U90" s="6">
        <v>300.01</v>
      </c>
      <c r="V90" s="6">
        <v>277.05</v>
      </c>
      <c r="W90" s="6">
        <v>0</v>
      </c>
      <c r="X90" s="6">
        <v>118.69</v>
      </c>
    </row>
    <row r="91" spans="1:24" x14ac:dyDescent="0.25">
      <c r="A91" s="6" t="s">
        <v>25</v>
      </c>
      <c r="B91" s="6" t="s">
        <v>26</v>
      </c>
      <c r="C91" s="6" t="s">
        <v>46</v>
      </c>
      <c r="D91" s="6" t="s">
        <v>52</v>
      </c>
      <c r="E91" s="6" t="s">
        <v>33</v>
      </c>
      <c r="F91" s="6" t="s">
        <v>100</v>
      </c>
      <c r="G91" s="6">
        <v>2017</v>
      </c>
      <c r="H91" s="6" t="str">
        <f>CONCATENATE("74780068990")</f>
        <v>74780068990</v>
      </c>
      <c r="I91" s="6" t="s">
        <v>28</v>
      </c>
      <c r="J91" s="6" t="s">
        <v>29</v>
      </c>
      <c r="K91" s="6" t="str">
        <f>CONCATENATE("221")</f>
        <v>221</v>
      </c>
      <c r="L91" s="6" t="str">
        <f>CONCATENATE("8 8.1 5e")</f>
        <v>8 8.1 5e</v>
      </c>
      <c r="M91" s="6" t="str">
        <f>CONCATENATE("GLSNTN49B05C886X")</f>
        <v>GLSNTN49B05C886X</v>
      </c>
      <c r="N91" s="6" t="s">
        <v>182</v>
      </c>
      <c r="O91" s="6" t="s">
        <v>95</v>
      </c>
      <c r="P91" s="7">
        <v>43228</v>
      </c>
      <c r="Q91" s="6" t="s">
        <v>30</v>
      </c>
      <c r="R91" s="6" t="s">
        <v>31</v>
      </c>
      <c r="S91" s="6" t="s">
        <v>32</v>
      </c>
      <c r="T91" s="6">
        <v>300.45999999999998</v>
      </c>
      <c r="U91" s="6">
        <v>129.56</v>
      </c>
      <c r="V91" s="6">
        <v>119.64</v>
      </c>
      <c r="W91" s="6">
        <v>0</v>
      </c>
      <c r="X91" s="6">
        <v>51.26</v>
      </c>
    </row>
    <row r="92" spans="1:24" x14ac:dyDescent="0.25">
      <c r="A92" s="6" t="s">
        <v>25</v>
      </c>
      <c r="B92" s="6" t="s">
        <v>26</v>
      </c>
      <c r="C92" s="6" t="s">
        <v>46</v>
      </c>
      <c r="D92" s="6" t="s">
        <v>52</v>
      </c>
      <c r="E92" s="6" t="s">
        <v>40</v>
      </c>
      <c r="F92" s="6" t="s">
        <v>124</v>
      </c>
      <c r="G92" s="6">
        <v>2017</v>
      </c>
      <c r="H92" s="6" t="str">
        <f>CONCATENATE("74780012063")</f>
        <v>74780012063</v>
      </c>
      <c r="I92" s="6" t="s">
        <v>28</v>
      </c>
      <c r="J92" s="6" t="s">
        <v>29</v>
      </c>
      <c r="K92" s="6" t="str">
        <f>CONCATENATE("221")</f>
        <v>221</v>
      </c>
      <c r="L92" s="6" t="str">
        <f>CONCATENATE("8 8.1 5e")</f>
        <v>8 8.1 5e</v>
      </c>
      <c r="M92" s="6" t="str">
        <f>CONCATENATE("FRNMRA60T14A334Y")</f>
        <v>FRNMRA60T14A334Y</v>
      </c>
      <c r="N92" s="6" t="s">
        <v>183</v>
      </c>
      <c r="O92" s="6" t="s">
        <v>95</v>
      </c>
      <c r="P92" s="7">
        <v>43228</v>
      </c>
      <c r="Q92" s="6" t="s">
        <v>30</v>
      </c>
      <c r="R92" s="6" t="s">
        <v>31</v>
      </c>
      <c r="S92" s="6" t="s">
        <v>32</v>
      </c>
      <c r="T92" s="6">
        <v>565.79999999999995</v>
      </c>
      <c r="U92" s="6">
        <v>243.97</v>
      </c>
      <c r="V92" s="6">
        <v>225.3</v>
      </c>
      <c r="W92" s="6">
        <v>0</v>
      </c>
      <c r="X92" s="6">
        <v>96.53</v>
      </c>
    </row>
    <row r="93" spans="1:24" x14ac:dyDescent="0.25">
      <c r="A93" s="6" t="s">
        <v>25</v>
      </c>
      <c r="B93" s="6" t="s">
        <v>26</v>
      </c>
      <c r="C93" s="6" t="s">
        <v>46</v>
      </c>
      <c r="D93" s="6" t="s">
        <v>52</v>
      </c>
      <c r="E93" s="6" t="s">
        <v>27</v>
      </c>
      <c r="F93" s="6" t="s">
        <v>67</v>
      </c>
      <c r="G93" s="6">
        <v>2017</v>
      </c>
      <c r="H93" s="6" t="str">
        <f>CONCATENATE("74780050444")</f>
        <v>74780050444</v>
      </c>
      <c r="I93" s="6" t="s">
        <v>28</v>
      </c>
      <c r="J93" s="6" t="s">
        <v>29</v>
      </c>
      <c r="K93" s="6" t="str">
        <f>CONCATENATE("221")</f>
        <v>221</v>
      </c>
      <c r="L93" s="6" t="str">
        <f>CONCATENATE("8 8.1 5e")</f>
        <v>8 8.1 5e</v>
      </c>
      <c r="M93" s="6" t="str">
        <f>CONCATENATE("FGLRNN42R56L501G")</f>
        <v>FGLRNN42R56L501G</v>
      </c>
      <c r="N93" s="6" t="s">
        <v>184</v>
      </c>
      <c r="O93" s="6" t="s">
        <v>95</v>
      </c>
      <c r="P93" s="7">
        <v>43228</v>
      </c>
      <c r="Q93" s="6" t="s">
        <v>30</v>
      </c>
      <c r="R93" s="6" t="s">
        <v>31</v>
      </c>
      <c r="S93" s="6" t="s">
        <v>32</v>
      </c>
      <c r="T93" s="6">
        <v>179.19</v>
      </c>
      <c r="U93" s="6">
        <v>77.27</v>
      </c>
      <c r="V93" s="6">
        <v>71.349999999999994</v>
      </c>
      <c r="W93" s="6">
        <v>0</v>
      </c>
      <c r="X93" s="6">
        <v>30.57</v>
      </c>
    </row>
    <row r="94" spans="1:24" x14ac:dyDescent="0.25">
      <c r="A94" s="6" t="s">
        <v>25</v>
      </c>
      <c r="B94" s="6" t="s">
        <v>26</v>
      </c>
      <c r="C94" s="6" t="s">
        <v>46</v>
      </c>
      <c r="D94" s="6" t="s">
        <v>52</v>
      </c>
      <c r="E94" s="6" t="s">
        <v>27</v>
      </c>
      <c r="F94" s="6" t="s">
        <v>67</v>
      </c>
      <c r="G94" s="6">
        <v>2017</v>
      </c>
      <c r="H94" s="6" t="str">
        <f>CONCATENATE("74780050428")</f>
        <v>74780050428</v>
      </c>
      <c r="I94" s="6" t="s">
        <v>28</v>
      </c>
      <c r="J94" s="6" t="s">
        <v>29</v>
      </c>
      <c r="K94" s="6" t="str">
        <f>CONCATENATE("221")</f>
        <v>221</v>
      </c>
      <c r="L94" s="6" t="str">
        <f>CONCATENATE("8 8.1 5e")</f>
        <v>8 8.1 5e</v>
      </c>
      <c r="M94" s="6" t="str">
        <f>CONCATENATE("FRTPLA73H59D042J")</f>
        <v>FRTPLA73H59D042J</v>
      </c>
      <c r="N94" s="6" t="s">
        <v>185</v>
      </c>
      <c r="O94" s="6" t="s">
        <v>95</v>
      </c>
      <c r="P94" s="7">
        <v>43228</v>
      </c>
      <c r="Q94" s="6" t="s">
        <v>30</v>
      </c>
      <c r="R94" s="6" t="s">
        <v>31</v>
      </c>
      <c r="S94" s="6" t="s">
        <v>32</v>
      </c>
      <c r="T94" s="8">
        <v>5472.18</v>
      </c>
      <c r="U94" s="8">
        <v>2359.6</v>
      </c>
      <c r="V94" s="8">
        <v>2179.02</v>
      </c>
      <c r="W94" s="6">
        <v>0</v>
      </c>
      <c r="X94" s="6">
        <v>933.56</v>
      </c>
    </row>
    <row r="95" spans="1:24" x14ac:dyDescent="0.25">
      <c r="A95" s="6" t="s">
        <v>25</v>
      </c>
      <c r="B95" s="6" t="s">
        <v>26</v>
      </c>
      <c r="C95" s="6" t="s">
        <v>46</v>
      </c>
      <c r="D95" s="6" t="s">
        <v>52</v>
      </c>
      <c r="E95" s="6" t="s">
        <v>33</v>
      </c>
      <c r="F95" s="6" t="s">
        <v>77</v>
      </c>
      <c r="G95" s="6">
        <v>2017</v>
      </c>
      <c r="H95" s="6" t="str">
        <f>CONCATENATE("74780071564")</f>
        <v>74780071564</v>
      </c>
      <c r="I95" s="6" t="s">
        <v>28</v>
      </c>
      <c r="J95" s="6" t="s">
        <v>29</v>
      </c>
      <c r="K95" s="6" t="str">
        <f>CONCATENATE("221")</f>
        <v>221</v>
      </c>
      <c r="L95" s="6" t="str">
        <f>CONCATENATE("8 8.1 5e")</f>
        <v>8 8.1 5e</v>
      </c>
      <c r="M95" s="6" t="str">
        <f>CONCATENATE("FRNMLS35E67A739N")</f>
        <v>FRNMLS35E67A739N</v>
      </c>
      <c r="N95" s="6" t="s">
        <v>186</v>
      </c>
      <c r="O95" s="6" t="s">
        <v>95</v>
      </c>
      <c r="P95" s="7">
        <v>43228</v>
      </c>
      <c r="Q95" s="6" t="s">
        <v>30</v>
      </c>
      <c r="R95" s="6" t="s">
        <v>31</v>
      </c>
      <c r="S95" s="6" t="s">
        <v>32</v>
      </c>
      <c r="T95" s="8">
        <v>2220.4499999999998</v>
      </c>
      <c r="U95" s="6">
        <v>957.46</v>
      </c>
      <c r="V95" s="6">
        <v>884.18</v>
      </c>
      <c r="W95" s="6">
        <v>0</v>
      </c>
      <c r="X95" s="6">
        <v>378.81</v>
      </c>
    </row>
    <row r="96" spans="1:24" x14ac:dyDescent="0.25">
      <c r="A96" s="6" t="s">
        <v>25</v>
      </c>
      <c r="B96" s="6" t="s">
        <v>26</v>
      </c>
      <c r="C96" s="6" t="s">
        <v>46</v>
      </c>
      <c r="D96" s="6" t="s">
        <v>52</v>
      </c>
      <c r="E96" s="6" t="s">
        <v>33</v>
      </c>
      <c r="F96" s="6" t="s">
        <v>100</v>
      </c>
      <c r="G96" s="6">
        <v>2017</v>
      </c>
      <c r="H96" s="6" t="str">
        <f>CONCATENATE("74780067992")</f>
        <v>74780067992</v>
      </c>
      <c r="I96" s="6" t="s">
        <v>28</v>
      </c>
      <c r="J96" s="6" t="s">
        <v>29</v>
      </c>
      <c r="K96" s="6" t="str">
        <f>CONCATENATE("221")</f>
        <v>221</v>
      </c>
      <c r="L96" s="6" t="str">
        <f>CONCATENATE("8 8.1 5e")</f>
        <v>8 8.1 5e</v>
      </c>
      <c r="M96" s="6" t="str">
        <f>CONCATENATE("FRTGLL65A69D042W")</f>
        <v>FRTGLL65A69D042W</v>
      </c>
      <c r="N96" s="6" t="s">
        <v>187</v>
      </c>
      <c r="O96" s="6" t="s">
        <v>95</v>
      </c>
      <c r="P96" s="7">
        <v>43228</v>
      </c>
      <c r="Q96" s="6" t="s">
        <v>30</v>
      </c>
      <c r="R96" s="6" t="s">
        <v>31</v>
      </c>
      <c r="S96" s="6" t="s">
        <v>32</v>
      </c>
      <c r="T96" s="6">
        <v>99.55</v>
      </c>
      <c r="U96" s="6">
        <v>42.93</v>
      </c>
      <c r="V96" s="6">
        <v>39.64</v>
      </c>
      <c r="W96" s="6">
        <v>0</v>
      </c>
      <c r="X96" s="6">
        <v>16.98</v>
      </c>
    </row>
    <row r="97" spans="1:24" x14ac:dyDescent="0.25">
      <c r="A97" s="6" t="s">
        <v>25</v>
      </c>
      <c r="B97" s="6" t="s">
        <v>26</v>
      </c>
      <c r="C97" s="6" t="s">
        <v>46</v>
      </c>
      <c r="D97" s="6" t="s">
        <v>52</v>
      </c>
      <c r="E97" s="6" t="s">
        <v>39</v>
      </c>
      <c r="F97" s="6" t="s">
        <v>156</v>
      </c>
      <c r="G97" s="6">
        <v>2017</v>
      </c>
      <c r="H97" s="6" t="str">
        <f>CONCATENATE("74780047713")</f>
        <v>74780047713</v>
      </c>
      <c r="I97" s="6" t="s">
        <v>28</v>
      </c>
      <c r="J97" s="6" t="s">
        <v>29</v>
      </c>
      <c r="K97" s="6" t="str">
        <f>CONCATENATE("221")</f>
        <v>221</v>
      </c>
      <c r="L97" s="6" t="str">
        <f>CONCATENATE("8 8.1 5e")</f>
        <v>8 8.1 5e</v>
      </c>
      <c r="M97" s="6" t="str">
        <f>CONCATENATE("FRNFRN65C42I156I")</f>
        <v>FRNFRN65C42I156I</v>
      </c>
      <c r="N97" s="6" t="s">
        <v>188</v>
      </c>
      <c r="O97" s="6" t="s">
        <v>95</v>
      </c>
      <c r="P97" s="7">
        <v>43228</v>
      </c>
      <c r="Q97" s="6" t="s">
        <v>30</v>
      </c>
      <c r="R97" s="6" t="s">
        <v>31</v>
      </c>
      <c r="S97" s="6" t="s">
        <v>32</v>
      </c>
      <c r="T97" s="8">
        <v>1965</v>
      </c>
      <c r="U97" s="6">
        <v>847.31</v>
      </c>
      <c r="V97" s="6">
        <v>782.46</v>
      </c>
      <c r="W97" s="6">
        <v>0</v>
      </c>
      <c r="X97" s="6">
        <v>335.23</v>
      </c>
    </row>
    <row r="98" spans="1:24" x14ac:dyDescent="0.25">
      <c r="A98" s="6" t="s">
        <v>25</v>
      </c>
      <c r="B98" s="6" t="s">
        <v>26</v>
      </c>
      <c r="C98" s="6" t="s">
        <v>46</v>
      </c>
      <c r="D98" s="6" t="s">
        <v>52</v>
      </c>
      <c r="E98" s="6" t="s">
        <v>33</v>
      </c>
      <c r="F98" s="6" t="s">
        <v>111</v>
      </c>
      <c r="G98" s="6">
        <v>2017</v>
      </c>
      <c r="H98" s="6" t="str">
        <f>CONCATENATE("74780057936")</f>
        <v>74780057936</v>
      </c>
      <c r="I98" s="6" t="s">
        <v>28</v>
      </c>
      <c r="J98" s="6" t="s">
        <v>29</v>
      </c>
      <c r="K98" s="6" t="str">
        <f>CONCATENATE("221")</f>
        <v>221</v>
      </c>
      <c r="L98" s="6" t="str">
        <f>CONCATENATE("8 8.1 5e")</f>
        <v>8 8.1 5e</v>
      </c>
      <c r="M98" s="6" t="str">
        <f>CONCATENATE("FRBCCL68M71F454U")</f>
        <v>FRBCCL68M71F454U</v>
      </c>
      <c r="N98" s="6" t="s">
        <v>189</v>
      </c>
      <c r="O98" s="6" t="s">
        <v>95</v>
      </c>
      <c r="P98" s="7">
        <v>43228</v>
      </c>
      <c r="Q98" s="6" t="s">
        <v>30</v>
      </c>
      <c r="R98" s="6" t="s">
        <v>31</v>
      </c>
      <c r="S98" s="6" t="s">
        <v>32</v>
      </c>
      <c r="T98" s="6">
        <v>85.07</v>
      </c>
      <c r="U98" s="6">
        <v>36.68</v>
      </c>
      <c r="V98" s="6">
        <v>33.869999999999997</v>
      </c>
      <c r="W98" s="6">
        <v>0</v>
      </c>
      <c r="X98" s="6">
        <v>14.52</v>
      </c>
    </row>
    <row r="99" spans="1:24" x14ac:dyDescent="0.25">
      <c r="A99" s="6" t="s">
        <v>25</v>
      </c>
      <c r="B99" s="6" t="s">
        <v>26</v>
      </c>
      <c r="C99" s="6" t="s">
        <v>46</v>
      </c>
      <c r="D99" s="6" t="s">
        <v>52</v>
      </c>
      <c r="E99" s="6" t="s">
        <v>33</v>
      </c>
      <c r="F99" s="6" t="s">
        <v>111</v>
      </c>
      <c r="G99" s="6">
        <v>2017</v>
      </c>
      <c r="H99" s="6" t="str">
        <f>CONCATENATE("74780057225")</f>
        <v>74780057225</v>
      </c>
      <c r="I99" s="6" t="s">
        <v>28</v>
      </c>
      <c r="J99" s="6" t="s">
        <v>29</v>
      </c>
      <c r="K99" s="6" t="str">
        <f>CONCATENATE("221")</f>
        <v>221</v>
      </c>
      <c r="L99" s="6" t="str">
        <f>CONCATENATE("8 8.1 5e")</f>
        <v>8 8.1 5e</v>
      </c>
      <c r="M99" s="6" t="str">
        <f>CONCATENATE("CCCLSN59C03E783O")</f>
        <v>CCCLSN59C03E783O</v>
      </c>
      <c r="N99" s="6" t="s">
        <v>190</v>
      </c>
      <c r="O99" s="6" t="s">
        <v>95</v>
      </c>
      <c r="P99" s="7">
        <v>43228</v>
      </c>
      <c r="Q99" s="6" t="s">
        <v>30</v>
      </c>
      <c r="R99" s="6" t="s">
        <v>31</v>
      </c>
      <c r="S99" s="6" t="s">
        <v>32</v>
      </c>
      <c r="T99" s="6">
        <v>48.87</v>
      </c>
      <c r="U99" s="6">
        <v>21.07</v>
      </c>
      <c r="V99" s="6">
        <v>19.46</v>
      </c>
      <c r="W99" s="6">
        <v>0</v>
      </c>
      <c r="X99" s="6">
        <v>8.34</v>
      </c>
    </row>
    <row r="100" spans="1:24" ht="24.75" x14ac:dyDescent="0.25">
      <c r="A100" s="6" t="s">
        <v>25</v>
      </c>
      <c r="B100" s="6" t="s">
        <v>26</v>
      </c>
      <c r="C100" s="6" t="s">
        <v>46</v>
      </c>
      <c r="D100" s="6" t="s">
        <v>59</v>
      </c>
      <c r="E100" s="6" t="s">
        <v>33</v>
      </c>
      <c r="F100" s="6" t="s">
        <v>191</v>
      </c>
      <c r="G100" s="6">
        <v>2017</v>
      </c>
      <c r="H100" s="6" t="str">
        <f>CONCATENATE("74780059825")</f>
        <v>74780059825</v>
      </c>
      <c r="I100" s="6" t="s">
        <v>28</v>
      </c>
      <c r="J100" s="6" t="s">
        <v>29</v>
      </c>
      <c r="K100" s="6" t="str">
        <f>CONCATENATE("221")</f>
        <v>221</v>
      </c>
      <c r="L100" s="6" t="str">
        <f>CONCATENATE("8 8.1 5e")</f>
        <v>8 8.1 5e</v>
      </c>
      <c r="M100" s="6" t="str">
        <f>CONCATENATE("BTTNTN32H50D451S")</f>
        <v>BTTNTN32H50D451S</v>
      </c>
      <c r="N100" s="6" t="s">
        <v>192</v>
      </c>
      <c r="O100" s="6" t="s">
        <v>95</v>
      </c>
      <c r="P100" s="7">
        <v>43228</v>
      </c>
      <c r="Q100" s="6" t="s">
        <v>30</v>
      </c>
      <c r="R100" s="6" t="s">
        <v>31</v>
      </c>
      <c r="S100" s="6" t="s">
        <v>32</v>
      </c>
      <c r="T100" s="6">
        <v>90.55</v>
      </c>
      <c r="U100" s="6">
        <v>39.049999999999997</v>
      </c>
      <c r="V100" s="6">
        <v>36.06</v>
      </c>
      <c r="W100" s="6">
        <v>0</v>
      </c>
      <c r="X100" s="6">
        <v>15.44</v>
      </c>
    </row>
    <row r="101" spans="1:24" ht="24.75" x14ac:dyDescent="0.25">
      <c r="A101" s="6" t="s">
        <v>25</v>
      </c>
      <c r="B101" s="6" t="s">
        <v>26</v>
      </c>
      <c r="C101" s="6" t="s">
        <v>46</v>
      </c>
      <c r="D101" s="6" t="s">
        <v>47</v>
      </c>
      <c r="E101" s="6" t="s">
        <v>33</v>
      </c>
      <c r="F101" s="6" t="s">
        <v>148</v>
      </c>
      <c r="G101" s="6">
        <v>2017</v>
      </c>
      <c r="H101" s="6" t="str">
        <f>CONCATENATE("74780063686")</f>
        <v>74780063686</v>
      </c>
      <c r="I101" s="6" t="s">
        <v>28</v>
      </c>
      <c r="J101" s="6" t="s">
        <v>29</v>
      </c>
      <c r="K101" s="6" t="str">
        <f>CONCATENATE("221")</f>
        <v>221</v>
      </c>
      <c r="L101" s="6" t="str">
        <f>CONCATENATE("8 8.1 5e")</f>
        <v>8 8.1 5e</v>
      </c>
      <c r="M101" s="6" t="str">
        <f>CONCATENATE("TMPGPP37M20F549B")</f>
        <v>TMPGPP37M20F549B</v>
      </c>
      <c r="N101" s="6" t="s">
        <v>193</v>
      </c>
      <c r="O101" s="6" t="s">
        <v>95</v>
      </c>
      <c r="P101" s="7">
        <v>43228</v>
      </c>
      <c r="Q101" s="6" t="s">
        <v>30</v>
      </c>
      <c r="R101" s="6" t="s">
        <v>31</v>
      </c>
      <c r="S101" s="6" t="s">
        <v>32</v>
      </c>
      <c r="T101" s="8">
        <v>1043.27</v>
      </c>
      <c r="U101" s="6">
        <v>449.86</v>
      </c>
      <c r="V101" s="6">
        <v>415.43</v>
      </c>
      <c r="W101" s="6">
        <v>0</v>
      </c>
      <c r="X101" s="6">
        <v>177.98</v>
      </c>
    </row>
    <row r="102" spans="1:24" x14ac:dyDescent="0.25">
      <c r="A102" s="6" t="s">
        <v>25</v>
      </c>
      <c r="B102" s="6" t="s">
        <v>26</v>
      </c>
      <c r="C102" s="6" t="s">
        <v>46</v>
      </c>
      <c r="D102" s="6" t="s">
        <v>52</v>
      </c>
      <c r="E102" s="6" t="s">
        <v>33</v>
      </c>
      <c r="F102" s="6" t="s">
        <v>69</v>
      </c>
      <c r="G102" s="6">
        <v>2017</v>
      </c>
      <c r="H102" s="6" t="str">
        <f>CONCATENATE("74780063439")</f>
        <v>74780063439</v>
      </c>
      <c r="I102" s="6" t="s">
        <v>28</v>
      </c>
      <c r="J102" s="6" t="s">
        <v>29</v>
      </c>
      <c r="K102" s="6" t="str">
        <f>CONCATENATE("221")</f>
        <v>221</v>
      </c>
      <c r="L102" s="6" t="str">
        <f>CONCATENATE("8 8.1 5e")</f>
        <v>8 8.1 5e</v>
      </c>
      <c r="M102" s="6" t="str">
        <f>CONCATENATE("BLZPTR56R11D451V")</f>
        <v>BLZPTR56R11D451V</v>
      </c>
      <c r="N102" s="6" t="s">
        <v>194</v>
      </c>
      <c r="O102" s="6" t="s">
        <v>95</v>
      </c>
      <c r="P102" s="7">
        <v>43228</v>
      </c>
      <c r="Q102" s="6" t="s">
        <v>30</v>
      </c>
      <c r="R102" s="6" t="s">
        <v>31</v>
      </c>
      <c r="S102" s="6" t="s">
        <v>32</v>
      </c>
      <c r="T102" s="6">
        <v>90.5</v>
      </c>
      <c r="U102" s="6">
        <v>39.020000000000003</v>
      </c>
      <c r="V102" s="6">
        <v>36.04</v>
      </c>
      <c r="W102" s="6">
        <v>0</v>
      </c>
      <c r="X102" s="6">
        <v>15.44</v>
      </c>
    </row>
    <row r="103" spans="1:24" ht="24.75" x14ac:dyDescent="0.25">
      <c r="A103" s="6" t="s">
        <v>25</v>
      </c>
      <c r="B103" s="6" t="s">
        <v>26</v>
      </c>
      <c r="C103" s="6" t="s">
        <v>46</v>
      </c>
      <c r="D103" s="6" t="s">
        <v>47</v>
      </c>
      <c r="E103" s="6" t="s">
        <v>35</v>
      </c>
      <c r="F103" s="6" t="s">
        <v>117</v>
      </c>
      <c r="G103" s="6">
        <v>2017</v>
      </c>
      <c r="H103" s="6" t="str">
        <f>CONCATENATE("74780028119")</f>
        <v>74780028119</v>
      </c>
      <c r="I103" s="6" t="s">
        <v>28</v>
      </c>
      <c r="J103" s="6" t="s">
        <v>29</v>
      </c>
      <c r="K103" s="6" t="str">
        <f>CONCATENATE("221")</f>
        <v>221</v>
      </c>
      <c r="L103" s="6" t="str">
        <f>CONCATENATE("8 8.1 5e")</f>
        <v>8 8.1 5e</v>
      </c>
      <c r="M103" s="6" t="str">
        <f>CONCATENATE("RCCMNT93E12H501V")</f>
        <v>RCCMNT93E12H501V</v>
      </c>
      <c r="N103" s="6" t="s">
        <v>195</v>
      </c>
      <c r="O103" s="6" t="s">
        <v>95</v>
      </c>
      <c r="P103" s="7">
        <v>43228</v>
      </c>
      <c r="Q103" s="6" t="s">
        <v>30</v>
      </c>
      <c r="R103" s="6" t="s">
        <v>31</v>
      </c>
      <c r="S103" s="6" t="s">
        <v>32</v>
      </c>
      <c r="T103" s="6">
        <v>257.16000000000003</v>
      </c>
      <c r="U103" s="6">
        <v>110.89</v>
      </c>
      <c r="V103" s="6">
        <v>102.4</v>
      </c>
      <c r="W103" s="6">
        <v>0</v>
      </c>
      <c r="X103" s="6">
        <v>43.87</v>
      </c>
    </row>
    <row r="104" spans="1:24" ht="24.75" x14ac:dyDescent="0.25">
      <c r="A104" s="6" t="s">
        <v>25</v>
      </c>
      <c r="B104" s="6" t="s">
        <v>26</v>
      </c>
      <c r="C104" s="6" t="s">
        <v>46</v>
      </c>
      <c r="D104" s="6" t="s">
        <v>47</v>
      </c>
      <c r="E104" s="6" t="s">
        <v>33</v>
      </c>
      <c r="F104" s="6" t="s">
        <v>141</v>
      </c>
      <c r="G104" s="6">
        <v>2017</v>
      </c>
      <c r="H104" s="6" t="str">
        <f>CONCATENATE("74780024969")</f>
        <v>74780024969</v>
      </c>
      <c r="I104" s="6" t="s">
        <v>28</v>
      </c>
      <c r="J104" s="6" t="s">
        <v>29</v>
      </c>
      <c r="K104" s="6" t="str">
        <f>CONCATENATE("221")</f>
        <v>221</v>
      </c>
      <c r="L104" s="6" t="str">
        <f>CONCATENATE("8 8.1 5e")</f>
        <v>8 8.1 5e</v>
      </c>
      <c r="M104" s="6" t="str">
        <f>CONCATENATE("PGNNZR60C02H321T")</f>
        <v>PGNNZR60C02H321T</v>
      </c>
      <c r="N104" s="6" t="s">
        <v>196</v>
      </c>
      <c r="O104" s="6" t="s">
        <v>95</v>
      </c>
      <c r="P104" s="7">
        <v>43228</v>
      </c>
      <c r="Q104" s="6" t="s">
        <v>30</v>
      </c>
      <c r="R104" s="6" t="s">
        <v>31</v>
      </c>
      <c r="S104" s="6" t="s">
        <v>32</v>
      </c>
      <c r="T104" s="6">
        <v>103.22</v>
      </c>
      <c r="U104" s="6">
        <v>44.51</v>
      </c>
      <c r="V104" s="6">
        <v>41.1</v>
      </c>
      <c r="W104" s="6">
        <v>0</v>
      </c>
      <c r="X104" s="6">
        <v>17.61</v>
      </c>
    </row>
    <row r="105" spans="1:24" ht="24.75" x14ac:dyDescent="0.25">
      <c r="A105" s="6" t="s">
        <v>25</v>
      </c>
      <c r="B105" s="6" t="s">
        <v>26</v>
      </c>
      <c r="C105" s="6" t="s">
        <v>46</v>
      </c>
      <c r="D105" s="6" t="s">
        <v>47</v>
      </c>
      <c r="E105" s="6" t="s">
        <v>33</v>
      </c>
      <c r="F105" s="6" t="s">
        <v>148</v>
      </c>
      <c r="G105" s="6">
        <v>2017</v>
      </c>
      <c r="H105" s="6" t="str">
        <f>CONCATENATE("74780061193")</f>
        <v>74780061193</v>
      </c>
      <c r="I105" s="6" t="s">
        <v>28</v>
      </c>
      <c r="J105" s="6" t="s">
        <v>29</v>
      </c>
      <c r="K105" s="6" t="str">
        <f>CONCATENATE("221")</f>
        <v>221</v>
      </c>
      <c r="L105" s="6" t="str">
        <f>CONCATENATE("8 8.1 5e")</f>
        <v>8 8.1 5e</v>
      </c>
      <c r="M105" s="6" t="str">
        <f>CONCATENATE("BTTMLE76M02F415X")</f>
        <v>BTTMLE76M02F415X</v>
      </c>
      <c r="N105" s="6" t="s">
        <v>197</v>
      </c>
      <c r="O105" s="6" t="s">
        <v>95</v>
      </c>
      <c r="P105" s="7">
        <v>43228</v>
      </c>
      <c r="Q105" s="6" t="s">
        <v>30</v>
      </c>
      <c r="R105" s="6" t="s">
        <v>31</v>
      </c>
      <c r="S105" s="6" t="s">
        <v>32</v>
      </c>
      <c r="T105" s="6">
        <v>420.9</v>
      </c>
      <c r="U105" s="6">
        <v>181.49</v>
      </c>
      <c r="V105" s="6">
        <v>167.6</v>
      </c>
      <c r="W105" s="6">
        <v>0</v>
      </c>
      <c r="X105" s="6">
        <v>71.81</v>
      </c>
    </row>
    <row r="106" spans="1:24" ht="24.75" x14ac:dyDescent="0.25">
      <c r="A106" s="6" t="s">
        <v>25</v>
      </c>
      <c r="B106" s="6" t="s">
        <v>26</v>
      </c>
      <c r="C106" s="6" t="s">
        <v>46</v>
      </c>
      <c r="D106" s="6" t="s">
        <v>47</v>
      </c>
      <c r="E106" s="6" t="s">
        <v>27</v>
      </c>
      <c r="F106" s="6" t="s">
        <v>198</v>
      </c>
      <c r="G106" s="6">
        <v>2017</v>
      </c>
      <c r="H106" s="6" t="str">
        <f>CONCATENATE("74780009721")</f>
        <v>74780009721</v>
      </c>
      <c r="I106" s="6" t="s">
        <v>28</v>
      </c>
      <c r="J106" s="6" t="s">
        <v>29</v>
      </c>
      <c r="K106" s="6" t="str">
        <f>CONCATENATE("221")</f>
        <v>221</v>
      </c>
      <c r="L106" s="6" t="str">
        <f>CONCATENATE("8 8.1 5e")</f>
        <v>8 8.1 5e</v>
      </c>
      <c r="M106" s="6" t="str">
        <f>CONCATENATE("02009370442")</f>
        <v>02009370442</v>
      </c>
      <c r="N106" s="6" t="s">
        <v>199</v>
      </c>
      <c r="O106" s="6" t="s">
        <v>95</v>
      </c>
      <c r="P106" s="7">
        <v>43228</v>
      </c>
      <c r="Q106" s="6" t="s">
        <v>30</v>
      </c>
      <c r="R106" s="6" t="s">
        <v>31</v>
      </c>
      <c r="S106" s="6" t="s">
        <v>32</v>
      </c>
      <c r="T106" s="8">
        <v>1046.04</v>
      </c>
      <c r="U106" s="6">
        <v>451.05</v>
      </c>
      <c r="V106" s="6">
        <v>416.53</v>
      </c>
      <c r="W106" s="6">
        <v>0</v>
      </c>
      <c r="X106" s="6">
        <v>178.46</v>
      </c>
    </row>
    <row r="107" spans="1:24" ht="24.75" x14ac:dyDescent="0.25">
      <c r="A107" s="6" t="s">
        <v>25</v>
      </c>
      <c r="B107" s="6" t="s">
        <v>26</v>
      </c>
      <c r="C107" s="6" t="s">
        <v>46</v>
      </c>
      <c r="D107" s="6" t="s">
        <v>47</v>
      </c>
      <c r="E107" s="6" t="s">
        <v>44</v>
      </c>
      <c r="F107" s="6" t="s">
        <v>45</v>
      </c>
      <c r="G107" s="6">
        <v>2017</v>
      </c>
      <c r="H107" s="6" t="str">
        <f>CONCATENATE("74780005513")</f>
        <v>74780005513</v>
      </c>
      <c r="I107" s="6" t="s">
        <v>28</v>
      </c>
      <c r="J107" s="6" t="s">
        <v>29</v>
      </c>
      <c r="K107" s="6" t="str">
        <f>CONCATENATE("221")</f>
        <v>221</v>
      </c>
      <c r="L107" s="6" t="str">
        <f>CONCATENATE("8 8.1 5e")</f>
        <v>8 8.1 5e</v>
      </c>
      <c r="M107" s="6" t="str">
        <f>CONCATENATE("01539420446")</f>
        <v>01539420446</v>
      </c>
      <c r="N107" s="6" t="s">
        <v>200</v>
      </c>
      <c r="O107" s="6" t="s">
        <v>95</v>
      </c>
      <c r="P107" s="7">
        <v>43228</v>
      </c>
      <c r="Q107" s="6" t="s">
        <v>30</v>
      </c>
      <c r="R107" s="6" t="s">
        <v>31</v>
      </c>
      <c r="S107" s="6" t="s">
        <v>32</v>
      </c>
      <c r="T107" s="8">
        <v>4074.83</v>
      </c>
      <c r="U107" s="8">
        <v>1757.07</v>
      </c>
      <c r="V107" s="8">
        <v>1622.6</v>
      </c>
      <c r="W107" s="6">
        <v>0</v>
      </c>
      <c r="X107" s="6">
        <v>695.16</v>
      </c>
    </row>
    <row r="108" spans="1:24" x14ac:dyDescent="0.25">
      <c r="A108" s="6" t="s">
        <v>25</v>
      </c>
      <c r="B108" s="6" t="s">
        <v>26</v>
      </c>
      <c r="C108" s="6" t="s">
        <v>46</v>
      </c>
      <c r="D108" s="6" t="s">
        <v>52</v>
      </c>
      <c r="E108" s="6" t="s">
        <v>40</v>
      </c>
      <c r="F108" s="6" t="s">
        <v>201</v>
      </c>
      <c r="G108" s="6">
        <v>2017</v>
      </c>
      <c r="H108" s="6" t="str">
        <f>CONCATENATE("74780043753")</f>
        <v>74780043753</v>
      </c>
      <c r="I108" s="6" t="s">
        <v>28</v>
      </c>
      <c r="J108" s="6" t="s">
        <v>29</v>
      </c>
      <c r="K108" s="6" t="str">
        <f>CONCATENATE("221")</f>
        <v>221</v>
      </c>
      <c r="L108" s="6" t="str">
        <f>CONCATENATE("8 8.1 5e")</f>
        <v>8 8.1 5e</v>
      </c>
      <c r="M108" s="6" t="str">
        <f>CONCATENATE("TRNLNZ76L01B474E")</f>
        <v>TRNLNZ76L01B474E</v>
      </c>
      <c r="N108" s="6" t="s">
        <v>202</v>
      </c>
      <c r="O108" s="6" t="s">
        <v>95</v>
      </c>
      <c r="P108" s="7">
        <v>43228</v>
      </c>
      <c r="Q108" s="6" t="s">
        <v>30</v>
      </c>
      <c r="R108" s="6" t="s">
        <v>31</v>
      </c>
      <c r="S108" s="6" t="s">
        <v>32</v>
      </c>
      <c r="T108" s="6">
        <v>304.62</v>
      </c>
      <c r="U108" s="6">
        <v>131.35</v>
      </c>
      <c r="V108" s="6">
        <v>121.3</v>
      </c>
      <c r="W108" s="6">
        <v>0</v>
      </c>
      <c r="X108" s="6">
        <v>51.97</v>
      </c>
    </row>
    <row r="109" spans="1:24" x14ac:dyDescent="0.25">
      <c r="A109" s="6" t="s">
        <v>25</v>
      </c>
      <c r="B109" s="6" t="s">
        <v>26</v>
      </c>
      <c r="C109" s="6" t="s">
        <v>46</v>
      </c>
      <c r="D109" s="6" t="s">
        <v>52</v>
      </c>
      <c r="E109" s="6" t="s">
        <v>33</v>
      </c>
      <c r="F109" s="6" t="s">
        <v>77</v>
      </c>
      <c r="G109" s="6">
        <v>2017</v>
      </c>
      <c r="H109" s="6" t="str">
        <f>CONCATENATE("74780072174")</f>
        <v>74780072174</v>
      </c>
      <c r="I109" s="6" t="s">
        <v>28</v>
      </c>
      <c r="J109" s="6" t="s">
        <v>29</v>
      </c>
      <c r="K109" s="6" t="str">
        <f>CONCATENATE("221")</f>
        <v>221</v>
      </c>
      <c r="L109" s="6" t="str">
        <f>CONCATENATE("8 8.1 5e")</f>
        <v>8 8.1 5e</v>
      </c>
      <c r="M109" s="6" t="str">
        <f>CONCATENATE("BLDDLU29A19H876A")</f>
        <v>BLDDLU29A19H876A</v>
      </c>
      <c r="N109" s="6" t="s">
        <v>203</v>
      </c>
      <c r="O109" s="6" t="s">
        <v>95</v>
      </c>
      <c r="P109" s="7">
        <v>43228</v>
      </c>
      <c r="Q109" s="6" t="s">
        <v>30</v>
      </c>
      <c r="R109" s="6" t="s">
        <v>31</v>
      </c>
      <c r="S109" s="6" t="s">
        <v>32</v>
      </c>
      <c r="T109" s="6">
        <v>162.9</v>
      </c>
      <c r="U109" s="6">
        <v>70.239999999999995</v>
      </c>
      <c r="V109" s="6">
        <v>64.87</v>
      </c>
      <c r="W109" s="6">
        <v>0</v>
      </c>
      <c r="X109" s="6">
        <v>27.79</v>
      </c>
    </row>
    <row r="110" spans="1:24" x14ac:dyDescent="0.25">
      <c r="A110" s="6" t="s">
        <v>25</v>
      </c>
      <c r="B110" s="6" t="s">
        <v>26</v>
      </c>
      <c r="C110" s="6" t="s">
        <v>46</v>
      </c>
      <c r="D110" s="6" t="s">
        <v>52</v>
      </c>
      <c r="E110" s="6" t="s">
        <v>35</v>
      </c>
      <c r="F110" s="6" t="s">
        <v>132</v>
      </c>
      <c r="G110" s="6">
        <v>2017</v>
      </c>
      <c r="H110" s="6" t="str">
        <f>CONCATENATE("74780038175")</f>
        <v>74780038175</v>
      </c>
      <c r="I110" s="6" t="s">
        <v>28</v>
      </c>
      <c r="J110" s="6" t="s">
        <v>29</v>
      </c>
      <c r="K110" s="6" t="str">
        <f>CONCATENATE("221")</f>
        <v>221</v>
      </c>
      <c r="L110" s="6" t="str">
        <f>CONCATENATE("8 8.1 5e")</f>
        <v>8 8.1 5e</v>
      </c>
      <c r="M110" s="6" t="str">
        <f>CONCATENATE("BLNFRZ61P21E783W")</f>
        <v>BLNFRZ61P21E783W</v>
      </c>
      <c r="N110" s="6" t="s">
        <v>204</v>
      </c>
      <c r="O110" s="6" t="s">
        <v>95</v>
      </c>
      <c r="P110" s="7">
        <v>43228</v>
      </c>
      <c r="Q110" s="6" t="s">
        <v>30</v>
      </c>
      <c r="R110" s="6" t="s">
        <v>31</v>
      </c>
      <c r="S110" s="6" t="s">
        <v>32</v>
      </c>
      <c r="T110" s="6">
        <v>184.8</v>
      </c>
      <c r="U110" s="6">
        <v>79.69</v>
      </c>
      <c r="V110" s="6">
        <v>73.59</v>
      </c>
      <c r="W110" s="6">
        <v>0</v>
      </c>
      <c r="X110" s="6">
        <v>31.52</v>
      </c>
    </row>
    <row r="111" spans="1:24" x14ac:dyDescent="0.25">
      <c r="A111" s="6" t="s">
        <v>25</v>
      </c>
      <c r="B111" s="6" t="s">
        <v>26</v>
      </c>
      <c r="C111" s="6" t="s">
        <v>46</v>
      </c>
      <c r="D111" s="6" t="s">
        <v>52</v>
      </c>
      <c r="E111" s="6" t="s">
        <v>40</v>
      </c>
      <c r="F111" s="6" t="s">
        <v>124</v>
      </c>
      <c r="G111" s="6">
        <v>2017</v>
      </c>
      <c r="H111" s="6" t="str">
        <f>CONCATENATE("74780043639")</f>
        <v>74780043639</v>
      </c>
      <c r="I111" s="6" t="s">
        <v>28</v>
      </c>
      <c r="J111" s="6" t="s">
        <v>29</v>
      </c>
      <c r="K111" s="6" t="str">
        <f>CONCATENATE("221")</f>
        <v>221</v>
      </c>
      <c r="L111" s="6" t="str">
        <f>CONCATENATE("8 8.1 5e")</f>
        <v>8 8.1 5e</v>
      </c>
      <c r="M111" s="6" t="str">
        <f>CONCATENATE("BLZCLD68T17E783E")</f>
        <v>BLZCLD68T17E783E</v>
      </c>
      <c r="N111" s="6" t="s">
        <v>205</v>
      </c>
      <c r="O111" s="6" t="s">
        <v>95</v>
      </c>
      <c r="P111" s="7">
        <v>43228</v>
      </c>
      <c r="Q111" s="6" t="s">
        <v>30</v>
      </c>
      <c r="R111" s="6" t="s">
        <v>31</v>
      </c>
      <c r="S111" s="6" t="s">
        <v>32</v>
      </c>
      <c r="T111" s="6">
        <v>358.38</v>
      </c>
      <c r="U111" s="6">
        <v>154.53</v>
      </c>
      <c r="V111" s="6">
        <v>142.71</v>
      </c>
      <c r="W111" s="6">
        <v>0</v>
      </c>
      <c r="X111" s="6">
        <v>61.14</v>
      </c>
    </row>
    <row r="112" spans="1:24" ht="24.75" x14ac:dyDescent="0.25">
      <c r="A112" s="6" t="s">
        <v>25</v>
      </c>
      <c r="B112" s="6" t="s">
        <v>26</v>
      </c>
      <c r="C112" s="6" t="s">
        <v>46</v>
      </c>
      <c r="D112" s="6" t="s">
        <v>47</v>
      </c>
      <c r="E112" s="6" t="s">
        <v>33</v>
      </c>
      <c r="F112" s="6" t="s">
        <v>141</v>
      </c>
      <c r="G112" s="6">
        <v>2017</v>
      </c>
      <c r="H112" s="6" t="str">
        <f>CONCATENATE("74780025073")</f>
        <v>74780025073</v>
      </c>
      <c r="I112" s="6" t="s">
        <v>28</v>
      </c>
      <c r="J112" s="6" t="s">
        <v>29</v>
      </c>
      <c r="K112" s="6" t="str">
        <f>CONCATENATE("221")</f>
        <v>221</v>
      </c>
      <c r="L112" s="6" t="str">
        <f>CONCATENATE("8 8.1 5e")</f>
        <v>8 8.1 5e</v>
      </c>
      <c r="M112" s="6" t="str">
        <f>CONCATENATE("SPNPIO50M31G005T")</f>
        <v>SPNPIO50M31G005T</v>
      </c>
      <c r="N112" s="6" t="s">
        <v>206</v>
      </c>
      <c r="O112" s="6" t="s">
        <v>95</v>
      </c>
      <c r="P112" s="7">
        <v>43228</v>
      </c>
      <c r="Q112" s="6" t="s">
        <v>30</v>
      </c>
      <c r="R112" s="6" t="s">
        <v>31</v>
      </c>
      <c r="S112" s="6" t="s">
        <v>32</v>
      </c>
      <c r="T112" s="6">
        <v>197.39</v>
      </c>
      <c r="U112" s="6">
        <v>85.11</v>
      </c>
      <c r="V112" s="6">
        <v>78.599999999999994</v>
      </c>
      <c r="W112" s="6">
        <v>0</v>
      </c>
      <c r="X112" s="6">
        <v>33.68</v>
      </c>
    </row>
    <row r="113" spans="1:24" ht="24.75" x14ac:dyDescent="0.25">
      <c r="A113" s="6" t="s">
        <v>25</v>
      </c>
      <c r="B113" s="6" t="s">
        <v>26</v>
      </c>
      <c r="C113" s="6" t="s">
        <v>46</v>
      </c>
      <c r="D113" s="6" t="s">
        <v>47</v>
      </c>
      <c r="E113" s="6" t="s">
        <v>27</v>
      </c>
      <c r="F113" s="6" t="s">
        <v>198</v>
      </c>
      <c r="G113" s="6">
        <v>2017</v>
      </c>
      <c r="H113" s="6" t="str">
        <f>CONCATENATE("74780010554")</f>
        <v>74780010554</v>
      </c>
      <c r="I113" s="6" t="s">
        <v>28</v>
      </c>
      <c r="J113" s="6" t="s">
        <v>29</v>
      </c>
      <c r="K113" s="6" t="str">
        <f>CONCATENATE("221")</f>
        <v>221</v>
      </c>
      <c r="L113" s="6" t="str">
        <f>CONCATENATE("8 8.1 5e")</f>
        <v>8 8.1 5e</v>
      </c>
      <c r="M113" s="6" t="str">
        <f>CONCATENATE("SLQMDE38T22A462E")</f>
        <v>SLQMDE38T22A462E</v>
      </c>
      <c r="N113" s="6" t="s">
        <v>207</v>
      </c>
      <c r="O113" s="6" t="s">
        <v>95</v>
      </c>
      <c r="P113" s="7">
        <v>43228</v>
      </c>
      <c r="Q113" s="6" t="s">
        <v>30</v>
      </c>
      <c r="R113" s="6" t="s">
        <v>31</v>
      </c>
      <c r="S113" s="6" t="s">
        <v>32</v>
      </c>
      <c r="T113" s="6">
        <v>318.73</v>
      </c>
      <c r="U113" s="6">
        <v>137.44</v>
      </c>
      <c r="V113" s="6">
        <v>126.92</v>
      </c>
      <c r="W113" s="6">
        <v>0</v>
      </c>
      <c r="X113" s="6">
        <v>54.37</v>
      </c>
    </row>
    <row r="114" spans="1:24" ht="24.75" x14ac:dyDescent="0.25">
      <c r="A114" s="6" t="s">
        <v>25</v>
      </c>
      <c r="B114" s="6" t="s">
        <v>26</v>
      </c>
      <c r="C114" s="6" t="s">
        <v>46</v>
      </c>
      <c r="D114" s="6" t="s">
        <v>47</v>
      </c>
      <c r="E114" s="6" t="s">
        <v>33</v>
      </c>
      <c r="F114" s="6" t="s">
        <v>208</v>
      </c>
      <c r="G114" s="6">
        <v>2017</v>
      </c>
      <c r="H114" s="6" t="str">
        <f>CONCATENATE("74780024688")</f>
        <v>74780024688</v>
      </c>
      <c r="I114" s="6" t="s">
        <v>28</v>
      </c>
      <c r="J114" s="6" t="s">
        <v>29</v>
      </c>
      <c r="K114" s="6" t="str">
        <f>CONCATENATE("221")</f>
        <v>221</v>
      </c>
      <c r="L114" s="6" t="str">
        <f>CONCATENATE("8 8.1 5e")</f>
        <v>8 8.1 5e</v>
      </c>
      <c r="M114" s="6" t="str">
        <f>CONCATENATE("SRGMDE37H09G005J")</f>
        <v>SRGMDE37H09G005J</v>
      </c>
      <c r="N114" s="6" t="s">
        <v>209</v>
      </c>
      <c r="O114" s="6" t="s">
        <v>95</v>
      </c>
      <c r="P114" s="7">
        <v>43228</v>
      </c>
      <c r="Q114" s="6" t="s">
        <v>30</v>
      </c>
      <c r="R114" s="6" t="s">
        <v>31</v>
      </c>
      <c r="S114" s="6" t="s">
        <v>32</v>
      </c>
      <c r="T114" s="6">
        <v>819.5</v>
      </c>
      <c r="U114" s="6">
        <v>353.37</v>
      </c>
      <c r="V114" s="6">
        <v>326.32</v>
      </c>
      <c r="W114" s="6">
        <v>0</v>
      </c>
      <c r="X114" s="6">
        <v>139.81</v>
      </c>
    </row>
    <row r="115" spans="1:24" ht="24.75" x14ac:dyDescent="0.25">
      <c r="A115" s="6" t="s">
        <v>25</v>
      </c>
      <c r="B115" s="6" t="s">
        <v>26</v>
      </c>
      <c r="C115" s="6" t="s">
        <v>46</v>
      </c>
      <c r="D115" s="6" t="s">
        <v>59</v>
      </c>
      <c r="E115" s="6" t="s">
        <v>39</v>
      </c>
      <c r="F115" s="6" t="s">
        <v>210</v>
      </c>
      <c r="G115" s="6">
        <v>2017</v>
      </c>
      <c r="H115" s="6" t="str">
        <f>CONCATENATE("74780024696")</f>
        <v>74780024696</v>
      </c>
      <c r="I115" s="6" t="s">
        <v>28</v>
      </c>
      <c r="J115" s="6" t="s">
        <v>29</v>
      </c>
      <c r="K115" s="6" t="str">
        <f>CONCATENATE("221")</f>
        <v>221</v>
      </c>
      <c r="L115" s="6" t="str">
        <f>CONCATENATE("8 8.1 5e")</f>
        <v>8 8.1 5e</v>
      </c>
      <c r="M115" s="6" t="str">
        <f>CONCATENATE("CRLFLV71M07A271R")</f>
        <v>CRLFLV71M07A271R</v>
      </c>
      <c r="N115" s="6" t="s">
        <v>211</v>
      </c>
      <c r="O115" s="6" t="s">
        <v>95</v>
      </c>
      <c r="P115" s="7">
        <v>43228</v>
      </c>
      <c r="Q115" s="6" t="s">
        <v>30</v>
      </c>
      <c r="R115" s="6" t="s">
        <v>31</v>
      </c>
      <c r="S115" s="6" t="s">
        <v>32</v>
      </c>
      <c r="T115" s="6">
        <v>590.39</v>
      </c>
      <c r="U115" s="6">
        <v>254.58</v>
      </c>
      <c r="V115" s="6">
        <v>235.09</v>
      </c>
      <c r="W115" s="6">
        <v>0</v>
      </c>
      <c r="X115" s="6">
        <v>100.72</v>
      </c>
    </row>
    <row r="116" spans="1:24" ht="24.75" x14ac:dyDescent="0.25">
      <c r="A116" s="6" t="s">
        <v>25</v>
      </c>
      <c r="B116" s="6" t="s">
        <v>26</v>
      </c>
      <c r="C116" s="6" t="s">
        <v>46</v>
      </c>
      <c r="D116" s="6" t="s">
        <v>47</v>
      </c>
      <c r="E116" s="6" t="s">
        <v>35</v>
      </c>
      <c r="F116" s="6" t="s">
        <v>117</v>
      </c>
      <c r="G116" s="6">
        <v>2017</v>
      </c>
      <c r="H116" s="6" t="str">
        <f>CONCATENATE("74780021312")</f>
        <v>74780021312</v>
      </c>
      <c r="I116" s="6" t="s">
        <v>28</v>
      </c>
      <c r="J116" s="6" t="s">
        <v>29</v>
      </c>
      <c r="K116" s="6" t="str">
        <f>CONCATENATE("221")</f>
        <v>221</v>
      </c>
      <c r="L116" s="6" t="str">
        <f>CONCATENATE("8 8.1 5e")</f>
        <v>8 8.1 5e</v>
      </c>
      <c r="M116" s="6" t="str">
        <f>CONCATENATE("SGHGTN25P15C331D")</f>
        <v>SGHGTN25P15C331D</v>
      </c>
      <c r="N116" s="6" t="s">
        <v>212</v>
      </c>
      <c r="O116" s="6" t="s">
        <v>95</v>
      </c>
      <c r="P116" s="7">
        <v>43228</v>
      </c>
      <c r="Q116" s="6" t="s">
        <v>30</v>
      </c>
      <c r="R116" s="6" t="s">
        <v>31</v>
      </c>
      <c r="S116" s="6" t="s">
        <v>32</v>
      </c>
      <c r="T116" s="6">
        <v>401.25</v>
      </c>
      <c r="U116" s="6">
        <v>173.02</v>
      </c>
      <c r="V116" s="6">
        <v>159.78</v>
      </c>
      <c r="W116" s="6">
        <v>0</v>
      </c>
      <c r="X116" s="6">
        <v>68.45</v>
      </c>
    </row>
    <row r="117" spans="1:24" ht="24.75" x14ac:dyDescent="0.25">
      <c r="A117" s="6" t="s">
        <v>25</v>
      </c>
      <c r="B117" s="6" t="s">
        <v>26</v>
      </c>
      <c r="C117" s="6" t="s">
        <v>46</v>
      </c>
      <c r="D117" s="6" t="s">
        <v>59</v>
      </c>
      <c r="E117" s="6" t="s">
        <v>39</v>
      </c>
      <c r="F117" s="6" t="s">
        <v>210</v>
      </c>
      <c r="G117" s="6">
        <v>2017</v>
      </c>
      <c r="H117" s="6" t="str">
        <f>CONCATENATE("74780021338")</f>
        <v>74780021338</v>
      </c>
      <c r="I117" s="6" t="s">
        <v>34</v>
      </c>
      <c r="J117" s="6" t="s">
        <v>29</v>
      </c>
      <c r="K117" s="6" t="str">
        <f>CONCATENATE("221")</f>
        <v>221</v>
      </c>
      <c r="L117" s="6" t="str">
        <f>CONCATENATE("8 8.1 5e")</f>
        <v>8 8.1 5e</v>
      </c>
      <c r="M117" s="6" t="str">
        <f>CONCATENATE("BRTPLA55T61F401Y")</f>
        <v>BRTPLA55T61F401Y</v>
      </c>
      <c r="N117" s="6" t="s">
        <v>213</v>
      </c>
      <c r="O117" s="6" t="s">
        <v>95</v>
      </c>
      <c r="P117" s="7">
        <v>43228</v>
      </c>
      <c r="Q117" s="6" t="s">
        <v>30</v>
      </c>
      <c r="R117" s="6" t="s">
        <v>31</v>
      </c>
      <c r="S117" s="6" t="s">
        <v>32</v>
      </c>
      <c r="T117" s="6">
        <v>792</v>
      </c>
      <c r="U117" s="6">
        <v>341.51</v>
      </c>
      <c r="V117" s="6">
        <v>315.37</v>
      </c>
      <c r="W117" s="6">
        <v>0</v>
      </c>
      <c r="X117" s="6">
        <v>135.12</v>
      </c>
    </row>
    <row r="118" spans="1:24" x14ac:dyDescent="0.25">
      <c r="A118" s="6" t="s">
        <v>25</v>
      </c>
      <c r="B118" s="6" t="s">
        <v>26</v>
      </c>
      <c r="C118" s="6" t="s">
        <v>46</v>
      </c>
      <c r="D118" s="6" t="s">
        <v>52</v>
      </c>
      <c r="E118" s="6" t="s">
        <v>39</v>
      </c>
      <c r="F118" s="6" t="s">
        <v>156</v>
      </c>
      <c r="G118" s="6">
        <v>2017</v>
      </c>
      <c r="H118" s="6" t="str">
        <f>CONCATENATE("74780052036")</f>
        <v>74780052036</v>
      </c>
      <c r="I118" s="6" t="s">
        <v>28</v>
      </c>
      <c r="J118" s="6" t="s">
        <v>29</v>
      </c>
      <c r="K118" s="6" t="str">
        <f>CONCATENATE("221")</f>
        <v>221</v>
      </c>
      <c r="L118" s="6" t="str">
        <f>CONCATENATE("8 8.1 5e")</f>
        <v>8 8.1 5e</v>
      </c>
      <c r="M118" s="6" t="str">
        <f>CONCATENATE("BRTDDR35R23E694U")</f>
        <v>BRTDDR35R23E694U</v>
      </c>
      <c r="N118" s="6" t="s">
        <v>214</v>
      </c>
      <c r="O118" s="6" t="s">
        <v>95</v>
      </c>
      <c r="P118" s="7">
        <v>43228</v>
      </c>
      <c r="Q118" s="6" t="s">
        <v>30</v>
      </c>
      <c r="R118" s="6" t="s">
        <v>31</v>
      </c>
      <c r="S118" s="6" t="s">
        <v>32</v>
      </c>
      <c r="T118" s="6">
        <v>583</v>
      </c>
      <c r="U118" s="6">
        <v>251.39</v>
      </c>
      <c r="V118" s="6">
        <v>232.15</v>
      </c>
      <c r="W118" s="6">
        <v>0</v>
      </c>
      <c r="X118" s="6">
        <v>99.46</v>
      </c>
    </row>
    <row r="119" spans="1:24" x14ac:dyDescent="0.25">
      <c r="A119" s="6" t="s">
        <v>25</v>
      </c>
      <c r="B119" s="6" t="s">
        <v>26</v>
      </c>
      <c r="C119" s="6" t="s">
        <v>46</v>
      </c>
      <c r="D119" s="6" t="s">
        <v>52</v>
      </c>
      <c r="E119" s="6" t="s">
        <v>43</v>
      </c>
      <c r="F119" s="6" t="s">
        <v>130</v>
      </c>
      <c r="G119" s="6">
        <v>2017</v>
      </c>
      <c r="H119" s="6" t="str">
        <f>CONCATENATE("74780014952")</f>
        <v>74780014952</v>
      </c>
      <c r="I119" s="6" t="s">
        <v>28</v>
      </c>
      <c r="J119" s="6" t="s">
        <v>29</v>
      </c>
      <c r="K119" s="6" t="str">
        <f>CONCATENATE("221")</f>
        <v>221</v>
      </c>
      <c r="L119" s="6" t="str">
        <f>CONCATENATE("8 8.1 5e")</f>
        <v>8 8.1 5e</v>
      </c>
      <c r="M119" s="6" t="str">
        <f>CONCATENATE("BNFGDR60M22E783C")</f>
        <v>BNFGDR60M22E783C</v>
      </c>
      <c r="N119" s="6" t="s">
        <v>215</v>
      </c>
      <c r="O119" s="6" t="s">
        <v>95</v>
      </c>
      <c r="P119" s="7">
        <v>43228</v>
      </c>
      <c r="Q119" s="6" t="s">
        <v>30</v>
      </c>
      <c r="R119" s="6" t="s">
        <v>31</v>
      </c>
      <c r="S119" s="6" t="s">
        <v>32</v>
      </c>
      <c r="T119" s="6">
        <v>380.1</v>
      </c>
      <c r="U119" s="6">
        <v>163.9</v>
      </c>
      <c r="V119" s="6">
        <v>151.36000000000001</v>
      </c>
      <c r="W119" s="6">
        <v>0</v>
      </c>
      <c r="X119" s="6">
        <v>64.84</v>
      </c>
    </row>
    <row r="120" spans="1:24" ht="24.75" x14ac:dyDescent="0.25">
      <c r="A120" s="6" t="s">
        <v>25</v>
      </c>
      <c r="B120" s="6" t="s">
        <v>26</v>
      </c>
      <c r="C120" s="6" t="s">
        <v>46</v>
      </c>
      <c r="D120" s="6" t="s">
        <v>59</v>
      </c>
      <c r="E120" s="6" t="s">
        <v>33</v>
      </c>
      <c r="F120" s="6" t="s">
        <v>216</v>
      </c>
      <c r="G120" s="6">
        <v>2017</v>
      </c>
      <c r="H120" s="6" t="str">
        <f>CONCATENATE("74780043282")</f>
        <v>74780043282</v>
      </c>
      <c r="I120" s="6" t="s">
        <v>28</v>
      </c>
      <c r="J120" s="6" t="s">
        <v>29</v>
      </c>
      <c r="K120" s="6" t="str">
        <f>CONCATENATE("221")</f>
        <v>221</v>
      </c>
      <c r="L120" s="6" t="str">
        <f>CONCATENATE("8 8.1 5e")</f>
        <v>8 8.1 5e</v>
      </c>
      <c r="M120" s="6" t="str">
        <f>CONCATENATE("FROMSM59A08B076N")</f>
        <v>FROMSM59A08B076N</v>
      </c>
      <c r="N120" s="6" t="s">
        <v>217</v>
      </c>
      <c r="O120" s="6" t="s">
        <v>95</v>
      </c>
      <c r="P120" s="7">
        <v>43228</v>
      </c>
      <c r="Q120" s="6" t="s">
        <v>30</v>
      </c>
      <c r="R120" s="6" t="s">
        <v>31</v>
      </c>
      <c r="S120" s="6" t="s">
        <v>32</v>
      </c>
      <c r="T120" s="8">
        <v>3160.2</v>
      </c>
      <c r="U120" s="8">
        <v>1362.68</v>
      </c>
      <c r="V120" s="8">
        <v>1258.3900000000001</v>
      </c>
      <c r="W120" s="6">
        <v>0</v>
      </c>
      <c r="X120" s="6">
        <v>539.13</v>
      </c>
    </row>
    <row r="121" spans="1:24" ht="24.75" x14ac:dyDescent="0.25">
      <c r="A121" s="6" t="s">
        <v>25</v>
      </c>
      <c r="B121" s="6" t="s">
        <v>26</v>
      </c>
      <c r="C121" s="6" t="s">
        <v>46</v>
      </c>
      <c r="D121" s="6" t="s">
        <v>59</v>
      </c>
      <c r="E121" s="6" t="s">
        <v>33</v>
      </c>
      <c r="F121" s="6" t="s">
        <v>216</v>
      </c>
      <c r="G121" s="6">
        <v>2017</v>
      </c>
      <c r="H121" s="6" t="str">
        <f>CONCATENATE("74780043274")</f>
        <v>74780043274</v>
      </c>
      <c r="I121" s="6" t="s">
        <v>28</v>
      </c>
      <c r="J121" s="6" t="s">
        <v>29</v>
      </c>
      <c r="K121" s="6" t="str">
        <f>CONCATENATE("221")</f>
        <v>221</v>
      </c>
      <c r="L121" s="6" t="str">
        <f>CONCATENATE("8 8.1 5e")</f>
        <v>8 8.1 5e</v>
      </c>
      <c r="M121" s="6" t="str">
        <f>CONCATENATE("FROMSM59A08B076N")</f>
        <v>FROMSM59A08B076N</v>
      </c>
      <c r="N121" s="6" t="s">
        <v>217</v>
      </c>
      <c r="O121" s="6" t="s">
        <v>95</v>
      </c>
      <c r="P121" s="7">
        <v>43228</v>
      </c>
      <c r="Q121" s="6" t="s">
        <v>30</v>
      </c>
      <c r="R121" s="6" t="s">
        <v>31</v>
      </c>
      <c r="S121" s="6" t="s">
        <v>32</v>
      </c>
      <c r="T121" s="6">
        <v>817.56</v>
      </c>
      <c r="U121" s="6">
        <v>352.53</v>
      </c>
      <c r="V121" s="6">
        <v>325.55</v>
      </c>
      <c r="W121" s="6">
        <v>0</v>
      </c>
      <c r="X121" s="6">
        <v>139.47999999999999</v>
      </c>
    </row>
    <row r="122" spans="1:24" ht="24.75" x14ac:dyDescent="0.25">
      <c r="A122" s="6" t="s">
        <v>25</v>
      </c>
      <c r="B122" s="6" t="s">
        <v>26</v>
      </c>
      <c r="C122" s="6" t="s">
        <v>46</v>
      </c>
      <c r="D122" s="6" t="s">
        <v>59</v>
      </c>
      <c r="E122" s="6" t="s">
        <v>33</v>
      </c>
      <c r="F122" s="6" t="s">
        <v>121</v>
      </c>
      <c r="G122" s="6">
        <v>2017</v>
      </c>
      <c r="H122" s="6" t="str">
        <f>CONCATENATE("74780051442")</f>
        <v>74780051442</v>
      </c>
      <c r="I122" s="6" t="s">
        <v>28</v>
      </c>
      <c r="J122" s="6" t="s">
        <v>29</v>
      </c>
      <c r="K122" s="6" t="str">
        <f>CONCATENATE("221")</f>
        <v>221</v>
      </c>
      <c r="L122" s="6" t="str">
        <f>CONCATENATE("8 8.1 5e")</f>
        <v>8 8.1 5e</v>
      </c>
      <c r="M122" s="6" t="str">
        <f>CONCATENATE("GRNFNC78L58C615H")</f>
        <v>GRNFNC78L58C615H</v>
      </c>
      <c r="N122" s="6" t="s">
        <v>122</v>
      </c>
      <c r="O122" s="6" t="s">
        <v>95</v>
      </c>
      <c r="P122" s="7">
        <v>43228</v>
      </c>
      <c r="Q122" s="6" t="s">
        <v>30</v>
      </c>
      <c r="R122" s="6" t="s">
        <v>31</v>
      </c>
      <c r="S122" s="6" t="s">
        <v>32</v>
      </c>
      <c r="T122" s="8">
        <v>2822.4</v>
      </c>
      <c r="U122" s="8">
        <v>1217.02</v>
      </c>
      <c r="V122" s="8">
        <v>1123.8800000000001</v>
      </c>
      <c r="W122" s="6">
        <v>0</v>
      </c>
      <c r="X122" s="6">
        <v>481.5</v>
      </c>
    </row>
    <row r="123" spans="1:24" ht="24.75" x14ac:dyDescent="0.25">
      <c r="A123" s="6" t="s">
        <v>25</v>
      </c>
      <c r="B123" s="6" t="s">
        <v>26</v>
      </c>
      <c r="C123" s="6" t="s">
        <v>46</v>
      </c>
      <c r="D123" s="6" t="s">
        <v>59</v>
      </c>
      <c r="E123" s="6" t="s">
        <v>35</v>
      </c>
      <c r="F123" s="6" t="s">
        <v>218</v>
      </c>
      <c r="G123" s="6">
        <v>2017</v>
      </c>
      <c r="H123" s="6" t="str">
        <f>CONCATENATE("74780058728")</f>
        <v>74780058728</v>
      </c>
      <c r="I123" s="6" t="s">
        <v>28</v>
      </c>
      <c r="J123" s="6" t="s">
        <v>29</v>
      </c>
      <c r="K123" s="6" t="str">
        <f>CONCATENATE("221")</f>
        <v>221</v>
      </c>
      <c r="L123" s="6" t="str">
        <f>CONCATENATE("8 8.1 5e")</f>
        <v>8 8.1 5e</v>
      </c>
      <c r="M123" s="6" t="str">
        <f>CONCATENATE("GRNLNE64D56A271P")</f>
        <v>GRNLNE64D56A271P</v>
      </c>
      <c r="N123" s="6" t="s">
        <v>219</v>
      </c>
      <c r="O123" s="6" t="s">
        <v>95</v>
      </c>
      <c r="P123" s="7">
        <v>43228</v>
      </c>
      <c r="Q123" s="6" t="s">
        <v>30</v>
      </c>
      <c r="R123" s="6" t="s">
        <v>31</v>
      </c>
      <c r="S123" s="6" t="s">
        <v>32</v>
      </c>
      <c r="T123" s="6">
        <v>742.4</v>
      </c>
      <c r="U123" s="6">
        <v>320.12</v>
      </c>
      <c r="V123" s="6">
        <v>295.62</v>
      </c>
      <c r="W123" s="6">
        <v>0</v>
      </c>
      <c r="X123" s="6">
        <v>126.66</v>
      </c>
    </row>
    <row r="124" spans="1:24" x14ac:dyDescent="0.25">
      <c r="A124" s="6" t="s">
        <v>25</v>
      </c>
      <c r="B124" s="6" t="s">
        <v>26</v>
      </c>
      <c r="C124" s="6" t="s">
        <v>46</v>
      </c>
      <c r="D124" s="6" t="s">
        <v>52</v>
      </c>
      <c r="E124" s="6" t="s">
        <v>33</v>
      </c>
      <c r="F124" s="6" t="s">
        <v>111</v>
      </c>
      <c r="G124" s="6">
        <v>2017</v>
      </c>
      <c r="H124" s="6" t="str">
        <f>CONCATENATE("74780057902")</f>
        <v>74780057902</v>
      </c>
      <c r="I124" s="6" t="s">
        <v>28</v>
      </c>
      <c r="J124" s="6" t="s">
        <v>29</v>
      </c>
      <c r="K124" s="6" t="str">
        <f>CONCATENATE("221")</f>
        <v>221</v>
      </c>
      <c r="L124" s="6" t="str">
        <f>CONCATENATE("8 8.1 5e")</f>
        <v>8 8.1 5e</v>
      </c>
      <c r="M124" s="6" t="str">
        <f>CONCATENATE("CRSMRA32A28G436O")</f>
        <v>CRSMRA32A28G436O</v>
      </c>
      <c r="N124" s="6" t="s">
        <v>220</v>
      </c>
      <c r="O124" s="6" t="s">
        <v>95</v>
      </c>
      <c r="P124" s="7">
        <v>43228</v>
      </c>
      <c r="Q124" s="6" t="s">
        <v>30</v>
      </c>
      <c r="R124" s="6" t="s">
        <v>31</v>
      </c>
      <c r="S124" s="6" t="s">
        <v>32</v>
      </c>
      <c r="T124" s="8">
        <v>1290</v>
      </c>
      <c r="U124" s="6">
        <v>556.25</v>
      </c>
      <c r="V124" s="6">
        <v>513.67999999999995</v>
      </c>
      <c r="W124" s="6">
        <v>0</v>
      </c>
      <c r="X124" s="6">
        <v>220.07</v>
      </c>
    </row>
    <row r="125" spans="1:24" ht="24.75" x14ac:dyDescent="0.25">
      <c r="A125" s="6" t="s">
        <v>25</v>
      </c>
      <c r="B125" s="6" t="s">
        <v>26</v>
      </c>
      <c r="C125" s="6" t="s">
        <v>46</v>
      </c>
      <c r="D125" s="6" t="s">
        <v>47</v>
      </c>
      <c r="E125" s="6" t="s">
        <v>27</v>
      </c>
      <c r="F125" s="6" t="s">
        <v>198</v>
      </c>
      <c r="G125" s="6">
        <v>2017</v>
      </c>
      <c r="H125" s="6" t="str">
        <f>CONCATENATE("74780009697")</f>
        <v>74780009697</v>
      </c>
      <c r="I125" s="6" t="s">
        <v>28</v>
      </c>
      <c r="J125" s="6" t="s">
        <v>29</v>
      </c>
      <c r="K125" s="6" t="str">
        <f>CONCATENATE("221")</f>
        <v>221</v>
      </c>
      <c r="L125" s="6" t="str">
        <f>CONCATENATE("8 8.1 5e")</f>
        <v>8 8.1 5e</v>
      </c>
      <c r="M125" s="6" t="str">
        <f>CONCATENATE("BNDMLE45S70I741Z")</f>
        <v>BNDMLE45S70I741Z</v>
      </c>
      <c r="N125" s="6" t="s">
        <v>221</v>
      </c>
      <c r="O125" s="6" t="s">
        <v>95</v>
      </c>
      <c r="P125" s="7">
        <v>43228</v>
      </c>
      <c r="Q125" s="6" t="s">
        <v>30</v>
      </c>
      <c r="R125" s="6" t="s">
        <v>31</v>
      </c>
      <c r="S125" s="6" t="s">
        <v>32</v>
      </c>
      <c r="T125" s="6">
        <v>702.97</v>
      </c>
      <c r="U125" s="6">
        <v>303.12</v>
      </c>
      <c r="V125" s="6">
        <v>279.92</v>
      </c>
      <c r="W125" s="6">
        <v>0</v>
      </c>
      <c r="X125" s="6">
        <v>119.93</v>
      </c>
    </row>
    <row r="126" spans="1:24" ht="24.75" x14ac:dyDescent="0.25">
      <c r="A126" s="6" t="s">
        <v>25</v>
      </c>
      <c r="B126" s="6" t="s">
        <v>26</v>
      </c>
      <c r="C126" s="6" t="s">
        <v>46</v>
      </c>
      <c r="D126" s="6" t="s">
        <v>59</v>
      </c>
      <c r="E126" s="6" t="s">
        <v>33</v>
      </c>
      <c r="F126" s="6" t="s">
        <v>191</v>
      </c>
      <c r="G126" s="6">
        <v>2017</v>
      </c>
      <c r="H126" s="6" t="str">
        <f>CONCATENATE("74780059874")</f>
        <v>74780059874</v>
      </c>
      <c r="I126" s="6" t="s">
        <v>28</v>
      </c>
      <c r="J126" s="6" t="s">
        <v>29</v>
      </c>
      <c r="K126" s="6" t="str">
        <f>CONCATENATE("221")</f>
        <v>221</v>
      </c>
      <c r="L126" s="6" t="str">
        <f>CONCATENATE("8 8.1 5e")</f>
        <v>8 8.1 5e</v>
      </c>
      <c r="M126" s="6" t="str">
        <f>CONCATENATE("RTGSLV77M55I461M")</f>
        <v>RTGSLV77M55I461M</v>
      </c>
      <c r="N126" s="6" t="s">
        <v>222</v>
      </c>
      <c r="O126" s="6" t="s">
        <v>95</v>
      </c>
      <c r="P126" s="7">
        <v>43228</v>
      </c>
      <c r="Q126" s="6" t="s">
        <v>30</v>
      </c>
      <c r="R126" s="6" t="s">
        <v>31</v>
      </c>
      <c r="S126" s="6" t="s">
        <v>32</v>
      </c>
      <c r="T126" s="6">
        <v>442.5</v>
      </c>
      <c r="U126" s="6">
        <v>190.81</v>
      </c>
      <c r="V126" s="6">
        <v>176.2</v>
      </c>
      <c r="W126" s="6">
        <v>0</v>
      </c>
      <c r="X126" s="6">
        <v>75.489999999999995</v>
      </c>
    </row>
    <row r="127" spans="1:24" x14ac:dyDescent="0.25">
      <c r="A127" s="6" t="s">
        <v>25</v>
      </c>
      <c r="B127" s="6" t="s">
        <v>26</v>
      </c>
      <c r="C127" s="6" t="s">
        <v>46</v>
      </c>
      <c r="D127" s="6" t="s">
        <v>52</v>
      </c>
      <c r="E127" s="6" t="s">
        <v>39</v>
      </c>
      <c r="F127" s="6" t="s">
        <v>223</v>
      </c>
      <c r="G127" s="6">
        <v>2017</v>
      </c>
      <c r="H127" s="6" t="str">
        <f>CONCATENATE("74780040759")</f>
        <v>74780040759</v>
      </c>
      <c r="I127" s="6" t="s">
        <v>28</v>
      </c>
      <c r="J127" s="6" t="s">
        <v>29</v>
      </c>
      <c r="K127" s="6" t="str">
        <f>CONCATENATE("221")</f>
        <v>221</v>
      </c>
      <c r="L127" s="6" t="str">
        <f>CONCATENATE("8 8.1 5e")</f>
        <v>8 8.1 5e</v>
      </c>
      <c r="M127" s="6" t="str">
        <f>CONCATENATE("CRBGPP26B12G436S")</f>
        <v>CRBGPP26B12G436S</v>
      </c>
      <c r="N127" s="6" t="s">
        <v>224</v>
      </c>
      <c r="O127" s="6" t="s">
        <v>95</v>
      </c>
      <c r="P127" s="7">
        <v>43228</v>
      </c>
      <c r="Q127" s="6" t="s">
        <v>30</v>
      </c>
      <c r="R127" s="6" t="s">
        <v>31</v>
      </c>
      <c r="S127" s="6" t="s">
        <v>32</v>
      </c>
      <c r="T127" s="6">
        <v>371</v>
      </c>
      <c r="U127" s="6">
        <v>159.97999999999999</v>
      </c>
      <c r="V127" s="6">
        <v>147.72999999999999</v>
      </c>
      <c r="W127" s="6">
        <v>0</v>
      </c>
      <c r="X127" s="6">
        <v>63.29</v>
      </c>
    </row>
    <row r="128" spans="1:24" ht="24.75" x14ac:dyDescent="0.25">
      <c r="A128" s="6" t="s">
        <v>25</v>
      </c>
      <c r="B128" s="6" t="s">
        <v>26</v>
      </c>
      <c r="C128" s="6" t="s">
        <v>46</v>
      </c>
      <c r="D128" s="6" t="s">
        <v>47</v>
      </c>
      <c r="E128" s="6" t="s">
        <v>44</v>
      </c>
      <c r="F128" s="6" t="s">
        <v>45</v>
      </c>
      <c r="G128" s="6">
        <v>2017</v>
      </c>
      <c r="H128" s="6" t="str">
        <f>CONCATENATE("74780015298")</f>
        <v>74780015298</v>
      </c>
      <c r="I128" s="6" t="s">
        <v>28</v>
      </c>
      <c r="J128" s="6" t="s">
        <v>29</v>
      </c>
      <c r="K128" s="6" t="str">
        <f>CONCATENATE("221")</f>
        <v>221</v>
      </c>
      <c r="L128" s="6" t="str">
        <f>CONCATENATE("8 8.1 5e")</f>
        <v>8 8.1 5e</v>
      </c>
      <c r="M128" s="6" t="str">
        <f>CONCATENATE("GVNRNN27E10A462T")</f>
        <v>GVNRNN27E10A462T</v>
      </c>
      <c r="N128" s="6" t="s">
        <v>225</v>
      </c>
      <c r="O128" s="6" t="s">
        <v>95</v>
      </c>
      <c r="P128" s="7">
        <v>43228</v>
      </c>
      <c r="Q128" s="6" t="s">
        <v>30</v>
      </c>
      <c r="R128" s="6" t="s">
        <v>31</v>
      </c>
      <c r="S128" s="6" t="s">
        <v>32</v>
      </c>
      <c r="T128" s="6">
        <v>295.91000000000003</v>
      </c>
      <c r="U128" s="6">
        <v>127.6</v>
      </c>
      <c r="V128" s="6">
        <v>117.83</v>
      </c>
      <c r="W128" s="6">
        <v>0</v>
      </c>
      <c r="X128" s="6">
        <v>50.48</v>
      </c>
    </row>
    <row r="129" spans="1:24" x14ac:dyDescent="0.25">
      <c r="A129" s="6" t="s">
        <v>25</v>
      </c>
      <c r="B129" s="6" t="s">
        <v>26</v>
      </c>
      <c r="C129" s="6" t="s">
        <v>46</v>
      </c>
      <c r="D129" s="6" t="s">
        <v>52</v>
      </c>
      <c r="E129" s="6" t="s">
        <v>33</v>
      </c>
      <c r="F129" s="6" t="s">
        <v>100</v>
      </c>
      <c r="G129" s="6">
        <v>2017</v>
      </c>
      <c r="H129" s="6" t="str">
        <f>CONCATENATE("74780070723")</f>
        <v>74780070723</v>
      </c>
      <c r="I129" s="6" t="s">
        <v>28</v>
      </c>
      <c r="J129" s="6" t="s">
        <v>29</v>
      </c>
      <c r="K129" s="6" t="str">
        <f>CONCATENATE("221")</f>
        <v>221</v>
      </c>
      <c r="L129" s="6" t="str">
        <f>CONCATENATE("8 8.1 5e")</f>
        <v>8 8.1 5e</v>
      </c>
      <c r="M129" s="6" t="str">
        <f>CONCATENATE("CSTMTN77S62E783D")</f>
        <v>CSTMTN77S62E783D</v>
      </c>
      <c r="N129" s="6" t="s">
        <v>226</v>
      </c>
      <c r="O129" s="6" t="s">
        <v>95</v>
      </c>
      <c r="P129" s="7">
        <v>43228</v>
      </c>
      <c r="Q129" s="6" t="s">
        <v>30</v>
      </c>
      <c r="R129" s="6" t="s">
        <v>31</v>
      </c>
      <c r="S129" s="6" t="s">
        <v>32</v>
      </c>
      <c r="T129" s="6">
        <v>379.6</v>
      </c>
      <c r="U129" s="6">
        <v>163.68</v>
      </c>
      <c r="V129" s="6">
        <v>151.16</v>
      </c>
      <c r="W129" s="6">
        <v>0</v>
      </c>
      <c r="X129" s="6">
        <v>64.760000000000005</v>
      </c>
    </row>
    <row r="130" spans="1:24" ht="24.75" x14ac:dyDescent="0.25">
      <c r="A130" s="6" t="s">
        <v>25</v>
      </c>
      <c r="B130" s="6" t="s">
        <v>26</v>
      </c>
      <c r="C130" s="6" t="s">
        <v>46</v>
      </c>
      <c r="D130" s="6" t="s">
        <v>47</v>
      </c>
      <c r="E130" s="6" t="s">
        <v>33</v>
      </c>
      <c r="F130" s="6" t="s">
        <v>109</v>
      </c>
      <c r="G130" s="6">
        <v>2017</v>
      </c>
      <c r="H130" s="6" t="str">
        <f>CONCATENATE("74780073354")</f>
        <v>74780073354</v>
      </c>
      <c r="I130" s="6" t="s">
        <v>28</v>
      </c>
      <c r="J130" s="6" t="s">
        <v>29</v>
      </c>
      <c r="K130" s="6" t="str">
        <f>CONCATENATE("221")</f>
        <v>221</v>
      </c>
      <c r="L130" s="6" t="str">
        <f>CONCATENATE("8 8.1 5e")</f>
        <v>8 8.1 5e</v>
      </c>
      <c r="M130" s="6" t="str">
        <f>CONCATENATE("GCHMRZ62R23A462D")</f>
        <v>GCHMRZ62R23A462D</v>
      </c>
      <c r="N130" s="6" t="s">
        <v>227</v>
      </c>
      <c r="O130" s="6" t="s">
        <v>95</v>
      </c>
      <c r="P130" s="7">
        <v>43228</v>
      </c>
      <c r="Q130" s="6" t="s">
        <v>30</v>
      </c>
      <c r="R130" s="6" t="s">
        <v>31</v>
      </c>
      <c r="S130" s="6" t="s">
        <v>32</v>
      </c>
      <c r="T130" s="6">
        <v>130.38999999999999</v>
      </c>
      <c r="U130" s="6">
        <v>56.22</v>
      </c>
      <c r="V130" s="6">
        <v>51.92</v>
      </c>
      <c r="W130" s="6">
        <v>0</v>
      </c>
      <c r="X130" s="6">
        <v>22.25</v>
      </c>
    </row>
    <row r="131" spans="1:24" x14ac:dyDescent="0.25">
      <c r="A131" s="6" t="s">
        <v>25</v>
      </c>
      <c r="B131" s="6" t="s">
        <v>26</v>
      </c>
      <c r="C131" s="6" t="s">
        <v>46</v>
      </c>
      <c r="D131" s="6" t="s">
        <v>52</v>
      </c>
      <c r="E131" s="6" t="s">
        <v>33</v>
      </c>
      <c r="F131" s="6" t="s">
        <v>119</v>
      </c>
      <c r="G131" s="6">
        <v>2017</v>
      </c>
      <c r="H131" s="6" t="str">
        <f>CONCATENATE("74780063744")</f>
        <v>74780063744</v>
      </c>
      <c r="I131" s="6" t="s">
        <v>28</v>
      </c>
      <c r="J131" s="6" t="s">
        <v>29</v>
      </c>
      <c r="K131" s="6" t="str">
        <f>CONCATENATE("221")</f>
        <v>221</v>
      </c>
      <c r="L131" s="6" t="str">
        <f>CONCATENATE("8 8.1 5e")</f>
        <v>8 8.1 5e</v>
      </c>
      <c r="M131" s="6" t="str">
        <f>CONCATENATE("CTRDLA34D61I156N")</f>
        <v>CTRDLA34D61I156N</v>
      </c>
      <c r="N131" s="6" t="s">
        <v>228</v>
      </c>
      <c r="O131" s="6" t="s">
        <v>95</v>
      </c>
      <c r="P131" s="7">
        <v>43228</v>
      </c>
      <c r="Q131" s="6" t="s">
        <v>30</v>
      </c>
      <c r="R131" s="6" t="s">
        <v>31</v>
      </c>
      <c r="S131" s="6" t="s">
        <v>32</v>
      </c>
      <c r="T131" s="6">
        <v>160.6</v>
      </c>
      <c r="U131" s="6">
        <v>69.25</v>
      </c>
      <c r="V131" s="6">
        <v>63.95</v>
      </c>
      <c r="W131" s="6">
        <v>0</v>
      </c>
      <c r="X131" s="6">
        <v>27.4</v>
      </c>
    </row>
    <row r="132" spans="1:24" ht="24.75" x14ac:dyDescent="0.25">
      <c r="A132" s="6" t="s">
        <v>25</v>
      </c>
      <c r="B132" s="6" t="s">
        <v>26</v>
      </c>
      <c r="C132" s="6" t="s">
        <v>46</v>
      </c>
      <c r="D132" s="6" t="s">
        <v>56</v>
      </c>
      <c r="E132" s="6" t="s">
        <v>39</v>
      </c>
      <c r="F132" s="6" t="s">
        <v>165</v>
      </c>
      <c r="G132" s="6">
        <v>2017</v>
      </c>
      <c r="H132" s="6" t="str">
        <f>CONCATENATE("74780069493")</f>
        <v>74780069493</v>
      </c>
      <c r="I132" s="6" t="s">
        <v>34</v>
      </c>
      <c r="J132" s="6" t="s">
        <v>29</v>
      </c>
      <c r="K132" s="6" t="str">
        <f>CONCATENATE("221")</f>
        <v>221</v>
      </c>
      <c r="L132" s="6" t="str">
        <f>CONCATENATE("8 8.1 5e")</f>
        <v>8 8.1 5e</v>
      </c>
      <c r="M132" s="6" t="str">
        <f>CONCATENATE("90008720410")</f>
        <v>90008720410</v>
      </c>
      <c r="N132" s="6" t="s">
        <v>229</v>
      </c>
      <c r="O132" s="6" t="s">
        <v>95</v>
      </c>
      <c r="P132" s="7">
        <v>43228</v>
      </c>
      <c r="Q132" s="6" t="s">
        <v>30</v>
      </c>
      <c r="R132" s="6" t="s">
        <v>31</v>
      </c>
      <c r="S132" s="6" t="s">
        <v>32</v>
      </c>
      <c r="T132" s="8">
        <v>1817.89</v>
      </c>
      <c r="U132" s="6">
        <v>783.87</v>
      </c>
      <c r="V132" s="6">
        <v>723.88</v>
      </c>
      <c r="W132" s="6">
        <v>0</v>
      </c>
      <c r="X132" s="6">
        <v>310.14</v>
      </c>
    </row>
    <row r="133" spans="1:24" x14ac:dyDescent="0.25">
      <c r="A133" s="6" t="s">
        <v>25</v>
      </c>
      <c r="B133" s="6" t="s">
        <v>26</v>
      </c>
      <c r="C133" s="6" t="s">
        <v>46</v>
      </c>
      <c r="D133" s="6" t="s">
        <v>52</v>
      </c>
      <c r="E133" s="6" t="s">
        <v>27</v>
      </c>
      <c r="F133" s="6" t="s">
        <v>67</v>
      </c>
      <c r="G133" s="6">
        <v>2017</v>
      </c>
      <c r="H133" s="6" t="str">
        <f>CONCATENATE("74780060096")</f>
        <v>74780060096</v>
      </c>
      <c r="I133" s="6" t="s">
        <v>28</v>
      </c>
      <c r="J133" s="6" t="s">
        <v>29</v>
      </c>
      <c r="K133" s="6" t="str">
        <f>CONCATENATE("221")</f>
        <v>221</v>
      </c>
      <c r="L133" s="6" t="str">
        <f>CONCATENATE("8 8.1 5e")</f>
        <v>8 8.1 5e</v>
      </c>
      <c r="M133" s="6" t="str">
        <f>CONCATENATE("00604360438")</f>
        <v>00604360438</v>
      </c>
      <c r="N133" s="6" t="s">
        <v>230</v>
      </c>
      <c r="O133" s="6" t="s">
        <v>95</v>
      </c>
      <c r="P133" s="7">
        <v>43228</v>
      </c>
      <c r="Q133" s="6" t="s">
        <v>30</v>
      </c>
      <c r="R133" s="6" t="s">
        <v>31</v>
      </c>
      <c r="S133" s="6" t="s">
        <v>32</v>
      </c>
      <c r="T133" s="6">
        <v>119.46</v>
      </c>
      <c r="U133" s="6">
        <v>51.51</v>
      </c>
      <c r="V133" s="6">
        <v>47.57</v>
      </c>
      <c r="W133" s="6">
        <v>0</v>
      </c>
      <c r="X133" s="6">
        <v>20.38</v>
      </c>
    </row>
    <row r="134" spans="1:24" x14ac:dyDescent="0.25">
      <c r="A134" s="6" t="s">
        <v>25</v>
      </c>
      <c r="B134" s="6" t="s">
        <v>26</v>
      </c>
      <c r="C134" s="6" t="s">
        <v>46</v>
      </c>
      <c r="D134" s="6" t="s">
        <v>52</v>
      </c>
      <c r="E134" s="6" t="s">
        <v>35</v>
      </c>
      <c r="F134" s="6" t="s">
        <v>132</v>
      </c>
      <c r="G134" s="6">
        <v>2017</v>
      </c>
      <c r="H134" s="6" t="str">
        <f>CONCATENATE("74780032046")</f>
        <v>74780032046</v>
      </c>
      <c r="I134" s="6" t="s">
        <v>28</v>
      </c>
      <c r="J134" s="6" t="s">
        <v>29</v>
      </c>
      <c r="K134" s="6" t="str">
        <f>CONCATENATE("221")</f>
        <v>221</v>
      </c>
      <c r="L134" s="6" t="str">
        <f>CONCATENATE("8 8.1 5e")</f>
        <v>8 8.1 5e</v>
      </c>
      <c r="M134" s="6" t="str">
        <f>CONCATENATE("CNGGPL59E23E783Z")</f>
        <v>CNGGPL59E23E783Z</v>
      </c>
      <c r="N134" s="6" t="s">
        <v>231</v>
      </c>
      <c r="O134" s="6" t="s">
        <v>95</v>
      </c>
      <c r="P134" s="7">
        <v>43228</v>
      </c>
      <c r="Q134" s="6" t="s">
        <v>30</v>
      </c>
      <c r="R134" s="6" t="s">
        <v>31</v>
      </c>
      <c r="S134" s="6" t="s">
        <v>32</v>
      </c>
      <c r="T134" s="6">
        <v>519.47</v>
      </c>
      <c r="U134" s="6">
        <v>224</v>
      </c>
      <c r="V134" s="6">
        <v>206.85</v>
      </c>
      <c r="W134" s="6">
        <v>0</v>
      </c>
      <c r="X134" s="6">
        <v>88.62</v>
      </c>
    </row>
    <row r="135" spans="1:24" x14ac:dyDescent="0.25">
      <c r="A135" s="6" t="s">
        <v>25</v>
      </c>
      <c r="B135" s="6" t="s">
        <v>26</v>
      </c>
      <c r="C135" s="6" t="s">
        <v>46</v>
      </c>
      <c r="D135" s="6" t="s">
        <v>52</v>
      </c>
      <c r="E135" s="6" t="s">
        <v>33</v>
      </c>
      <c r="F135" s="6" t="s">
        <v>96</v>
      </c>
      <c r="G135" s="6">
        <v>2017</v>
      </c>
      <c r="H135" s="6" t="str">
        <f>CONCATENATE("74780056516")</f>
        <v>74780056516</v>
      </c>
      <c r="I135" s="6" t="s">
        <v>28</v>
      </c>
      <c r="J135" s="6" t="s">
        <v>29</v>
      </c>
      <c r="K135" s="6" t="str">
        <f>CONCATENATE("221")</f>
        <v>221</v>
      </c>
      <c r="L135" s="6" t="str">
        <f>CONCATENATE("8 8.1 5e")</f>
        <v>8 8.1 5e</v>
      </c>
      <c r="M135" s="6" t="str">
        <f>CONCATENATE("CCCNRC61P24I156P")</f>
        <v>CCCNRC61P24I156P</v>
      </c>
      <c r="N135" s="6" t="s">
        <v>232</v>
      </c>
      <c r="O135" s="6" t="s">
        <v>95</v>
      </c>
      <c r="P135" s="7">
        <v>43228</v>
      </c>
      <c r="Q135" s="6" t="s">
        <v>30</v>
      </c>
      <c r="R135" s="6" t="s">
        <v>31</v>
      </c>
      <c r="S135" s="6" t="s">
        <v>32</v>
      </c>
      <c r="T135" s="6">
        <v>104.98</v>
      </c>
      <c r="U135" s="6">
        <v>45.27</v>
      </c>
      <c r="V135" s="6">
        <v>41.8</v>
      </c>
      <c r="W135" s="6">
        <v>0</v>
      </c>
      <c r="X135" s="6">
        <v>17.91</v>
      </c>
    </row>
    <row r="136" spans="1:24" ht="24.75" x14ac:dyDescent="0.25">
      <c r="A136" s="6" t="s">
        <v>25</v>
      </c>
      <c r="B136" s="6" t="s">
        <v>26</v>
      </c>
      <c r="C136" s="6" t="s">
        <v>46</v>
      </c>
      <c r="D136" s="6" t="s">
        <v>59</v>
      </c>
      <c r="E136" s="6" t="s">
        <v>27</v>
      </c>
      <c r="F136" s="6" t="s">
        <v>74</v>
      </c>
      <c r="G136" s="6">
        <v>2017</v>
      </c>
      <c r="H136" s="6" t="str">
        <f>CONCATENATE("74780058140")</f>
        <v>74780058140</v>
      </c>
      <c r="I136" s="6" t="s">
        <v>28</v>
      </c>
      <c r="J136" s="6" t="s">
        <v>29</v>
      </c>
      <c r="K136" s="6" t="str">
        <f>CONCATENATE("221")</f>
        <v>221</v>
      </c>
      <c r="L136" s="6" t="str">
        <f>CONCATENATE("8 8.1 5e")</f>
        <v>8 8.1 5e</v>
      </c>
      <c r="M136" s="6" t="str">
        <f>CONCATENATE("TGLLSE33R61D211G")</f>
        <v>TGLLSE33R61D211G</v>
      </c>
      <c r="N136" s="6" t="s">
        <v>233</v>
      </c>
      <c r="O136" s="6" t="s">
        <v>95</v>
      </c>
      <c r="P136" s="7">
        <v>43228</v>
      </c>
      <c r="Q136" s="6" t="s">
        <v>30</v>
      </c>
      <c r="R136" s="6" t="s">
        <v>31</v>
      </c>
      <c r="S136" s="6" t="s">
        <v>32</v>
      </c>
      <c r="T136" s="6">
        <v>688.18</v>
      </c>
      <c r="U136" s="6">
        <v>296.74</v>
      </c>
      <c r="V136" s="6">
        <v>274.02999999999997</v>
      </c>
      <c r="W136" s="6">
        <v>0</v>
      </c>
      <c r="X136" s="6">
        <v>117.41</v>
      </c>
    </row>
    <row r="137" spans="1:24" ht="24.75" x14ac:dyDescent="0.25">
      <c r="A137" s="6" t="s">
        <v>25</v>
      </c>
      <c r="B137" s="6" t="s">
        <v>26</v>
      </c>
      <c r="C137" s="6" t="s">
        <v>46</v>
      </c>
      <c r="D137" s="6" t="s">
        <v>59</v>
      </c>
      <c r="E137" s="6" t="s">
        <v>33</v>
      </c>
      <c r="F137" s="6" t="s">
        <v>121</v>
      </c>
      <c r="G137" s="6">
        <v>2017</v>
      </c>
      <c r="H137" s="6" t="str">
        <f>CONCATENATE("74780049859")</f>
        <v>74780049859</v>
      </c>
      <c r="I137" s="6" t="s">
        <v>34</v>
      </c>
      <c r="J137" s="6" t="s">
        <v>29</v>
      </c>
      <c r="K137" s="6" t="str">
        <f>CONCATENATE("221")</f>
        <v>221</v>
      </c>
      <c r="L137" s="6" t="str">
        <f>CONCATENATE("8 8.1 5e")</f>
        <v>8 8.1 5e</v>
      </c>
      <c r="M137" s="6" t="str">
        <f>CONCATENATE("FRZNRT51M48C615X")</f>
        <v>FRZNRT51M48C615X</v>
      </c>
      <c r="N137" s="6" t="s">
        <v>234</v>
      </c>
      <c r="O137" s="6" t="s">
        <v>95</v>
      </c>
      <c r="P137" s="7">
        <v>43228</v>
      </c>
      <c r="Q137" s="6" t="s">
        <v>30</v>
      </c>
      <c r="R137" s="6" t="s">
        <v>31</v>
      </c>
      <c r="S137" s="6" t="s">
        <v>32</v>
      </c>
      <c r="T137" s="6">
        <v>86.93</v>
      </c>
      <c r="U137" s="6">
        <v>37.479999999999997</v>
      </c>
      <c r="V137" s="6">
        <v>34.619999999999997</v>
      </c>
      <c r="W137" s="6">
        <v>0</v>
      </c>
      <c r="X137" s="6">
        <v>14.83</v>
      </c>
    </row>
    <row r="138" spans="1:24" ht="24.75" x14ac:dyDescent="0.25">
      <c r="A138" s="6" t="s">
        <v>25</v>
      </c>
      <c r="B138" s="6" t="s">
        <v>26</v>
      </c>
      <c r="C138" s="6" t="s">
        <v>46</v>
      </c>
      <c r="D138" s="6" t="s">
        <v>59</v>
      </c>
      <c r="E138" s="6" t="s">
        <v>35</v>
      </c>
      <c r="F138" s="6" t="s">
        <v>218</v>
      </c>
      <c r="G138" s="6">
        <v>2017</v>
      </c>
      <c r="H138" s="6" t="str">
        <f>CONCATENATE("74780058769")</f>
        <v>74780058769</v>
      </c>
      <c r="I138" s="6" t="s">
        <v>28</v>
      </c>
      <c r="J138" s="6" t="s">
        <v>29</v>
      </c>
      <c r="K138" s="6" t="str">
        <f>CONCATENATE("221")</f>
        <v>221</v>
      </c>
      <c r="L138" s="6" t="str">
        <f>CONCATENATE("8 8.1 5e")</f>
        <v>8 8.1 5e</v>
      </c>
      <c r="M138" s="6" t="str">
        <f>CONCATENATE("01514370426")</f>
        <v>01514370426</v>
      </c>
      <c r="N138" s="6" t="s">
        <v>235</v>
      </c>
      <c r="O138" s="6" t="s">
        <v>95</v>
      </c>
      <c r="P138" s="7">
        <v>43228</v>
      </c>
      <c r="Q138" s="6" t="s">
        <v>30</v>
      </c>
      <c r="R138" s="6" t="s">
        <v>31</v>
      </c>
      <c r="S138" s="6" t="s">
        <v>32</v>
      </c>
      <c r="T138" s="6">
        <v>460.8</v>
      </c>
      <c r="U138" s="6">
        <v>198.7</v>
      </c>
      <c r="V138" s="6">
        <v>183.49</v>
      </c>
      <c r="W138" s="6">
        <v>0</v>
      </c>
      <c r="X138" s="6">
        <v>78.61</v>
      </c>
    </row>
    <row r="139" spans="1:24" ht="24.75" x14ac:dyDescent="0.25">
      <c r="A139" s="6" t="s">
        <v>25</v>
      </c>
      <c r="B139" s="6" t="s">
        <v>26</v>
      </c>
      <c r="C139" s="6" t="s">
        <v>46</v>
      </c>
      <c r="D139" s="6" t="s">
        <v>59</v>
      </c>
      <c r="E139" s="6" t="s">
        <v>33</v>
      </c>
      <c r="F139" s="6" t="s">
        <v>191</v>
      </c>
      <c r="G139" s="6">
        <v>2017</v>
      </c>
      <c r="H139" s="6" t="str">
        <f>CONCATENATE("74780059072")</f>
        <v>74780059072</v>
      </c>
      <c r="I139" s="6" t="s">
        <v>28</v>
      </c>
      <c r="J139" s="6" t="s">
        <v>29</v>
      </c>
      <c r="K139" s="6" t="str">
        <f>CONCATENATE("221")</f>
        <v>221</v>
      </c>
      <c r="L139" s="6" t="str">
        <f>CONCATENATE("8 8.1 5e")</f>
        <v>8 8.1 5e</v>
      </c>
      <c r="M139" s="6" t="str">
        <f>CONCATENATE("MNRNNT59R46A366M")</f>
        <v>MNRNNT59R46A366M</v>
      </c>
      <c r="N139" s="6" t="s">
        <v>236</v>
      </c>
      <c r="O139" s="6" t="s">
        <v>95</v>
      </c>
      <c r="P139" s="7">
        <v>43228</v>
      </c>
      <c r="Q139" s="6" t="s">
        <v>30</v>
      </c>
      <c r="R139" s="6" t="s">
        <v>31</v>
      </c>
      <c r="S139" s="6" t="s">
        <v>32</v>
      </c>
      <c r="T139" s="6">
        <v>135.83000000000001</v>
      </c>
      <c r="U139" s="6">
        <v>58.57</v>
      </c>
      <c r="V139" s="6">
        <v>54.09</v>
      </c>
      <c r="W139" s="6">
        <v>0</v>
      </c>
      <c r="X139" s="6">
        <v>23.17</v>
      </c>
    </row>
    <row r="140" spans="1:24" ht="24.75" x14ac:dyDescent="0.25">
      <c r="A140" s="6" t="s">
        <v>25</v>
      </c>
      <c r="B140" s="6" t="s">
        <v>26</v>
      </c>
      <c r="C140" s="6" t="s">
        <v>46</v>
      </c>
      <c r="D140" s="6" t="s">
        <v>59</v>
      </c>
      <c r="E140" s="6" t="s">
        <v>35</v>
      </c>
      <c r="F140" s="6" t="s">
        <v>218</v>
      </c>
      <c r="G140" s="6">
        <v>2017</v>
      </c>
      <c r="H140" s="6" t="str">
        <f>CONCATENATE("74780058819")</f>
        <v>74780058819</v>
      </c>
      <c r="I140" s="6" t="s">
        <v>28</v>
      </c>
      <c r="J140" s="6" t="s">
        <v>29</v>
      </c>
      <c r="K140" s="6" t="str">
        <f>CONCATENATE("221")</f>
        <v>221</v>
      </c>
      <c r="L140" s="6" t="str">
        <f>CONCATENATE("8 8.1 5e")</f>
        <v>8 8.1 5e</v>
      </c>
      <c r="M140" s="6" t="str">
        <f>CONCATENATE("SMNCNZ60M61A271M")</f>
        <v>SMNCNZ60M61A271M</v>
      </c>
      <c r="N140" s="6" t="s">
        <v>237</v>
      </c>
      <c r="O140" s="6" t="s">
        <v>95</v>
      </c>
      <c r="P140" s="7">
        <v>43228</v>
      </c>
      <c r="Q140" s="6" t="s">
        <v>30</v>
      </c>
      <c r="R140" s="6" t="s">
        <v>31</v>
      </c>
      <c r="S140" s="6" t="s">
        <v>32</v>
      </c>
      <c r="T140" s="6">
        <v>255.35</v>
      </c>
      <c r="U140" s="6">
        <v>110.11</v>
      </c>
      <c r="V140" s="6">
        <v>101.68</v>
      </c>
      <c r="W140" s="6">
        <v>0</v>
      </c>
      <c r="X140" s="6">
        <v>43.56</v>
      </c>
    </row>
    <row r="141" spans="1:24" ht="24.75" x14ac:dyDescent="0.25">
      <c r="A141" s="6" t="s">
        <v>25</v>
      </c>
      <c r="B141" s="6" t="s">
        <v>26</v>
      </c>
      <c r="C141" s="6" t="s">
        <v>46</v>
      </c>
      <c r="D141" s="6" t="s">
        <v>59</v>
      </c>
      <c r="E141" s="6" t="s">
        <v>33</v>
      </c>
      <c r="F141" s="6" t="s">
        <v>69</v>
      </c>
      <c r="G141" s="6">
        <v>2017</v>
      </c>
      <c r="H141" s="6" t="str">
        <f>CONCATENATE("74780063975")</f>
        <v>74780063975</v>
      </c>
      <c r="I141" s="6" t="s">
        <v>28</v>
      </c>
      <c r="J141" s="6" t="s">
        <v>29</v>
      </c>
      <c r="K141" s="6" t="str">
        <f>CONCATENATE("221")</f>
        <v>221</v>
      </c>
      <c r="L141" s="6" t="str">
        <f>CONCATENATE("8 8.1 5e")</f>
        <v>8 8.1 5e</v>
      </c>
      <c r="M141" s="6" t="str">
        <f>CONCATENATE("LRANCL53D03G623H")</f>
        <v>LRANCL53D03G623H</v>
      </c>
      <c r="N141" s="6" t="s">
        <v>238</v>
      </c>
      <c r="O141" s="6" t="s">
        <v>95</v>
      </c>
      <c r="P141" s="7">
        <v>43228</v>
      </c>
      <c r="Q141" s="6" t="s">
        <v>30</v>
      </c>
      <c r="R141" s="6" t="s">
        <v>31</v>
      </c>
      <c r="S141" s="6" t="s">
        <v>32</v>
      </c>
      <c r="T141" s="6">
        <v>101.42</v>
      </c>
      <c r="U141" s="6">
        <v>43.73</v>
      </c>
      <c r="V141" s="6">
        <v>40.39</v>
      </c>
      <c r="W141" s="6">
        <v>0</v>
      </c>
      <c r="X141" s="6">
        <v>17.3</v>
      </c>
    </row>
    <row r="142" spans="1:24" ht="24.75" x14ac:dyDescent="0.25">
      <c r="A142" s="6" t="s">
        <v>25</v>
      </c>
      <c r="B142" s="6" t="s">
        <v>26</v>
      </c>
      <c r="C142" s="6" t="s">
        <v>46</v>
      </c>
      <c r="D142" s="6" t="s">
        <v>59</v>
      </c>
      <c r="E142" s="6" t="s">
        <v>35</v>
      </c>
      <c r="F142" s="6" t="s">
        <v>98</v>
      </c>
      <c r="G142" s="6">
        <v>2017</v>
      </c>
      <c r="H142" s="6" t="str">
        <f>CONCATENATE("74780056318")</f>
        <v>74780056318</v>
      </c>
      <c r="I142" s="6" t="s">
        <v>28</v>
      </c>
      <c r="J142" s="6" t="s">
        <v>29</v>
      </c>
      <c r="K142" s="6" t="str">
        <f>CONCATENATE("221")</f>
        <v>221</v>
      </c>
      <c r="L142" s="6" t="str">
        <f>CONCATENATE("8 8.1 5e")</f>
        <v>8 8.1 5e</v>
      </c>
      <c r="M142" s="6" t="str">
        <f>CONCATENATE("LZZFNC29B18A366L")</f>
        <v>LZZFNC29B18A366L</v>
      </c>
      <c r="N142" s="6" t="s">
        <v>239</v>
      </c>
      <c r="O142" s="6" t="s">
        <v>95</v>
      </c>
      <c r="P142" s="7">
        <v>43228</v>
      </c>
      <c r="Q142" s="6" t="s">
        <v>30</v>
      </c>
      <c r="R142" s="6" t="s">
        <v>31</v>
      </c>
      <c r="S142" s="6" t="s">
        <v>32</v>
      </c>
      <c r="T142" s="6">
        <v>441.88</v>
      </c>
      <c r="U142" s="6">
        <v>190.54</v>
      </c>
      <c r="V142" s="6">
        <v>175.96</v>
      </c>
      <c r="W142" s="6">
        <v>0</v>
      </c>
      <c r="X142" s="6">
        <v>75.38</v>
      </c>
    </row>
    <row r="143" spans="1:24" ht="24.75" x14ac:dyDescent="0.25">
      <c r="A143" s="6" t="s">
        <v>25</v>
      </c>
      <c r="B143" s="6" t="s">
        <v>26</v>
      </c>
      <c r="C143" s="6" t="s">
        <v>46</v>
      </c>
      <c r="D143" s="6" t="s">
        <v>59</v>
      </c>
      <c r="E143" s="6" t="s">
        <v>35</v>
      </c>
      <c r="F143" s="6" t="s">
        <v>98</v>
      </c>
      <c r="G143" s="6">
        <v>2017</v>
      </c>
      <c r="H143" s="6" t="str">
        <f>CONCATENATE("74780056342")</f>
        <v>74780056342</v>
      </c>
      <c r="I143" s="6" t="s">
        <v>28</v>
      </c>
      <c r="J143" s="6" t="s">
        <v>29</v>
      </c>
      <c r="K143" s="6" t="str">
        <f>CONCATENATE("221")</f>
        <v>221</v>
      </c>
      <c r="L143" s="6" t="str">
        <f>CONCATENATE("8 8.1 5e")</f>
        <v>8 8.1 5e</v>
      </c>
      <c r="M143" s="6" t="str">
        <f>CONCATENATE("MZZSMN85M05E388A")</f>
        <v>MZZSMN85M05E388A</v>
      </c>
      <c r="N143" s="6" t="s">
        <v>240</v>
      </c>
      <c r="O143" s="6" t="s">
        <v>95</v>
      </c>
      <c r="P143" s="7">
        <v>43228</v>
      </c>
      <c r="Q143" s="6" t="s">
        <v>30</v>
      </c>
      <c r="R143" s="6" t="s">
        <v>31</v>
      </c>
      <c r="S143" s="6" t="s">
        <v>32</v>
      </c>
      <c r="T143" s="6">
        <v>148.5</v>
      </c>
      <c r="U143" s="6">
        <v>64.03</v>
      </c>
      <c r="V143" s="6">
        <v>59.13</v>
      </c>
      <c r="W143" s="6">
        <v>0</v>
      </c>
      <c r="X143" s="6">
        <v>25.34</v>
      </c>
    </row>
    <row r="144" spans="1:24" ht="24.75" x14ac:dyDescent="0.25">
      <c r="A144" s="6" t="s">
        <v>25</v>
      </c>
      <c r="B144" s="6" t="s">
        <v>26</v>
      </c>
      <c r="C144" s="6" t="s">
        <v>46</v>
      </c>
      <c r="D144" s="6" t="s">
        <v>59</v>
      </c>
      <c r="E144" s="6" t="s">
        <v>35</v>
      </c>
      <c r="F144" s="6" t="s">
        <v>98</v>
      </c>
      <c r="G144" s="6">
        <v>2017</v>
      </c>
      <c r="H144" s="6" t="str">
        <f>CONCATENATE("74780056359")</f>
        <v>74780056359</v>
      </c>
      <c r="I144" s="6" t="s">
        <v>28</v>
      </c>
      <c r="J144" s="6" t="s">
        <v>29</v>
      </c>
      <c r="K144" s="6" t="str">
        <f>CONCATENATE("221")</f>
        <v>221</v>
      </c>
      <c r="L144" s="6" t="str">
        <f>CONCATENATE("8 8.1 5e")</f>
        <v>8 8.1 5e</v>
      </c>
      <c r="M144" s="6" t="str">
        <f>CONCATENATE("MLNGRL41S70A366C")</f>
        <v>MLNGRL41S70A366C</v>
      </c>
      <c r="N144" s="6" t="s">
        <v>241</v>
      </c>
      <c r="O144" s="6" t="s">
        <v>95</v>
      </c>
      <c r="P144" s="7">
        <v>43228</v>
      </c>
      <c r="Q144" s="6" t="s">
        <v>30</v>
      </c>
      <c r="R144" s="6" t="s">
        <v>31</v>
      </c>
      <c r="S144" s="6" t="s">
        <v>32</v>
      </c>
      <c r="T144" s="6">
        <v>249</v>
      </c>
      <c r="U144" s="6">
        <v>107.37</v>
      </c>
      <c r="V144" s="6">
        <v>99.15</v>
      </c>
      <c r="W144" s="6">
        <v>0</v>
      </c>
      <c r="X144" s="6">
        <v>42.48</v>
      </c>
    </row>
    <row r="145" spans="1:24" ht="24.75" x14ac:dyDescent="0.25">
      <c r="A145" s="6" t="s">
        <v>25</v>
      </c>
      <c r="B145" s="6" t="s">
        <v>26</v>
      </c>
      <c r="C145" s="6" t="s">
        <v>46</v>
      </c>
      <c r="D145" s="6" t="s">
        <v>59</v>
      </c>
      <c r="E145" s="6" t="s">
        <v>35</v>
      </c>
      <c r="F145" s="6" t="s">
        <v>98</v>
      </c>
      <c r="G145" s="6">
        <v>2017</v>
      </c>
      <c r="H145" s="6" t="str">
        <f>CONCATENATE("74780056375")</f>
        <v>74780056375</v>
      </c>
      <c r="I145" s="6" t="s">
        <v>28</v>
      </c>
      <c r="J145" s="6" t="s">
        <v>29</v>
      </c>
      <c r="K145" s="6" t="str">
        <f>CONCATENATE("221")</f>
        <v>221</v>
      </c>
      <c r="L145" s="6" t="str">
        <f>CONCATENATE("8 8.1 5e")</f>
        <v>8 8.1 5e</v>
      </c>
      <c r="M145" s="6" t="str">
        <f>CONCATENATE("ZNESRN65B47D451M")</f>
        <v>ZNESRN65B47D451M</v>
      </c>
      <c r="N145" s="6" t="s">
        <v>242</v>
      </c>
      <c r="O145" s="6" t="s">
        <v>95</v>
      </c>
      <c r="P145" s="7">
        <v>43228</v>
      </c>
      <c r="Q145" s="6" t="s">
        <v>30</v>
      </c>
      <c r="R145" s="6" t="s">
        <v>31</v>
      </c>
      <c r="S145" s="6" t="s">
        <v>32</v>
      </c>
      <c r="T145" s="8">
        <v>1899</v>
      </c>
      <c r="U145" s="6">
        <v>818.85</v>
      </c>
      <c r="V145" s="6">
        <v>756.18</v>
      </c>
      <c r="W145" s="6">
        <v>0</v>
      </c>
      <c r="X145" s="6">
        <v>323.97000000000003</v>
      </c>
    </row>
    <row r="146" spans="1:24" ht="24.75" x14ac:dyDescent="0.25">
      <c r="A146" s="6" t="s">
        <v>25</v>
      </c>
      <c r="B146" s="6" t="s">
        <v>26</v>
      </c>
      <c r="C146" s="6" t="s">
        <v>46</v>
      </c>
      <c r="D146" s="6" t="s">
        <v>59</v>
      </c>
      <c r="E146" s="6" t="s">
        <v>39</v>
      </c>
      <c r="F146" s="6" t="s">
        <v>139</v>
      </c>
      <c r="G146" s="6">
        <v>2017</v>
      </c>
      <c r="H146" s="6" t="str">
        <f>CONCATENATE("74780020025")</f>
        <v>74780020025</v>
      </c>
      <c r="I146" s="6" t="s">
        <v>28</v>
      </c>
      <c r="J146" s="6" t="s">
        <v>29</v>
      </c>
      <c r="K146" s="6" t="str">
        <f>CONCATENATE("221")</f>
        <v>221</v>
      </c>
      <c r="L146" s="6" t="str">
        <f>CONCATENATE("8 8.1 5e")</f>
        <v>8 8.1 5e</v>
      </c>
      <c r="M146" s="6" t="str">
        <f>CONCATENATE("MNCSRG58R06D211R")</f>
        <v>MNCSRG58R06D211R</v>
      </c>
      <c r="N146" s="6" t="s">
        <v>243</v>
      </c>
      <c r="O146" s="6" t="s">
        <v>95</v>
      </c>
      <c r="P146" s="7">
        <v>43228</v>
      </c>
      <c r="Q146" s="6" t="s">
        <v>30</v>
      </c>
      <c r="R146" s="6" t="s">
        <v>31</v>
      </c>
      <c r="S146" s="6" t="s">
        <v>32</v>
      </c>
      <c r="T146" s="8">
        <v>3212</v>
      </c>
      <c r="U146" s="8">
        <v>1385.01</v>
      </c>
      <c r="V146" s="8">
        <v>1279.02</v>
      </c>
      <c r="W146" s="6">
        <v>0</v>
      </c>
      <c r="X146" s="6">
        <v>547.97</v>
      </c>
    </row>
    <row r="147" spans="1:24" ht="24.75" x14ac:dyDescent="0.25">
      <c r="A147" s="6" t="s">
        <v>25</v>
      </c>
      <c r="B147" s="6" t="s">
        <v>26</v>
      </c>
      <c r="C147" s="6" t="s">
        <v>46</v>
      </c>
      <c r="D147" s="6" t="s">
        <v>59</v>
      </c>
      <c r="E147" s="6" t="s">
        <v>39</v>
      </c>
      <c r="F147" s="6" t="s">
        <v>210</v>
      </c>
      <c r="G147" s="6">
        <v>2017</v>
      </c>
      <c r="H147" s="6" t="str">
        <f>CONCATENATE("74780028713")</f>
        <v>74780028713</v>
      </c>
      <c r="I147" s="6" t="s">
        <v>28</v>
      </c>
      <c r="J147" s="6" t="s">
        <v>29</v>
      </c>
      <c r="K147" s="6" t="str">
        <f>CONCATENATE("221")</f>
        <v>221</v>
      </c>
      <c r="L147" s="6" t="str">
        <f>CONCATENATE("8 8.1 5e")</f>
        <v>8 8.1 5e</v>
      </c>
      <c r="M147" s="6" t="str">
        <f>CONCATENATE("MRNDRN54R63E690Q")</f>
        <v>MRNDRN54R63E690Q</v>
      </c>
      <c r="N147" s="6" t="s">
        <v>244</v>
      </c>
      <c r="O147" s="6" t="s">
        <v>95</v>
      </c>
      <c r="P147" s="7">
        <v>43228</v>
      </c>
      <c r="Q147" s="6" t="s">
        <v>30</v>
      </c>
      <c r="R147" s="6" t="s">
        <v>31</v>
      </c>
      <c r="S147" s="6" t="s">
        <v>32</v>
      </c>
      <c r="T147" s="6">
        <v>277.08</v>
      </c>
      <c r="U147" s="6">
        <v>119.48</v>
      </c>
      <c r="V147" s="6">
        <v>110.33</v>
      </c>
      <c r="W147" s="6">
        <v>0</v>
      </c>
      <c r="X147" s="6">
        <v>47.27</v>
      </c>
    </row>
    <row r="148" spans="1:24" ht="24.75" x14ac:dyDescent="0.25">
      <c r="A148" s="6" t="s">
        <v>25</v>
      </c>
      <c r="B148" s="6" t="s">
        <v>26</v>
      </c>
      <c r="C148" s="6" t="s">
        <v>46</v>
      </c>
      <c r="D148" s="6" t="s">
        <v>59</v>
      </c>
      <c r="E148" s="6" t="s">
        <v>33</v>
      </c>
      <c r="F148" s="6" t="s">
        <v>216</v>
      </c>
      <c r="G148" s="6">
        <v>2017</v>
      </c>
      <c r="H148" s="6" t="str">
        <f>CONCATENATE("74780044215")</f>
        <v>74780044215</v>
      </c>
      <c r="I148" s="6" t="s">
        <v>28</v>
      </c>
      <c r="J148" s="6" t="s">
        <v>29</v>
      </c>
      <c r="K148" s="6" t="str">
        <f>CONCATENATE("221")</f>
        <v>221</v>
      </c>
      <c r="L148" s="6" t="str">
        <f>CONCATENATE("8 8.1 5e")</f>
        <v>8 8.1 5e</v>
      </c>
      <c r="M148" s="6" t="str">
        <f>CONCATENATE("MRTMSM64P15G157T")</f>
        <v>MRTMSM64P15G157T</v>
      </c>
      <c r="N148" s="6" t="s">
        <v>245</v>
      </c>
      <c r="O148" s="6" t="s">
        <v>95</v>
      </c>
      <c r="P148" s="7">
        <v>43228</v>
      </c>
      <c r="Q148" s="6" t="s">
        <v>30</v>
      </c>
      <c r="R148" s="6" t="s">
        <v>31</v>
      </c>
      <c r="S148" s="6" t="s">
        <v>32</v>
      </c>
      <c r="T148" s="8">
        <v>1140.78</v>
      </c>
      <c r="U148" s="6">
        <v>491.9</v>
      </c>
      <c r="V148" s="6">
        <v>454.26</v>
      </c>
      <c r="W148" s="6">
        <v>0</v>
      </c>
      <c r="X148" s="6">
        <v>194.62</v>
      </c>
    </row>
    <row r="149" spans="1:24" ht="24.75" x14ac:dyDescent="0.25">
      <c r="A149" s="6" t="s">
        <v>25</v>
      </c>
      <c r="B149" s="6" t="s">
        <v>26</v>
      </c>
      <c r="C149" s="6" t="s">
        <v>46</v>
      </c>
      <c r="D149" s="6" t="s">
        <v>59</v>
      </c>
      <c r="E149" s="6" t="s">
        <v>35</v>
      </c>
      <c r="F149" s="6" t="s">
        <v>246</v>
      </c>
      <c r="G149" s="6">
        <v>2017</v>
      </c>
      <c r="H149" s="6" t="str">
        <f>CONCATENATE("74780059338")</f>
        <v>74780059338</v>
      </c>
      <c r="I149" s="6" t="s">
        <v>34</v>
      </c>
      <c r="J149" s="6" t="s">
        <v>29</v>
      </c>
      <c r="K149" s="6" t="str">
        <f>CONCATENATE("221")</f>
        <v>221</v>
      </c>
      <c r="L149" s="6" t="str">
        <f>CONCATENATE("8 8.1 5e")</f>
        <v>8 8.1 5e</v>
      </c>
      <c r="M149" s="6" t="str">
        <f>CONCATENATE("MZZPLA58B66I608N")</f>
        <v>MZZPLA58B66I608N</v>
      </c>
      <c r="N149" s="6" t="s">
        <v>247</v>
      </c>
      <c r="O149" s="6" t="s">
        <v>95</v>
      </c>
      <c r="P149" s="7">
        <v>43228</v>
      </c>
      <c r="Q149" s="6" t="s">
        <v>30</v>
      </c>
      <c r="R149" s="6" t="s">
        <v>31</v>
      </c>
      <c r="S149" s="6" t="s">
        <v>32</v>
      </c>
      <c r="T149" s="6">
        <v>199.21</v>
      </c>
      <c r="U149" s="6">
        <v>85.9</v>
      </c>
      <c r="V149" s="6">
        <v>79.33</v>
      </c>
      <c r="W149" s="6">
        <v>0</v>
      </c>
      <c r="X149" s="6">
        <v>33.979999999999997</v>
      </c>
    </row>
    <row r="150" spans="1:24" ht="24.75" x14ac:dyDescent="0.25">
      <c r="A150" s="6" t="s">
        <v>25</v>
      </c>
      <c r="B150" s="6" t="s">
        <v>26</v>
      </c>
      <c r="C150" s="6" t="s">
        <v>46</v>
      </c>
      <c r="D150" s="6" t="s">
        <v>59</v>
      </c>
      <c r="E150" s="6" t="s">
        <v>39</v>
      </c>
      <c r="F150" s="6" t="s">
        <v>248</v>
      </c>
      <c r="G150" s="6">
        <v>2017</v>
      </c>
      <c r="H150" s="6" t="str">
        <f>CONCATENATE("74780020819")</f>
        <v>74780020819</v>
      </c>
      <c r="I150" s="6" t="s">
        <v>28</v>
      </c>
      <c r="J150" s="6" t="s">
        <v>29</v>
      </c>
      <c r="K150" s="6" t="str">
        <f>CONCATENATE("221")</f>
        <v>221</v>
      </c>
      <c r="L150" s="6" t="str">
        <f>CONCATENATE("8 8.1 5e")</f>
        <v>8 8.1 5e</v>
      </c>
      <c r="M150" s="6" t="str">
        <f>CONCATENATE("BRNMRA50B03I461W")</f>
        <v>BRNMRA50B03I461W</v>
      </c>
      <c r="N150" s="6" t="s">
        <v>249</v>
      </c>
      <c r="O150" s="6" t="s">
        <v>95</v>
      </c>
      <c r="P150" s="7">
        <v>43228</v>
      </c>
      <c r="Q150" s="6" t="s">
        <v>30</v>
      </c>
      <c r="R150" s="6" t="s">
        <v>31</v>
      </c>
      <c r="S150" s="6" t="s">
        <v>32</v>
      </c>
      <c r="T150" s="6">
        <v>345.9</v>
      </c>
      <c r="U150" s="6">
        <v>149.15</v>
      </c>
      <c r="V150" s="6">
        <v>137.74</v>
      </c>
      <c r="W150" s="6">
        <v>0</v>
      </c>
      <c r="X150" s="6">
        <v>59.01</v>
      </c>
    </row>
    <row r="151" spans="1:24" ht="24.75" x14ac:dyDescent="0.25">
      <c r="A151" s="6" t="s">
        <v>25</v>
      </c>
      <c r="B151" s="6" t="s">
        <v>26</v>
      </c>
      <c r="C151" s="6" t="s">
        <v>46</v>
      </c>
      <c r="D151" s="6" t="s">
        <v>59</v>
      </c>
      <c r="E151" s="6" t="s">
        <v>39</v>
      </c>
      <c r="F151" s="6" t="s">
        <v>250</v>
      </c>
      <c r="G151" s="6">
        <v>2017</v>
      </c>
      <c r="H151" s="6" t="str">
        <f>CONCATENATE("74780047960")</f>
        <v>74780047960</v>
      </c>
      <c r="I151" s="6" t="s">
        <v>28</v>
      </c>
      <c r="J151" s="6" t="s">
        <v>29</v>
      </c>
      <c r="K151" s="6" t="str">
        <f>CONCATENATE("221")</f>
        <v>221</v>
      </c>
      <c r="L151" s="6" t="str">
        <f>CONCATENATE("8 8.1 5e")</f>
        <v>8 8.1 5e</v>
      </c>
      <c r="M151" s="6" t="str">
        <f>CONCATENATE("BRRLGU59B15D597T")</f>
        <v>BRRLGU59B15D597T</v>
      </c>
      <c r="N151" s="6" t="s">
        <v>251</v>
      </c>
      <c r="O151" s="6" t="s">
        <v>95</v>
      </c>
      <c r="P151" s="7">
        <v>43228</v>
      </c>
      <c r="Q151" s="6" t="s">
        <v>30</v>
      </c>
      <c r="R151" s="6" t="s">
        <v>31</v>
      </c>
      <c r="S151" s="6" t="s">
        <v>32</v>
      </c>
      <c r="T151" s="6">
        <v>692.58</v>
      </c>
      <c r="U151" s="6">
        <v>298.64</v>
      </c>
      <c r="V151" s="6">
        <v>275.79000000000002</v>
      </c>
      <c r="W151" s="6">
        <v>0</v>
      </c>
      <c r="X151" s="6">
        <v>118.15</v>
      </c>
    </row>
    <row r="152" spans="1:24" ht="24.75" x14ac:dyDescent="0.25">
      <c r="A152" s="6" t="s">
        <v>25</v>
      </c>
      <c r="B152" s="6" t="s">
        <v>26</v>
      </c>
      <c r="C152" s="6" t="s">
        <v>46</v>
      </c>
      <c r="D152" s="6" t="s">
        <v>56</v>
      </c>
      <c r="E152" s="6" t="s">
        <v>41</v>
      </c>
      <c r="F152" s="6" t="s">
        <v>252</v>
      </c>
      <c r="G152" s="6">
        <v>2017</v>
      </c>
      <c r="H152" s="6" t="str">
        <f>CONCATENATE("74780039678")</f>
        <v>74780039678</v>
      </c>
      <c r="I152" s="6" t="s">
        <v>28</v>
      </c>
      <c r="J152" s="6" t="s">
        <v>29</v>
      </c>
      <c r="K152" s="6" t="str">
        <f>CONCATENATE("221")</f>
        <v>221</v>
      </c>
      <c r="L152" s="6" t="str">
        <f>CONCATENATE("8 8.1 5e")</f>
        <v>8 8.1 5e</v>
      </c>
      <c r="M152" s="6" t="str">
        <f>CONCATENATE("FRSDNC36L09F717P")</f>
        <v>FRSDNC36L09F717P</v>
      </c>
      <c r="N152" s="6" t="s">
        <v>253</v>
      </c>
      <c r="O152" s="6" t="s">
        <v>95</v>
      </c>
      <c r="P152" s="7">
        <v>43228</v>
      </c>
      <c r="Q152" s="6" t="s">
        <v>30</v>
      </c>
      <c r="R152" s="6" t="s">
        <v>31</v>
      </c>
      <c r="S152" s="6" t="s">
        <v>32</v>
      </c>
      <c r="T152" s="6">
        <v>542.28</v>
      </c>
      <c r="U152" s="6">
        <v>233.83</v>
      </c>
      <c r="V152" s="6">
        <v>215.94</v>
      </c>
      <c r="W152" s="6">
        <v>0</v>
      </c>
      <c r="X152" s="6">
        <v>92.51</v>
      </c>
    </row>
    <row r="153" spans="1:24" ht="24.75" x14ac:dyDescent="0.25">
      <c r="A153" s="6" t="s">
        <v>25</v>
      </c>
      <c r="B153" s="6" t="s">
        <v>26</v>
      </c>
      <c r="C153" s="6" t="s">
        <v>46</v>
      </c>
      <c r="D153" s="6" t="s">
        <v>59</v>
      </c>
      <c r="E153" s="6" t="s">
        <v>33</v>
      </c>
      <c r="F153" s="6" t="s">
        <v>60</v>
      </c>
      <c r="G153" s="6">
        <v>2017</v>
      </c>
      <c r="H153" s="6" t="str">
        <f>CONCATENATE("74780020330")</f>
        <v>74780020330</v>
      </c>
      <c r="I153" s="6" t="s">
        <v>34</v>
      </c>
      <c r="J153" s="6" t="s">
        <v>29</v>
      </c>
      <c r="K153" s="6" t="str">
        <f>CONCATENATE("221")</f>
        <v>221</v>
      </c>
      <c r="L153" s="6" t="str">
        <f>CONCATENATE("8 8.1 5e")</f>
        <v>8 8.1 5e</v>
      </c>
      <c r="M153" s="6" t="str">
        <f>CONCATENATE("00710190422")</f>
        <v>00710190422</v>
      </c>
      <c r="N153" s="6" t="s">
        <v>254</v>
      </c>
      <c r="O153" s="6" t="s">
        <v>95</v>
      </c>
      <c r="P153" s="7">
        <v>43228</v>
      </c>
      <c r="Q153" s="6" t="s">
        <v>30</v>
      </c>
      <c r="R153" s="6" t="s">
        <v>31</v>
      </c>
      <c r="S153" s="6" t="s">
        <v>32</v>
      </c>
      <c r="T153" s="6">
        <v>481.73</v>
      </c>
      <c r="U153" s="6">
        <v>207.72</v>
      </c>
      <c r="V153" s="6">
        <v>191.82</v>
      </c>
      <c r="W153" s="6">
        <v>0</v>
      </c>
      <c r="X153" s="6">
        <v>82.19</v>
      </c>
    </row>
    <row r="154" spans="1:24" ht="24.75" x14ac:dyDescent="0.25">
      <c r="A154" s="6" t="s">
        <v>25</v>
      </c>
      <c r="B154" s="6" t="s">
        <v>26</v>
      </c>
      <c r="C154" s="6" t="s">
        <v>46</v>
      </c>
      <c r="D154" s="6" t="s">
        <v>59</v>
      </c>
      <c r="E154" s="6" t="s">
        <v>33</v>
      </c>
      <c r="F154" s="6" t="s">
        <v>60</v>
      </c>
      <c r="G154" s="6">
        <v>2017</v>
      </c>
      <c r="H154" s="6" t="str">
        <f>CONCATENATE("74780020348")</f>
        <v>74780020348</v>
      </c>
      <c r="I154" s="6" t="s">
        <v>34</v>
      </c>
      <c r="J154" s="6" t="s">
        <v>29</v>
      </c>
      <c r="K154" s="6" t="str">
        <f>CONCATENATE("221")</f>
        <v>221</v>
      </c>
      <c r="L154" s="6" t="str">
        <f>CONCATENATE("8 8.1 5e")</f>
        <v>8 8.1 5e</v>
      </c>
      <c r="M154" s="6" t="str">
        <f>CONCATENATE("00710190422")</f>
        <v>00710190422</v>
      </c>
      <c r="N154" s="6" t="s">
        <v>254</v>
      </c>
      <c r="O154" s="6" t="s">
        <v>95</v>
      </c>
      <c r="P154" s="7">
        <v>43228</v>
      </c>
      <c r="Q154" s="6" t="s">
        <v>30</v>
      </c>
      <c r="R154" s="6" t="s">
        <v>31</v>
      </c>
      <c r="S154" s="6" t="s">
        <v>32</v>
      </c>
      <c r="T154" s="8">
        <v>1072.1099999999999</v>
      </c>
      <c r="U154" s="6">
        <v>462.29</v>
      </c>
      <c r="V154" s="6">
        <v>426.91</v>
      </c>
      <c r="W154" s="6">
        <v>0</v>
      </c>
      <c r="X154" s="6">
        <v>182.91</v>
      </c>
    </row>
    <row r="155" spans="1:24" ht="24.75" x14ac:dyDescent="0.25">
      <c r="A155" s="6" t="s">
        <v>25</v>
      </c>
      <c r="B155" s="6" t="s">
        <v>26</v>
      </c>
      <c r="C155" s="6" t="s">
        <v>46</v>
      </c>
      <c r="D155" s="6" t="s">
        <v>59</v>
      </c>
      <c r="E155" s="6" t="s">
        <v>35</v>
      </c>
      <c r="F155" s="6" t="s">
        <v>136</v>
      </c>
      <c r="G155" s="6">
        <v>2017</v>
      </c>
      <c r="H155" s="6" t="str">
        <f>CONCATENATE("74780029133")</f>
        <v>74780029133</v>
      </c>
      <c r="I155" s="6" t="s">
        <v>28</v>
      </c>
      <c r="J155" s="6" t="s">
        <v>29</v>
      </c>
      <c r="K155" s="6" t="str">
        <f>CONCATENATE("221")</f>
        <v>221</v>
      </c>
      <c r="L155" s="6" t="str">
        <f>CONCATENATE("8 8.1 5e")</f>
        <v>8 8.1 5e</v>
      </c>
      <c r="M155" s="6" t="str">
        <f>CONCATENATE("GNNNMR37C56E388R")</f>
        <v>GNNNMR37C56E388R</v>
      </c>
      <c r="N155" s="6" t="s">
        <v>255</v>
      </c>
      <c r="O155" s="6" t="s">
        <v>95</v>
      </c>
      <c r="P155" s="7">
        <v>43228</v>
      </c>
      <c r="Q155" s="6" t="s">
        <v>30</v>
      </c>
      <c r="R155" s="6" t="s">
        <v>31</v>
      </c>
      <c r="S155" s="6" t="s">
        <v>32</v>
      </c>
      <c r="T155" s="8">
        <v>1035.83</v>
      </c>
      <c r="U155" s="6">
        <v>446.65</v>
      </c>
      <c r="V155" s="6">
        <v>412.47</v>
      </c>
      <c r="W155" s="6">
        <v>0</v>
      </c>
      <c r="X155" s="6">
        <v>176.71</v>
      </c>
    </row>
    <row r="156" spans="1:24" ht="24.75" x14ac:dyDescent="0.25">
      <c r="A156" s="6" t="s">
        <v>25</v>
      </c>
      <c r="B156" s="6" t="s">
        <v>26</v>
      </c>
      <c r="C156" s="6" t="s">
        <v>46</v>
      </c>
      <c r="D156" s="6" t="s">
        <v>59</v>
      </c>
      <c r="E156" s="6" t="s">
        <v>35</v>
      </c>
      <c r="F156" s="6" t="s">
        <v>65</v>
      </c>
      <c r="G156" s="6">
        <v>2017</v>
      </c>
      <c r="H156" s="6" t="str">
        <f>CONCATENATE("74780039652")</f>
        <v>74780039652</v>
      </c>
      <c r="I156" s="6" t="s">
        <v>28</v>
      </c>
      <c r="J156" s="6" t="s">
        <v>29</v>
      </c>
      <c r="K156" s="6" t="str">
        <f>CONCATENATE("221")</f>
        <v>221</v>
      </c>
      <c r="L156" s="6" t="str">
        <f>CONCATENATE("8 8.1 5e")</f>
        <v>8 8.1 5e</v>
      </c>
      <c r="M156" s="6" t="str">
        <f>CONCATENATE("GCNRNL53R09D597Q")</f>
        <v>GCNRNL53R09D597Q</v>
      </c>
      <c r="N156" s="6" t="s">
        <v>66</v>
      </c>
      <c r="O156" s="6" t="s">
        <v>95</v>
      </c>
      <c r="P156" s="7">
        <v>43228</v>
      </c>
      <c r="Q156" s="6" t="s">
        <v>30</v>
      </c>
      <c r="R156" s="6" t="s">
        <v>31</v>
      </c>
      <c r="S156" s="6" t="s">
        <v>32</v>
      </c>
      <c r="T156" s="6">
        <v>128.58000000000001</v>
      </c>
      <c r="U156" s="6">
        <v>55.44</v>
      </c>
      <c r="V156" s="6">
        <v>51.2</v>
      </c>
      <c r="W156" s="6">
        <v>0</v>
      </c>
      <c r="X156" s="6">
        <v>21.94</v>
      </c>
    </row>
    <row r="157" spans="1:24" ht="24.75" x14ac:dyDescent="0.25">
      <c r="A157" s="6" t="s">
        <v>25</v>
      </c>
      <c r="B157" s="6" t="s">
        <v>26</v>
      </c>
      <c r="C157" s="6" t="s">
        <v>46</v>
      </c>
      <c r="D157" s="6" t="s">
        <v>59</v>
      </c>
      <c r="E157" s="6" t="s">
        <v>43</v>
      </c>
      <c r="F157" s="6" t="s">
        <v>115</v>
      </c>
      <c r="G157" s="6">
        <v>2017</v>
      </c>
      <c r="H157" s="6" t="str">
        <f>CONCATENATE("74780023995")</f>
        <v>74780023995</v>
      </c>
      <c r="I157" s="6" t="s">
        <v>28</v>
      </c>
      <c r="J157" s="6" t="s">
        <v>29</v>
      </c>
      <c r="K157" s="6" t="str">
        <f>CONCATENATE("221")</f>
        <v>221</v>
      </c>
      <c r="L157" s="6" t="str">
        <f>CONCATENATE("8 8.1 5e")</f>
        <v>8 8.1 5e</v>
      </c>
      <c r="M157" s="6" t="str">
        <f>CONCATENATE("SPRMRA21M47D451N")</f>
        <v>SPRMRA21M47D451N</v>
      </c>
      <c r="N157" s="6" t="s">
        <v>256</v>
      </c>
      <c r="O157" s="6" t="s">
        <v>95</v>
      </c>
      <c r="P157" s="7">
        <v>43228</v>
      </c>
      <c r="Q157" s="6" t="s">
        <v>30</v>
      </c>
      <c r="R157" s="6" t="s">
        <v>31</v>
      </c>
      <c r="S157" s="6" t="s">
        <v>32</v>
      </c>
      <c r="T157" s="6">
        <v>103.57</v>
      </c>
      <c r="U157" s="6">
        <v>44.66</v>
      </c>
      <c r="V157" s="6">
        <v>41.24</v>
      </c>
      <c r="W157" s="6">
        <v>0</v>
      </c>
      <c r="X157" s="6">
        <v>17.670000000000002</v>
      </c>
    </row>
    <row r="158" spans="1:24" ht="24.75" x14ac:dyDescent="0.25">
      <c r="A158" s="6" t="s">
        <v>25</v>
      </c>
      <c r="B158" s="6" t="s">
        <v>26</v>
      </c>
      <c r="C158" s="6" t="s">
        <v>46</v>
      </c>
      <c r="D158" s="6" t="s">
        <v>59</v>
      </c>
      <c r="E158" s="6" t="s">
        <v>39</v>
      </c>
      <c r="F158" s="6" t="s">
        <v>139</v>
      </c>
      <c r="G158" s="6">
        <v>2017</v>
      </c>
      <c r="H158" s="6" t="str">
        <f>CONCATENATE("74780006313")</f>
        <v>74780006313</v>
      </c>
      <c r="I158" s="6" t="s">
        <v>28</v>
      </c>
      <c r="J158" s="6" t="s">
        <v>29</v>
      </c>
      <c r="K158" s="6" t="str">
        <f>CONCATENATE("221")</f>
        <v>221</v>
      </c>
      <c r="L158" s="6" t="str">
        <f>CONCATENATE("8 8.1 5e")</f>
        <v>8 8.1 5e</v>
      </c>
      <c r="M158" s="6" t="str">
        <f>CONCATENATE("TRFDRA58A27A366U")</f>
        <v>TRFDRA58A27A366U</v>
      </c>
      <c r="N158" s="6" t="s">
        <v>257</v>
      </c>
      <c r="O158" s="6" t="s">
        <v>95</v>
      </c>
      <c r="P158" s="7">
        <v>43228</v>
      </c>
      <c r="Q158" s="6" t="s">
        <v>30</v>
      </c>
      <c r="R158" s="6" t="s">
        <v>31</v>
      </c>
      <c r="S158" s="6" t="s">
        <v>32</v>
      </c>
      <c r="T158" s="6">
        <v>99.61</v>
      </c>
      <c r="U158" s="6">
        <v>42.95</v>
      </c>
      <c r="V158" s="6">
        <v>39.659999999999997</v>
      </c>
      <c r="W158" s="6">
        <v>0</v>
      </c>
      <c r="X158" s="6">
        <v>17</v>
      </c>
    </row>
    <row r="159" spans="1:24" ht="24.75" x14ac:dyDescent="0.25">
      <c r="A159" s="6" t="s">
        <v>25</v>
      </c>
      <c r="B159" s="6" t="s">
        <v>26</v>
      </c>
      <c r="C159" s="6" t="s">
        <v>46</v>
      </c>
      <c r="D159" s="6" t="s">
        <v>59</v>
      </c>
      <c r="E159" s="6" t="s">
        <v>33</v>
      </c>
      <c r="F159" s="6" t="s">
        <v>60</v>
      </c>
      <c r="G159" s="6">
        <v>2017</v>
      </c>
      <c r="H159" s="6" t="str">
        <f>CONCATENATE("74780012600")</f>
        <v>74780012600</v>
      </c>
      <c r="I159" s="6" t="s">
        <v>28</v>
      </c>
      <c r="J159" s="6" t="s">
        <v>29</v>
      </c>
      <c r="K159" s="6" t="str">
        <f>CONCATENATE("221")</f>
        <v>221</v>
      </c>
      <c r="L159" s="6" t="str">
        <f>CONCATENATE("8 8.1 5e")</f>
        <v>8 8.1 5e</v>
      </c>
      <c r="M159" s="6" t="str">
        <f>CONCATENATE("01374650420")</f>
        <v>01374650420</v>
      </c>
      <c r="N159" s="6" t="s">
        <v>258</v>
      </c>
      <c r="O159" s="6" t="s">
        <v>95</v>
      </c>
      <c r="P159" s="7">
        <v>43228</v>
      </c>
      <c r="Q159" s="6" t="s">
        <v>30</v>
      </c>
      <c r="R159" s="6" t="s">
        <v>31</v>
      </c>
      <c r="S159" s="6" t="s">
        <v>32</v>
      </c>
      <c r="T159" s="6">
        <v>905.5</v>
      </c>
      <c r="U159" s="6">
        <v>390.45</v>
      </c>
      <c r="V159" s="6">
        <v>360.57</v>
      </c>
      <c r="W159" s="6">
        <v>0</v>
      </c>
      <c r="X159" s="6">
        <v>154.47999999999999</v>
      </c>
    </row>
    <row r="160" spans="1:24" ht="24.75" x14ac:dyDescent="0.25">
      <c r="A160" s="6" t="s">
        <v>25</v>
      </c>
      <c r="B160" s="6" t="s">
        <v>26</v>
      </c>
      <c r="C160" s="6" t="s">
        <v>46</v>
      </c>
      <c r="D160" s="6" t="s">
        <v>59</v>
      </c>
      <c r="E160" s="6" t="s">
        <v>35</v>
      </c>
      <c r="F160" s="6" t="s">
        <v>98</v>
      </c>
      <c r="G160" s="6">
        <v>2017</v>
      </c>
      <c r="H160" s="6" t="str">
        <f>CONCATENATE("74780072844")</f>
        <v>74780072844</v>
      </c>
      <c r="I160" s="6" t="s">
        <v>28</v>
      </c>
      <c r="J160" s="6" t="s">
        <v>29</v>
      </c>
      <c r="K160" s="6" t="str">
        <f>CONCATENATE("221")</f>
        <v>221</v>
      </c>
      <c r="L160" s="6" t="str">
        <f>CONCATENATE("8 8.1 5e")</f>
        <v>8 8.1 5e</v>
      </c>
      <c r="M160" s="6" t="str">
        <f>CONCATENATE("BTTRRT58R07D451K")</f>
        <v>BTTRRT58R07D451K</v>
      </c>
      <c r="N160" s="6" t="s">
        <v>259</v>
      </c>
      <c r="O160" s="6" t="s">
        <v>95</v>
      </c>
      <c r="P160" s="7">
        <v>43228</v>
      </c>
      <c r="Q160" s="6" t="s">
        <v>30</v>
      </c>
      <c r="R160" s="6" t="s">
        <v>31</v>
      </c>
      <c r="S160" s="6" t="s">
        <v>32</v>
      </c>
      <c r="T160" s="6">
        <v>90.55</v>
      </c>
      <c r="U160" s="6">
        <v>39.049999999999997</v>
      </c>
      <c r="V160" s="6">
        <v>36.06</v>
      </c>
      <c r="W160" s="6">
        <v>0</v>
      </c>
      <c r="X160" s="6">
        <v>15.44</v>
      </c>
    </row>
    <row r="161" spans="1:24" ht="24.75" x14ac:dyDescent="0.25">
      <c r="A161" s="6" t="s">
        <v>25</v>
      </c>
      <c r="B161" s="6" t="s">
        <v>26</v>
      </c>
      <c r="C161" s="6" t="s">
        <v>46</v>
      </c>
      <c r="D161" s="6" t="s">
        <v>59</v>
      </c>
      <c r="E161" s="6" t="s">
        <v>39</v>
      </c>
      <c r="F161" s="6" t="s">
        <v>248</v>
      </c>
      <c r="G161" s="6">
        <v>2017</v>
      </c>
      <c r="H161" s="6" t="str">
        <f>CONCATENATE("74780020660")</f>
        <v>74780020660</v>
      </c>
      <c r="I161" s="6" t="s">
        <v>28</v>
      </c>
      <c r="J161" s="6" t="s">
        <v>29</v>
      </c>
      <c r="K161" s="6" t="str">
        <f>CONCATENATE("221")</f>
        <v>221</v>
      </c>
      <c r="L161" s="6" t="str">
        <f>CONCATENATE("8 8.1 5e")</f>
        <v>8 8.1 5e</v>
      </c>
      <c r="M161" s="6" t="str">
        <f>CONCATENATE("BCENNE39E15I461G")</f>
        <v>BCENNE39E15I461G</v>
      </c>
      <c r="N161" s="6" t="s">
        <v>260</v>
      </c>
      <c r="O161" s="6" t="s">
        <v>95</v>
      </c>
      <c r="P161" s="7">
        <v>43228</v>
      </c>
      <c r="Q161" s="6" t="s">
        <v>30</v>
      </c>
      <c r="R161" s="6" t="s">
        <v>31</v>
      </c>
      <c r="S161" s="6" t="s">
        <v>32</v>
      </c>
      <c r="T161" s="6">
        <v>166.61</v>
      </c>
      <c r="U161" s="6">
        <v>71.84</v>
      </c>
      <c r="V161" s="6">
        <v>66.34</v>
      </c>
      <c r="W161" s="6">
        <v>0</v>
      </c>
      <c r="X161" s="6">
        <v>28.43</v>
      </c>
    </row>
    <row r="162" spans="1:24" ht="24.75" x14ac:dyDescent="0.25">
      <c r="A162" s="6" t="s">
        <v>25</v>
      </c>
      <c r="B162" s="6" t="s">
        <v>26</v>
      </c>
      <c r="C162" s="6" t="s">
        <v>46</v>
      </c>
      <c r="D162" s="6" t="s">
        <v>59</v>
      </c>
      <c r="E162" s="6" t="s">
        <v>39</v>
      </c>
      <c r="F162" s="6" t="s">
        <v>248</v>
      </c>
      <c r="G162" s="6">
        <v>2017</v>
      </c>
      <c r="H162" s="6" t="str">
        <f>CONCATENATE("74780020579")</f>
        <v>74780020579</v>
      </c>
      <c r="I162" s="6" t="s">
        <v>28</v>
      </c>
      <c r="J162" s="6" t="s">
        <v>29</v>
      </c>
      <c r="K162" s="6" t="str">
        <f>CONCATENATE("221")</f>
        <v>221</v>
      </c>
      <c r="L162" s="6" t="str">
        <f>CONCATENATE("8 8.1 5e")</f>
        <v>8 8.1 5e</v>
      </c>
      <c r="M162" s="6" t="str">
        <f>CONCATENATE("BLLSDR63T25D451R")</f>
        <v>BLLSDR63T25D451R</v>
      </c>
      <c r="N162" s="6" t="s">
        <v>261</v>
      </c>
      <c r="O162" s="6" t="s">
        <v>95</v>
      </c>
      <c r="P162" s="7">
        <v>43228</v>
      </c>
      <c r="Q162" s="6" t="s">
        <v>30</v>
      </c>
      <c r="R162" s="6" t="s">
        <v>31</v>
      </c>
      <c r="S162" s="6" t="s">
        <v>32</v>
      </c>
      <c r="T162" s="6">
        <v>150.31</v>
      </c>
      <c r="U162" s="6">
        <v>64.81</v>
      </c>
      <c r="V162" s="6">
        <v>59.85</v>
      </c>
      <c r="W162" s="6">
        <v>0</v>
      </c>
      <c r="X162" s="6">
        <v>25.65</v>
      </c>
    </row>
    <row r="163" spans="1:24" ht="24.75" x14ac:dyDescent="0.25">
      <c r="A163" s="6" t="s">
        <v>25</v>
      </c>
      <c r="B163" s="6" t="s">
        <v>26</v>
      </c>
      <c r="C163" s="6" t="s">
        <v>46</v>
      </c>
      <c r="D163" s="6" t="s">
        <v>59</v>
      </c>
      <c r="E163" s="6" t="s">
        <v>33</v>
      </c>
      <c r="F163" s="6" t="s">
        <v>160</v>
      </c>
      <c r="G163" s="6">
        <v>2017</v>
      </c>
      <c r="H163" s="6" t="str">
        <f>CONCATENATE("74780041674")</f>
        <v>74780041674</v>
      </c>
      <c r="I163" s="6" t="s">
        <v>28</v>
      </c>
      <c r="J163" s="6" t="s">
        <v>29</v>
      </c>
      <c r="K163" s="6" t="str">
        <f>CONCATENATE("221")</f>
        <v>221</v>
      </c>
      <c r="L163" s="6" t="str">
        <f>CONCATENATE("8 8.1 5e")</f>
        <v>8 8.1 5e</v>
      </c>
      <c r="M163" s="6" t="str">
        <f>CONCATENATE("BLRMRA41L31A271Q")</f>
        <v>BLRMRA41L31A271Q</v>
      </c>
      <c r="N163" s="6" t="s">
        <v>262</v>
      </c>
      <c r="O163" s="6" t="s">
        <v>95</v>
      </c>
      <c r="P163" s="7">
        <v>43228</v>
      </c>
      <c r="Q163" s="6" t="s">
        <v>30</v>
      </c>
      <c r="R163" s="6" t="s">
        <v>31</v>
      </c>
      <c r="S163" s="6" t="s">
        <v>32</v>
      </c>
      <c r="T163" s="6">
        <v>380.31</v>
      </c>
      <c r="U163" s="6">
        <v>163.99</v>
      </c>
      <c r="V163" s="6">
        <v>151.44</v>
      </c>
      <c r="W163" s="6">
        <v>0</v>
      </c>
      <c r="X163" s="6">
        <v>64.88</v>
      </c>
    </row>
    <row r="164" spans="1:24" ht="24.75" x14ac:dyDescent="0.25">
      <c r="A164" s="6" t="s">
        <v>25</v>
      </c>
      <c r="B164" s="6" t="s">
        <v>26</v>
      </c>
      <c r="C164" s="6" t="s">
        <v>46</v>
      </c>
      <c r="D164" s="6" t="s">
        <v>59</v>
      </c>
      <c r="E164" s="6" t="s">
        <v>39</v>
      </c>
      <c r="F164" s="6" t="s">
        <v>210</v>
      </c>
      <c r="G164" s="6">
        <v>2017</v>
      </c>
      <c r="H164" s="6" t="str">
        <f>CONCATENATE("74780021692")</f>
        <v>74780021692</v>
      </c>
      <c r="I164" s="6" t="s">
        <v>28</v>
      </c>
      <c r="J164" s="6" t="s">
        <v>29</v>
      </c>
      <c r="K164" s="6" t="str">
        <f>CONCATENATE("221")</f>
        <v>221</v>
      </c>
      <c r="L164" s="6" t="str">
        <f>CONCATENATE("8 8.1 5e")</f>
        <v>8 8.1 5e</v>
      </c>
      <c r="M164" s="6" t="str">
        <f>CONCATENATE("BLFLEI38P02A271J")</f>
        <v>BLFLEI38P02A271J</v>
      </c>
      <c r="N164" s="6" t="s">
        <v>263</v>
      </c>
      <c r="O164" s="6" t="s">
        <v>95</v>
      </c>
      <c r="P164" s="7">
        <v>43228</v>
      </c>
      <c r="Q164" s="6" t="s">
        <v>30</v>
      </c>
      <c r="R164" s="6" t="s">
        <v>31</v>
      </c>
      <c r="S164" s="6" t="s">
        <v>32</v>
      </c>
      <c r="T164" s="6">
        <v>105.04</v>
      </c>
      <c r="U164" s="6">
        <v>45.29</v>
      </c>
      <c r="V164" s="6">
        <v>41.83</v>
      </c>
      <c r="W164" s="6">
        <v>0</v>
      </c>
      <c r="X164" s="6">
        <v>17.920000000000002</v>
      </c>
    </row>
    <row r="165" spans="1:24" ht="24.75" x14ac:dyDescent="0.25">
      <c r="A165" s="6" t="s">
        <v>25</v>
      </c>
      <c r="B165" s="6" t="s">
        <v>26</v>
      </c>
      <c r="C165" s="6" t="s">
        <v>46</v>
      </c>
      <c r="D165" s="6" t="s">
        <v>59</v>
      </c>
      <c r="E165" s="6" t="s">
        <v>33</v>
      </c>
      <c r="F165" s="6" t="s">
        <v>71</v>
      </c>
      <c r="G165" s="6">
        <v>2017</v>
      </c>
      <c r="H165" s="6" t="str">
        <f>CONCATENATE("74780031345")</f>
        <v>74780031345</v>
      </c>
      <c r="I165" s="6" t="s">
        <v>28</v>
      </c>
      <c r="J165" s="6" t="s">
        <v>29</v>
      </c>
      <c r="K165" s="6" t="str">
        <f>CONCATENATE("221")</f>
        <v>221</v>
      </c>
      <c r="L165" s="6" t="str">
        <f>CONCATENATE("8 8.1 5e")</f>
        <v>8 8.1 5e</v>
      </c>
      <c r="M165" s="6" t="str">
        <f>CONCATENATE("CRBMRA34B58A329D")</f>
        <v>CRBMRA34B58A329D</v>
      </c>
      <c r="N165" s="6" t="s">
        <v>72</v>
      </c>
      <c r="O165" s="6" t="s">
        <v>95</v>
      </c>
      <c r="P165" s="7">
        <v>43228</v>
      </c>
      <c r="Q165" s="6" t="s">
        <v>30</v>
      </c>
      <c r="R165" s="6" t="s">
        <v>31</v>
      </c>
      <c r="S165" s="6" t="s">
        <v>32</v>
      </c>
      <c r="T165" s="6">
        <v>608.52</v>
      </c>
      <c r="U165" s="6">
        <v>262.39</v>
      </c>
      <c r="V165" s="6">
        <v>242.31</v>
      </c>
      <c r="W165" s="6">
        <v>0</v>
      </c>
      <c r="X165" s="6">
        <v>103.82</v>
      </c>
    </row>
    <row r="166" spans="1:24" ht="24.75" x14ac:dyDescent="0.25">
      <c r="A166" s="6" t="s">
        <v>25</v>
      </c>
      <c r="B166" s="6" t="s">
        <v>26</v>
      </c>
      <c r="C166" s="6" t="s">
        <v>46</v>
      </c>
      <c r="D166" s="6" t="s">
        <v>59</v>
      </c>
      <c r="E166" s="6" t="s">
        <v>39</v>
      </c>
      <c r="F166" s="6" t="s">
        <v>139</v>
      </c>
      <c r="G166" s="6">
        <v>2017</v>
      </c>
      <c r="H166" s="6" t="str">
        <f>CONCATENATE("74780042599")</f>
        <v>74780042599</v>
      </c>
      <c r="I166" s="6" t="s">
        <v>28</v>
      </c>
      <c r="J166" s="6" t="s">
        <v>29</v>
      </c>
      <c r="K166" s="6" t="str">
        <f>CONCATENATE("221")</f>
        <v>221</v>
      </c>
      <c r="L166" s="6" t="str">
        <f>CONCATENATE("8 8.1 5e")</f>
        <v>8 8.1 5e</v>
      </c>
      <c r="M166" s="6" t="str">
        <f>CONCATENATE("BGLVTR66M22C060O")</f>
        <v>BGLVTR66M22C060O</v>
      </c>
      <c r="N166" s="6" t="s">
        <v>264</v>
      </c>
      <c r="O166" s="6" t="s">
        <v>95</v>
      </c>
      <c r="P166" s="7">
        <v>43228</v>
      </c>
      <c r="Q166" s="6" t="s">
        <v>30</v>
      </c>
      <c r="R166" s="6" t="s">
        <v>31</v>
      </c>
      <c r="S166" s="6" t="s">
        <v>32</v>
      </c>
      <c r="T166" s="6">
        <v>244.48</v>
      </c>
      <c r="U166" s="6">
        <v>105.42</v>
      </c>
      <c r="V166" s="6">
        <v>97.35</v>
      </c>
      <c r="W166" s="6">
        <v>0</v>
      </c>
      <c r="X166" s="6">
        <v>41.71</v>
      </c>
    </row>
    <row r="167" spans="1:24" ht="24.75" x14ac:dyDescent="0.25">
      <c r="A167" s="6" t="s">
        <v>25</v>
      </c>
      <c r="B167" s="6" t="s">
        <v>26</v>
      </c>
      <c r="C167" s="6" t="s">
        <v>46</v>
      </c>
      <c r="D167" s="6" t="s">
        <v>59</v>
      </c>
      <c r="E167" s="6" t="s">
        <v>35</v>
      </c>
      <c r="F167" s="6" t="s">
        <v>136</v>
      </c>
      <c r="G167" s="6">
        <v>2017</v>
      </c>
      <c r="H167" s="6" t="str">
        <f>CONCATENATE("74780038647")</f>
        <v>74780038647</v>
      </c>
      <c r="I167" s="6" t="s">
        <v>28</v>
      </c>
      <c r="J167" s="6" t="s">
        <v>29</v>
      </c>
      <c r="K167" s="6" t="str">
        <f>CONCATENATE("221")</f>
        <v>221</v>
      </c>
      <c r="L167" s="6" t="str">
        <f>CONCATENATE("8 8.1 5e")</f>
        <v>8 8.1 5e</v>
      </c>
      <c r="M167" s="6" t="str">
        <f>CONCATENATE("02427770421")</f>
        <v>02427770421</v>
      </c>
      <c r="N167" s="6" t="s">
        <v>265</v>
      </c>
      <c r="O167" s="6" t="s">
        <v>95</v>
      </c>
      <c r="P167" s="7">
        <v>43228</v>
      </c>
      <c r="Q167" s="6" t="s">
        <v>30</v>
      </c>
      <c r="R167" s="6" t="s">
        <v>31</v>
      </c>
      <c r="S167" s="6" t="s">
        <v>32</v>
      </c>
      <c r="T167" s="8">
        <v>1358.5</v>
      </c>
      <c r="U167" s="6">
        <v>585.79</v>
      </c>
      <c r="V167" s="6">
        <v>540.95000000000005</v>
      </c>
      <c r="W167" s="6">
        <v>0</v>
      </c>
      <c r="X167" s="6">
        <v>231.76</v>
      </c>
    </row>
    <row r="168" spans="1:24" ht="24.75" x14ac:dyDescent="0.25">
      <c r="A168" s="6" t="s">
        <v>25</v>
      </c>
      <c r="B168" s="6" t="s">
        <v>26</v>
      </c>
      <c r="C168" s="6" t="s">
        <v>46</v>
      </c>
      <c r="D168" s="6" t="s">
        <v>56</v>
      </c>
      <c r="E168" s="6" t="s">
        <v>35</v>
      </c>
      <c r="F168" s="6" t="s">
        <v>266</v>
      </c>
      <c r="G168" s="6">
        <v>2017</v>
      </c>
      <c r="H168" s="6" t="str">
        <f>CONCATENATE("74780018870")</f>
        <v>74780018870</v>
      </c>
      <c r="I168" s="6" t="s">
        <v>28</v>
      </c>
      <c r="J168" s="6" t="s">
        <v>29</v>
      </c>
      <c r="K168" s="6" t="str">
        <f>CONCATENATE("221")</f>
        <v>221</v>
      </c>
      <c r="L168" s="6" t="str">
        <f>CONCATENATE("8 8.1 5e")</f>
        <v>8 8.1 5e</v>
      </c>
      <c r="M168" s="6" t="str">
        <f>CONCATENATE("PNZSNT60E68H501J")</f>
        <v>PNZSNT60E68H501J</v>
      </c>
      <c r="N168" s="6" t="s">
        <v>267</v>
      </c>
      <c r="O168" s="6" t="s">
        <v>268</v>
      </c>
      <c r="P168" s="7">
        <v>43228</v>
      </c>
      <c r="Q168" s="6" t="s">
        <v>30</v>
      </c>
      <c r="R168" s="6" t="s">
        <v>31</v>
      </c>
      <c r="S168" s="6" t="s">
        <v>32</v>
      </c>
      <c r="T168" s="8">
        <v>1871.74</v>
      </c>
      <c r="U168" s="6">
        <v>807.09</v>
      </c>
      <c r="V168" s="6">
        <v>745.33</v>
      </c>
      <c r="W168" s="6">
        <v>0</v>
      </c>
      <c r="X168" s="6">
        <v>319.32</v>
      </c>
    </row>
    <row r="169" spans="1:24" ht="24.75" x14ac:dyDescent="0.25">
      <c r="A169" s="6" t="s">
        <v>25</v>
      </c>
      <c r="B169" s="6" t="s">
        <v>26</v>
      </c>
      <c r="C169" s="6" t="s">
        <v>46</v>
      </c>
      <c r="D169" s="6" t="s">
        <v>56</v>
      </c>
      <c r="E169" s="6" t="s">
        <v>33</v>
      </c>
      <c r="F169" s="6" t="s">
        <v>87</v>
      </c>
      <c r="G169" s="6">
        <v>2017</v>
      </c>
      <c r="H169" s="6" t="str">
        <f>CONCATENATE("74780074550")</f>
        <v>74780074550</v>
      </c>
      <c r="I169" s="6" t="s">
        <v>28</v>
      </c>
      <c r="J169" s="6" t="s">
        <v>29</v>
      </c>
      <c r="K169" s="6" t="str">
        <f>CONCATENATE("221")</f>
        <v>221</v>
      </c>
      <c r="L169" s="6" t="str">
        <f>CONCATENATE("8 8.1 5e")</f>
        <v>8 8.1 5e</v>
      </c>
      <c r="M169" s="6" t="str">
        <f>CONCATENATE("BCCNDA53L53D488U")</f>
        <v>BCCNDA53L53D488U</v>
      </c>
      <c r="N169" s="6" t="s">
        <v>88</v>
      </c>
      <c r="O169" s="6" t="s">
        <v>268</v>
      </c>
      <c r="P169" s="7">
        <v>43228</v>
      </c>
      <c r="Q169" s="6" t="s">
        <v>30</v>
      </c>
      <c r="R169" s="6" t="s">
        <v>31</v>
      </c>
      <c r="S169" s="6" t="s">
        <v>32</v>
      </c>
      <c r="T169" s="8">
        <v>4547.26</v>
      </c>
      <c r="U169" s="8">
        <v>1960.78</v>
      </c>
      <c r="V169" s="8">
        <v>1810.72</v>
      </c>
      <c r="W169" s="6">
        <v>0</v>
      </c>
      <c r="X169" s="6">
        <v>775.76</v>
      </c>
    </row>
    <row r="170" spans="1:24" ht="24.75" x14ac:dyDescent="0.25">
      <c r="A170" s="6" t="s">
        <v>25</v>
      </c>
      <c r="B170" s="6" t="s">
        <v>26</v>
      </c>
      <c r="C170" s="6" t="s">
        <v>46</v>
      </c>
      <c r="D170" s="6" t="s">
        <v>56</v>
      </c>
      <c r="E170" s="6" t="s">
        <v>35</v>
      </c>
      <c r="F170" s="6" t="s">
        <v>266</v>
      </c>
      <c r="G170" s="6">
        <v>2017</v>
      </c>
      <c r="H170" s="6" t="str">
        <f>CONCATENATE("74780019969")</f>
        <v>74780019969</v>
      </c>
      <c r="I170" s="6" t="s">
        <v>28</v>
      </c>
      <c r="J170" s="6" t="s">
        <v>29</v>
      </c>
      <c r="K170" s="6" t="str">
        <f>CONCATENATE("221")</f>
        <v>221</v>
      </c>
      <c r="L170" s="6" t="str">
        <f>CONCATENATE("8 8.1 5e")</f>
        <v>8 8.1 5e</v>
      </c>
      <c r="M170" s="6" t="str">
        <f>CONCATENATE("BLDLVR54B18L500O")</f>
        <v>BLDLVR54B18L500O</v>
      </c>
      <c r="N170" s="6" t="s">
        <v>269</v>
      </c>
      <c r="O170" s="6" t="s">
        <v>268</v>
      </c>
      <c r="P170" s="7">
        <v>43228</v>
      </c>
      <c r="Q170" s="6" t="s">
        <v>30</v>
      </c>
      <c r="R170" s="6" t="s">
        <v>31</v>
      </c>
      <c r="S170" s="6" t="s">
        <v>32</v>
      </c>
      <c r="T170" s="6">
        <v>595</v>
      </c>
      <c r="U170" s="6">
        <v>256.56</v>
      </c>
      <c r="V170" s="6">
        <v>236.93</v>
      </c>
      <c r="W170" s="6">
        <v>0</v>
      </c>
      <c r="X170" s="6">
        <v>101.51</v>
      </c>
    </row>
    <row r="171" spans="1:24" ht="24.75" x14ac:dyDescent="0.25">
      <c r="A171" s="6" t="s">
        <v>25</v>
      </c>
      <c r="B171" s="6" t="s">
        <v>26</v>
      </c>
      <c r="C171" s="6" t="s">
        <v>46</v>
      </c>
      <c r="D171" s="6" t="s">
        <v>56</v>
      </c>
      <c r="E171" s="6" t="s">
        <v>35</v>
      </c>
      <c r="F171" s="6" t="s">
        <v>270</v>
      </c>
      <c r="G171" s="6">
        <v>2017</v>
      </c>
      <c r="H171" s="6" t="str">
        <f>CONCATENATE("74780073552")</f>
        <v>74780073552</v>
      </c>
      <c r="I171" s="6" t="s">
        <v>28</v>
      </c>
      <c r="J171" s="6" t="s">
        <v>29</v>
      </c>
      <c r="K171" s="6" t="str">
        <f>CONCATENATE("221")</f>
        <v>221</v>
      </c>
      <c r="L171" s="6" t="str">
        <f>CONCATENATE("8 8.1 5e")</f>
        <v>8 8.1 5e</v>
      </c>
      <c r="M171" s="6" t="str">
        <f>CONCATENATE("BLDNDR51M21G551J")</f>
        <v>BLDNDR51M21G551J</v>
      </c>
      <c r="N171" s="6" t="s">
        <v>271</v>
      </c>
      <c r="O171" s="6" t="s">
        <v>268</v>
      </c>
      <c r="P171" s="7">
        <v>43228</v>
      </c>
      <c r="Q171" s="6" t="s">
        <v>30</v>
      </c>
      <c r="R171" s="6" t="s">
        <v>31</v>
      </c>
      <c r="S171" s="6" t="s">
        <v>32</v>
      </c>
      <c r="T171" s="6">
        <v>667</v>
      </c>
      <c r="U171" s="6">
        <v>287.61</v>
      </c>
      <c r="V171" s="6">
        <v>265.60000000000002</v>
      </c>
      <c r="W171" s="6">
        <v>0</v>
      </c>
      <c r="X171" s="6">
        <v>113.79</v>
      </c>
    </row>
    <row r="172" spans="1:24" ht="24.75" x14ac:dyDescent="0.25">
      <c r="A172" s="6" t="s">
        <v>25</v>
      </c>
      <c r="B172" s="6" t="s">
        <v>26</v>
      </c>
      <c r="C172" s="6" t="s">
        <v>46</v>
      </c>
      <c r="D172" s="6" t="s">
        <v>56</v>
      </c>
      <c r="E172" s="6" t="s">
        <v>41</v>
      </c>
      <c r="F172" s="6" t="s">
        <v>252</v>
      </c>
      <c r="G172" s="6">
        <v>2017</v>
      </c>
      <c r="H172" s="6" t="str">
        <f>CONCATENATE("74780039538")</f>
        <v>74780039538</v>
      </c>
      <c r="I172" s="6" t="s">
        <v>28</v>
      </c>
      <c r="J172" s="6" t="s">
        <v>29</v>
      </c>
      <c r="K172" s="6" t="str">
        <f>CONCATENATE("221")</f>
        <v>221</v>
      </c>
      <c r="L172" s="6" t="str">
        <f>CONCATENATE("8 8.1 5e")</f>
        <v>8 8.1 5e</v>
      </c>
      <c r="M172" s="6" t="str">
        <f>CONCATENATE("BLSFRT67C53H199B")</f>
        <v>BLSFRT67C53H199B</v>
      </c>
      <c r="N172" s="6" t="s">
        <v>272</v>
      </c>
      <c r="O172" s="6" t="s">
        <v>268</v>
      </c>
      <c r="P172" s="7">
        <v>43228</v>
      </c>
      <c r="Q172" s="6" t="s">
        <v>30</v>
      </c>
      <c r="R172" s="6" t="s">
        <v>31</v>
      </c>
      <c r="S172" s="6" t="s">
        <v>32</v>
      </c>
      <c r="T172" s="6">
        <v>616.78</v>
      </c>
      <c r="U172" s="6">
        <v>265.95999999999998</v>
      </c>
      <c r="V172" s="6">
        <v>245.6</v>
      </c>
      <c r="W172" s="6">
        <v>0</v>
      </c>
      <c r="X172" s="6">
        <v>105.22</v>
      </c>
    </row>
    <row r="173" spans="1:24" ht="24.75" x14ac:dyDescent="0.25">
      <c r="A173" s="6" t="s">
        <v>25</v>
      </c>
      <c r="B173" s="6" t="s">
        <v>26</v>
      </c>
      <c r="C173" s="6" t="s">
        <v>46</v>
      </c>
      <c r="D173" s="6" t="s">
        <v>56</v>
      </c>
      <c r="E173" s="6" t="s">
        <v>27</v>
      </c>
      <c r="F173" s="6" t="s">
        <v>273</v>
      </c>
      <c r="G173" s="6">
        <v>2017</v>
      </c>
      <c r="H173" s="6" t="str">
        <f>CONCATENATE("74780063447")</f>
        <v>74780063447</v>
      </c>
      <c r="I173" s="6" t="s">
        <v>28</v>
      </c>
      <c r="J173" s="6" t="s">
        <v>29</v>
      </c>
      <c r="K173" s="6" t="str">
        <f>CONCATENATE("221")</f>
        <v>221</v>
      </c>
      <c r="L173" s="6" t="str">
        <f>CONCATENATE("8 8.1 5e")</f>
        <v>8 8.1 5e</v>
      </c>
      <c r="M173" s="6" t="str">
        <f>CONCATENATE("BRSNDA48A47Z103Q")</f>
        <v>BRSNDA48A47Z103Q</v>
      </c>
      <c r="N173" s="6" t="s">
        <v>274</v>
      </c>
      <c r="O173" s="6" t="s">
        <v>268</v>
      </c>
      <c r="P173" s="7">
        <v>43228</v>
      </c>
      <c r="Q173" s="6" t="s">
        <v>30</v>
      </c>
      <c r="R173" s="6" t="s">
        <v>31</v>
      </c>
      <c r="S173" s="6" t="s">
        <v>32</v>
      </c>
      <c r="T173" s="8">
        <v>11740.6</v>
      </c>
      <c r="U173" s="8">
        <v>5062.55</v>
      </c>
      <c r="V173" s="8">
        <v>4675.1099999999997</v>
      </c>
      <c r="W173" s="6">
        <v>0</v>
      </c>
      <c r="X173" s="8">
        <v>2002.94</v>
      </c>
    </row>
    <row r="174" spans="1:24" ht="24.75" x14ac:dyDescent="0.25">
      <c r="A174" s="6" t="s">
        <v>25</v>
      </c>
      <c r="B174" s="6" t="s">
        <v>26</v>
      </c>
      <c r="C174" s="6" t="s">
        <v>46</v>
      </c>
      <c r="D174" s="6" t="s">
        <v>56</v>
      </c>
      <c r="E174" s="6" t="s">
        <v>35</v>
      </c>
      <c r="F174" s="6" t="s">
        <v>275</v>
      </c>
      <c r="G174" s="6">
        <v>2017</v>
      </c>
      <c r="H174" s="6" t="str">
        <f>CONCATENATE("74780055971")</f>
        <v>74780055971</v>
      </c>
      <c r="I174" s="6" t="s">
        <v>28</v>
      </c>
      <c r="J174" s="6" t="s">
        <v>29</v>
      </c>
      <c r="K174" s="6" t="str">
        <f>CONCATENATE("221")</f>
        <v>221</v>
      </c>
      <c r="L174" s="6" t="str">
        <f>CONCATENATE("8 8.1 5e")</f>
        <v>8 8.1 5e</v>
      </c>
      <c r="M174" s="6" t="str">
        <f>CONCATENATE("RZTGCM72H15D488D")</f>
        <v>RZTGCM72H15D488D</v>
      </c>
      <c r="N174" s="6" t="s">
        <v>276</v>
      </c>
      <c r="O174" s="6" t="s">
        <v>268</v>
      </c>
      <c r="P174" s="7">
        <v>43228</v>
      </c>
      <c r="Q174" s="6" t="s">
        <v>30</v>
      </c>
      <c r="R174" s="6" t="s">
        <v>31</v>
      </c>
      <c r="S174" s="6" t="s">
        <v>32</v>
      </c>
      <c r="T174" s="8">
        <v>1850</v>
      </c>
      <c r="U174" s="6">
        <v>797.72</v>
      </c>
      <c r="V174" s="6">
        <v>736.67</v>
      </c>
      <c r="W174" s="6">
        <v>0</v>
      </c>
      <c r="X174" s="6">
        <v>315.61</v>
      </c>
    </row>
    <row r="175" spans="1:24" ht="24.75" x14ac:dyDescent="0.25">
      <c r="A175" s="6" t="s">
        <v>25</v>
      </c>
      <c r="B175" s="6" t="s">
        <v>26</v>
      </c>
      <c r="C175" s="6" t="s">
        <v>46</v>
      </c>
      <c r="D175" s="6" t="s">
        <v>56</v>
      </c>
      <c r="E175" s="6" t="s">
        <v>35</v>
      </c>
      <c r="F175" s="6" t="s">
        <v>172</v>
      </c>
      <c r="G175" s="6">
        <v>2017</v>
      </c>
      <c r="H175" s="6" t="str">
        <f>CONCATENATE("74780076829")</f>
        <v>74780076829</v>
      </c>
      <c r="I175" s="6" t="s">
        <v>28</v>
      </c>
      <c r="J175" s="6" t="s">
        <v>29</v>
      </c>
      <c r="K175" s="6" t="str">
        <f>CONCATENATE("221")</f>
        <v>221</v>
      </c>
      <c r="L175" s="6" t="str">
        <f>CONCATENATE("8 8.1 5e")</f>
        <v>8 8.1 5e</v>
      </c>
      <c r="M175" s="6" t="str">
        <f>CONCATENATE("CSTMHL74L14H294M")</f>
        <v>CSTMHL74L14H294M</v>
      </c>
      <c r="N175" s="6" t="s">
        <v>277</v>
      </c>
      <c r="O175" s="6" t="s">
        <v>268</v>
      </c>
      <c r="P175" s="7">
        <v>43228</v>
      </c>
      <c r="Q175" s="6" t="s">
        <v>30</v>
      </c>
      <c r="R175" s="6" t="s">
        <v>31</v>
      </c>
      <c r="S175" s="6" t="s">
        <v>32</v>
      </c>
      <c r="T175" s="8">
        <v>1380</v>
      </c>
      <c r="U175" s="6">
        <v>595.05999999999995</v>
      </c>
      <c r="V175" s="6">
        <v>549.52</v>
      </c>
      <c r="W175" s="6">
        <v>0</v>
      </c>
      <c r="X175" s="6">
        <v>235.42</v>
      </c>
    </row>
    <row r="176" spans="1:24" ht="24.75" x14ac:dyDescent="0.25">
      <c r="A176" s="6" t="s">
        <v>25</v>
      </c>
      <c r="B176" s="6" t="s">
        <v>26</v>
      </c>
      <c r="C176" s="6" t="s">
        <v>46</v>
      </c>
      <c r="D176" s="6" t="s">
        <v>56</v>
      </c>
      <c r="E176" s="6" t="s">
        <v>35</v>
      </c>
      <c r="F176" s="6" t="s">
        <v>90</v>
      </c>
      <c r="G176" s="6">
        <v>2017</v>
      </c>
      <c r="H176" s="6" t="str">
        <f>CONCATENATE("74780077512")</f>
        <v>74780077512</v>
      </c>
      <c r="I176" s="6" t="s">
        <v>28</v>
      </c>
      <c r="J176" s="6" t="s">
        <v>29</v>
      </c>
      <c r="K176" s="6" t="str">
        <f>CONCATENATE("221")</f>
        <v>221</v>
      </c>
      <c r="L176" s="6" t="str">
        <f>CONCATENATE("8 8.1 5e")</f>
        <v>8 8.1 5e</v>
      </c>
      <c r="M176" s="6" t="str">
        <f>CONCATENATE("MZZRKE86C41L500S")</f>
        <v>MZZRKE86C41L500S</v>
      </c>
      <c r="N176" s="6" t="s">
        <v>278</v>
      </c>
      <c r="O176" s="6" t="s">
        <v>268</v>
      </c>
      <c r="P176" s="7">
        <v>43228</v>
      </c>
      <c r="Q176" s="6" t="s">
        <v>30</v>
      </c>
      <c r="R176" s="6" t="s">
        <v>31</v>
      </c>
      <c r="S176" s="6" t="s">
        <v>32</v>
      </c>
      <c r="T176" s="6">
        <v>687.4</v>
      </c>
      <c r="U176" s="6">
        <v>296.41000000000003</v>
      </c>
      <c r="V176" s="6">
        <v>273.72000000000003</v>
      </c>
      <c r="W176" s="6">
        <v>0</v>
      </c>
      <c r="X176" s="6">
        <v>117.27</v>
      </c>
    </row>
    <row r="177" spans="1:24" ht="24.75" x14ac:dyDescent="0.25">
      <c r="A177" s="6" t="s">
        <v>25</v>
      </c>
      <c r="B177" s="6" t="s">
        <v>26</v>
      </c>
      <c r="C177" s="6" t="s">
        <v>46</v>
      </c>
      <c r="D177" s="6" t="s">
        <v>56</v>
      </c>
      <c r="E177" s="6" t="s">
        <v>40</v>
      </c>
      <c r="F177" s="6" t="s">
        <v>279</v>
      </c>
      <c r="G177" s="6">
        <v>2017</v>
      </c>
      <c r="H177" s="6" t="str">
        <f>CONCATENATE("74780076928")</f>
        <v>74780076928</v>
      </c>
      <c r="I177" s="6" t="s">
        <v>28</v>
      </c>
      <c r="J177" s="6" t="s">
        <v>29</v>
      </c>
      <c r="K177" s="6" t="str">
        <f>CONCATENATE("221")</f>
        <v>221</v>
      </c>
      <c r="L177" s="6" t="str">
        <f>CONCATENATE("8 8.1 5e")</f>
        <v>8 8.1 5e</v>
      </c>
      <c r="M177" s="6" t="str">
        <f>CONCATENATE("BRSMNN82R51C357J")</f>
        <v>BRSMNN82R51C357J</v>
      </c>
      <c r="N177" s="6" t="s">
        <v>280</v>
      </c>
      <c r="O177" s="6" t="s">
        <v>268</v>
      </c>
      <c r="P177" s="7">
        <v>43228</v>
      </c>
      <c r="Q177" s="6" t="s">
        <v>30</v>
      </c>
      <c r="R177" s="6" t="s">
        <v>31</v>
      </c>
      <c r="S177" s="6" t="s">
        <v>32</v>
      </c>
      <c r="T177" s="8">
        <v>16168</v>
      </c>
      <c r="U177" s="8">
        <v>6971.64</v>
      </c>
      <c r="V177" s="8">
        <v>6438.1</v>
      </c>
      <c r="W177" s="6">
        <v>0</v>
      </c>
      <c r="X177" s="8">
        <v>2758.26</v>
      </c>
    </row>
    <row r="178" spans="1:24" ht="24.75" x14ac:dyDescent="0.25">
      <c r="A178" s="6" t="s">
        <v>25</v>
      </c>
      <c r="B178" s="6" t="s">
        <v>26</v>
      </c>
      <c r="C178" s="6" t="s">
        <v>46</v>
      </c>
      <c r="D178" s="6" t="s">
        <v>56</v>
      </c>
      <c r="E178" s="6" t="s">
        <v>281</v>
      </c>
      <c r="F178" s="6" t="s">
        <v>282</v>
      </c>
      <c r="G178" s="6">
        <v>2017</v>
      </c>
      <c r="H178" s="6" t="str">
        <f>CONCATENATE("74780039199")</f>
        <v>74780039199</v>
      </c>
      <c r="I178" s="6" t="s">
        <v>28</v>
      </c>
      <c r="J178" s="6" t="s">
        <v>29</v>
      </c>
      <c r="K178" s="6" t="str">
        <f>CONCATENATE("221")</f>
        <v>221</v>
      </c>
      <c r="L178" s="6" t="str">
        <f>CONCATENATE("8 8.1 5e")</f>
        <v>8 8.1 5e</v>
      </c>
      <c r="M178" s="6" t="str">
        <f>CONCATENATE("LRDGNE65P03C357P")</f>
        <v>LRDGNE65P03C357P</v>
      </c>
      <c r="N178" s="6" t="s">
        <v>283</v>
      </c>
      <c r="O178" s="6" t="s">
        <v>268</v>
      </c>
      <c r="P178" s="7">
        <v>43228</v>
      </c>
      <c r="Q178" s="6" t="s">
        <v>30</v>
      </c>
      <c r="R178" s="6" t="s">
        <v>31</v>
      </c>
      <c r="S178" s="6" t="s">
        <v>32</v>
      </c>
      <c r="T178" s="6">
        <v>496.24</v>
      </c>
      <c r="U178" s="6">
        <v>213.98</v>
      </c>
      <c r="V178" s="6">
        <v>197.6</v>
      </c>
      <c r="W178" s="6">
        <v>0</v>
      </c>
      <c r="X178" s="6">
        <v>84.66</v>
      </c>
    </row>
    <row r="179" spans="1:24" ht="24.75" x14ac:dyDescent="0.25">
      <c r="A179" s="6" t="s">
        <v>25</v>
      </c>
      <c r="B179" s="6" t="s">
        <v>26</v>
      </c>
      <c r="C179" s="6" t="s">
        <v>46</v>
      </c>
      <c r="D179" s="6" t="s">
        <v>52</v>
      </c>
      <c r="E179" s="6" t="s">
        <v>27</v>
      </c>
      <c r="F179" s="6" t="s">
        <v>67</v>
      </c>
      <c r="G179" s="6">
        <v>2014</v>
      </c>
      <c r="H179" s="6" t="str">
        <f>CONCATENATE("44730094792")</f>
        <v>44730094792</v>
      </c>
      <c r="I179" s="6" t="s">
        <v>28</v>
      </c>
      <c r="J179" s="6" t="s">
        <v>29</v>
      </c>
      <c r="K179" s="6" t="str">
        <f>CONCATENATE("221")</f>
        <v>221</v>
      </c>
      <c r="L179" s="6" t="str">
        <f>CONCATENATE("8 8.1 5e")</f>
        <v>8 8.1 5e</v>
      </c>
      <c r="M179" s="6" t="str">
        <f>CONCATENATE("01704820438")</f>
        <v>01704820438</v>
      </c>
      <c r="N179" s="6" t="s">
        <v>68</v>
      </c>
      <c r="O179" s="6" t="s">
        <v>284</v>
      </c>
      <c r="P179" s="7">
        <v>43228</v>
      </c>
      <c r="Q179" s="6" t="s">
        <v>30</v>
      </c>
      <c r="R179" s="6" t="s">
        <v>31</v>
      </c>
      <c r="S179" s="6" t="s">
        <v>32</v>
      </c>
      <c r="T179" s="8">
        <v>1938.9</v>
      </c>
      <c r="U179" s="6">
        <v>836.05</v>
      </c>
      <c r="V179" s="6">
        <v>772.07</v>
      </c>
      <c r="W179" s="6">
        <v>0</v>
      </c>
      <c r="X179" s="6">
        <v>330.78</v>
      </c>
    </row>
    <row r="180" spans="1:24" ht="24.75" x14ac:dyDescent="0.25">
      <c r="A180" s="6" t="s">
        <v>25</v>
      </c>
      <c r="B180" s="6" t="s">
        <v>36</v>
      </c>
      <c r="C180" s="6" t="s">
        <v>46</v>
      </c>
      <c r="D180" s="6" t="s">
        <v>59</v>
      </c>
      <c r="E180" s="6" t="s">
        <v>37</v>
      </c>
      <c r="F180" s="6" t="s">
        <v>37</v>
      </c>
      <c r="G180" s="6">
        <v>2018</v>
      </c>
      <c r="H180" s="6" t="str">
        <f>CONCATENATE("84755302043")</f>
        <v>84755302043</v>
      </c>
      <c r="I180" s="6" t="s">
        <v>34</v>
      </c>
      <c r="J180" s="6" t="s">
        <v>29</v>
      </c>
      <c r="K180" s="6" t="str">
        <f>CONCATENATE("511")</f>
        <v>511</v>
      </c>
      <c r="L180" s="6" t="str">
        <f>CONCATENATE("20 20.1 ")</f>
        <v xml:space="preserve">20 20.1 </v>
      </c>
      <c r="M180" s="6" t="str">
        <f>CONCATENATE("10423140150")</f>
        <v>10423140150</v>
      </c>
      <c r="N180" s="6" t="s">
        <v>285</v>
      </c>
      <c r="O180" s="6" t="s">
        <v>286</v>
      </c>
      <c r="P180" s="7">
        <v>43228</v>
      </c>
      <c r="Q180" s="6" t="s">
        <v>30</v>
      </c>
      <c r="R180" s="6" t="s">
        <v>31</v>
      </c>
      <c r="S180" s="6" t="s">
        <v>32</v>
      </c>
      <c r="T180" s="8">
        <v>17255.54</v>
      </c>
      <c r="U180" s="8">
        <v>7440.59</v>
      </c>
      <c r="V180" s="8">
        <v>6871.16</v>
      </c>
      <c r="W180" s="6">
        <v>0</v>
      </c>
      <c r="X180" s="8">
        <v>2943.79</v>
      </c>
    </row>
    <row r="181" spans="1:24" x14ac:dyDescent="0.25">
      <c r="A181" s="6" t="s">
        <v>25</v>
      </c>
      <c r="B181" s="6" t="s">
        <v>26</v>
      </c>
      <c r="C181" s="6" t="s">
        <v>46</v>
      </c>
      <c r="D181" s="6" t="s">
        <v>52</v>
      </c>
      <c r="E181" s="6" t="s">
        <v>33</v>
      </c>
      <c r="F181" s="6" t="s">
        <v>96</v>
      </c>
      <c r="G181" s="6">
        <v>2016</v>
      </c>
      <c r="H181" s="6" t="str">
        <f>CONCATENATE("64210526949")</f>
        <v>64210526949</v>
      </c>
      <c r="I181" s="6" t="s">
        <v>28</v>
      </c>
      <c r="J181" s="6" t="s">
        <v>38</v>
      </c>
      <c r="K181" s="6" t="str">
        <f>CONCATENATE("")</f>
        <v/>
      </c>
      <c r="L181" s="6" t="str">
        <f>CONCATENATE("13 13.1 4a")</f>
        <v>13 13.1 4a</v>
      </c>
      <c r="M181" s="6" t="str">
        <f>CONCATENATE("PPRVTR52A01I661T")</f>
        <v>PPRVTR52A01I661T</v>
      </c>
      <c r="N181" s="6" t="s">
        <v>287</v>
      </c>
      <c r="O181" s="6" t="s">
        <v>288</v>
      </c>
      <c r="P181" s="7">
        <v>43228</v>
      </c>
      <c r="Q181" s="6" t="s">
        <v>30</v>
      </c>
      <c r="R181" s="6" t="s">
        <v>31</v>
      </c>
      <c r="S181" s="6" t="s">
        <v>32</v>
      </c>
      <c r="T181" s="8">
        <v>4893.93</v>
      </c>
      <c r="U181" s="8">
        <v>2110.2600000000002</v>
      </c>
      <c r="V181" s="8">
        <v>1948.76</v>
      </c>
      <c r="W181" s="6">
        <v>0</v>
      </c>
      <c r="X181" s="6">
        <v>834.91</v>
      </c>
    </row>
    <row r="182" spans="1:24" ht="24.75" x14ac:dyDescent="0.25">
      <c r="A182" s="6" t="s">
        <v>25</v>
      </c>
      <c r="B182" s="6" t="s">
        <v>36</v>
      </c>
      <c r="C182" s="6" t="s">
        <v>46</v>
      </c>
      <c r="D182" s="6" t="s">
        <v>47</v>
      </c>
      <c r="E182" s="6" t="s">
        <v>37</v>
      </c>
      <c r="F182" s="6" t="s">
        <v>37</v>
      </c>
      <c r="G182" s="6">
        <v>2018</v>
      </c>
      <c r="H182" s="6" t="str">
        <f>CONCATENATE("84758370500")</f>
        <v>84758370500</v>
      </c>
      <c r="I182" s="6" t="s">
        <v>28</v>
      </c>
      <c r="J182" s="6" t="s">
        <v>29</v>
      </c>
      <c r="K182" s="6" t="str">
        <f>CONCATENATE("321")</f>
        <v>321</v>
      </c>
      <c r="L182" s="6" t="str">
        <f>CONCATENATE("7 7.4 6a")</f>
        <v>7 7.4 6a</v>
      </c>
      <c r="M182" s="6" t="str">
        <f>CONCATENATE("80001030446")</f>
        <v>80001030446</v>
      </c>
      <c r="N182" s="6" t="s">
        <v>289</v>
      </c>
      <c r="O182" s="6" t="s">
        <v>290</v>
      </c>
      <c r="P182" s="7">
        <v>43230</v>
      </c>
      <c r="Q182" s="6" t="s">
        <v>30</v>
      </c>
      <c r="R182" s="6" t="s">
        <v>31</v>
      </c>
      <c r="S182" s="6" t="s">
        <v>32</v>
      </c>
      <c r="T182" s="8">
        <v>22937.53</v>
      </c>
      <c r="U182" s="8">
        <v>9890.66</v>
      </c>
      <c r="V182" s="8">
        <v>9133.7199999999993</v>
      </c>
      <c r="W182" s="6">
        <v>0</v>
      </c>
      <c r="X182" s="8">
        <v>3913.15</v>
      </c>
    </row>
    <row r="183" spans="1:24" ht="24.75" x14ac:dyDescent="0.25">
      <c r="A183" s="6" t="s">
        <v>25</v>
      </c>
      <c r="B183" s="6" t="s">
        <v>26</v>
      </c>
      <c r="C183" s="6" t="s">
        <v>46</v>
      </c>
      <c r="D183" s="6" t="s">
        <v>52</v>
      </c>
      <c r="E183" s="6" t="s">
        <v>27</v>
      </c>
      <c r="F183" s="6" t="s">
        <v>67</v>
      </c>
      <c r="G183" s="6">
        <v>2015</v>
      </c>
      <c r="H183" s="6" t="str">
        <f>CONCATENATE("54735026665")</f>
        <v>54735026665</v>
      </c>
      <c r="I183" s="6" t="s">
        <v>28</v>
      </c>
      <c r="J183" s="6" t="s">
        <v>29</v>
      </c>
      <c r="K183" s="6" t="str">
        <f>CONCATENATE("221")</f>
        <v>221</v>
      </c>
      <c r="L183" s="6" t="str">
        <f>CONCATENATE("8 8.1 5e")</f>
        <v>8 8.1 5e</v>
      </c>
      <c r="M183" s="6" t="str">
        <f>CONCATENATE("01704820438")</f>
        <v>01704820438</v>
      </c>
      <c r="N183" s="6" t="s">
        <v>68</v>
      </c>
      <c r="O183" s="6" t="s">
        <v>291</v>
      </c>
      <c r="P183" s="7">
        <v>43228</v>
      </c>
      <c r="Q183" s="6" t="s">
        <v>30</v>
      </c>
      <c r="R183" s="6" t="s">
        <v>31</v>
      </c>
      <c r="S183" s="6" t="s">
        <v>32</v>
      </c>
      <c r="T183" s="8">
        <v>1938.9</v>
      </c>
      <c r="U183" s="6">
        <v>836.05</v>
      </c>
      <c r="V183" s="6">
        <v>772.07</v>
      </c>
      <c r="W183" s="6">
        <v>0</v>
      </c>
      <c r="X183" s="6">
        <v>330.78</v>
      </c>
    </row>
    <row r="184" spans="1:24" ht="24.75" x14ac:dyDescent="0.25">
      <c r="A184" s="6" t="s">
        <v>25</v>
      </c>
      <c r="B184" s="6" t="s">
        <v>26</v>
      </c>
      <c r="C184" s="6" t="s">
        <v>46</v>
      </c>
      <c r="D184" s="6" t="s">
        <v>59</v>
      </c>
      <c r="E184" s="6" t="s">
        <v>33</v>
      </c>
      <c r="F184" s="6" t="s">
        <v>69</v>
      </c>
      <c r="G184" s="6">
        <v>2017</v>
      </c>
      <c r="H184" s="6" t="str">
        <f>CONCATENATE("74780066309")</f>
        <v>74780066309</v>
      </c>
      <c r="I184" s="6" t="s">
        <v>28</v>
      </c>
      <c r="J184" s="6" t="s">
        <v>29</v>
      </c>
      <c r="K184" s="6" t="str">
        <f>CONCATENATE("221")</f>
        <v>221</v>
      </c>
      <c r="L184" s="6" t="str">
        <f>CONCATENATE("8 8.1 5e")</f>
        <v>8 8.1 5e</v>
      </c>
      <c r="M184" s="6" t="str">
        <f>CONCATENATE("STPMLM54T55F051S")</f>
        <v>STPMLM54T55F051S</v>
      </c>
      <c r="N184" s="6" t="s">
        <v>292</v>
      </c>
      <c r="O184" s="6" t="s">
        <v>95</v>
      </c>
      <c r="P184" s="7">
        <v>43228</v>
      </c>
      <c r="Q184" s="6" t="s">
        <v>30</v>
      </c>
      <c r="R184" s="6" t="s">
        <v>31</v>
      </c>
      <c r="S184" s="6" t="s">
        <v>32</v>
      </c>
      <c r="T184" s="6">
        <v>308.38</v>
      </c>
      <c r="U184" s="6">
        <v>132.97</v>
      </c>
      <c r="V184" s="6">
        <v>122.8</v>
      </c>
      <c r="W184" s="6">
        <v>0</v>
      </c>
      <c r="X184" s="6">
        <v>52.61</v>
      </c>
    </row>
    <row r="185" spans="1:24" ht="24.75" x14ac:dyDescent="0.25">
      <c r="A185" s="6" t="s">
        <v>25</v>
      </c>
      <c r="B185" s="6" t="s">
        <v>26</v>
      </c>
      <c r="C185" s="6" t="s">
        <v>46</v>
      </c>
      <c r="D185" s="6" t="s">
        <v>56</v>
      </c>
      <c r="E185" s="6" t="s">
        <v>35</v>
      </c>
      <c r="F185" s="6" t="s">
        <v>266</v>
      </c>
      <c r="G185" s="6">
        <v>2017</v>
      </c>
      <c r="H185" s="6" t="str">
        <f>CONCATENATE("74780021247")</f>
        <v>74780021247</v>
      </c>
      <c r="I185" s="6" t="s">
        <v>28</v>
      </c>
      <c r="J185" s="6" t="s">
        <v>29</v>
      </c>
      <c r="K185" s="6" t="str">
        <f>CONCATENATE("221")</f>
        <v>221</v>
      </c>
      <c r="L185" s="6" t="str">
        <f>CONCATENATE("8 8.1 5e")</f>
        <v>8 8.1 5e</v>
      </c>
      <c r="M185" s="6" t="str">
        <f>CONCATENATE("MRNLCU66D04D488L")</f>
        <v>MRNLCU66D04D488L</v>
      </c>
      <c r="N185" s="6" t="s">
        <v>293</v>
      </c>
      <c r="O185" s="6" t="s">
        <v>268</v>
      </c>
      <c r="P185" s="7">
        <v>43228</v>
      </c>
      <c r="Q185" s="6" t="s">
        <v>30</v>
      </c>
      <c r="R185" s="6" t="s">
        <v>31</v>
      </c>
      <c r="S185" s="6" t="s">
        <v>32</v>
      </c>
      <c r="T185" s="8">
        <v>1476.2</v>
      </c>
      <c r="U185" s="6">
        <v>636.54</v>
      </c>
      <c r="V185" s="6">
        <v>587.82000000000005</v>
      </c>
      <c r="W185" s="6">
        <v>0</v>
      </c>
      <c r="X185" s="6">
        <v>251.84</v>
      </c>
    </row>
    <row r="186" spans="1:24" ht="24.75" x14ac:dyDescent="0.25">
      <c r="A186" s="6" t="s">
        <v>25</v>
      </c>
      <c r="B186" s="6" t="s">
        <v>26</v>
      </c>
      <c r="C186" s="6" t="s">
        <v>46</v>
      </c>
      <c r="D186" s="6" t="s">
        <v>56</v>
      </c>
      <c r="E186" s="6" t="s">
        <v>35</v>
      </c>
      <c r="F186" s="6" t="s">
        <v>90</v>
      </c>
      <c r="G186" s="6">
        <v>2017</v>
      </c>
      <c r="H186" s="6" t="str">
        <f>CONCATENATE("74780077454")</f>
        <v>74780077454</v>
      </c>
      <c r="I186" s="6" t="s">
        <v>28</v>
      </c>
      <c r="J186" s="6" t="s">
        <v>29</v>
      </c>
      <c r="K186" s="6" t="str">
        <f>CONCATENATE("221")</f>
        <v>221</v>
      </c>
      <c r="L186" s="6" t="str">
        <f>CONCATENATE("8 8.1 5e")</f>
        <v>8 8.1 5e</v>
      </c>
      <c r="M186" s="6" t="str">
        <f>CONCATENATE("VLNGCR52P05F497K")</f>
        <v>VLNGCR52P05F497K</v>
      </c>
      <c r="N186" s="6" t="s">
        <v>294</v>
      </c>
      <c r="O186" s="6" t="s">
        <v>268</v>
      </c>
      <c r="P186" s="7">
        <v>43228</v>
      </c>
      <c r="Q186" s="6" t="s">
        <v>30</v>
      </c>
      <c r="R186" s="6" t="s">
        <v>31</v>
      </c>
      <c r="S186" s="6" t="s">
        <v>32</v>
      </c>
      <c r="T186" s="6">
        <v>527</v>
      </c>
      <c r="U186" s="6">
        <v>227.24</v>
      </c>
      <c r="V186" s="6">
        <v>209.85</v>
      </c>
      <c r="W186" s="6">
        <v>0</v>
      </c>
      <c r="X186" s="6">
        <v>89.91</v>
      </c>
    </row>
    <row r="187" spans="1:24" ht="24.75" x14ac:dyDescent="0.25">
      <c r="A187" s="6" t="s">
        <v>25</v>
      </c>
      <c r="B187" s="6" t="s">
        <v>26</v>
      </c>
      <c r="C187" s="6" t="s">
        <v>46</v>
      </c>
      <c r="D187" s="6" t="s">
        <v>56</v>
      </c>
      <c r="E187" s="6" t="s">
        <v>33</v>
      </c>
      <c r="F187" s="6" t="s">
        <v>84</v>
      </c>
      <c r="G187" s="6">
        <v>2017</v>
      </c>
      <c r="H187" s="6" t="str">
        <f>CONCATENATE("74780071580")</f>
        <v>74780071580</v>
      </c>
      <c r="I187" s="6" t="s">
        <v>28</v>
      </c>
      <c r="J187" s="6" t="s">
        <v>29</v>
      </c>
      <c r="K187" s="6" t="str">
        <f>CONCATENATE("221")</f>
        <v>221</v>
      </c>
      <c r="L187" s="6" t="str">
        <f>CONCATENATE("8 8.1 5e")</f>
        <v>8 8.1 5e</v>
      </c>
      <c r="M187" s="6" t="str">
        <f>CONCATENATE("TPOPLA65E30L498K")</f>
        <v>TPOPLA65E30L498K</v>
      </c>
      <c r="N187" s="6" t="s">
        <v>295</v>
      </c>
      <c r="O187" s="6" t="s">
        <v>268</v>
      </c>
      <c r="P187" s="7">
        <v>43228</v>
      </c>
      <c r="Q187" s="6" t="s">
        <v>30</v>
      </c>
      <c r="R187" s="6" t="s">
        <v>31</v>
      </c>
      <c r="S187" s="6" t="s">
        <v>32</v>
      </c>
      <c r="T187" s="6">
        <v>441</v>
      </c>
      <c r="U187" s="6">
        <v>190.16</v>
      </c>
      <c r="V187" s="6">
        <v>175.61</v>
      </c>
      <c r="W187" s="6">
        <v>0</v>
      </c>
      <c r="X187" s="6">
        <v>75.23</v>
      </c>
    </row>
    <row r="188" spans="1:24" ht="24.75" x14ac:dyDescent="0.25">
      <c r="A188" s="6" t="s">
        <v>25</v>
      </c>
      <c r="B188" s="6" t="s">
        <v>26</v>
      </c>
      <c r="C188" s="6" t="s">
        <v>46</v>
      </c>
      <c r="D188" s="6" t="s">
        <v>56</v>
      </c>
      <c r="E188" s="6" t="s">
        <v>35</v>
      </c>
      <c r="F188" s="6" t="s">
        <v>90</v>
      </c>
      <c r="G188" s="6">
        <v>2017</v>
      </c>
      <c r="H188" s="6" t="str">
        <f>CONCATENATE("74780077314")</f>
        <v>74780077314</v>
      </c>
      <c r="I188" s="6" t="s">
        <v>28</v>
      </c>
      <c r="J188" s="6" t="s">
        <v>29</v>
      </c>
      <c r="K188" s="6" t="str">
        <f>CONCATENATE("221")</f>
        <v>221</v>
      </c>
      <c r="L188" s="6" t="str">
        <f>CONCATENATE("8 8.1 5e")</f>
        <v>8 8.1 5e</v>
      </c>
      <c r="M188" s="6" t="str">
        <f>CONCATENATE("PRFTMS58H27F347W")</f>
        <v>PRFTMS58H27F347W</v>
      </c>
      <c r="N188" s="6" t="s">
        <v>296</v>
      </c>
      <c r="O188" s="6" t="s">
        <v>268</v>
      </c>
      <c r="P188" s="7">
        <v>43228</v>
      </c>
      <c r="Q188" s="6" t="s">
        <v>30</v>
      </c>
      <c r="R188" s="6" t="s">
        <v>31</v>
      </c>
      <c r="S188" s="6" t="s">
        <v>32</v>
      </c>
      <c r="T188" s="8">
        <v>1282.43</v>
      </c>
      <c r="U188" s="6">
        <v>552.98</v>
      </c>
      <c r="V188" s="6">
        <v>510.66</v>
      </c>
      <c r="W188" s="6">
        <v>0</v>
      </c>
      <c r="X188" s="6">
        <v>218.79</v>
      </c>
    </row>
    <row r="189" spans="1:24" ht="24.75" x14ac:dyDescent="0.25">
      <c r="A189" s="6" t="s">
        <v>25</v>
      </c>
      <c r="B189" s="6" t="s">
        <v>26</v>
      </c>
      <c r="C189" s="6" t="s">
        <v>46</v>
      </c>
      <c r="D189" s="6" t="s">
        <v>59</v>
      </c>
      <c r="E189" s="6" t="s">
        <v>35</v>
      </c>
      <c r="F189" s="6" t="s">
        <v>246</v>
      </c>
      <c r="G189" s="6">
        <v>2017</v>
      </c>
      <c r="H189" s="6" t="str">
        <f>CONCATENATE("74780059007")</f>
        <v>74780059007</v>
      </c>
      <c r="I189" s="6" t="s">
        <v>34</v>
      </c>
      <c r="J189" s="6" t="s">
        <v>29</v>
      </c>
      <c r="K189" s="6" t="str">
        <f>CONCATENATE("221")</f>
        <v>221</v>
      </c>
      <c r="L189" s="6" t="str">
        <f>CONCATENATE("8 8.1 5e")</f>
        <v>8 8.1 5e</v>
      </c>
      <c r="M189" s="6" t="str">
        <f>CONCATENATE("BCCFNC54S09I608W")</f>
        <v>BCCFNC54S09I608W</v>
      </c>
      <c r="N189" s="6" t="s">
        <v>297</v>
      </c>
      <c r="O189" s="6" t="s">
        <v>95</v>
      </c>
      <c r="P189" s="7">
        <v>43228</v>
      </c>
      <c r="Q189" s="6" t="s">
        <v>30</v>
      </c>
      <c r="R189" s="6" t="s">
        <v>31</v>
      </c>
      <c r="S189" s="6" t="s">
        <v>32</v>
      </c>
      <c r="T189" s="6">
        <v>90.55</v>
      </c>
      <c r="U189" s="6">
        <v>39.049999999999997</v>
      </c>
      <c r="V189" s="6">
        <v>36.06</v>
      </c>
      <c r="W189" s="6">
        <v>0</v>
      </c>
      <c r="X189" s="6">
        <v>15.44</v>
      </c>
    </row>
    <row r="190" spans="1:24" ht="24.75" x14ac:dyDescent="0.25">
      <c r="A190" s="6" t="s">
        <v>25</v>
      </c>
      <c r="B190" s="6" t="s">
        <v>26</v>
      </c>
      <c r="C190" s="6" t="s">
        <v>46</v>
      </c>
      <c r="D190" s="6" t="s">
        <v>56</v>
      </c>
      <c r="E190" s="6" t="s">
        <v>33</v>
      </c>
      <c r="F190" s="6" t="s">
        <v>84</v>
      </c>
      <c r="G190" s="6">
        <v>2017</v>
      </c>
      <c r="H190" s="6" t="str">
        <f>CONCATENATE("74780070681")</f>
        <v>74780070681</v>
      </c>
      <c r="I190" s="6" t="s">
        <v>28</v>
      </c>
      <c r="J190" s="6" t="s">
        <v>29</v>
      </c>
      <c r="K190" s="6" t="str">
        <f>CONCATENATE("221")</f>
        <v>221</v>
      </c>
      <c r="L190" s="6" t="str">
        <f>CONCATENATE("8 8.1 5e")</f>
        <v>8 8.1 5e</v>
      </c>
      <c r="M190" s="6" t="str">
        <f>CONCATENATE("VLNLSN65L29L500T")</f>
        <v>VLNLSN65L29L500T</v>
      </c>
      <c r="N190" s="6" t="s">
        <v>298</v>
      </c>
      <c r="O190" s="6" t="s">
        <v>268</v>
      </c>
      <c r="P190" s="7">
        <v>43228</v>
      </c>
      <c r="Q190" s="6" t="s">
        <v>30</v>
      </c>
      <c r="R190" s="6" t="s">
        <v>31</v>
      </c>
      <c r="S190" s="6" t="s">
        <v>32</v>
      </c>
      <c r="T190" s="8">
        <v>1000.5</v>
      </c>
      <c r="U190" s="6">
        <v>431.42</v>
      </c>
      <c r="V190" s="6">
        <v>398.4</v>
      </c>
      <c r="W190" s="6">
        <v>0</v>
      </c>
      <c r="X190" s="6">
        <v>170.68</v>
      </c>
    </row>
  </sheetData>
  <mergeCells count="2">
    <mergeCell ref="A1:X1"/>
    <mergeCell ref="A2:X2"/>
  </mergeCells>
  <pageMargins left="0.75" right="0.75" top="1" bottom="1" header="0.5" footer="0.5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2018-05-21T11:30:19Z</dcterms:created>
  <dcterms:modified xsi:type="dcterms:W3CDTF">2018-05-21T11:31:10Z</dcterms:modified>
</cp:coreProperties>
</file>