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_completo\BACKUP_cartella_Documenti\INVIO_DECRETI_A_REGIONIeCAA\Programmazione_2014-2020 (Settore 70-88)\Decreto n. 154\"/>
    </mc:Choice>
  </mc:AlternateContent>
  <xr:revisionPtr revIDLastSave="0" documentId="8_{9EFB9BD0-F484-4426-B907-99A8551E70A9}" xr6:coauthVersionLast="31" xr6:coauthVersionMax="31" xr10:uidLastSave="{00000000-0000-0000-0000-000000000000}"/>
  <bookViews>
    <workbookView xWindow="0" yWindow="0" windowWidth="28800" windowHeight="11625" xr2:uid="{5AFED75A-B18A-407A-88E2-25C7C5C1488E}"/>
  </bookViews>
  <sheets>
    <sheet name="Dettaglio_Domande_Pagabili_AGE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<sst xmlns="http://schemas.openxmlformats.org/spreadsheetml/2006/main" count="532" uniqueCount="111">
  <si>
    <t>Dettaglio Domande Pagabili Decreto 154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</si>
  <si>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</si>
  <si>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</si>
  <si>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</si>
  <si>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</si>
  <si>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</si>
  <si>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</si>
  <si>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</si>
  <si>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</si>
  <si>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</si>
  <si>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</si>
  <si>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</si>
  <si>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</si>
  <si>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</si>
  <si>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</si>
  <si>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</si>
  <si>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</si>
  <si>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</si>
  <si>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</si>
  <si>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</si>
  <si>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</si>
  <si>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</si>
  <si>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</si>
  <si>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</si>
  <si>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</si>
  <si>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</si>
  <si>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</si>
  <si>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CIA srl</t>
  </si>
  <si>
    <t>NO</t>
  </si>
  <si>
    <t>Nuova Programmazione</t>
  </si>
  <si>
    <t>In Liquidazione</t>
  </si>
  <si>
    <t>Co-Finanziato</t>
  </si>
  <si>
    <t>CAA Coldiretti srl</t>
  </si>
  <si>
    <t>Misure a Superficie</t>
  </si>
  <si>
    <t>Trascinamenti</t>
  </si>
  <si>
    <t>Saldo</t>
  </si>
  <si>
    <t>CAA Copagri srl</t>
  </si>
  <si>
    <t>SI</t>
  </si>
  <si>
    <t>CAA AGRISERVIZI s.r.l.</t>
  </si>
  <si>
    <t>CAA AGRISERVIZI - MESSINA - 001</t>
  </si>
  <si>
    <t>CAA Confagricoltura srl</t>
  </si>
  <si>
    <t>CAA UNICAA srl</t>
  </si>
  <si>
    <t>IN PROPRIO</t>
  </si>
  <si>
    <t>MARCHE</t>
  </si>
  <si>
    <t>SERV. DEC. AGRICOLTURA E ALIM. -ASCOLI PICENO</t>
  </si>
  <si>
    <t>CAA Confagricoltura - ASCOLI PICENO - 001</t>
  </si>
  <si>
    <t>GENTILI FERNANDO</t>
  </si>
  <si>
    <t>AGEA.ASR.2018.0286983</t>
  </si>
  <si>
    <t>CAA Coldiretti - ASCOLI PICENO - 030</t>
  </si>
  <si>
    <t>CORRADETTI MAIKA</t>
  </si>
  <si>
    <t>FILENI LAURA</t>
  </si>
  <si>
    <t>D'ANDREA ELISEO E CIOTTI ANTONIETTA SOC. SEMPLICE</t>
  </si>
  <si>
    <t>MORGANTI GIOVANNA</t>
  </si>
  <si>
    <t>CAA CIA - ASCOLI PICENO - 001</t>
  </si>
  <si>
    <t>DI MATTIA SABATINO</t>
  </si>
  <si>
    <t>ILLUMINATI NICOLINO</t>
  </si>
  <si>
    <t>ONORI MARIA ROSARIA</t>
  </si>
  <si>
    <t>SQUICCIARINI GIUSEPPE CARLO</t>
  </si>
  <si>
    <t>SERV. DEC. AGRICOLTURA E ALIMENTAZIONE - PESARO</t>
  </si>
  <si>
    <t>CAA UNICAA - PESARO E URBINO - 003</t>
  </si>
  <si>
    <t>CARLINI ANDREA</t>
  </si>
  <si>
    <t>FRATINI ERCOLE</t>
  </si>
  <si>
    <t>CAA Confagricoltura - PESARO E URBINO - 001</t>
  </si>
  <si>
    <t>SOCIETA' AGRICOLA VALTURIO S.S. DI SANTARELLI E GALLI</t>
  </si>
  <si>
    <t>SERV. DEC. AGRICOLTURA E ALIM. - MACERATA</t>
  </si>
  <si>
    <t>UNIONE MONTANA DEI MONTI AZZURRI</t>
  </si>
  <si>
    <t>AGEA.ASR.2018.0114573</t>
  </si>
  <si>
    <t>VALLE VERDE SOCIETA' AGRICOLA SEMPLICE</t>
  </si>
  <si>
    <t>CAA Copagri - ASCOLI PICENO - 401</t>
  </si>
  <si>
    <t>DE SANTIS EMIDIO</t>
  </si>
  <si>
    <t>CRUCIANI GUIDO</t>
  </si>
  <si>
    <t>DI NICOLO' SILVANO</t>
  </si>
  <si>
    <t>CAA CIA - ASCOLI PICENO - 005</t>
  </si>
  <si>
    <t>BELLEGGIA FABIO</t>
  </si>
  <si>
    <t>CAA Coldiretti - FERMO - 001</t>
  </si>
  <si>
    <t>DI FELICE CLAUDIO</t>
  </si>
  <si>
    <t>DI VITANTONIO GIUSTINO</t>
  </si>
  <si>
    <t>CAA Coldiretti - PESARO E URBINO - 006</t>
  </si>
  <si>
    <t>GENTILINI GIZIANA</t>
  </si>
  <si>
    <t>AGEA.ASR.2018.0210349</t>
  </si>
  <si>
    <t>CAA Copagri - ASCOLI PICENO - 501</t>
  </si>
  <si>
    <t>BAIGUERI ROBERTA</t>
  </si>
  <si>
    <t>CAA Copagri - PESARO E URBINO - 501</t>
  </si>
  <si>
    <t>DINI ANTONIO</t>
  </si>
  <si>
    <t>CAA Copagri - MACERATA - 301</t>
  </si>
  <si>
    <t>CASTELLUCCI ANTONIO</t>
  </si>
  <si>
    <t>SERV. DEC. AGRICOLTURA E ALIMENTAZIONE - ANCONA</t>
  </si>
  <si>
    <t>CAA Coldiretti - ANCONA - 005</t>
  </si>
  <si>
    <t>AGOSTINELLI SANDRO</t>
  </si>
  <si>
    <t>CAA Coldiretti - ANCONA - 002</t>
  </si>
  <si>
    <t>COLA ANNALISA</t>
  </si>
  <si>
    <t>BELARDINELLI FRANCESCO</t>
  </si>
  <si>
    <t>ALESSANDRELLI STEFANO</t>
  </si>
  <si>
    <t>FILIPPINI ERMENEGILDO</t>
  </si>
  <si>
    <t>CAA CIA - ANCONA - 005</t>
  </si>
  <si>
    <t>SARGENTI MORENO</t>
  </si>
  <si>
    <t>CAA UNICAA - ASCOLI PICENO - 004</t>
  </si>
  <si>
    <t>SEMPRONI ELENA</t>
  </si>
  <si>
    <t>AGEA.ASR.2018.0286978</t>
  </si>
  <si>
    <t>CAA CIA - ANCONA - 004</t>
  </si>
  <si>
    <t>STELLATO SALVATORE</t>
  </si>
  <si>
    <t>SOCIETA' AGRICOLA IL GELSO DEI FRATELLI COFANI DI COFANI LUCA E MICHEL</t>
  </si>
  <si>
    <t>PEVERINI LEONELLO</t>
  </si>
  <si>
    <t>CAA Coldiretti - ANCONA - 006</t>
  </si>
  <si>
    <t>ROSSI FOSCO MARIA</t>
  </si>
  <si>
    <t>CAA Copagri - ANCONA - 502</t>
  </si>
  <si>
    <t>IMPRESA AGRICOLA VITO CELESTE &amp; C.</t>
  </si>
  <si>
    <t>VITALI PINO</t>
  </si>
  <si>
    <t>SOCIETA AGRICOLA FATTORIA AGRITURISTICA BIOLOGICA CASALE VENEZIA S.S.</t>
  </si>
  <si>
    <t>CAA Confagricoltura - ANCONA - 001</t>
  </si>
  <si>
    <t>GIORGI STEFANO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</si>
</sst>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3ED1-DC6F-4507-B7E8-7C2E2640E0A3}">
  <dimension ref="A1:X42"/>
  <sheetViews>
    <sheetView showGridLines="0" tabSelected="1" workbookViewId="0">
      <selection activeCell="E48" sqref="E48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5.8554687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9" style="4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33</v>
      </c>
      <c r="C4" s="6" t="s">
        <v>43</v>
      </c>
      <c r="D4" s="6" t="s">
        <v>44</v>
      </c>
      <c r="E4" s="6" t="s">
        <v>40</v>
      </c>
      <c r="F4" s="6" t="s">
        <v>45</v>
      </c>
      <c r="G4" s="6">
        <v>2017</v>
      </c>
      <c r="H4" s="6" t="str">
        <f>CONCATENATE("74770195431")</f>
        <v>74770195431</v>
      </c>
      <c r="I4" s="6" t="s">
        <v>28</v>
      </c>
      <c r="J4" s="6" t="s">
        <v>34</v>
      </c>
      <c r="K4" s="6" t="str">
        <f>CONCATENATE("214")</f>
        <v>214</v>
      </c>
      <c r="L4" s="6" t="str">
        <f>CONCATENATE("11 11.2 4b")</f>
        <v>11 11.2 4b</v>
      </c>
      <c r="M4" s="6" t="str">
        <f>CONCATENATE("GNTFNN68P13F520F")</f>
        <v>GNTFNN68P13F520F</v>
      </c>
      <c r="N4" s="6" t="s">
        <v>46</v>
      </c>
      <c r="O4" s="6" t="s">
        <v>47</v>
      </c>
      <c r="P4" s="7">
        <v>43196</v>
      </c>
      <c r="Q4" s="6" t="s">
        <v>30</v>
      </c>
      <c r="R4" s="6" t="s">
        <v>35</v>
      </c>
      <c r="S4" s="6" t="s">
        <v>31</v>
      </c>
      <c r="T4" s="6">
        <v>101.29</v>
      </c>
      <c r="U4" s="6">
        <v>43.68</v>
      </c>
      <c r="V4" s="6">
        <v>40.33</v>
      </c>
      <c r="W4" s="6">
        <v>0</v>
      </c>
      <c r="X4" s="6">
        <v>17.28</v>
      </c>
    </row>
    <row r="5" spans="1:24" ht="24.75" x14ac:dyDescent="0.25">
      <c r="A5" s="6" t="s">
        <v>25</v>
      </c>
      <c r="B5" s="6" t="s">
        <v>33</v>
      </c>
      <c r="C5" s="6" t="s">
        <v>43</v>
      </c>
      <c r="D5" s="6" t="s">
        <v>44</v>
      </c>
      <c r="E5" s="6" t="s">
        <v>32</v>
      </c>
      <c r="F5" s="6" t="s">
        <v>48</v>
      </c>
      <c r="G5" s="6">
        <v>2017</v>
      </c>
      <c r="H5" s="6" t="str">
        <f>CONCATENATE("74770222326")</f>
        <v>74770222326</v>
      </c>
      <c r="I5" s="6" t="s">
        <v>28</v>
      </c>
      <c r="J5" s="6" t="s">
        <v>34</v>
      </c>
      <c r="K5" s="6" t="str">
        <f>CONCATENATE("214")</f>
        <v>214</v>
      </c>
      <c r="L5" s="6" t="str">
        <f>CONCATENATE("11 11.2 4b")</f>
        <v>11 11.2 4b</v>
      </c>
      <c r="M5" s="6" t="str">
        <f>CONCATENATE("CRRMKA79M42G005N")</f>
        <v>CRRMKA79M42G005N</v>
      </c>
      <c r="N5" s="6" t="s">
        <v>49</v>
      </c>
      <c r="O5" s="6" t="s">
        <v>47</v>
      </c>
      <c r="P5" s="7">
        <v>43196</v>
      </c>
      <c r="Q5" s="6" t="s">
        <v>30</v>
      </c>
      <c r="R5" s="6" t="s">
        <v>35</v>
      </c>
      <c r="S5" s="6" t="s">
        <v>31</v>
      </c>
      <c r="T5" s="8">
        <v>7491.7</v>
      </c>
      <c r="U5" s="8">
        <v>3230.42</v>
      </c>
      <c r="V5" s="8">
        <v>2983.19</v>
      </c>
      <c r="W5" s="6">
        <v>0</v>
      </c>
      <c r="X5" s="8">
        <v>1278.0899999999999</v>
      </c>
    </row>
    <row r="6" spans="1:24" ht="24.75" x14ac:dyDescent="0.25">
      <c r="A6" s="6" t="s">
        <v>25</v>
      </c>
      <c r="B6" s="6" t="s">
        <v>33</v>
      </c>
      <c r="C6" s="6" t="s">
        <v>43</v>
      </c>
      <c r="D6" s="6" t="s">
        <v>44</v>
      </c>
      <c r="E6" s="6" t="s">
        <v>40</v>
      </c>
      <c r="F6" s="6" t="s">
        <v>45</v>
      </c>
      <c r="G6" s="6">
        <v>2017</v>
      </c>
      <c r="H6" s="6" t="str">
        <f>CONCATENATE("74770215767")</f>
        <v>74770215767</v>
      </c>
      <c r="I6" s="6" t="s">
        <v>28</v>
      </c>
      <c r="J6" s="6" t="s">
        <v>34</v>
      </c>
      <c r="K6" s="6" t="str">
        <f>CONCATENATE("214")</f>
        <v>214</v>
      </c>
      <c r="L6" s="6" t="str">
        <f>CONCATENATE("11 11.2 4b")</f>
        <v>11 11.2 4b</v>
      </c>
      <c r="M6" s="6" t="str">
        <f>CONCATENATE("FLNLRA66P54G920B")</f>
        <v>FLNLRA66P54G920B</v>
      </c>
      <c r="N6" s="6" t="s">
        <v>50</v>
      </c>
      <c r="O6" s="6" t="s">
        <v>47</v>
      </c>
      <c r="P6" s="7">
        <v>43196</v>
      </c>
      <c r="Q6" s="6" t="s">
        <v>30</v>
      </c>
      <c r="R6" s="6" t="s">
        <v>35</v>
      </c>
      <c r="S6" s="6" t="s">
        <v>31</v>
      </c>
      <c r="T6" s="6">
        <v>174.56</v>
      </c>
      <c r="U6" s="6">
        <v>75.27</v>
      </c>
      <c r="V6" s="6">
        <v>69.510000000000005</v>
      </c>
      <c r="W6" s="6">
        <v>0</v>
      </c>
      <c r="X6" s="6">
        <v>29.78</v>
      </c>
    </row>
    <row r="7" spans="1:24" ht="24.75" x14ac:dyDescent="0.25">
      <c r="A7" s="6" t="s">
        <v>25</v>
      </c>
      <c r="B7" s="6" t="s">
        <v>33</v>
      </c>
      <c r="C7" s="6" t="s">
        <v>43</v>
      </c>
      <c r="D7" s="6" t="s">
        <v>44</v>
      </c>
      <c r="E7" s="6" t="s">
        <v>42</v>
      </c>
      <c r="F7" s="6" t="s">
        <v>42</v>
      </c>
      <c r="G7" s="6">
        <v>2017</v>
      </c>
      <c r="H7" s="6" t="str">
        <f>CONCATENATE("74770146459")</f>
        <v>74770146459</v>
      </c>
      <c r="I7" s="6" t="s">
        <v>28</v>
      </c>
      <c r="J7" s="6" t="s">
        <v>34</v>
      </c>
      <c r="K7" s="6" t="str">
        <f>CONCATENATE("214")</f>
        <v>214</v>
      </c>
      <c r="L7" s="6" t="str">
        <f>CONCATENATE("11 11.2 4b")</f>
        <v>11 11.2 4b</v>
      </c>
      <c r="M7" s="6" t="str">
        <f>CONCATENATE("01186180442")</f>
        <v>01186180442</v>
      </c>
      <c r="N7" s="6" t="s">
        <v>51</v>
      </c>
      <c r="O7" s="6" t="s">
        <v>47</v>
      </c>
      <c r="P7" s="7">
        <v>43196</v>
      </c>
      <c r="Q7" s="6" t="s">
        <v>30</v>
      </c>
      <c r="R7" s="6" t="s">
        <v>35</v>
      </c>
      <c r="S7" s="6" t="s">
        <v>31</v>
      </c>
      <c r="T7" s="6">
        <v>948.96</v>
      </c>
      <c r="U7" s="6">
        <v>409.19</v>
      </c>
      <c r="V7" s="6">
        <v>377.88</v>
      </c>
      <c r="W7" s="6">
        <v>0</v>
      </c>
      <c r="X7" s="6">
        <v>161.88999999999999</v>
      </c>
    </row>
    <row r="8" spans="1:24" ht="24.75" x14ac:dyDescent="0.25">
      <c r="A8" s="6" t="s">
        <v>25</v>
      </c>
      <c r="B8" s="6" t="s">
        <v>33</v>
      </c>
      <c r="C8" s="6" t="s">
        <v>43</v>
      </c>
      <c r="D8" s="6" t="s">
        <v>44</v>
      </c>
      <c r="E8" s="6" t="s">
        <v>40</v>
      </c>
      <c r="F8" s="6" t="s">
        <v>45</v>
      </c>
      <c r="G8" s="6">
        <v>2017</v>
      </c>
      <c r="H8" s="6" t="str">
        <f>CONCATENATE("74770195548")</f>
        <v>74770195548</v>
      </c>
      <c r="I8" s="6" t="s">
        <v>28</v>
      </c>
      <c r="J8" s="6" t="s">
        <v>34</v>
      </c>
      <c r="K8" s="6" t="str">
        <f>CONCATENATE("214")</f>
        <v>214</v>
      </c>
      <c r="L8" s="6" t="str">
        <f>CONCATENATE("11 11.2 4b")</f>
        <v>11 11.2 4b</v>
      </c>
      <c r="M8" s="6" t="str">
        <f>CONCATENATE("MRGGNN46D41I912U")</f>
        <v>MRGGNN46D41I912U</v>
      </c>
      <c r="N8" s="6" t="s">
        <v>52</v>
      </c>
      <c r="O8" s="6" t="s">
        <v>47</v>
      </c>
      <c r="P8" s="7">
        <v>43196</v>
      </c>
      <c r="Q8" s="6" t="s">
        <v>30</v>
      </c>
      <c r="R8" s="6" t="s">
        <v>35</v>
      </c>
      <c r="S8" s="6" t="s">
        <v>31</v>
      </c>
      <c r="T8" s="6">
        <v>654.67999999999995</v>
      </c>
      <c r="U8" s="6">
        <v>282.3</v>
      </c>
      <c r="V8" s="6">
        <v>260.69</v>
      </c>
      <c r="W8" s="6">
        <v>0</v>
      </c>
      <c r="X8" s="6">
        <v>111.69</v>
      </c>
    </row>
    <row r="9" spans="1:24" ht="24.75" x14ac:dyDescent="0.25">
      <c r="A9" s="6" t="s">
        <v>25</v>
      </c>
      <c r="B9" s="6" t="s">
        <v>33</v>
      </c>
      <c r="C9" s="6" t="s">
        <v>43</v>
      </c>
      <c r="D9" s="6" t="s">
        <v>44</v>
      </c>
      <c r="E9" s="6" t="s">
        <v>27</v>
      </c>
      <c r="F9" s="6" t="s">
        <v>53</v>
      </c>
      <c r="G9" s="6">
        <v>2017</v>
      </c>
      <c r="H9" s="6" t="str">
        <f>CONCATENATE("74770176449")</f>
        <v>74770176449</v>
      </c>
      <c r="I9" s="6" t="s">
        <v>28</v>
      </c>
      <c r="J9" s="6" t="s">
        <v>34</v>
      </c>
      <c r="K9" s="6" t="str">
        <f>CONCATENATE("214")</f>
        <v>214</v>
      </c>
      <c r="L9" s="6" t="str">
        <f>CONCATENATE("11 11.2 4b")</f>
        <v>11 11.2 4b</v>
      </c>
      <c r="M9" s="6" t="str">
        <f>CONCATENATE("DMTSTN48L20L597W")</f>
        <v>DMTSTN48L20L597W</v>
      </c>
      <c r="N9" s="6" t="s">
        <v>54</v>
      </c>
      <c r="O9" s="6" t="s">
        <v>47</v>
      </c>
      <c r="P9" s="7">
        <v>43196</v>
      </c>
      <c r="Q9" s="6" t="s">
        <v>30</v>
      </c>
      <c r="R9" s="6" t="s">
        <v>35</v>
      </c>
      <c r="S9" s="6" t="s">
        <v>31</v>
      </c>
      <c r="T9" s="8">
        <v>4163.9799999999996</v>
      </c>
      <c r="U9" s="8">
        <v>1795.51</v>
      </c>
      <c r="V9" s="8">
        <v>1658.1</v>
      </c>
      <c r="W9" s="6">
        <v>0</v>
      </c>
      <c r="X9" s="6">
        <v>710.37</v>
      </c>
    </row>
    <row r="10" spans="1:24" ht="24.75" x14ac:dyDescent="0.25">
      <c r="A10" s="6" t="s">
        <v>25</v>
      </c>
      <c r="B10" s="6" t="s">
        <v>33</v>
      </c>
      <c r="C10" s="6" t="s">
        <v>43</v>
      </c>
      <c r="D10" s="6" t="s">
        <v>44</v>
      </c>
      <c r="E10" s="6" t="s">
        <v>42</v>
      </c>
      <c r="F10" s="6" t="s">
        <v>42</v>
      </c>
      <c r="G10" s="6">
        <v>2017</v>
      </c>
      <c r="H10" s="6" t="str">
        <f>CONCATENATE("74770196876")</f>
        <v>74770196876</v>
      </c>
      <c r="I10" s="6" t="s">
        <v>28</v>
      </c>
      <c r="J10" s="6" t="s">
        <v>34</v>
      </c>
      <c r="K10" s="6" t="str">
        <f>CONCATENATE("214")</f>
        <v>214</v>
      </c>
      <c r="L10" s="6" t="str">
        <f>CONCATENATE("11 11.2 4b")</f>
        <v>11 11.2 4b</v>
      </c>
      <c r="M10" s="6" t="str">
        <f>CONCATENATE("LLMNLN70S17H321W")</f>
        <v>LLMNLN70S17H321W</v>
      </c>
      <c r="N10" s="6" t="s">
        <v>55</v>
      </c>
      <c r="O10" s="6" t="s">
        <v>47</v>
      </c>
      <c r="P10" s="7">
        <v>43196</v>
      </c>
      <c r="Q10" s="6" t="s">
        <v>30</v>
      </c>
      <c r="R10" s="6" t="s">
        <v>35</v>
      </c>
      <c r="S10" s="6" t="s">
        <v>31</v>
      </c>
      <c r="T10" s="6">
        <v>537.99</v>
      </c>
      <c r="U10" s="6">
        <v>231.98</v>
      </c>
      <c r="V10" s="6">
        <v>214.23</v>
      </c>
      <c r="W10" s="6">
        <v>0</v>
      </c>
      <c r="X10" s="6">
        <v>91.78</v>
      </c>
    </row>
    <row r="11" spans="1:24" ht="24.75" x14ac:dyDescent="0.25">
      <c r="A11" s="6" t="s">
        <v>25</v>
      </c>
      <c r="B11" s="6" t="s">
        <v>33</v>
      </c>
      <c r="C11" s="6" t="s">
        <v>43</v>
      </c>
      <c r="D11" s="6" t="s">
        <v>44</v>
      </c>
      <c r="E11" s="6" t="s">
        <v>40</v>
      </c>
      <c r="F11" s="6" t="s">
        <v>45</v>
      </c>
      <c r="G11" s="6">
        <v>2017</v>
      </c>
      <c r="H11" s="6" t="str">
        <f>CONCATENATE("74770195753")</f>
        <v>74770195753</v>
      </c>
      <c r="I11" s="6" t="s">
        <v>28</v>
      </c>
      <c r="J11" s="6" t="s">
        <v>34</v>
      </c>
      <c r="K11" s="6" t="str">
        <f>CONCATENATE("214")</f>
        <v>214</v>
      </c>
      <c r="L11" s="6" t="str">
        <f>CONCATENATE("11 11.1 4b")</f>
        <v>11 11.1 4b</v>
      </c>
      <c r="M11" s="6" t="str">
        <f>CONCATENATE("NROMRS57R47A462Z")</f>
        <v>NROMRS57R47A462Z</v>
      </c>
      <c r="N11" s="6" t="s">
        <v>56</v>
      </c>
      <c r="O11" s="6" t="s">
        <v>47</v>
      </c>
      <c r="P11" s="7">
        <v>43196</v>
      </c>
      <c r="Q11" s="6" t="s">
        <v>30</v>
      </c>
      <c r="R11" s="6" t="s">
        <v>35</v>
      </c>
      <c r="S11" s="6" t="s">
        <v>31</v>
      </c>
      <c r="T11" s="6">
        <v>489.1</v>
      </c>
      <c r="U11" s="6">
        <v>210.9</v>
      </c>
      <c r="V11" s="6">
        <v>194.76</v>
      </c>
      <c r="W11" s="6">
        <v>0</v>
      </c>
      <c r="X11" s="6">
        <v>83.44</v>
      </c>
    </row>
    <row r="12" spans="1:24" ht="24.75" x14ac:dyDescent="0.25">
      <c r="A12" s="6" t="s">
        <v>25</v>
      </c>
      <c r="B12" s="6" t="s">
        <v>33</v>
      </c>
      <c r="C12" s="6" t="s">
        <v>43</v>
      </c>
      <c r="D12" s="6" t="s">
        <v>44</v>
      </c>
      <c r="E12" s="6" t="s">
        <v>27</v>
      </c>
      <c r="F12" s="6" t="s">
        <v>53</v>
      </c>
      <c r="G12" s="6">
        <v>2017</v>
      </c>
      <c r="H12" s="6" t="str">
        <f>CONCATENATE("74770270085")</f>
        <v>74770270085</v>
      </c>
      <c r="I12" s="6" t="s">
        <v>28</v>
      </c>
      <c r="J12" s="6" t="s">
        <v>34</v>
      </c>
      <c r="K12" s="6" t="str">
        <f>CONCATENATE("214")</f>
        <v>214</v>
      </c>
      <c r="L12" s="6" t="str">
        <f>CONCATENATE("11 11.2 4b")</f>
        <v>11 11.2 4b</v>
      </c>
      <c r="M12" s="6" t="str">
        <f>CONCATENATE("SQCGPP72S17F205Z")</f>
        <v>SQCGPP72S17F205Z</v>
      </c>
      <c r="N12" s="6" t="s">
        <v>57</v>
      </c>
      <c r="O12" s="6" t="s">
        <v>47</v>
      </c>
      <c r="P12" s="7">
        <v>43196</v>
      </c>
      <c r="Q12" s="6" t="s">
        <v>30</v>
      </c>
      <c r="R12" s="6" t="s">
        <v>35</v>
      </c>
      <c r="S12" s="6" t="s">
        <v>31</v>
      </c>
      <c r="T12" s="6">
        <v>216.31</v>
      </c>
      <c r="U12" s="6">
        <v>93.27</v>
      </c>
      <c r="V12" s="6">
        <v>86.13</v>
      </c>
      <c r="W12" s="6">
        <v>0</v>
      </c>
      <c r="X12" s="6">
        <v>36.909999999999997</v>
      </c>
    </row>
    <row r="13" spans="1:24" ht="24.75" x14ac:dyDescent="0.25">
      <c r="A13" s="6" t="s">
        <v>25</v>
      </c>
      <c r="B13" s="6" t="s">
        <v>33</v>
      </c>
      <c r="C13" s="6" t="s">
        <v>43</v>
      </c>
      <c r="D13" s="6" t="s">
        <v>58</v>
      </c>
      <c r="E13" s="6" t="s">
        <v>41</v>
      </c>
      <c r="F13" s="6" t="s">
        <v>59</v>
      </c>
      <c r="G13" s="6">
        <v>2017</v>
      </c>
      <c r="H13" s="6" t="str">
        <f>CONCATENATE("74770185861")</f>
        <v>74770185861</v>
      </c>
      <c r="I13" s="6" t="s">
        <v>28</v>
      </c>
      <c r="J13" s="6" t="s">
        <v>34</v>
      </c>
      <c r="K13" s="6" t="str">
        <f>CONCATENATE("214")</f>
        <v>214</v>
      </c>
      <c r="L13" s="6" t="str">
        <f>CONCATENATE("11 11.2 4b")</f>
        <v>11 11.2 4b</v>
      </c>
      <c r="M13" s="6" t="str">
        <f>CONCATENATE("CRLNDR70M17G479D")</f>
        <v>CRLNDR70M17G479D</v>
      </c>
      <c r="N13" s="6" t="s">
        <v>60</v>
      </c>
      <c r="O13" s="6" t="s">
        <v>47</v>
      </c>
      <c r="P13" s="7">
        <v>43196</v>
      </c>
      <c r="Q13" s="6" t="s">
        <v>30</v>
      </c>
      <c r="R13" s="6" t="s">
        <v>35</v>
      </c>
      <c r="S13" s="6" t="s">
        <v>31</v>
      </c>
      <c r="T13" s="6">
        <v>106.81</v>
      </c>
      <c r="U13" s="6">
        <v>46.06</v>
      </c>
      <c r="V13" s="6">
        <v>42.53</v>
      </c>
      <c r="W13" s="6">
        <v>0</v>
      </c>
      <c r="X13" s="6">
        <v>18.22</v>
      </c>
    </row>
    <row r="14" spans="1:24" ht="24.75" x14ac:dyDescent="0.25">
      <c r="A14" s="6" t="s">
        <v>25</v>
      </c>
      <c r="B14" s="6" t="s">
        <v>33</v>
      </c>
      <c r="C14" s="6" t="s">
        <v>43</v>
      </c>
      <c r="D14" s="6" t="s">
        <v>44</v>
      </c>
      <c r="E14" s="6" t="s">
        <v>38</v>
      </c>
      <c r="F14" s="6" t="s">
        <v>39</v>
      </c>
      <c r="G14" s="6">
        <v>2017</v>
      </c>
      <c r="H14" s="6" t="str">
        <f>CONCATENATE("74770048291")</f>
        <v>74770048291</v>
      </c>
      <c r="I14" s="6" t="s">
        <v>28</v>
      </c>
      <c r="J14" s="6" t="s">
        <v>34</v>
      </c>
      <c r="K14" s="6" t="str">
        <f>CONCATENATE("214")</f>
        <v>214</v>
      </c>
      <c r="L14" s="6" t="str">
        <f>CONCATENATE("11 11.2 4b")</f>
        <v>11 11.2 4b</v>
      </c>
      <c r="M14" s="6" t="str">
        <f>CONCATENATE("FRTRCL57R20C877X")</f>
        <v>FRTRCL57R20C877X</v>
      </c>
      <c r="N14" s="6" t="s">
        <v>61</v>
      </c>
      <c r="O14" s="6" t="s">
        <v>47</v>
      </c>
      <c r="P14" s="7">
        <v>43196</v>
      </c>
      <c r="Q14" s="6" t="s">
        <v>30</v>
      </c>
      <c r="R14" s="6" t="s">
        <v>35</v>
      </c>
      <c r="S14" s="6" t="s">
        <v>31</v>
      </c>
      <c r="T14" s="6">
        <v>243.59</v>
      </c>
      <c r="U14" s="6">
        <v>105.04</v>
      </c>
      <c r="V14" s="6">
        <v>97</v>
      </c>
      <c r="W14" s="6">
        <v>0</v>
      </c>
      <c r="X14" s="6">
        <v>41.55</v>
      </c>
    </row>
    <row r="15" spans="1:24" ht="24.75" x14ac:dyDescent="0.25">
      <c r="A15" s="6" t="s">
        <v>25</v>
      </c>
      <c r="B15" s="6" t="s">
        <v>33</v>
      </c>
      <c r="C15" s="6" t="s">
        <v>43</v>
      </c>
      <c r="D15" s="6" t="s">
        <v>58</v>
      </c>
      <c r="E15" s="6" t="s">
        <v>40</v>
      </c>
      <c r="F15" s="6" t="s">
        <v>62</v>
      </c>
      <c r="G15" s="6">
        <v>2017</v>
      </c>
      <c r="H15" s="6" t="str">
        <f>CONCATENATE("74770290539")</f>
        <v>74770290539</v>
      </c>
      <c r="I15" s="6" t="s">
        <v>28</v>
      </c>
      <c r="J15" s="6" t="s">
        <v>34</v>
      </c>
      <c r="K15" s="6" t="str">
        <f>CONCATENATE("214")</f>
        <v>214</v>
      </c>
      <c r="L15" s="6" t="str">
        <f>CONCATENATE("11 11.1 4b")</f>
        <v>11 11.1 4b</v>
      </c>
      <c r="M15" s="6" t="str">
        <f>CONCATENATE("02090800414")</f>
        <v>02090800414</v>
      </c>
      <c r="N15" s="6" t="s">
        <v>63</v>
      </c>
      <c r="O15" s="6" t="s">
        <v>47</v>
      </c>
      <c r="P15" s="7">
        <v>43196</v>
      </c>
      <c r="Q15" s="6" t="s">
        <v>30</v>
      </c>
      <c r="R15" s="6" t="s">
        <v>35</v>
      </c>
      <c r="S15" s="6" t="s">
        <v>31</v>
      </c>
      <c r="T15" s="8">
        <v>1210.26</v>
      </c>
      <c r="U15" s="6">
        <v>521.86</v>
      </c>
      <c r="V15" s="6">
        <v>481.93</v>
      </c>
      <c r="W15" s="6">
        <v>0</v>
      </c>
      <c r="X15" s="6">
        <v>206.47</v>
      </c>
    </row>
    <row r="16" spans="1:24" x14ac:dyDescent="0.25">
      <c r="A16" s="6" t="s">
        <v>25</v>
      </c>
      <c r="B16" s="6" t="s">
        <v>26</v>
      </c>
      <c r="C16" s="6" t="s">
        <v>43</v>
      </c>
      <c r="D16" s="6" t="s">
        <v>64</v>
      </c>
      <c r="E16" s="6" t="s">
        <v>42</v>
      </c>
      <c r="F16" s="6" t="s">
        <v>42</v>
      </c>
      <c r="G16" s="6">
        <v>2018</v>
      </c>
      <c r="H16" s="6" t="str">
        <f>CONCATENATE("84758387868")</f>
        <v>84758387868</v>
      </c>
      <c r="I16" s="6" t="s">
        <v>37</v>
      </c>
      <c r="J16" s="6" t="s">
        <v>34</v>
      </c>
      <c r="K16" s="6" t="str">
        <f>CONCATENATE("321")</f>
        <v>321</v>
      </c>
      <c r="L16" s="6" t="str">
        <f>CONCATENATE("7 7.4 6a")</f>
        <v>7 7.4 6a</v>
      </c>
      <c r="M16" s="6" t="str">
        <f>CONCATENATE("01874180431")</f>
        <v>01874180431</v>
      </c>
      <c r="N16" s="6" t="s">
        <v>65</v>
      </c>
      <c r="O16" s="6" t="s">
        <v>66</v>
      </c>
      <c r="P16" s="7">
        <v>43193</v>
      </c>
      <c r="Q16" s="6" t="s">
        <v>30</v>
      </c>
      <c r="R16" s="6" t="s">
        <v>35</v>
      </c>
      <c r="S16" s="6" t="s">
        <v>31</v>
      </c>
      <c r="T16" s="8">
        <v>128232</v>
      </c>
      <c r="U16" s="8">
        <v>55293.64</v>
      </c>
      <c r="V16" s="8">
        <v>51061.98</v>
      </c>
      <c r="W16" s="6">
        <v>0</v>
      </c>
      <c r="X16" s="8">
        <v>21876.38</v>
      </c>
    </row>
    <row r="17" spans="1:24" ht="24.75" x14ac:dyDescent="0.25">
      <c r="A17" s="6" t="s">
        <v>25</v>
      </c>
      <c r="B17" s="6" t="s">
        <v>33</v>
      </c>
      <c r="C17" s="6" t="s">
        <v>43</v>
      </c>
      <c r="D17" s="6" t="s">
        <v>58</v>
      </c>
      <c r="E17" s="6" t="s">
        <v>42</v>
      </c>
      <c r="F17" s="6" t="s">
        <v>42</v>
      </c>
      <c r="G17" s="6">
        <v>2017</v>
      </c>
      <c r="H17" s="6" t="str">
        <f>CONCATENATE("74770272552")</f>
        <v>74770272552</v>
      </c>
      <c r="I17" s="6" t="s">
        <v>28</v>
      </c>
      <c r="J17" s="6" t="s">
        <v>34</v>
      </c>
      <c r="K17" s="6" t="str">
        <f>CONCATENATE("214")</f>
        <v>214</v>
      </c>
      <c r="L17" s="6" t="str">
        <f>CONCATENATE("11 11.2 4b")</f>
        <v>11 11.2 4b</v>
      </c>
      <c r="M17" s="6" t="str">
        <f>CONCATENATE("01307920411")</f>
        <v>01307920411</v>
      </c>
      <c r="N17" s="6" t="s">
        <v>67</v>
      </c>
      <c r="O17" s="6" t="s">
        <v>47</v>
      </c>
      <c r="P17" s="7">
        <v>43196</v>
      </c>
      <c r="Q17" s="6" t="s">
        <v>30</v>
      </c>
      <c r="R17" s="6" t="s">
        <v>35</v>
      </c>
      <c r="S17" s="6" t="s">
        <v>31</v>
      </c>
      <c r="T17" s="8">
        <v>4734.66</v>
      </c>
      <c r="U17" s="8">
        <v>2041.59</v>
      </c>
      <c r="V17" s="8">
        <v>1885.34</v>
      </c>
      <c r="W17" s="6">
        <v>0</v>
      </c>
      <c r="X17" s="6">
        <v>807.73</v>
      </c>
    </row>
    <row r="18" spans="1:24" ht="24.75" x14ac:dyDescent="0.25">
      <c r="A18" s="6" t="s">
        <v>25</v>
      </c>
      <c r="B18" s="6" t="s">
        <v>33</v>
      </c>
      <c r="C18" s="6" t="s">
        <v>43</v>
      </c>
      <c r="D18" s="6" t="s">
        <v>44</v>
      </c>
      <c r="E18" s="6" t="s">
        <v>36</v>
      </c>
      <c r="F18" s="6" t="s">
        <v>68</v>
      </c>
      <c r="G18" s="6">
        <v>2017</v>
      </c>
      <c r="H18" s="6" t="str">
        <f>CONCATENATE("74770048176")</f>
        <v>74770048176</v>
      </c>
      <c r="I18" s="6" t="s">
        <v>28</v>
      </c>
      <c r="J18" s="6" t="s">
        <v>34</v>
      </c>
      <c r="K18" s="6" t="str">
        <f>CONCATENATE("214")</f>
        <v>214</v>
      </c>
      <c r="L18" s="6" t="str">
        <f>CONCATENATE("11 11.2 4b")</f>
        <v>11 11.2 4b</v>
      </c>
      <c r="M18" s="6" t="str">
        <f>CONCATENATE("DSNMDE51D08L728B")</f>
        <v>DSNMDE51D08L728B</v>
      </c>
      <c r="N18" s="6" t="s">
        <v>69</v>
      </c>
      <c r="O18" s="6" t="s">
        <v>47</v>
      </c>
      <c r="P18" s="7">
        <v>43196</v>
      </c>
      <c r="Q18" s="6" t="s">
        <v>30</v>
      </c>
      <c r="R18" s="6" t="s">
        <v>35</v>
      </c>
      <c r="S18" s="6" t="s">
        <v>31</v>
      </c>
      <c r="T18" s="8">
        <v>1485.05</v>
      </c>
      <c r="U18" s="6">
        <v>640.35</v>
      </c>
      <c r="V18" s="6">
        <v>591.35</v>
      </c>
      <c r="W18" s="6">
        <v>0</v>
      </c>
      <c r="X18" s="6">
        <v>253.35</v>
      </c>
    </row>
    <row r="19" spans="1:24" ht="24.75" x14ac:dyDescent="0.25">
      <c r="A19" s="6" t="s">
        <v>25</v>
      </c>
      <c r="B19" s="6" t="s">
        <v>33</v>
      </c>
      <c r="C19" s="6" t="s">
        <v>43</v>
      </c>
      <c r="D19" s="6" t="s">
        <v>44</v>
      </c>
      <c r="E19" s="6" t="s">
        <v>42</v>
      </c>
      <c r="F19" s="6" t="s">
        <v>42</v>
      </c>
      <c r="G19" s="6">
        <v>2017</v>
      </c>
      <c r="H19" s="6" t="str">
        <f>CONCATENATE("74770101827")</f>
        <v>74770101827</v>
      </c>
      <c r="I19" s="6" t="s">
        <v>28</v>
      </c>
      <c r="J19" s="6" t="s">
        <v>34</v>
      </c>
      <c r="K19" s="6" t="str">
        <f>CONCATENATE("214")</f>
        <v>214</v>
      </c>
      <c r="L19" s="6" t="str">
        <f>CONCATENATE("11 11.2 4b")</f>
        <v>11 11.2 4b</v>
      </c>
      <c r="M19" s="6" t="str">
        <f>CONCATENATE("CRCGDU28P07H321F")</f>
        <v>CRCGDU28P07H321F</v>
      </c>
      <c r="N19" s="6" t="s">
        <v>70</v>
      </c>
      <c r="O19" s="6" t="s">
        <v>47</v>
      </c>
      <c r="P19" s="7">
        <v>43196</v>
      </c>
      <c r="Q19" s="6" t="s">
        <v>30</v>
      </c>
      <c r="R19" s="6" t="s">
        <v>35</v>
      </c>
      <c r="S19" s="6" t="s">
        <v>31</v>
      </c>
      <c r="T19" s="6">
        <v>92.93</v>
      </c>
      <c r="U19" s="6">
        <v>40.07</v>
      </c>
      <c r="V19" s="6">
        <v>37</v>
      </c>
      <c r="W19" s="6">
        <v>0</v>
      </c>
      <c r="X19" s="6">
        <v>15.86</v>
      </c>
    </row>
    <row r="20" spans="1:24" ht="24.75" x14ac:dyDescent="0.25">
      <c r="A20" s="6" t="s">
        <v>25</v>
      </c>
      <c r="B20" s="6" t="s">
        <v>33</v>
      </c>
      <c r="C20" s="6" t="s">
        <v>43</v>
      </c>
      <c r="D20" s="6" t="s">
        <v>44</v>
      </c>
      <c r="E20" s="6" t="s">
        <v>42</v>
      </c>
      <c r="F20" s="6" t="s">
        <v>42</v>
      </c>
      <c r="G20" s="6">
        <v>2017</v>
      </c>
      <c r="H20" s="6" t="str">
        <f>CONCATENATE("74770173768")</f>
        <v>74770173768</v>
      </c>
      <c r="I20" s="6" t="s">
        <v>28</v>
      </c>
      <c r="J20" s="6" t="s">
        <v>34</v>
      </c>
      <c r="K20" s="6" t="str">
        <f>CONCATENATE("214")</f>
        <v>214</v>
      </c>
      <c r="L20" s="6" t="str">
        <f>CONCATENATE("11 11.2 4b")</f>
        <v>11 11.2 4b</v>
      </c>
      <c r="M20" s="6" t="str">
        <f>CONCATENATE("DNCSVN56T23G005Y")</f>
        <v>DNCSVN56T23G005Y</v>
      </c>
      <c r="N20" s="6" t="s">
        <v>71</v>
      </c>
      <c r="O20" s="6" t="s">
        <v>47</v>
      </c>
      <c r="P20" s="7">
        <v>43196</v>
      </c>
      <c r="Q20" s="6" t="s">
        <v>30</v>
      </c>
      <c r="R20" s="6" t="s">
        <v>35</v>
      </c>
      <c r="S20" s="6" t="s">
        <v>31</v>
      </c>
      <c r="T20" s="6">
        <v>202.62</v>
      </c>
      <c r="U20" s="6">
        <v>87.37</v>
      </c>
      <c r="V20" s="6">
        <v>80.680000000000007</v>
      </c>
      <c r="W20" s="6">
        <v>0</v>
      </c>
      <c r="X20" s="6">
        <v>34.57</v>
      </c>
    </row>
    <row r="21" spans="1:24" ht="24.75" x14ac:dyDescent="0.25">
      <c r="A21" s="6" t="s">
        <v>25</v>
      </c>
      <c r="B21" s="6" t="s">
        <v>33</v>
      </c>
      <c r="C21" s="6" t="s">
        <v>43</v>
      </c>
      <c r="D21" s="6" t="s">
        <v>44</v>
      </c>
      <c r="E21" s="6" t="s">
        <v>27</v>
      </c>
      <c r="F21" s="6" t="s">
        <v>72</v>
      </c>
      <c r="G21" s="6">
        <v>2017</v>
      </c>
      <c r="H21" s="6" t="str">
        <f>CONCATENATE("74770070873")</f>
        <v>74770070873</v>
      </c>
      <c r="I21" s="6" t="s">
        <v>28</v>
      </c>
      <c r="J21" s="6" t="s">
        <v>34</v>
      </c>
      <c r="K21" s="6" t="str">
        <f>CONCATENATE("214")</f>
        <v>214</v>
      </c>
      <c r="L21" s="6" t="str">
        <f>CONCATENATE("11 11.2 4b")</f>
        <v>11 11.2 4b</v>
      </c>
      <c r="M21" s="6" t="str">
        <f>CONCATENATE("BLLFBA73P10I315W")</f>
        <v>BLLFBA73P10I315W</v>
      </c>
      <c r="N21" s="6" t="s">
        <v>73</v>
      </c>
      <c r="O21" s="6" t="s">
        <v>47</v>
      </c>
      <c r="P21" s="7">
        <v>43196</v>
      </c>
      <c r="Q21" s="6" t="s">
        <v>30</v>
      </c>
      <c r="R21" s="6" t="s">
        <v>35</v>
      </c>
      <c r="S21" s="6" t="s">
        <v>31</v>
      </c>
      <c r="T21" s="6">
        <v>414.06</v>
      </c>
      <c r="U21" s="6">
        <v>178.54</v>
      </c>
      <c r="V21" s="6">
        <v>164.88</v>
      </c>
      <c r="W21" s="6">
        <v>0</v>
      </c>
      <c r="X21" s="6">
        <v>70.64</v>
      </c>
    </row>
    <row r="22" spans="1:24" ht="24.75" x14ac:dyDescent="0.25">
      <c r="A22" s="6" t="s">
        <v>25</v>
      </c>
      <c r="B22" s="6" t="s">
        <v>33</v>
      </c>
      <c r="C22" s="6" t="s">
        <v>43</v>
      </c>
      <c r="D22" s="6" t="s">
        <v>44</v>
      </c>
      <c r="E22" s="6" t="s">
        <v>32</v>
      </c>
      <c r="F22" s="6" t="s">
        <v>74</v>
      </c>
      <c r="G22" s="6">
        <v>2017</v>
      </c>
      <c r="H22" s="6" t="str">
        <f>CONCATENATE("74770198856")</f>
        <v>74770198856</v>
      </c>
      <c r="I22" s="6" t="s">
        <v>28</v>
      </c>
      <c r="J22" s="6" t="s">
        <v>34</v>
      </c>
      <c r="K22" s="6" t="str">
        <f>CONCATENATE("214")</f>
        <v>214</v>
      </c>
      <c r="L22" s="6" t="str">
        <f>CONCATENATE("11 11.2 4b")</f>
        <v>11 11.2 4b</v>
      </c>
      <c r="M22" s="6" t="str">
        <f>CONCATENATE("DFLCLD83L07H769P")</f>
        <v>DFLCLD83L07H769P</v>
      </c>
      <c r="N22" s="6" t="s">
        <v>75</v>
      </c>
      <c r="O22" s="6" t="s">
        <v>47</v>
      </c>
      <c r="P22" s="7">
        <v>43196</v>
      </c>
      <c r="Q22" s="6" t="s">
        <v>30</v>
      </c>
      <c r="R22" s="6" t="s">
        <v>35</v>
      </c>
      <c r="S22" s="6" t="s">
        <v>31</v>
      </c>
      <c r="T22" s="6">
        <v>255.92</v>
      </c>
      <c r="U22" s="6">
        <v>110.35</v>
      </c>
      <c r="V22" s="6">
        <v>101.91</v>
      </c>
      <c r="W22" s="6">
        <v>0</v>
      </c>
      <c r="X22" s="6">
        <v>43.66</v>
      </c>
    </row>
    <row r="23" spans="1:24" ht="24.75" x14ac:dyDescent="0.25">
      <c r="A23" s="6" t="s">
        <v>25</v>
      </c>
      <c r="B23" s="6" t="s">
        <v>33</v>
      </c>
      <c r="C23" s="6" t="s">
        <v>43</v>
      </c>
      <c r="D23" s="6" t="s">
        <v>44</v>
      </c>
      <c r="E23" s="6" t="s">
        <v>36</v>
      </c>
      <c r="F23" s="6" t="s">
        <v>68</v>
      </c>
      <c r="G23" s="6">
        <v>2017</v>
      </c>
      <c r="H23" s="6" t="str">
        <f>CONCATENATE("74770074420")</f>
        <v>74770074420</v>
      </c>
      <c r="I23" s="6" t="s">
        <v>28</v>
      </c>
      <c r="J23" s="6" t="s">
        <v>34</v>
      </c>
      <c r="K23" s="6" t="str">
        <f>CONCATENATE("214")</f>
        <v>214</v>
      </c>
      <c r="L23" s="6" t="str">
        <f>CONCATENATE("11 11.2 4b")</f>
        <v>11 11.2 4b</v>
      </c>
      <c r="M23" s="6" t="str">
        <f>CONCATENATE("DVTGTN58T02C781M")</f>
        <v>DVTGTN58T02C781M</v>
      </c>
      <c r="N23" s="6" t="s">
        <v>76</v>
      </c>
      <c r="O23" s="6" t="s">
        <v>47</v>
      </c>
      <c r="P23" s="7">
        <v>43196</v>
      </c>
      <c r="Q23" s="6" t="s">
        <v>30</v>
      </c>
      <c r="R23" s="6" t="s">
        <v>35</v>
      </c>
      <c r="S23" s="6" t="s">
        <v>31</v>
      </c>
      <c r="T23" s="6">
        <v>652.16</v>
      </c>
      <c r="U23" s="6">
        <v>281.20999999999998</v>
      </c>
      <c r="V23" s="6">
        <v>259.69</v>
      </c>
      <c r="W23" s="6">
        <v>0</v>
      </c>
      <c r="X23" s="6">
        <v>111.26</v>
      </c>
    </row>
    <row r="24" spans="1:24" ht="24.75" x14ac:dyDescent="0.25">
      <c r="A24" s="6" t="s">
        <v>25</v>
      </c>
      <c r="B24" s="6" t="s">
        <v>33</v>
      </c>
      <c r="C24" s="6" t="s">
        <v>43</v>
      </c>
      <c r="D24" s="6" t="s">
        <v>58</v>
      </c>
      <c r="E24" s="6" t="s">
        <v>32</v>
      </c>
      <c r="F24" s="6" t="s">
        <v>77</v>
      </c>
      <c r="G24" s="6">
        <v>2016</v>
      </c>
      <c r="H24" s="6" t="str">
        <f>CONCATENATE("64211008079")</f>
        <v>64211008079</v>
      </c>
      <c r="I24" s="6" t="s">
        <v>28</v>
      </c>
      <c r="J24" s="6" t="s">
        <v>29</v>
      </c>
      <c r="K24" s="6" t="str">
        <f>CONCATENATE("")</f>
        <v/>
      </c>
      <c r="L24" s="6" t="str">
        <f>CONCATENATE("13 13.1 4a")</f>
        <v>13 13.1 4a</v>
      </c>
      <c r="M24" s="6" t="str">
        <f>CONCATENATE("GNTGZN68H44G453I")</f>
        <v>GNTGZN68H44G453I</v>
      </c>
      <c r="N24" s="6" t="s">
        <v>78</v>
      </c>
      <c r="O24" s="6" t="s">
        <v>79</v>
      </c>
      <c r="P24" s="7">
        <v>43196</v>
      </c>
      <c r="Q24" s="6" t="s">
        <v>30</v>
      </c>
      <c r="R24" s="6" t="s">
        <v>35</v>
      </c>
      <c r="S24" s="6" t="s">
        <v>31</v>
      </c>
      <c r="T24" s="6">
        <v>17.489999999999998</v>
      </c>
      <c r="U24" s="6">
        <v>7.54</v>
      </c>
      <c r="V24" s="6">
        <v>6.96</v>
      </c>
      <c r="W24" s="6">
        <v>0</v>
      </c>
      <c r="X24" s="6">
        <v>2.99</v>
      </c>
    </row>
    <row r="25" spans="1:24" ht="24.75" x14ac:dyDescent="0.25">
      <c r="A25" s="6" t="s">
        <v>25</v>
      </c>
      <c r="B25" s="6" t="s">
        <v>33</v>
      </c>
      <c r="C25" s="6" t="s">
        <v>43</v>
      </c>
      <c r="D25" s="6" t="s">
        <v>44</v>
      </c>
      <c r="E25" s="6" t="s">
        <v>36</v>
      </c>
      <c r="F25" s="6" t="s">
        <v>80</v>
      </c>
      <c r="G25" s="6">
        <v>2016</v>
      </c>
      <c r="H25" s="6" t="str">
        <f>CONCATENATE("64210717308")</f>
        <v>64210717308</v>
      </c>
      <c r="I25" s="6" t="s">
        <v>28</v>
      </c>
      <c r="J25" s="6" t="s">
        <v>29</v>
      </c>
      <c r="K25" s="6" t="str">
        <f>CONCATENATE("")</f>
        <v/>
      </c>
      <c r="L25" s="6" t="str">
        <f>CONCATENATE("13 13.1 4a")</f>
        <v>13 13.1 4a</v>
      </c>
      <c r="M25" s="6" t="str">
        <f>CONCATENATE("BGRRRT79A41E526T")</f>
        <v>BGRRRT79A41E526T</v>
      </c>
      <c r="N25" s="6" t="s">
        <v>81</v>
      </c>
      <c r="O25" s="6" t="s">
        <v>79</v>
      </c>
      <c r="P25" s="7">
        <v>43196</v>
      </c>
      <c r="Q25" s="6" t="s">
        <v>30</v>
      </c>
      <c r="R25" s="6" t="s">
        <v>35</v>
      </c>
      <c r="S25" s="6" t="s">
        <v>31</v>
      </c>
      <c r="T25" s="6">
        <v>149.91999999999999</v>
      </c>
      <c r="U25" s="6">
        <v>64.650000000000006</v>
      </c>
      <c r="V25" s="6">
        <v>59.7</v>
      </c>
      <c r="W25" s="6">
        <v>0</v>
      </c>
      <c r="X25" s="6">
        <v>25.57</v>
      </c>
    </row>
    <row r="26" spans="1:24" ht="24.75" x14ac:dyDescent="0.25">
      <c r="A26" s="6" t="s">
        <v>25</v>
      </c>
      <c r="B26" s="6" t="s">
        <v>33</v>
      </c>
      <c r="C26" s="6" t="s">
        <v>43</v>
      </c>
      <c r="D26" s="6" t="s">
        <v>58</v>
      </c>
      <c r="E26" s="6" t="s">
        <v>36</v>
      </c>
      <c r="F26" s="6" t="s">
        <v>82</v>
      </c>
      <c r="G26" s="6">
        <v>2016</v>
      </c>
      <c r="H26" s="6" t="str">
        <f>CONCATENATE("64210964264")</f>
        <v>64210964264</v>
      </c>
      <c r="I26" s="6" t="s">
        <v>37</v>
      </c>
      <c r="J26" s="6" t="s">
        <v>29</v>
      </c>
      <c r="K26" s="6" t="str">
        <f>CONCATENATE("")</f>
        <v/>
      </c>
      <c r="L26" s="6" t="str">
        <f>CONCATENATE("13 13.1 4a")</f>
        <v>13 13.1 4a</v>
      </c>
      <c r="M26" s="6" t="str">
        <f>CONCATENATE("DNINTN41E23I459U")</f>
        <v>DNINTN41E23I459U</v>
      </c>
      <c r="N26" s="6" t="s">
        <v>83</v>
      </c>
      <c r="O26" s="6" t="s">
        <v>79</v>
      </c>
      <c r="P26" s="7">
        <v>43196</v>
      </c>
      <c r="Q26" s="6" t="s">
        <v>30</v>
      </c>
      <c r="R26" s="6" t="s">
        <v>35</v>
      </c>
      <c r="S26" s="6" t="s">
        <v>31</v>
      </c>
      <c r="T26" s="8">
        <v>3609.25</v>
      </c>
      <c r="U26" s="8">
        <v>1556.31</v>
      </c>
      <c r="V26" s="8">
        <v>1437.2</v>
      </c>
      <c r="W26" s="6">
        <v>0</v>
      </c>
      <c r="X26" s="6">
        <v>615.74</v>
      </c>
    </row>
    <row r="27" spans="1:24" x14ac:dyDescent="0.25">
      <c r="A27" s="6" t="s">
        <v>25</v>
      </c>
      <c r="B27" s="6" t="s">
        <v>33</v>
      </c>
      <c r="C27" s="6" t="s">
        <v>43</v>
      </c>
      <c r="D27" s="6" t="s">
        <v>64</v>
      </c>
      <c r="E27" s="6" t="s">
        <v>36</v>
      </c>
      <c r="F27" s="6" t="s">
        <v>84</v>
      </c>
      <c r="G27" s="6">
        <v>2016</v>
      </c>
      <c r="H27" s="6" t="str">
        <f>CONCATENATE("64211115635")</f>
        <v>64211115635</v>
      </c>
      <c r="I27" s="6" t="s">
        <v>28</v>
      </c>
      <c r="J27" s="6" t="s">
        <v>29</v>
      </c>
      <c r="K27" s="6" t="str">
        <f>CONCATENATE("")</f>
        <v/>
      </c>
      <c r="L27" s="6" t="str">
        <f>CONCATENATE("13 13.1 4a")</f>
        <v>13 13.1 4a</v>
      </c>
      <c r="M27" s="6" t="str">
        <f>CONCATENATE("CSTNTN50E30B474Z")</f>
        <v>CSTNTN50E30B474Z</v>
      </c>
      <c r="N27" s="6" t="s">
        <v>85</v>
      </c>
      <c r="O27" s="6" t="s">
        <v>79</v>
      </c>
      <c r="P27" s="7">
        <v>43196</v>
      </c>
      <c r="Q27" s="6" t="s">
        <v>30</v>
      </c>
      <c r="R27" s="6" t="s">
        <v>35</v>
      </c>
      <c r="S27" s="6" t="s">
        <v>31</v>
      </c>
      <c r="T27" s="6">
        <v>501.2</v>
      </c>
      <c r="U27" s="6">
        <v>216.12</v>
      </c>
      <c r="V27" s="6">
        <v>199.58</v>
      </c>
      <c r="W27" s="6">
        <v>0</v>
      </c>
      <c r="X27" s="6">
        <v>85.5</v>
      </c>
    </row>
    <row r="28" spans="1:24" ht="24.75" x14ac:dyDescent="0.25">
      <c r="A28" s="6" t="s">
        <v>25</v>
      </c>
      <c r="B28" s="6" t="s">
        <v>33</v>
      </c>
      <c r="C28" s="6" t="s">
        <v>43</v>
      </c>
      <c r="D28" s="6" t="s">
        <v>86</v>
      </c>
      <c r="E28" s="6" t="s">
        <v>32</v>
      </c>
      <c r="F28" s="6" t="s">
        <v>87</v>
      </c>
      <c r="G28" s="6">
        <v>2016</v>
      </c>
      <c r="H28" s="6" t="str">
        <f>CONCATENATE("64210801730")</f>
        <v>64210801730</v>
      </c>
      <c r="I28" s="6" t="s">
        <v>28</v>
      </c>
      <c r="J28" s="6" t="s">
        <v>29</v>
      </c>
      <c r="K28" s="6" t="str">
        <f>CONCATENATE("")</f>
        <v/>
      </c>
      <c r="L28" s="6" t="str">
        <f>CONCATENATE("13 13.1 4a")</f>
        <v>13 13.1 4a</v>
      </c>
      <c r="M28" s="6" t="str">
        <f>CONCATENATE("GSTSDR65H17A271A")</f>
        <v>GSTSDR65H17A271A</v>
      </c>
      <c r="N28" s="6" t="s">
        <v>88</v>
      </c>
      <c r="O28" s="6" t="s">
        <v>79</v>
      </c>
      <c r="P28" s="7">
        <v>43196</v>
      </c>
      <c r="Q28" s="6" t="s">
        <v>30</v>
      </c>
      <c r="R28" s="6" t="s">
        <v>35</v>
      </c>
      <c r="S28" s="6" t="s">
        <v>31</v>
      </c>
      <c r="T28" s="6">
        <v>553.22</v>
      </c>
      <c r="U28" s="6">
        <v>238.55</v>
      </c>
      <c r="V28" s="6">
        <v>220.29</v>
      </c>
      <c r="W28" s="6">
        <v>0</v>
      </c>
      <c r="X28" s="6">
        <v>94.38</v>
      </c>
    </row>
    <row r="29" spans="1:24" ht="24.75" x14ac:dyDescent="0.25">
      <c r="A29" s="6" t="s">
        <v>25</v>
      </c>
      <c r="B29" s="6" t="s">
        <v>33</v>
      </c>
      <c r="C29" s="6" t="s">
        <v>43</v>
      </c>
      <c r="D29" s="6" t="s">
        <v>86</v>
      </c>
      <c r="E29" s="6" t="s">
        <v>32</v>
      </c>
      <c r="F29" s="6" t="s">
        <v>89</v>
      </c>
      <c r="G29" s="6">
        <v>2016</v>
      </c>
      <c r="H29" s="6" t="str">
        <f>CONCATENATE("64210259574")</f>
        <v>64210259574</v>
      </c>
      <c r="I29" s="6" t="s">
        <v>28</v>
      </c>
      <c r="J29" s="6" t="s">
        <v>29</v>
      </c>
      <c r="K29" s="6" t="str">
        <f>CONCATENATE("")</f>
        <v/>
      </c>
      <c r="L29" s="6" t="str">
        <f>CONCATENATE("13 13.1 4a")</f>
        <v>13 13.1 4a</v>
      </c>
      <c r="M29" s="6" t="str">
        <f>CONCATENATE("CLONLS51S46C524D")</f>
        <v>CLONLS51S46C524D</v>
      </c>
      <c r="N29" s="6" t="s">
        <v>90</v>
      </c>
      <c r="O29" s="6" t="s">
        <v>79</v>
      </c>
      <c r="P29" s="7">
        <v>43196</v>
      </c>
      <c r="Q29" s="6" t="s">
        <v>30</v>
      </c>
      <c r="R29" s="6" t="s">
        <v>35</v>
      </c>
      <c r="S29" s="6" t="s">
        <v>31</v>
      </c>
      <c r="T29" s="6">
        <v>291.22000000000003</v>
      </c>
      <c r="U29" s="6">
        <v>125.57</v>
      </c>
      <c r="V29" s="6">
        <v>115.96</v>
      </c>
      <c r="W29" s="6">
        <v>0</v>
      </c>
      <c r="X29" s="6">
        <v>49.69</v>
      </c>
    </row>
    <row r="30" spans="1:24" ht="24.75" x14ac:dyDescent="0.25">
      <c r="A30" s="6" t="s">
        <v>25</v>
      </c>
      <c r="B30" s="6" t="s">
        <v>33</v>
      </c>
      <c r="C30" s="6" t="s">
        <v>43</v>
      </c>
      <c r="D30" s="6" t="s">
        <v>86</v>
      </c>
      <c r="E30" s="6" t="s">
        <v>32</v>
      </c>
      <c r="F30" s="6" t="s">
        <v>87</v>
      </c>
      <c r="G30" s="6">
        <v>2016</v>
      </c>
      <c r="H30" s="6" t="str">
        <f>CONCATENATE("64210082034")</f>
        <v>64210082034</v>
      </c>
      <c r="I30" s="6" t="s">
        <v>28</v>
      </c>
      <c r="J30" s="6" t="s">
        <v>29</v>
      </c>
      <c r="K30" s="6" t="str">
        <f>CONCATENATE("")</f>
        <v/>
      </c>
      <c r="L30" s="6" t="str">
        <f>CONCATENATE("13 13.1 4a")</f>
        <v>13 13.1 4a</v>
      </c>
      <c r="M30" s="6" t="str">
        <f>CONCATENATE("BLRFNC50B16D965O")</f>
        <v>BLRFNC50B16D965O</v>
      </c>
      <c r="N30" s="6" t="s">
        <v>91</v>
      </c>
      <c r="O30" s="6" t="s">
        <v>79</v>
      </c>
      <c r="P30" s="7">
        <v>43196</v>
      </c>
      <c r="Q30" s="6" t="s">
        <v>30</v>
      </c>
      <c r="R30" s="6" t="s">
        <v>35</v>
      </c>
      <c r="S30" s="6" t="s">
        <v>31</v>
      </c>
      <c r="T30" s="6">
        <v>748.61</v>
      </c>
      <c r="U30" s="6">
        <v>322.8</v>
      </c>
      <c r="V30" s="6">
        <v>298.10000000000002</v>
      </c>
      <c r="W30" s="6">
        <v>0</v>
      </c>
      <c r="X30" s="6">
        <v>127.71</v>
      </c>
    </row>
    <row r="31" spans="1:24" ht="24.75" x14ac:dyDescent="0.25">
      <c r="A31" s="6" t="s">
        <v>25</v>
      </c>
      <c r="B31" s="6" t="s">
        <v>33</v>
      </c>
      <c r="C31" s="6" t="s">
        <v>43</v>
      </c>
      <c r="D31" s="6" t="s">
        <v>86</v>
      </c>
      <c r="E31" s="6" t="s">
        <v>32</v>
      </c>
      <c r="F31" s="6" t="s">
        <v>87</v>
      </c>
      <c r="G31" s="6">
        <v>2016</v>
      </c>
      <c r="H31" s="6" t="str">
        <f>CONCATENATE("64210802175")</f>
        <v>64210802175</v>
      </c>
      <c r="I31" s="6" t="s">
        <v>28</v>
      </c>
      <c r="J31" s="6" t="s">
        <v>29</v>
      </c>
      <c r="K31" s="6" t="str">
        <f>CONCATENATE("")</f>
        <v/>
      </c>
      <c r="L31" s="6" t="str">
        <f>CONCATENATE("13 13.1 4a")</f>
        <v>13 13.1 4a</v>
      </c>
      <c r="M31" s="6" t="str">
        <f>CONCATENATE("LSSSFN83T26D451S")</f>
        <v>LSSSFN83T26D451S</v>
      </c>
      <c r="N31" s="6" t="s">
        <v>92</v>
      </c>
      <c r="O31" s="6" t="s">
        <v>79</v>
      </c>
      <c r="P31" s="7">
        <v>43196</v>
      </c>
      <c r="Q31" s="6" t="s">
        <v>30</v>
      </c>
      <c r="R31" s="6" t="s">
        <v>35</v>
      </c>
      <c r="S31" s="6" t="s">
        <v>31</v>
      </c>
      <c r="T31" s="8">
        <v>2172.6799999999998</v>
      </c>
      <c r="U31" s="6">
        <v>936.86</v>
      </c>
      <c r="V31" s="6">
        <v>865.16</v>
      </c>
      <c r="W31" s="6">
        <v>0</v>
      </c>
      <c r="X31" s="6">
        <v>370.66</v>
      </c>
    </row>
    <row r="32" spans="1:24" ht="24.75" x14ac:dyDescent="0.25">
      <c r="A32" s="6" t="s">
        <v>25</v>
      </c>
      <c r="B32" s="6" t="s">
        <v>33</v>
      </c>
      <c r="C32" s="6" t="s">
        <v>43</v>
      </c>
      <c r="D32" s="6" t="s">
        <v>58</v>
      </c>
      <c r="E32" s="6" t="s">
        <v>40</v>
      </c>
      <c r="F32" s="6" t="s">
        <v>62</v>
      </c>
      <c r="G32" s="6">
        <v>2017</v>
      </c>
      <c r="H32" s="6" t="str">
        <f>CONCATENATE("74210919895")</f>
        <v>74210919895</v>
      </c>
      <c r="I32" s="6" t="s">
        <v>28</v>
      </c>
      <c r="J32" s="6" t="s">
        <v>29</v>
      </c>
      <c r="K32" s="6" t="str">
        <f>CONCATENATE("")</f>
        <v/>
      </c>
      <c r="L32" s="6" t="str">
        <f>CONCATENATE("13 13.1 4a")</f>
        <v>13 13.1 4a</v>
      </c>
      <c r="M32" s="6" t="str">
        <f>CONCATENATE("FLPRNG33H16D809A")</f>
        <v>FLPRNG33H16D809A</v>
      </c>
      <c r="N32" s="6" t="s">
        <v>93</v>
      </c>
      <c r="O32" s="6" t="s">
        <v>79</v>
      </c>
      <c r="P32" s="7">
        <v>43196</v>
      </c>
      <c r="Q32" s="6" t="s">
        <v>30</v>
      </c>
      <c r="R32" s="6" t="s">
        <v>35</v>
      </c>
      <c r="S32" s="6" t="s">
        <v>31</v>
      </c>
      <c r="T32" s="8">
        <v>5400</v>
      </c>
      <c r="U32" s="8">
        <v>2328.48</v>
      </c>
      <c r="V32" s="8">
        <v>2150.2800000000002</v>
      </c>
      <c r="W32" s="6">
        <v>0</v>
      </c>
      <c r="X32" s="6">
        <v>921.24</v>
      </c>
    </row>
    <row r="33" spans="1:24" ht="24.75" x14ac:dyDescent="0.25">
      <c r="A33" s="6" t="s">
        <v>25</v>
      </c>
      <c r="B33" s="6" t="s">
        <v>33</v>
      </c>
      <c r="C33" s="6" t="s">
        <v>43</v>
      </c>
      <c r="D33" s="6" t="s">
        <v>86</v>
      </c>
      <c r="E33" s="6" t="s">
        <v>27</v>
      </c>
      <c r="F33" s="6" t="s">
        <v>94</v>
      </c>
      <c r="G33" s="6">
        <v>2016</v>
      </c>
      <c r="H33" s="6" t="str">
        <f>CONCATENATE("64210338386")</f>
        <v>64210338386</v>
      </c>
      <c r="I33" s="6" t="s">
        <v>28</v>
      </c>
      <c r="J33" s="6" t="s">
        <v>29</v>
      </c>
      <c r="K33" s="6" t="str">
        <f>CONCATENATE("")</f>
        <v/>
      </c>
      <c r="L33" s="6" t="str">
        <f>CONCATENATE("13 13.1 4a")</f>
        <v>13 13.1 4a</v>
      </c>
      <c r="M33" s="6" t="str">
        <f>CONCATENATE("SRGMRN69H10Z103W")</f>
        <v>SRGMRN69H10Z103W</v>
      </c>
      <c r="N33" s="6" t="s">
        <v>95</v>
      </c>
      <c r="O33" s="6" t="s">
        <v>79</v>
      </c>
      <c r="P33" s="7">
        <v>43196</v>
      </c>
      <c r="Q33" s="6" t="s">
        <v>30</v>
      </c>
      <c r="R33" s="6" t="s">
        <v>35</v>
      </c>
      <c r="S33" s="6" t="s">
        <v>31</v>
      </c>
      <c r="T33" s="6">
        <v>581.87</v>
      </c>
      <c r="U33" s="6">
        <v>250.9</v>
      </c>
      <c r="V33" s="6">
        <v>231.7</v>
      </c>
      <c r="W33" s="6">
        <v>0</v>
      </c>
      <c r="X33" s="6">
        <v>99.27</v>
      </c>
    </row>
    <row r="34" spans="1:24" ht="24.75" x14ac:dyDescent="0.25">
      <c r="A34" s="6" t="s">
        <v>25</v>
      </c>
      <c r="B34" s="6" t="s">
        <v>33</v>
      </c>
      <c r="C34" s="6" t="s">
        <v>43</v>
      </c>
      <c r="D34" s="6" t="s">
        <v>44</v>
      </c>
      <c r="E34" s="6" t="s">
        <v>41</v>
      </c>
      <c r="F34" s="6" t="s">
        <v>96</v>
      </c>
      <c r="G34" s="6">
        <v>2016</v>
      </c>
      <c r="H34" s="6" t="str">
        <f>CONCATENATE("64240292447")</f>
        <v>64240292447</v>
      </c>
      <c r="I34" s="6" t="s">
        <v>28</v>
      </c>
      <c r="J34" s="6" t="s">
        <v>29</v>
      </c>
      <c r="K34" s="6" t="str">
        <f>CONCATENATE("")</f>
        <v/>
      </c>
      <c r="L34" s="6" t="str">
        <f>CONCATENATE("11 11.2 4b")</f>
        <v>11 11.2 4b</v>
      </c>
      <c r="M34" s="6" t="str">
        <f>CONCATENATE("SMPLNE74M47H769R")</f>
        <v>SMPLNE74M47H769R</v>
      </c>
      <c r="N34" s="6" t="s">
        <v>97</v>
      </c>
      <c r="O34" s="6" t="s">
        <v>98</v>
      </c>
      <c r="P34" s="7">
        <v>43196</v>
      </c>
      <c r="Q34" s="6" t="s">
        <v>30</v>
      </c>
      <c r="R34" s="6" t="s">
        <v>35</v>
      </c>
      <c r="S34" s="6" t="s">
        <v>31</v>
      </c>
      <c r="T34" s="8">
        <v>8935.25</v>
      </c>
      <c r="U34" s="8">
        <v>3852.88</v>
      </c>
      <c r="V34" s="8">
        <v>3558.02</v>
      </c>
      <c r="W34" s="6">
        <v>0</v>
      </c>
      <c r="X34" s="8">
        <v>1524.35</v>
      </c>
    </row>
    <row r="35" spans="1:24" ht="24.75" x14ac:dyDescent="0.25">
      <c r="A35" s="6" t="s">
        <v>25</v>
      </c>
      <c r="B35" s="6" t="s">
        <v>33</v>
      </c>
      <c r="C35" s="6" t="s">
        <v>43</v>
      </c>
      <c r="D35" s="6" t="s">
        <v>86</v>
      </c>
      <c r="E35" s="6" t="s">
        <v>27</v>
      </c>
      <c r="F35" s="6" t="s">
        <v>99</v>
      </c>
      <c r="G35" s="6">
        <v>2016</v>
      </c>
      <c r="H35" s="6" t="str">
        <f>CONCATENATE("64240515045")</f>
        <v>64240515045</v>
      </c>
      <c r="I35" s="6" t="s">
        <v>28</v>
      </c>
      <c r="J35" s="6" t="s">
        <v>29</v>
      </c>
      <c r="K35" s="6" t="str">
        <f>CONCATENATE("")</f>
        <v/>
      </c>
      <c r="L35" s="6" t="str">
        <f>CONCATENATE("11 11.1 4b")</f>
        <v>11 11.1 4b</v>
      </c>
      <c r="M35" s="6" t="str">
        <f>CONCATENATE("STLSVT80E22B519X")</f>
        <v>STLSVT80E22B519X</v>
      </c>
      <c r="N35" s="6" t="s">
        <v>100</v>
      </c>
      <c r="O35" s="6" t="s">
        <v>98</v>
      </c>
      <c r="P35" s="7">
        <v>43196</v>
      </c>
      <c r="Q35" s="6" t="s">
        <v>30</v>
      </c>
      <c r="R35" s="6" t="s">
        <v>35</v>
      </c>
      <c r="S35" s="6" t="s">
        <v>31</v>
      </c>
      <c r="T35" s="6">
        <v>112.91</v>
      </c>
      <c r="U35" s="6">
        <v>48.69</v>
      </c>
      <c r="V35" s="6">
        <v>44.96</v>
      </c>
      <c r="W35" s="6">
        <v>0</v>
      </c>
      <c r="X35" s="6">
        <v>19.260000000000002</v>
      </c>
    </row>
    <row r="36" spans="1:24" ht="24.75" x14ac:dyDescent="0.25">
      <c r="A36" s="6" t="s">
        <v>25</v>
      </c>
      <c r="B36" s="6" t="s">
        <v>33</v>
      </c>
      <c r="C36" s="6" t="s">
        <v>43</v>
      </c>
      <c r="D36" s="6" t="s">
        <v>86</v>
      </c>
      <c r="E36" s="6" t="s">
        <v>32</v>
      </c>
      <c r="F36" s="6" t="s">
        <v>89</v>
      </c>
      <c r="G36" s="6">
        <v>2016</v>
      </c>
      <c r="H36" s="6" t="str">
        <f>CONCATENATE("64240741013")</f>
        <v>64240741013</v>
      </c>
      <c r="I36" s="6" t="s">
        <v>28</v>
      </c>
      <c r="J36" s="6" t="s">
        <v>29</v>
      </c>
      <c r="K36" s="6" t="str">
        <f>CONCATENATE("")</f>
        <v/>
      </c>
      <c r="L36" s="6" t="str">
        <f>CONCATENATE("11 11.1 4b")</f>
        <v>11 11.1 4b</v>
      </c>
      <c r="M36" s="6" t="str">
        <f>CONCATENATE("02711460424")</f>
        <v>02711460424</v>
      </c>
      <c r="N36" s="6" t="s">
        <v>101</v>
      </c>
      <c r="O36" s="6" t="s">
        <v>98</v>
      </c>
      <c r="P36" s="7">
        <v>43196</v>
      </c>
      <c r="Q36" s="6" t="s">
        <v>30</v>
      </c>
      <c r="R36" s="6" t="s">
        <v>35</v>
      </c>
      <c r="S36" s="6" t="s">
        <v>31</v>
      </c>
      <c r="T36" s="6">
        <v>696.33</v>
      </c>
      <c r="U36" s="6">
        <v>300.26</v>
      </c>
      <c r="V36" s="6">
        <v>277.27999999999997</v>
      </c>
      <c r="W36" s="6">
        <v>0</v>
      </c>
      <c r="X36" s="6">
        <v>118.79</v>
      </c>
    </row>
    <row r="37" spans="1:24" ht="24.75" x14ac:dyDescent="0.25">
      <c r="A37" s="6" t="s">
        <v>25</v>
      </c>
      <c r="B37" s="6" t="s">
        <v>33</v>
      </c>
      <c r="C37" s="6" t="s">
        <v>43</v>
      </c>
      <c r="D37" s="6" t="s">
        <v>86</v>
      </c>
      <c r="E37" s="6" t="s">
        <v>32</v>
      </c>
      <c r="F37" s="6" t="s">
        <v>89</v>
      </c>
      <c r="G37" s="6">
        <v>2016</v>
      </c>
      <c r="H37" s="6" t="str">
        <f>CONCATENATE("64240717534")</f>
        <v>64240717534</v>
      </c>
      <c r="I37" s="6" t="s">
        <v>28</v>
      </c>
      <c r="J37" s="6" t="s">
        <v>29</v>
      </c>
      <c r="K37" s="6" t="str">
        <f>CONCATENATE("")</f>
        <v/>
      </c>
      <c r="L37" s="6" t="str">
        <f>CONCATENATE("11 11.2 4b")</f>
        <v>11 11.2 4b</v>
      </c>
      <c r="M37" s="6" t="str">
        <f>CONCATENATE("PVRLLL65B11D451S")</f>
        <v>PVRLLL65B11D451S</v>
      </c>
      <c r="N37" s="6" t="s">
        <v>102</v>
      </c>
      <c r="O37" s="6" t="s">
        <v>98</v>
      </c>
      <c r="P37" s="7">
        <v>43196</v>
      </c>
      <c r="Q37" s="6" t="s">
        <v>30</v>
      </c>
      <c r="R37" s="6" t="s">
        <v>35</v>
      </c>
      <c r="S37" s="6" t="s">
        <v>31</v>
      </c>
      <c r="T37" s="6">
        <v>152.04</v>
      </c>
      <c r="U37" s="6">
        <v>65.56</v>
      </c>
      <c r="V37" s="6">
        <v>60.54</v>
      </c>
      <c r="W37" s="6">
        <v>0</v>
      </c>
      <c r="X37" s="6">
        <v>25.94</v>
      </c>
    </row>
    <row r="38" spans="1:24" ht="24.75" x14ac:dyDescent="0.25">
      <c r="A38" s="6" t="s">
        <v>25</v>
      </c>
      <c r="B38" s="6" t="s">
        <v>33</v>
      </c>
      <c r="C38" s="6" t="s">
        <v>43</v>
      </c>
      <c r="D38" s="6" t="s">
        <v>86</v>
      </c>
      <c r="E38" s="6" t="s">
        <v>32</v>
      </c>
      <c r="F38" s="6" t="s">
        <v>103</v>
      </c>
      <c r="G38" s="6">
        <v>2016</v>
      </c>
      <c r="H38" s="6" t="str">
        <f>CONCATENATE("64240383667")</f>
        <v>64240383667</v>
      </c>
      <c r="I38" s="6" t="s">
        <v>28</v>
      </c>
      <c r="J38" s="6" t="s">
        <v>29</v>
      </c>
      <c r="K38" s="6" t="str">
        <f>CONCATENATE("")</f>
        <v/>
      </c>
      <c r="L38" s="6" t="str">
        <f>CONCATENATE("11 11.2 4b")</f>
        <v>11 11.2 4b</v>
      </c>
      <c r="M38" s="6" t="str">
        <f>CONCATENATE("RSSFCM85H28E388E")</f>
        <v>RSSFCM85H28E388E</v>
      </c>
      <c r="N38" s="6" t="s">
        <v>104</v>
      </c>
      <c r="O38" s="6" t="s">
        <v>98</v>
      </c>
      <c r="P38" s="7">
        <v>43196</v>
      </c>
      <c r="Q38" s="6" t="s">
        <v>30</v>
      </c>
      <c r="R38" s="6" t="s">
        <v>35</v>
      </c>
      <c r="S38" s="6" t="s">
        <v>31</v>
      </c>
      <c r="T38" s="8">
        <v>4481.42</v>
      </c>
      <c r="U38" s="8">
        <v>1932.39</v>
      </c>
      <c r="V38" s="8">
        <v>1784.5</v>
      </c>
      <c r="W38" s="6">
        <v>0</v>
      </c>
      <c r="X38" s="6">
        <v>764.53</v>
      </c>
    </row>
    <row r="39" spans="1:24" ht="24.75" x14ac:dyDescent="0.25">
      <c r="A39" s="6" t="s">
        <v>25</v>
      </c>
      <c r="B39" s="6" t="s">
        <v>33</v>
      </c>
      <c r="C39" s="6" t="s">
        <v>43</v>
      </c>
      <c r="D39" s="6" t="s">
        <v>86</v>
      </c>
      <c r="E39" s="6" t="s">
        <v>36</v>
      </c>
      <c r="F39" s="6" t="s">
        <v>105</v>
      </c>
      <c r="G39" s="6">
        <v>2016</v>
      </c>
      <c r="H39" s="6" t="str">
        <f>CONCATENATE("64240310538")</f>
        <v>64240310538</v>
      </c>
      <c r="I39" s="6" t="s">
        <v>28</v>
      </c>
      <c r="J39" s="6" t="s">
        <v>29</v>
      </c>
      <c r="K39" s="6" t="str">
        <f>CONCATENATE("")</f>
        <v/>
      </c>
      <c r="L39" s="6" t="str">
        <f>CONCATENATE("11 11.2 4b")</f>
        <v>11 11.2 4b</v>
      </c>
      <c r="M39" s="6" t="str">
        <f>CONCATENATE("02200520423")</f>
        <v>02200520423</v>
      </c>
      <c r="N39" s="6" t="s">
        <v>106</v>
      </c>
      <c r="O39" s="6" t="s">
        <v>98</v>
      </c>
      <c r="P39" s="7">
        <v>43196</v>
      </c>
      <c r="Q39" s="6" t="s">
        <v>30</v>
      </c>
      <c r="R39" s="6" t="s">
        <v>35</v>
      </c>
      <c r="S39" s="6" t="s">
        <v>31</v>
      </c>
      <c r="T39" s="8">
        <v>1272.8699999999999</v>
      </c>
      <c r="U39" s="6">
        <v>548.86</v>
      </c>
      <c r="V39" s="6">
        <v>506.86</v>
      </c>
      <c r="W39" s="6">
        <v>0</v>
      </c>
      <c r="X39" s="6">
        <v>217.15</v>
      </c>
    </row>
    <row r="40" spans="1:24" ht="24.75" x14ac:dyDescent="0.25">
      <c r="A40" s="6" t="s">
        <v>25</v>
      </c>
      <c r="B40" s="6" t="s">
        <v>33</v>
      </c>
      <c r="C40" s="6" t="s">
        <v>43</v>
      </c>
      <c r="D40" s="6" t="s">
        <v>44</v>
      </c>
      <c r="E40" s="6" t="s">
        <v>32</v>
      </c>
      <c r="F40" s="6" t="s">
        <v>74</v>
      </c>
      <c r="G40" s="6">
        <v>2016</v>
      </c>
      <c r="H40" s="6" t="str">
        <f>CONCATENATE("64240582953")</f>
        <v>64240582953</v>
      </c>
      <c r="I40" s="6" t="s">
        <v>28</v>
      </c>
      <c r="J40" s="6" t="s">
        <v>29</v>
      </c>
      <c r="K40" s="6" t="str">
        <f>CONCATENATE("")</f>
        <v/>
      </c>
      <c r="L40" s="6" t="str">
        <f>CONCATENATE("11 11.2 4b")</f>
        <v>11 11.2 4b</v>
      </c>
      <c r="M40" s="6" t="str">
        <f>CONCATENATE("VTLPNI65C19A252I")</f>
        <v>VTLPNI65C19A252I</v>
      </c>
      <c r="N40" s="6" t="s">
        <v>107</v>
      </c>
      <c r="O40" s="6" t="s">
        <v>98</v>
      </c>
      <c r="P40" s="7">
        <v>43196</v>
      </c>
      <c r="Q40" s="6" t="s">
        <v>30</v>
      </c>
      <c r="R40" s="6" t="s">
        <v>35</v>
      </c>
      <c r="S40" s="6" t="s">
        <v>31</v>
      </c>
      <c r="T40" s="8">
        <v>5000.07</v>
      </c>
      <c r="U40" s="8">
        <v>2156.0300000000002</v>
      </c>
      <c r="V40" s="8">
        <v>1991.03</v>
      </c>
      <c r="W40" s="6">
        <v>0</v>
      </c>
      <c r="X40" s="6">
        <v>853.01</v>
      </c>
    </row>
    <row r="41" spans="1:24" ht="24.75" x14ac:dyDescent="0.25">
      <c r="A41" s="6" t="s">
        <v>25</v>
      </c>
      <c r="B41" s="6" t="s">
        <v>33</v>
      </c>
      <c r="C41" s="6" t="s">
        <v>43</v>
      </c>
      <c r="D41" s="6" t="s">
        <v>86</v>
      </c>
      <c r="E41" s="6" t="s">
        <v>32</v>
      </c>
      <c r="F41" s="6" t="s">
        <v>87</v>
      </c>
      <c r="G41" s="6">
        <v>2016</v>
      </c>
      <c r="H41" s="6" t="str">
        <f>CONCATENATE("64240540647")</f>
        <v>64240540647</v>
      </c>
      <c r="I41" s="6" t="s">
        <v>28</v>
      </c>
      <c r="J41" s="6" t="s">
        <v>29</v>
      </c>
      <c r="K41" s="6" t="str">
        <f>CONCATENATE("")</f>
        <v/>
      </c>
      <c r="L41" s="6" t="str">
        <f>CONCATENATE("11 11.2 4b")</f>
        <v>11 11.2 4b</v>
      </c>
      <c r="M41" s="6" t="str">
        <f>CONCATENATE("02707600421")</f>
        <v>02707600421</v>
      </c>
      <c r="N41" s="6" t="s">
        <v>108</v>
      </c>
      <c r="O41" s="6" t="s">
        <v>98</v>
      </c>
      <c r="P41" s="7">
        <v>43196</v>
      </c>
      <c r="Q41" s="6" t="s">
        <v>30</v>
      </c>
      <c r="R41" s="6" t="s">
        <v>35</v>
      </c>
      <c r="S41" s="6" t="s">
        <v>31</v>
      </c>
      <c r="T41" s="6">
        <v>5.14</v>
      </c>
      <c r="U41" s="6">
        <v>2.2200000000000002</v>
      </c>
      <c r="V41" s="6">
        <v>2.0499999999999998</v>
      </c>
      <c r="W41" s="6">
        <v>0</v>
      </c>
      <c r="X41" s="6">
        <v>0.87</v>
      </c>
    </row>
    <row r="42" spans="1:24" ht="24.75" x14ac:dyDescent="0.25">
      <c r="A42" s="6" t="s">
        <v>25</v>
      </c>
      <c r="B42" s="6" t="s">
        <v>33</v>
      </c>
      <c r="C42" s="6" t="s">
        <v>43</v>
      </c>
      <c r="D42" s="6" t="s">
        <v>86</v>
      </c>
      <c r="E42" s="6" t="s">
        <v>40</v>
      </c>
      <c r="F42" s="6" t="s">
        <v>109</v>
      </c>
      <c r="G42" s="6">
        <v>2016</v>
      </c>
      <c r="H42" s="6" t="str">
        <f>CONCATENATE("64240812004")</f>
        <v>64240812004</v>
      </c>
      <c r="I42" s="6" t="s">
        <v>28</v>
      </c>
      <c r="J42" s="6" t="s">
        <v>29</v>
      </c>
      <c r="K42" s="6" t="str">
        <f>CONCATENATE("")</f>
        <v/>
      </c>
      <c r="L42" s="6" t="str">
        <f>CONCATENATE("11 11.2 4b")</f>
        <v>11 11.2 4b</v>
      </c>
      <c r="M42" s="6" t="str">
        <f>CONCATENATE("GRGSFN70S12A271I")</f>
        <v>GRGSFN70S12A271I</v>
      </c>
      <c r="N42" s="6" t="s">
        <v>110</v>
      </c>
      <c r="O42" s="6" t="s">
        <v>98</v>
      </c>
      <c r="P42" s="7">
        <v>43196</v>
      </c>
      <c r="Q42" s="6" t="s">
        <v>30</v>
      </c>
      <c r="R42" s="6" t="s">
        <v>35</v>
      </c>
      <c r="S42" s="6" t="s">
        <v>31</v>
      </c>
      <c r="T42" s="8">
        <v>1090.53</v>
      </c>
      <c r="U42" s="6">
        <v>470.24</v>
      </c>
      <c r="V42" s="6">
        <v>434.25</v>
      </c>
      <c r="W42" s="6">
        <v>0</v>
      </c>
      <c r="X42" s="6">
        <v>186.04</v>
      </c>
    </row>
  </sheetData>
  <mergeCells count="2">
    <mergeCell ref="A1:X1"/>
    <mergeCell ref="A2:X2"/>
  </mergeCells>
  <pageMargins left="0.75" right="0.75" top="1" bottom="1" header="0.5" footer="0.5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2018-04-12T10:24:58Z</dcterms:created>
  <dcterms:modified xsi:type="dcterms:W3CDTF">2018-04-12T10:25:41Z</dcterms:modified>
</cp:coreProperties>
</file>