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_completo\BACKUP_cartella_Documenti\INVIO_DECRETI_A_REGIONIeCAA\Programmazione_2014-2020 (Settore 70-88)\Decreto n. 152\"/>
    </mc:Choice>
  </mc:AlternateContent>
  <xr:revisionPtr revIDLastSave="0" documentId="8_{684C6F31-DD9C-48DE-8A1E-B739641A45F1}" xr6:coauthVersionLast="31" xr6:coauthVersionMax="31" xr10:uidLastSave="{00000000-0000-0000-0000-000000000000}"/>
  <bookViews>
    <workbookView xWindow="0" yWindow="0" windowWidth="28800" windowHeight="11625" xr2:uid="{AC5F2333-98E9-419F-9816-A03AD5E5A72F}"/>
  </bookViews>
  <sheets>
    <sheet name="Dettaglio_Domande_Pagabili_AGEA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8" i="1" l="1"/>
  <c r="L468" i="1"/>
  <c r="K468" i="1"/>
  <c r="H468" i="1"/>
  <c r="M467" i="1"/>
  <c r="L467" i="1"/>
  <c r="K467" i="1"/>
  <c r="H467" i="1"/>
  <c r="M466" i="1"/>
  <c r="L466" i="1"/>
  <c r="K466" i="1"/>
  <c r="H466" i="1"/>
  <c r="M465" i="1"/>
  <c r="L465" i="1"/>
  <c r="K465" i="1"/>
  <c r="H465" i="1"/>
  <c r="M464" i="1"/>
  <c r="L464" i="1"/>
  <c r="K464" i="1"/>
  <c r="H464" i="1"/>
  <c r="M463" i="1"/>
  <c r="L463" i="1"/>
  <c r="K463" i="1"/>
  <c r="H463" i="1"/>
  <c r="M462" i="1"/>
  <c r="L462" i="1"/>
  <c r="K462" i="1"/>
  <c r="H462" i="1"/>
  <c r="M461" i="1"/>
  <c r="L461" i="1"/>
  <c r="K461" i="1"/>
  <c r="H461" i="1"/>
  <c r="M460" i="1"/>
  <c r="L460" i="1"/>
  <c r="K460" i="1"/>
  <c r="H460" i="1"/>
  <c r="M459" i="1"/>
  <c r="L459" i="1"/>
  <c r="K459" i="1"/>
  <c r="H459" i="1"/>
  <c r="M458" i="1"/>
  <c r="L458" i="1"/>
  <c r="K458" i="1"/>
  <c r="H458" i="1"/>
  <c r="M457" i="1"/>
  <c r="L457" i="1"/>
  <c r="K457" i="1"/>
  <c r="H457" i="1"/>
  <c r="M456" i="1"/>
  <c r="L456" i="1"/>
  <c r="K456" i="1"/>
  <c r="H456" i="1"/>
  <c r="M455" i="1"/>
  <c r="L455" i="1"/>
  <c r="K455" i="1"/>
  <c r="H455" i="1"/>
  <c r="M454" i="1"/>
  <c r="L454" i="1"/>
  <c r="K454" i="1"/>
  <c r="H454" i="1"/>
  <c r="M453" i="1"/>
  <c r="L453" i="1"/>
  <c r="K453" i="1"/>
  <c r="H453" i="1"/>
  <c r="M452" i="1"/>
  <c r="L452" i="1"/>
  <c r="K452" i="1"/>
  <c r="H452" i="1"/>
  <c r="M451" i="1"/>
  <c r="L451" i="1"/>
  <c r="K451" i="1"/>
  <c r="H451" i="1"/>
  <c r="M450" i="1"/>
  <c r="L450" i="1"/>
  <c r="K450" i="1"/>
  <c r="H450" i="1"/>
  <c r="M449" i="1"/>
  <c r="L449" i="1"/>
  <c r="K449" i="1"/>
  <c r="H449" i="1"/>
  <c r="M448" i="1"/>
  <c r="L448" i="1"/>
  <c r="K448" i="1"/>
  <c r="H448" i="1"/>
  <c r="M447" i="1"/>
  <c r="L447" i="1"/>
  <c r="K447" i="1"/>
  <c r="H447" i="1"/>
  <c r="M446" i="1"/>
  <c r="L446" i="1"/>
  <c r="K446" i="1"/>
  <c r="H446" i="1"/>
  <c r="M445" i="1"/>
  <c r="L445" i="1"/>
  <c r="K445" i="1"/>
  <c r="H445" i="1"/>
  <c r="M444" i="1"/>
  <c r="L444" i="1"/>
  <c r="K444" i="1"/>
  <c r="H444" i="1"/>
  <c r="M443" i="1"/>
  <c r="L443" i="1"/>
  <c r="K443" i="1"/>
  <c r="H443" i="1"/>
  <c r="M442" i="1"/>
  <c r="L442" i="1"/>
  <c r="K442" i="1"/>
  <c r="H442" i="1"/>
  <c r="M441" i="1"/>
  <c r="L441" i="1"/>
  <c r="K441" i="1"/>
  <c r="H441" i="1"/>
  <c r="M440" i="1"/>
  <c r="L440" i="1"/>
  <c r="K440" i="1"/>
  <c r="H440" i="1"/>
  <c r="M439" i="1"/>
  <c r="L439" i="1"/>
  <c r="K439" i="1"/>
  <c r="H439" i="1"/>
  <c r="M438" i="1"/>
  <c r="L438" i="1"/>
  <c r="K438" i="1"/>
  <c r="H438" i="1"/>
  <c r="M437" i="1"/>
  <c r="L437" i="1"/>
  <c r="K437" i="1"/>
  <c r="H437" i="1"/>
  <c r="M436" i="1"/>
  <c r="L436" i="1"/>
  <c r="K436" i="1"/>
  <c r="H436" i="1"/>
  <c r="M435" i="1"/>
  <c r="L435" i="1"/>
  <c r="K435" i="1"/>
  <c r="H435" i="1"/>
  <c r="M434" i="1"/>
  <c r="L434" i="1"/>
  <c r="K434" i="1"/>
  <c r="H434" i="1"/>
  <c r="M433" i="1"/>
  <c r="L433" i="1"/>
  <c r="K433" i="1"/>
  <c r="H433" i="1"/>
  <c r="M432" i="1"/>
  <c r="L432" i="1"/>
  <c r="K432" i="1"/>
  <c r="H432" i="1"/>
  <c r="M431" i="1"/>
  <c r="L431" i="1"/>
  <c r="K431" i="1"/>
  <c r="H431" i="1"/>
  <c r="M430" i="1"/>
  <c r="L430" i="1"/>
  <c r="K430" i="1"/>
  <c r="H430" i="1"/>
  <c r="M429" i="1"/>
  <c r="L429" i="1"/>
  <c r="K429" i="1"/>
  <c r="H429" i="1"/>
  <c r="M428" i="1"/>
  <c r="L428" i="1"/>
  <c r="K428" i="1"/>
  <c r="H428" i="1"/>
  <c r="M427" i="1"/>
  <c r="L427" i="1"/>
  <c r="K427" i="1"/>
  <c r="H427" i="1"/>
  <c r="M426" i="1"/>
  <c r="L426" i="1"/>
  <c r="K426" i="1"/>
  <c r="H426" i="1"/>
  <c r="M425" i="1"/>
  <c r="L425" i="1"/>
  <c r="K425" i="1"/>
  <c r="H425" i="1"/>
  <c r="M424" i="1"/>
  <c r="L424" i="1"/>
  <c r="K424" i="1"/>
  <c r="H424" i="1"/>
  <c r="M423" i="1"/>
  <c r="L423" i="1"/>
  <c r="K423" i="1"/>
  <c r="H423" i="1"/>
  <c r="M422" i="1"/>
  <c r="L422" i="1"/>
  <c r="K422" i="1"/>
  <c r="H422" i="1"/>
  <c r="M421" i="1"/>
  <c r="L421" i="1"/>
  <c r="K421" i="1"/>
  <c r="H421" i="1"/>
  <c r="M420" i="1"/>
  <c r="L420" i="1"/>
  <c r="K420" i="1"/>
  <c r="H420" i="1"/>
  <c r="M419" i="1"/>
  <c r="L419" i="1"/>
  <c r="K419" i="1"/>
  <c r="H419" i="1"/>
  <c r="M418" i="1"/>
  <c r="L418" i="1"/>
  <c r="K418" i="1"/>
  <c r="H418" i="1"/>
  <c r="M417" i="1"/>
  <c r="L417" i="1"/>
  <c r="K417" i="1"/>
  <c r="H417" i="1"/>
  <c r="M416" i="1"/>
  <c r="L416" i="1"/>
  <c r="K416" i="1"/>
  <c r="H416" i="1"/>
  <c r="M415" i="1"/>
  <c r="L415" i="1"/>
  <c r="K415" i="1"/>
  <c r="H415" i="1"/>
  <c r="M414" i="1"/>
  <c r="L414" i="1"/>
  <c r="K414" i="1"/>
  <c r="H414" i="1"/>
  <c r="M413" i="1"/>
  <c r="L413" i="1"/>
  <c r="K413" i="1"/>
  <c r="H413" i="1"/>
  <c r="M412" i="1"/>
  <c r="L412" i="1"/>
  <c r="K412" i="1"/>
  <c r="H412" i="1"/>
  <c r="M411" i="1"/>
  <c r="L411" i="1"/>
  <c r="K411" i="1"/>
  <c r="H411" i="1"/>
  <c r="M410" i="1"/>
  <c r="L410" i="1"/>
  <c r="K410" i="1"/>
  <c r="H410" i="1"/>
  <c r="M409" i="1"/>
  <c r="L409" i="1"/>
  <c r="K409" i="1"/>
  <c r="H409" i="1"/>
  <c r="M408" i="1"/>
  <c r="L408" i="1"/>
  <c r="K408" i="1"/>
  <c r="H408" i="1"/>
  <c r="M407" i="1"/>
  <c r="L407" i="1"/>
  <c r="K407" i="1"/>
  <c r="H407" i="1"/>
  <c r="M406" i="1"/>
  <c r="L406" i="1"/>
  <c r="K406" i="1"/>
  <c r="H406" i="1"/>
  <c r="M405" i="1"/>
  <c r="L405" i="1"/>
  <c r="K405" i="1"/>
  <c r="H405" i="1"/>
  <c r="M404" i="1"/>
  <c r="L404" i="1"/>
  <c r="K404" i="1"/>
  <c r="H404" i="1"/>
  <c r="M403" i="1"/>
  <c r="L403" i="1"/>
  <c r="K403" i="1"/>
  <c r="H403" i="1"/>
  <c r="M402" i="1"/>
  <c r="L402" i="1"/>
  <c r="K402" i="1"/>
  <c r="H402" i="1"/>
  <c r="M401" i="1"/>
  <c r="L401" i="1"/>
  <c r="K401" i="1"/>
  <c r="H401" i="1"/>
  <c r="M400" i="1"/>
  <c r="L400" i="1"/>
  <c r="K400" i="1"/>
  <c r="H400" i="1"/>
  <c r="M399" i="1"/>
  <c r="L399" i="1"/>
  <c r="K399" i="1"/>
  <c r="H399" i="1"/>
  <c r="M398" i="1"/>
  <c r="L398" i="1"/>
  <c r="K398" i="1"/>
  <c r="H398" i="1"/>
  <c r="M397" i="1"/>
  <c r="L397" i="1"/>
  <c r="K397" i="1"/>
  <c r="H397" i="1"/>
  <c r="M396" i="1"/>
  <c r="L396" i="1"/>
  <c r="K396" i="1"/>
  <c r="H396" i="1"/>
  <c r="M395" i="1"/>
  <c r="L395" i="1"/>
  <c r="K395" i="1"/>
  <c r="H395" i="1"/>
  <c r="M394" i="1"/>
  <c r="L394" i="1"/>
  <c r="K394" i="1"/>
  <c r="H394" i="1"/>
  <c r="M393" i="1"/>
  <c r="L393" i="1"/>
  <c r="K393" i="1"/>
  <c r="H393" i="1"/>
  <c r="M392" i="1"/>
  <c r="L392" i="1"/>
  <c r="K392" i="1"/>
  <c r="H392" i="1"/>
  <c r="M391" i="1"/>
  <c r="L391" i="1"/>
  <c r="K391" i="1"/>
  <c r="H391" i="1"/>
  <c r="M390" i="1"/>
  <c r="L390" i="1"/>
  <c r="K390" i="1"/>
  <c r="H390" i="1"/>
  <c r="M389" i="1"/>
  <c r="L389" i="1"/>
  <c r="K389" i="1"/>
  <c r="H389" i="1"/>
  <c r="M388" i="1"/>
  <c r="L388" i="1"/>
  <c r="K388" i="1"/>
  <c r="H388" i="1"/>
  <c r="M387" i="1"/>
  <c r="L387" i="1"/>
  <c r="K387" i="1"/>
  <c r="H387" i="1"/>
  <c r="M386" i="1"/>
  <c r="L386" i="1"/>
  <c r="K386" i="1"/>
  <c r="H386" i="1"/>
  <c r="M385" i="1"/>
  <c r="L385" i="1"/>
  <c r="K385" i="1"/>
  <c r="H385" i="1"/>
  <c r="M384" i="1"/>
  <c r="L384" i="1"/>
  <c r="K384" i="1"/>
  <c r="H384" i="1"/>
  <c r="M383" i="1"/>
  <c r="L383" i="1"/>
  <c r="K383" i="1"/>
  <c r="H383" i="1"/>
  <c r="M382" i="1"/>
  <c r="L382" i="1"/>
  <c r="K382" i="1"/>
  <c r="H382" i="1"/>
  <c r="M381" i="1"/>
  <c r="L381" i="1"/>
  <c r="K381" i="1"/>
  <c r="H381" i="1"/>
  <c r="M380" i="1"/>
  <c r="L380" i="1"/>
  <c r="K380" i="1"/>
  <c r="H380" i="1"/>
  <c r="M379" i="1"/>
  <c r="L379" i="1"/>
  <c r="K379" i="1"/>
  <c r="H379" i="1"/>
  <c r="M378" i="1"/>
  <c r="L378" i="1"/>
  <c r="K378" i="1"/>
  <c r="H378" i="1"/>
  <c r="M377" i="1"/>
  <c r="L377" i="1"/>
  <c r="K377" i="1"/>
  <c r="H377" i="1"/>
  <c r="M376" i="1"/>
  <c r="L376" i="1"/>
  <c r="K376" i="1"/>
  <c r="H376" i="1"/>
  <c r="M375" i="1"/>
  <c r="L375" i="1"/>
  <c r="K375" i="1"/>
  <c r="H375" i="1"/>
  <c r="M374" i="1"/>
  <c r="L374" i="1"/>
  <c r="K374" i="1"/>
  <c r="H374" i="1"/>
  <c r="M373" i="1"/>
  <c r="L373" i="1"/>
  <c r="K373" i="1"/>
  <c r="H373" i="1"/>
  <c r="M372" i="1"/>
  <c r="L372" i="1"/>
  <c r="K372" i="1"/>
  <c r="H372" i="1"/>
  <c r="M371" i="1"/>
  <c r="L371" i="1"/>
  <c r="K371" i="1"/>
  <c r="H371" i="1"/>
  <c r="M370" i="1"/>
  <c r="L370" i="1"/>
  <c r="K370" i="1"/>
  <c r="H370" i="1"/>
  <c r="M369" i="1"/>
  <c r="L369" i="1"/>
  <c r="K369" i="1"/>
  <c r="H369" i="1"/>
  <c r="M368" i="1"/>
  <c r="L368" i="1"/>
  <c r="K368" i="1"/>
  <c r="H368" i="1"/>
  <c r="M367" i="1"/>
  <c r="L367" i="1"/>
  <c r="K367" i="1"/>
  <c r="H367" i="1"/>
  <c r="M366" i="1"/>
  <c r="L366" i="1"/>
  <c r="K366" i="1"/>
  <c r="H366" i="1"/>
  <c r="M365" i="1"/>
  <c r="L365" i="1"/>
  <c r="K365" i="1"/>
  <c r="H365" i="1"/>
  <c r="M364" i="1"/>
  <c r="L364" i="1"/>
  <c r="K364" i="1"/>
  <c r="H364" i="1"/>
  <c r="M363" i="1"/>
  <c r="L363" i="1"/>
  <c r="K363" i="1"/>
  <c r="H363" i="1"/>
  <c r="M362" i="1"/>
  <c r="L362" i="1"/>
  <c r="K362" i="1"/>
  <c r="H362" i="1"/>
  <c r="M361" i="1"/>
  <c r="L361" i="1"/>
  <c r="K361" i="1"/>
  <c r="H361" i="1"/>
  <c r="M360" i="1"/>
  <c r="L360" i="1"/>
  <c r="K360" i="1"/>
  <c r="H360" i="1"/>
  <c r="M359" i="1"/>
  <c r="L359" i="1"/>
  <c r="K359" i="1"/>
  <c r="H359" i="1"/>
  <c r="M358" i="1"/>
  <c r="L358" i="1"/>
  <c r="K358" i="1"/>
  <c r="H358" i="1"/>
  <c r="M357" i="1"/>
  <c r="L357" i="1"/>
  <c r="K357" i="1"/>
  <c r="H357" i="1"/>
  <c r="M356" i="1"/>
  <c r="L356" i="1"/>
  <c r="K356" i="1"/>
  <c r="H356" i="1"/>
  <c r="M355" i="1"/>
  <c r="L355" i="1"/>
  <c r="K355" i="1"/>
  <c r="H355" i="1"/>
  <c r="M354" i="1"/>
  <c r="L354" i="1"/>
  <c r="K354" i="1"/>
  <c r="H354" i="1"/>
  <c r="M353" i="1"/>
  <c r="L353" i="1"/>
  <c r="K353" i="1"/>
  <c r="H353" i="1"/>
  <c r="M352" i="1"/>
  <c r="L352" i="1"/>
  <c r="K352" i="1"/>
  <c r="H352" i="1"/>
  <c r="M351" i="1"/>
  <c r="L351" i="1"/>
  <c r="K351" i="1"/>
  <c r="H351" i="1"/>
  <c r="M350" i="1"/>
  <c r="L350" i="1"/>
  <c r="K350" i="1"/>
  <c r="H350" i="1"/>
  <c r="M349" i="1"/>
  <c r="L349" i="1"/>
  <c r="K349" i="1"/>
  <c r="H349" i="1"/>
  <c r="M348" i="1"/>
  <c r="L348" i="1"/>
  <c r="K348" i="1"/>
  <c r="H348" i="1"/>
  <c r="M347" i="1"/>
  <c r="L347" i="1"/>
  <c r="K347" i="1"/>
  <c r="H347" i="1"/>
  <c r="M346" i="1"/>
  <c r="L346" i="1"/>
  <c r="K346" i="1"/>
  <c r="H346" i="1"/>
  <c r="M345" i="1"/>
  <c r="L345" i="1"/>
  <c r="K345" i="1"/>
  <c r="H345" i="1"/>
  <c r="M344" i="1"/>
  <c r="L344" i="1"/>
  <c r="K344" i="1"/>
  <c r="H344" i="1"/>
  <c r="M343" i="1"/>
  <c r="L343" i="1"/>
  <c r="K343" i="1"/>
  <c r="H343" i="1"/>
  <c r="M342" i="1"/>
  <c r="L342" i="1"/>
  <c r="K342" i="1"/>
  <c r="H342" i="1"/>
  <c r="M341" i="1"/>
  <c r="L341" i="1"/>
  <c r="K341" i="1"/>
  <c r="H341" i="1"/>
  <c r="M340" i="1"/>
  <c r="L340" i="1"/>
  <c r="K340" i="1"/>
  <c r="H340" i="1"/>
  <c r="M339" i="1"/>
  <c r="L339" i="1"/>
  <c r="K339" i="1"/>
  <c r="H339" i="1"/>
  <c r="M338" i="1"/>
  <c r="L338" i="1"/>
  <c r="K338" i="1"/>
  <c r="H338" i="1"/>
  <c r="M337" i="1"/>
  <c r="L337" i="1"/>
  <c r="K337" i="1"/>
  <c r="H337" i="1"/>
  <c r="M336" i="1"/>
  <c r="L336" i="1"/>
  <c r="K336" i="1"/>
  <c r="H336" i="1"/>
  <c r="M335" i="1"/>
  <c r="L335" i="1"/>
  <c r="K335" i="1"/>
  <c r="H335" i="1"/>
  <c r="M334" i="1"/>
  <c r="L334" i="1"/>
  <c r="K334" i="1"/>
  <c r="H334" i="1"/>
  <c r="M333" i="1"/>
  <c r="L333" i="1"/>
  <c r="K333" i="1"/>
  <c r="H333" i="1"/>
  <c r="M332" i="1"/>
  <c r="L332" i="1"/>
  <c r="K332" i="1"/>
  <c r="H332" i="1"/>
  <c r="M331" i="1"/>
  <c r="L331" i="1"/>
  <c r="K331" i="1"/>
  <c r="H331" i="1"/>
  <c r="M330" i="1"/>
  <c r="L330" i="1"/>
  <c r="K330" i="1"/>
  <c r="H330" i="1"/>
  <c r="M329" i="1"/>
  <c r="L329" i="1"/>
  <c r="K329" i="1"/>
  <c r="H329" i="1"/>
  <c r="M328" i="1"/>
  <c r="L328" i="1"/>
  <c r="K328" i="1"/>
  <c r="H328" i="1"/>
  <c r="M327" i="1"/>
  <c r="L327" i="1"/>
  <c r="K327" i="1"/>
  <c r="H327" i="1"/>
  <c r="M326" i="1"/>
  <c r="L326" i="1"/>
  <c r="K326" i="1"/>
  <c r="H326" i="1"/>
  <c r="M325" i="1"/>
  <c r="L325" i="1"/>
  <c r="K325" i="1"/>
  <c r="H325" i="1"/>
  <c r="M324" i="1"/>
  <c r="L324" i="1"/>
  <c r="K324" i="1"/>
  <c r="H324" i="1"/>
  <c r="M323" i="1"/>
  <c r="L323" i="1"/>
  <c r="K323" i="1"/>
  <c r="H323" i="1"/>
  <c r="M322" i="1"/>
  <c r="L322" i="1"/>
  <c r="K322" i="1"/>
  <c r="H322" i="1"/>
  <c r="M321" i="1"/>
  <c r="L321" i="1"/>
  <c r="K321" i="1"/>
  <c r="H321" i="1"/>
  <c r="M320" i="1"/>
  <c r="L320" i="1"/>
  <c r="K320" i="1"/>
  <c r="H320" i="1"/>
  <c r="M319" i="1"/>
  <c r="L319" i="1"/>
  <c r="K319" i="1"/>
  <c r="H319" i="1"/>
  <c r="M318" i="1"/>
  <c r="L318" i="1"/>
  <c r="K318" i="1"/>
  <c r="H318" i="1"/>
  <c r="M317" i="1"/>
  <c r="L317" i="1"/>
  <c r="K317" i="1"/>
  <c r="H317" i="1"/>
  <c r="M316" i="1"/>
  <c r="L316" i="1"/>
  <c r="K316" i="1"/>
  <c r="H316" i="1"/>
  <c r="M315" i="1"/>
  <c r="L315" i="1"/>
  <c r="K315" i="1"/>
  <c r="H315" i="1"/>
  <c r="M314" i="1"/>
  <c r="L314" i="1"/>
  <c r="K314" i="1"/>
  <c r="H314" i="1"/>
  <c r="M313" i="1"/>
  <c r="L313" i="1"/>
  <c r="K313" i="1"/>
  <c r="H313" i="1"/>
  <c r="M312" i="1"/>
  <c r="L312" i="1"/>
  <c r="K312" i="1"/>
  <c r="H312" i="1"/>
  <c r="M311" i="1"/>
  <c r="L311" i="1"/>
  <c r="K311" i="1"/>
  <c r="H311" i="1"/>
  <c r="M310" i="1"/>
  <c r="L310" i="1"/>
  <c r="K310" i="1"/>
  <c r="H310" i="1"/>
  <c r="M309" i="1"/>
  <c r="L309" i="1"/>
  <c r="K309" i="1"/>
  <c r="H309" i="1"/>
  <c r="M308" i="1"/>
  <c r="L308" i="1"/>
  <c r="K308" i="1"/>
  <c r="H308" i="1"/>
  <c r="M307" i="1"/>
  <c r="L307" i="1"/>
  <c r="K307" i="1"/>
  <c r="H307" i="1"/>
  <c r="M306" i="1"/>
  <c r="L306" i="1"/>
  <c r="K306" i="1"/>
  <c r="H306" i="1"/>
  <c r="M305" i="1"/>
  <c r="L305" i="1"/>
  <c r="K305" i="1"/>
  <c r="H305" i="1"/>
  <c r="M304" i="1"/>
  <c r="L304" i="1"/>
  <c r="K304" i="1"/>
  <c r="H304" i="1"/>
  <c r="M303" i="1"/>
  <c r="L303" i="1"/>
  <c r="K303" i="1"/>
  <c r="H303" i="1"/>
  <c r="M302" i="1"/>
  <c r="L302" i="1"/>
  <c r="K302" i="1"/>
  <c r="H302" i="1"/>
  <c r="M301" i="1"/>
  <c r="L301" i="1"/>
  <c r="K301" i="1"/>
  <c r="H301" i="1"/>
  <c r="M300" i="1"/>
  <c r="L300" i="1"/>
  <c r="K300" i="1"/>
  <c r="H300" i="1"/>
  <c r="M299" i="1"/>
  <c r="L299" i="1"/>
  <c r="K299" i="1"/>
  <c r="H299" i="1"/>
  <c r="M298" i="1"/>
  <c r="L298" i="1"/>
  <c r="K298" i="1"/>
  <c r="H298" i="1"/>
  <c r="M297" i="1"/>
  <c r="L297" i="1"/>
  <c r="K297" i="1"/>
  <c r="H297" i="1"/>
  <c r="M296" i="1"/>
  <c r="L296" i="1"/>
  <c r="K296" i="1"/>
  <c r="H296" i="1"/>
  <c r="M295" i="1"/>
  <c r="L295" i="1"/>
  <c r="K295" i="1"/>
  <c r="H295" i="1"/>
  <c r="M294" i="1"/>
  <c r="L294" i="1"/>
  <c r="K294" i="1"/>
  <c r="H294" i="1"/>
  <c r="M293" i="1"/>
  <c r="L293" i="1"/>
  <c r="K293" i="1"/>
  <c r="H293" i="1"/>
  <c r="M292" i="1"/>
  <c r="L292" i="1"/>
  <c r="K292" i="1"/>
  <c r="H292" i="1"/>
  <c r="M291" i="1"/>
  <c r="L291" i="1"/>
  <c r="K291" i="1"/>
  <c r="H291" i="1"/>
  <c r="M290" i="1"/>
  <c r="L290" i="1"/>
  <c r="K290" i="1"/>
  <c r="H290" i="1"/>
  <c r="M289" i="1"/>
  <c r="L289" i="1"/>
  <c r="K289" i="1"/>
  <c r="H289" i="1"/>
  <c r="M288" i="1"/>
  <c r="L288" i="1"/>
  <c r="K288" i="1"/>
  <c r="H288" i="1"/>
  <c r="M287" i="1"/>
  <c r="L287" i="1"/>
  <c r="K287" i="1"/>
  <c r="H287" i="1"/>
  <c r="M286" i="1"/>
  <c r="L286" i="1"/>
  <c r="K286" i="1"/>
  <c r="H286" i="1"/>
  <c r="M285" i="1"/>
  <c r="L285" i="1"/>
  <c r="K285" i="1"/>
  <c r="H285" i="1"/>
  <c r="M284" i="1"/>
  <c r="L284" i="1"/>
  <c r="K284" i="1"/>
  <c r="H284" i="1"/>
  <c r="M283" i="1"/>
  <c r="L283" i="1"/>
  <c r="K283" i="1"/>
  <c r="H283" i="1"/>
  <c r="M282" i="1"/>
  <c r="L282" i="1"/>
  <c r="K282" i="1"/>
  <c r="H282" i="1"/>
  <c r="M281" i="1"/>
  <c r="L281" i="1"/>
  <c r="K281" i="1"/>
  <c r="H281" i="1"/>
  <c r="M280" i="1"/>
  <c r="L280" i="1"/>
  <c r="K280" i="1"/>
  <c r="H280" i="1"/>
  <c r="M279" i="1"/>
  <c r="L279" i="1"/>
  <c r="K279" i="1"/>
  <c r="H279" i="1"/>
  <c r="M278" i="1"/>
  <c r="L278" i="1"/>
  <c r="K278" i="1"/>
  <c r="H278" i="1"/>
  <c r="M277" i="1"/>
  <c r="L277" i="1"/>
  <c r="K277" i="1"/>
  <c r="H277" i="1"/>
  <c r="M276" i="1"/>
  <c r="L276" i="1"/>
  <c r="K276" i="1"/>
  <c r="H276" i="1"/>
  <c r="M275" i="1"/>
  <c r="L275" i="1"/>
  <c r="K275" i="1"/>
  <c r="H275" i="1"/>
  <c r="M274" i="1"/>
  <c r="L274" i="1"/>
  <c r="K274" i="1"/>
  <c r="H274" i="1"/>
  <c r="M273" i="1"/>
  <c r="L273" i="1"/>
  <c r="K273" i="1"/>
  <c r="H273" i="1"/>
  <c r="M272" i="1"/>
  <c r="L272" i="1"/>
  <c r="K272" i="1"/>
  <c r="H272" i="1"/>
  <c r="M271" i="1"/>
  <c r="L271" i="1"/>
  <c r="K271" i="1"/>
  <c r="H271" i="1"/>
  <c r="M270" i="1"/>
  <c r="L270" i="1"/>
  <c r="K270" i="1"/>
  <c r="H270" i="1"/>
  <c r="M269" i="1"/>
  <c r="L269" i="1"/>
  <c r="K269" i="1"/>
  <c r="H269" i="1"/>
  <c r="M268" i="1"/>
  <c r="L268" i="1"/>
  <c r="K268" i="1"/>
  <c r="H268" i="1"/>
  <c r="M267" i="1"/>
  <c r="L267" i="1"/>
  <c r="K267" i="1"/>
  <c r="H267" i="1"/>
  <c r="M266" i="1"/>
  <c r="L266" i="1"/>
  <c r="K266" i="1"/>
  <c r="H266" i="1"/>
  <c r="M265" i="1"/>
  <c r="L265" i="1"/>
  <c r="K265" i="1"/>
  <c r="H265" i="1"/>
  <c r="M264" i="1"/>
  <c r="L264" i="1"/>
  <c r="K264" i="1"/>
  <c r="H264" i="1"/>
  <c r="M263" i="1"/>
  <c r="L263" i="1"/>
  <c r="K263" i="1"/>
  <c r="H263" i="1"/>
  <c r="M262" i="1"/>
  <c r="L262" i="1"/>
  <c r="K262" i="1"/>
  <c r="H262" i="1"/>
  <c r="M261" i="1"/>
  <c r="L261" i="1"/>
  <c r="K261" i="1"/>
  <c r="H261" i="1"/>
  <c r="M260" i="1"/>
  <c r="L260" i="1"/>
  <c r="K260" i="1"/>
  <c r="H260" i="1"/>
  <c r="M259" i="1"/>
  <c r="L259" i="1"/>
  <c r="K259" i="1"/>
  <c r="H259" i="1"/>
  <c r="M258" i="1"/>
  <c r="L258" i="1"/>
  <c r="K258" i="1"/>
  <c r="H258" i="1"/>
  <c r="M257" i="1"/>
  <c r="L257" i="1"/>
  <c r="K257" i="1"/>
  <c r="H257" i="1"/>
  <c r="M256" i="1"/>
  <c r="L256" i="1"/>
  <c r="K256" i="1"/>
  <c r="H256" i="1"/>
  <c r="M255" i="1"/>
  <c r="L255" i="1"/>
  <c r="K255" i="1"/>
  <c r="H255" i="1"/>
  <c r="M254" i="1"/>
  <c r="L254" i="1"/>
  <c r="K254" i="1"/>
  <c r="H254" i="1"/>
  <c r="M253" i="1"/>
  <c r="L253" i="1"/>
  <c r="K253" i="1"/>
  <c r="H253" i="1"/>
  <c r="M252" i="1"/>
  <c r="L252" i="1"/>
  <c r="K252" i="1"/>
  <c r="H252" i="1"/>
  <c r="M251" i="1"/>
  <c r="L251" i="1"/>
  <c r="K251" i="1"/>
  <c r="H251" i="1"/>
  <c r="M250" i="1"/>
  <c r="L250" i="1"/>
  <c r="K250" i="1"/>
  <c r="H250" i="1"/>
  <c r="M249" i="1"/>
  <c r="L249" i="1"/>
  <c r="K249" i="1"/>
  <c r="H249" i="1"/>
  <c r="M248" i="1"/>
  <c r="L248" i="1"/>
  <c r="K248" i="1"/>
  <c r="H248" i="1"/>
  <c r="M247" i="1"/>
  <c r="L247" i="1"/>
  <c r="K247" i="1"/>
  <c r="H247" i="1"/>
  <c r="M246" i="1"/>
  <c r="L246" i="1"/>
  <c r="K246" i="1"/>
  <c r="H246" i="1"/>
  <c r="M245" i="1"/>
  <c r="L245" i="1"/>
  <c r="K245" i="1"/>
  <c r="H245" i="1"/>
  <c r="M244" i="1"/>
  <c r="L244" i="1"/>
  <c r="K244" i="1"/>
  <c r="H244" i="1"/>
  <c r="M243" i="1"/>
  <c r="L243" i="1"/>
  <c r="K243" i="1"/>
  <c r="H243" i="1"/>
  <c r="M242" i="1"/>
  <c r="L242" i="1"/>
  <c r="K242" i="1"/>
  <c r="H242" i="1"/>
  <c r="M241" i="1"/>
  <c r="L241" i="1"/>
  <c r="K241" i="1"/>
  <c r="H241" i="1"/>
  <c r="M240" i="1"/>
  <c r="L240" i="1"/>
  <c r="K240" i="1"/>
  <c r="H240" i="1"/>
  <c r="M239" i="1"/>
  <c r="L239" i="1"/>
  <c r="K239" i="1"/>
  <c r="H239" i="1"/>
  <c r="M238" i="1"/>
  <c r="L238" i="1"/>
  <c r="K238" i="1"/>
  <c r="H238" i="1"/>
  <c r="M237" i="1"/>
  <c r="L237" i="1"/>
  <c r="K237" i="1"/>
  <c r="H237" i="1"/>
  <c r="M236" i="1"/>
  <c r="L236" i="1"/>
  <c r="K236" i="1"/>
  <c r="H236" i="1"/>
  <c r="M235" i="1"/>
  <c r="L235" i="1"/>
  <c r="K235" i="1"/>
  <c r="H235" i="1"/>
  <c r="M234" i="1"/>
  <c r="L234" i="1"/>
  <c r="K234" i="1"/>
  <c r="H234" i="1"/>
  <c r="M233" i="1"/>
  <c r="L233" i="1"/>
  <c r="K233" i="1"/>
  <c r="H233" i="1"/>
  <c r="M232" i="1"/>
  <c r="L232" i="1"/>
  <c r="K232" i="1"/>
  <c r="H232" i="1"/>
  <c r="M231" i="1"/>
  <c r="L231" i="1"/>
  <c r="K231" i="1"/>
  <c r="H231" i="1"/>
  <c r="M230" i="1"/>
  <c r="L230" i="1"/>
  <c r="K230" i="1"/>
  <c r="H230" i="1"/>
  <c r="M229" i="1"/>
  <c r="L229" i="1"/>
  <c r="K229" i="1"/>
  <c r="H229" i="1"/>
  <c r="M228" i="1"/>
  <c r="L228" i="1"/>
  <c r="K228" i="1"/>
  <c r="H228" i="1"/>
  <c r="M227" i="1"/>
  <c r="L227" i="1"/>
  <c r="K227" i="1"/>
  <c r="H227" i="1"/>
  <c r="M226" i="1"/>
  <c r="L226" i="1"/>
  <c r="K226" i="1"/>
  <c r="H226" i="1"/>
  <c r="M225" i="1"/>
  <c r="L225" i="1"/>
  <c r="K225" i="1"/>
  <c r="H225" i="1"/>
  <c r="M224" i="1"/>
  <c r="L224" i="1"/>
  <c r="K224" i="1"/>
  <c r="H224" i="1"/>
  <c r="M223" i="1"/>
  <c r="L223" i="1"/>
  <c r="K223" i="1"/>
  <c r="H223" i="1"/>
  <c r="M222" i="1"/>
  <c r="L222" i="1"/>
  <c r="K222" i="1"/>
  <c r="H222" i="1"/>
  <c r="M221" i="1"/>
  <c r="L221" i="1"/>
  <c r="K221" i="1"/>
  <c r="H221" i="1"/>
  <c r="M220" i="1"/>
  <c r="L220" i="1"/>
  <c r="K220" i="1"/>
  <c r="H220" i="1"/>
  <c r="M219" i="1"/>
  <c r="L219" i="1"/>
  <c r="K219" i="1"/>
  <c r="H219" i="1"/>
  <c r="M218" i="1"/>
  <c r="L218" i="1"/>
  <c r="K218" i="1"/>
  <c r="H218" i="1"/>
  <c r="M217" i="1"/>
  <c r="L217" i="1"/>
  <c r="K217" i="1"/>
  <c r="H217" i="1"/>
  <c r="M216" i="1"/>
  <c r="L216" i="1"/>
  <c r="K216" i="1"/>
  <c r="H216" i="1"/>
  <c r="M215" i="1"/>
  <c r="L215" i="1"/>
  <c r="K215" i="1"/>
  <c r="H215" i="1"/>
  <c r="M214" i="1"/>
  <c r="L214" i="1"/>
  <c r="K214" i="1"/>
  <c r="H214" i="1"/>
  <c r="M213" i="1"/>
  <c r="L213" i="1"/>
  <c r="K213" i="1"/>
  <c r="H213" i="1"/>
  <c r="M212" i="1"/>
  <c r="L212" i="1"/>
  <c r="K212" i="1"/>
  <c r="H212" i="1"/>
  <c r="M211" i="1"/>
  <c r="L211" i="1"/>
  <c r="K211" i="1"/>
  <c r="H211" i="1"/>
  <c r="M210" i="1"/>
  <c r="L210" i="1"/>
  <c r="K210" i="1"/>
  <c r="H210" i="1"/>
  <c r="M209" i="1"/>
  <c r="L209" i="1"/>
  <c r="K209" i="1"/>
  <c r="H209" i="1"/>
  <c r="M208" i="1"/>
  <c r="L208" i="1"/>
  <c r="K208" i="1"/>
  <c r="H208" i="1"/>
  <c r="M207" i="1"/>
  <c r="L207" i="1"/>
  <c r="K207" i="1"/>
  <c r="H207" i="1"/>
  <c r="M206" i="1"/>
  <c r="L206" i="1"/>
  <c r="K206" i="1"/>
  <c r="H206" i="1"/>
  <c r="M205" i="1"/>
  <c r="L205" i="1"/>
  <c r="K205" i="1"/>
  <c r="H205" i="1"/>
  <c r="M204" i="1"/>
  <c r="L204" i="1"/>
  <c r="K204" i="1"/>
  <c r="H204" i="1"/>
  <c r="M203" i="1"/>
  <c r="L203" i="1"/>
  <c r="K203" i="1"/>
  <c r="H203" i="1"/>
  <c r="M202" i="1"/>
  <c r="L202" i="1"/>
  <c r="K202" i="1"/>
  <c r="H202" i="1"/>
  <c r="M201" i="1"/>
  <c r="L201" i="1"/>
  <c r="K201" i="1"/>
  <c r="H201" i="1"/>
  <c r="M200" i="1"/>
  <c r="L200" i="1"/>
  <c r="K200" i="1"/>
  <c r="H200" i="1"/>
  <c r="M199" i="1"/>
  <c r="L199" i="1"/>
  <c r="K199" i="1"/>
  <c r="H199" i="1"/>
  <c r="M198" i="1"/>
  <c r="L198" i="1"/>
  <c r="K198" i="1"/>
  <c r="H198" i="1"/>
  <c r="M197" i="1"/>
  <c r="L197" i="1"/>
  <c r="K197" i="1"/>
  <c r="H197" i="1"/>
  <c r="M196" i="1"/>
  <c r="L196" i="1"/>
  <c r="K196" i="1"/>
  <c r="H196" i="1"/>
  <c r="M195" i="1"/>
  <c r="L195" i="1"/>
  <c r="K195" i="1"/>
  <c r="H195" i="1"/>
  <c r="M194" i="1"/>
  <c r="L194" i="1"/>
  <c r="K194" i="1"/>
  <c r="H194" i="1"/>
  <c r="M193" i="1"/>
  <c r="L193" i="1"/>
  <c r="K193" i="1"/>
  <c r="H193" i="1"/>
  <c r="M192" i="1"/>
  <c r="L192" i="1"/>
  <c r="K192" i="1"/>
  <c r="H192" i="1"/>
  <c r="M191" i="1"/>
  <c r="L191" i="1"/>
  <c r="K191" i="1"/>
  <c r="H191" i="1"/>
  <c r="M190" i="1"/>
  <c r="L190" i="1"/>
  <c r="K190" i="1"/>
  <c r="H190" i="1"/>
  <c r="M189" i="1"/>
  <c r="L189" i="1"/>
  <c r="K189" i="1"/>
  <c r="H189" i="1"/>
  <c r="M188" i="1"/>
  <c r="L188" i="1"/>
  <c r="K188" i="1"/>
  <c r="H188" i="1"/>
  <c r="M187" i="1"/>
  <c r="L187" i="1"/>
  <c r="K187" i="1"/>
  <c r="H187" i="1"/>
  <c r="M186" i="1"/>
  <c r="L186" i="1"/>
  <c r="K186" i="1"/>
  <c r="H186" i="1"/>
  <c r="M185" i="1"/>
  <c r="L185" i="1"/>
  <c r="K185" i="1"/>
  <c r="H185" i="1"/>
  <c r="M184" i="1"/>
  <c r="L184" i="1"/>
  <c r="K184" i="1"/>
  <c r="H184" i="1"/>
  <c r="M183" i="1"/>
  <c r="L183" i="1"/>
  <c r="K183" i="1"/>
  <c r="H183" i="1"/>
  <c r="M182" i="1"/>
  <c r="L182" i="1"/>
  <c r="K182" i="1"/>
  <c r="H182" i="1"/>
  <c r="M181" i="1"/>
  <c r="L181" i="1"/>
  <c r="K181" i="1"/>
  <c r="H181" i="1"/>
  <c r="M180" i="1"/>
  <c r="L180" i="1"/>
  <c r="K180" i="1"/>
  <c r="H180" i="1"/>
  <c r="M179" i="1"/>
  <c r="L179" i="1"/>
  <c r="K179" i="1"/>
  <c r="H179" i="1"/>
  <c r="M178" i="1"/>
  <c r="L178" i="1"/>
  <c r="K178" i="1"/>
  <c r="H178" i="1"/>
  <c r="M177" i="1"/>
  <c r="L177" i="1"/>
  <c r="K177" i="1"/>
  <c r="H177" i="1"/>
  <c r="M176" i="1"/>
  <c r="L176" i="1"/>
  <c r="K176" i="1"/>
  <c r="H176" i="1"/>
  <c r="M175" i="1"/>
  <c r="L175" i="1"/>
  <c r="K175" i="1"/>
  <c r="H175" i="1"/>
  <c r="M174" i="1"/>
  <c r="L174" i="1"/>
  <c r="K174" i="1"/>
  <c r="H174" i="1"/>
  <c r="M173" i="1"/>
  <c r="L173" i="1"/>
  <c r="K173" i="1"/>
  <c r="H173" i="1"/>
  <c r="M172" i="1"/>
  <c r="L172" i="1"/>
  <c r="K172" i="1"/>
  <c r="H172" i="1"/>
  <c r="M171" i="1"/>
  <c r="L171" i="1"/>
  <c r="K171" i="1"/>
  <c r="H171" i="1"/>
  <c r="M170" i="1"/>
  <c r="L170" i="1"/>
  <c r="K170" i="1"/>
  <c r="H170" i="1"/>
  <c r="M169" i="1"/>
  <c r="L169" i="1"/>
  <c r="K169" i="1"/>
  <c r="H169" i="1"/>
  <c r="M168" i="1"/>
  <c r="L168" i="1"/>
  <c r="K168" i="1"/>
  <c r="H168" i="1"/>
  <c r="M167" i="1"/>
  <c r="L167" i="1"/>
  <c r="K167" i="1"/>
  <c r="H167" i="1"/>
  <c r="M166" i="1"/>
  <c r="L166" i="1"/>
  <c r="K166" i="1"/>
  <c r="H166" i="1"/>
  <c r="M165" i="1"/>
  <c r="L165" i="1"/>
  <c r="K165" i="1"/>
  <c r="H165" i="1"/>
  <c r="M164" i="1"/>
  <c r="L164" i="1"/>
  <c r="K164" i="1"/>
  <c r="H164" i="1"/>
  <c r="M163" i="1"/>
  <c r="L163" i="1"/>
  <c r="K163" i="1"/>
  <c r="H163" i="1"/>
  <c r="M162" i="1"/>
  <c r="L162" i="1"/>
  <c r="K162" i="1"/>
  <c r="H162" i="1"/>
  <c r="M161" i="1"/>
  <c r="L161" i="1"/>
  <c r="K161" i="1"/>
  <c r="H161" i="1"/>
  <c r="M160" i="1"/>
  <c r="L160" i="1"/>
  <c r="K160" i="1"/>
  <c r="H160" i="1"/>
  <c r="M159" i="1"/>
  <c r="L159" i="1"/>
  <c r="K159" i="1"/>
  <c r="H159" i="1"/>
  <c r="M158" i="1"/>
  <c r="L158" i="1"/>
  <c r="K158" i="1"/>
  <c r="H158" i="1"/>
  <c r="M157" i="1"/>
  <c r="L157" i="1"/>
  <c r="K157" i="1"/>
  <c r="H157" i="1"/>
  <c r="M156" i="1"/>
  <c r="L156" i="1"/>
  <c r="K156" i="1"/>
  <c r="H156" i="1"/>
  <c r="M155" i="1"/>
  <c r="L155" i="1"/>
  <c r="K155" i="1"/>
  <c r="H155" i="1"/>
  <c r="M154" i="1"/>
  <c r="L154" i="1"/>
  <c r="K154" i="1"/>
  <c r="H154" i="1"/>
  <c r="M153" i="1"/>
  <c r="L153" i="1"/>
  <c r="K153" i="1"/>
  <c r="H153" i="1"/>
  <c r="M152" i="1"/>
  <c r="L152" i="1"/>
  <c r="K152" i="1"/>
  <c r="H152" i="1"/>
  <c r="M151" i="1"/>
  <c r="L151" i="1"/>
  <c r="K151" i="1"/>
  <c r="H151" i="1"/>
  <c r="M150" i="1"/>
  <c r="L150" i="1"/>
  <c r="K150" i="1"/>
  <c r="H150" i="1"/>
  <c r="M149" i="1"/>
  <c r="L149" i="1"/>
  <c r="K149" i="1"/>
  <c r="H149" i="1"/>
  <c r="M148" i="1"/>
  <c r="L148" i="1"/>
  <c r="K148" i="1"/>
  <c r="H148" i="1"/>
  <c r="M147" i="1"/>
  <c r="L147" i="1"/>
  <c r="K147" i="1"/>
  <c r="H147" i="1"/>
  <c r="M146" i="1"/>
  <c r="L146" i="1"/>
  <c r="K146" i="1"/>
  <c r="H146" i="1"/>
  <c r="M145" i="1"/>
  <c r="L145" i="1"/>
  <c r="K145" i="1"/>
  <c r="H145" i="1"/>
  <c r="M144" i="1"/>
  <c r="L144" i="1"/>
  <c r="K144" i="1"/>
  <c r="H144" i="1"/>
  <c r="M143" i="1"/>
  <c r="L143" i="1"/>
  <c r="K143" i="1"/>
  <c r="H143" i="1"/>
  <c r="M142" i="1"/>
  <c r="L142" i="1"/>
  <c r="K142" i="1"/>
  <c r="H142" i="1"/>
  <c r="M141" i="1"/>
  <c r="L141" i="1"/>
  <c r="K141" i="1"/>
  <c r="H141" i="1"/>
  <c r="M140" i="1"/>
  <c r="L140" i="1"/>
  <c r="K140" i="1"/>
  <c r="H140" i="1"/>
  <c r="M139" i="1"/>
  <c r="L139" i="1"/>
  <c r="K139" i="1"/>
  <c r="H139" i="1"/>
  <c r="M138" i="1"/>
  <c r="L138" i="1"/>
  <c r="K138" i="1"/>
  <c r="H138" i="1"/>
  <c r="M137" i="1"/>
  <c r="L137" i="1"/>
  <c r="K137" i="1"/>
  <c r="H137" i="1"/>
  <c r="M136" i="1"/>
  <c r="L136" i="1"/>
  <c r="K136" i="1"/>
  <c r="H136" i="1"/>
  <c r="M135" i="1"/>
  <c r="L135" i="1"/>
  <c r="K135" i="1"/>
  <c r="H135" i="1"/>
  <c r="M134" i="1"/>
  <c r="L134" i="1"/>
  <c r="K134" i="1"/>
  <c r="H134" i="1"/>
  <c r="M133" i="1"/>
  <c r="L133" i="1"/>
  <c r="K133" i="1"/>
  <c r="H133" i="1"/>
  <c r="M132" i="1"/>
  <c r="L132" i="1"/>
  <c r="K132" i="1"/>
  <c r="H132" i="1"/>
  <c r="M131" i="1"/>
  <c r="L131" i="1"/>
  <c r="K131" i="1"/>
  <c r="H131" i="1"/>
  <c r="M130" i="1"/>
  <c r="L130" i="1"/>
  <c r="K130" i="1"/>
  <c r="H130" i="1"/>
  <c r="M129" i="1"/>
  <c r="L129" i="1"/>
  <c r="K129" i="1"/>
  <c r="H129" i="1"/>
  <c r="M128" i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<sst xmlns="http://schemas.openxmlformats.org/spreadsheetml/2006/main" count="6070" uniqueCount="577">
  <si>
    <t>Dettaglio Domande Pagabili Decreto 152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</si>
  <si>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</si>
  <si>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</si>
  <si>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</si>
  <si>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</si>
  <si>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</si>
  <si>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</si>
  <si>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</si>
  <si>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</si>
  <si>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</si>
  <si>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</si>
  <si>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</si>
  <si>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</si>
  <si>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</si>
  <si>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</si>
  <si>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</si>
  <si>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</si>
  <si>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</si>
  <si>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</si>
  <si>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</si>
  <si>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</si>
  <si>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</si>
  <si>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</si>
  <si>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</si>
  <si>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</si>
  <si>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</si>
  <si>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</si>
  <si>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CAA-CAF AGRI S.R.L.</t>
  </si>
  <si>
    <t>NO</t>
  </si>
  <si>
    <t>Trascinamenti</t>
  </si>
  <si>
    <t>In Liquidazione</t>
  </si>
  <si>
    <t>Saldo</t>
  </si>
  <si>
    <t>Co-Finanziato</t>
  </si>
  <si>
    <t>CAA Confagricoltura srl</t>
  </si>
  <si>
    <t>CAA Coldiretti srl</t>
  </si>
  <si>
    <t>Misure Strutturali</t>
  </si>
  <si>
    <t>IN PROPRIO</t>
  </si>
  <si>
    <t>Nuova Programmazione</t>
  </si>
  <si>
    <t>CAA CIA srl</t>
  </si>
  <si>
    <t>CAA Copagri srl</t>
  </si>
  <si>
    <t>SI</t>
  </si>
  <si>
    <t>CAA Liberi Professionisti srl</t>
  </si>
  <si>
    <t>CAA UNICAA srl</t>
  </si>
  <si>
    <t>CAA LiberiAgricoltori srl già CAA AGCI srl</t>
  </si>
  <si>
    <t>CAA degli Agricoltori Srl</t>
  </si>
  <si>
    <t>CAA AGRISERVIZI s.r.l.</t>
  </si>
  <si>
    <t>CAA AGRISERVIZI - MESSINA - 001</t>
  </si>
  <si>
    <t>CAA UNSIC s.r.l.</t>
  </si>
  <si>
    <t>MARCHE</t>
  </si>
  <si>
    <t>SERV. DEC. AGRICOLTURA E ALIMENTAZIONE - ANCONA</t>
  </si>
  <si>
    <t>ORLANDI SILVIA</t>
  </si>
  <si>
    <t>AGEA.ASR.2017.1013712</t>
  </si>
  <si>
    <t>SERV. DEC. AGRICOLTURA E ALIM. -ASCOLI PICENO</t>
  </si>
  <si>
    <t>CAA Coldiretti - ASCOLI PICENO - 010</t>
  </si>
  <si>
    <t>GAGLIARDI FILIPPO</t>
  </si>
  <si>
    <t>AGEA.ASR.2018.0244550</t>
  </si>
  <si>
    <t>CAA CIA - ASCOLI PICENO - 004</t>
  </si>
  <si>
    <t>SALVUCCI GISELLA</t>
  </si>
  <si>
    <t>SERV. DEC. AGRICOLTURA E ALIMENTAZIONE - PESARO</t>
  </si>
  <si>
    <t>CAA CIA - PESARO E URBINO - 008</t>
  </si>
  <si>
    <t>GAGGINI ANNA MARIA</t>
  </si>
  <si>
    <t>VIRGILI GABRIELE</t>
  </si>
  <si>
    <t>CAA CIA - ASCOLI PICENO - 001</t>
  </si>
  <si>
    <t>SASSETTI MARCO</t>
  </si>
  <si>
    <t>SOCIETA' AGRICOLA COCCI GRIFONI LUIGI E GIOVANNI S.S.</t>
  </si>
  <si>
    <t>AGEA.ASR.2018.0244549</t>
  </si>
  <si>
    <t>CAA UNSIC - ASCOLI PICENO - 001</t>
  </si>
  <si>
    <t>QUINZI ARMANDO</t>
  </si>
  <si>
    <t>CAA Coldiretti - ASCOLI PICENO - 025</t>
  </si>
  <si>
    <t>MUCCICHINI MICHELA</t>
  </si>
  <si>
    <t>DI MATTIA SABATINO</t>
  </si>
  <si>
    <t>CIARROCCHI MARINELLA</t>
  </si>
  <si>
    <t>CICCONI CLAUDIO</t>
  </si>
  <si>
    <t>CAA CAF AGRI - FERMO - 221</t>
  </si>
  <si>
    <t>BELLEGGIA MARISA</t>
  </si>
  <si>
    <t>CAA CIA - PESARO E URBINO - 002</t>
  </si>
  <si>
    <t>CASU ANGELA</t>
  </si>
  <si>
    <t>RANELLI MARCO</t>
  </si>
  <si>
    <t>CAA Coldiretti - TERAMO - 006</t>
  </si>
  <si>
    <t>RIPANI EMANUELA</t>
  </si>
  <si>
    <t>CAMELI FEDERICA</t>
  </si>
  <si>
    <t>CAA Coldiretti - PESARO E URBINO - 004</t>
  </si>
  <si>
    <t>SOCIETA' AGRICOLA MAGNANI LEONARDO &amp; AGOSTINO S.S.</t>
  </si>
  <si>
    <t>CAA Confagricoltura - ASCOLI PICENO - 001</t>
  </si>
  <si>
    <t>CINAGLIA LUIGI</t>
  </si>
  <si>
    <t>CAA LiberiAgricoltori - PESARO E URBINO - 001</t>
  </si>
  <si>
    <t>MAGNANI RENZO</t>
  </si>
  <si>
    <t>CAA LiberiAgricoltori - PESARO E URBINO - 002</t>
  </si>
  <si>
    <t>SOCIETA' AGRICOLA SANTA BARBARA S.S.</t>
  </si>
  <si>
    <t>MARSILI ENRICO</t>
  </si>
  <si>
    <t>CAA CIA - PESARO E URBINO - 005</t>
  </si>
  <si>
    <t>BATTISTELLI LUCIA</t>
  </si>
  <si>
    <t>SOCIETA' AGRICOLA FRATELLI NOBILI S.S.</t>
  </si>
  <si>
    <t>AZ. AGR. CARMINUCCI DI PIERLUIGI CARMINUCCI &amp; C</t>
  </si>
  <si>
    <t>CAMAIONI MARIA GIUSEPPINA</t>
  </si>
  <si>
    <t>ALFONSI ALESSANDRO</t>
  </si>
  <si>
    <t>FELIZIANI GIANNI</t>
  </si>
  <si>
    <t>FILIPPONI ALBINO</t>
  </si>
  <si>
    <t>RICCI BRUNO</t>
  </si>
  <si>
    <t>ROSSI GIUSEPPE</t>
  </si>
  <si>
    <t>D'ANDREA ELISEO E CIOTTI ANTONIETTA SOC. SEMPLICE</t>
  </si>
  <si>
    <t>LAMONA GIUSEPPE</t>
  </si>
  <si>
    <t>AZIENDA AGRARIA DELL'ISTITUTO TECNICO AGRARIO STATALE</t>
  </si>
  <si>
    <t>S.A.F.I.P. S.A.S. DI ITALO PIERGALLINI E C.</t>
  </si>
  <si>
    <t>ANGELINI MARIA GRAZIA</t>
  </si>
  <si>
    <t>FELICI ALESSANDRA</t>
  </si>
  <si>
    <t>PORTELLI VALENTINA</t>
  </si>
  <si>
    <t>MALATESTA NICOLA E MARCHEGIANI ANDREINA</t>
  </si>
  <si>
    <t>DI NICOLO' SILVANO</t>
  </si>
  <si>
    <t>INCICCHITTI VALENTINO</t>
  </si>
  <si>
    <t>PALLOTTINI ANDREINA</t>
  </si>
  <si>
    <t>CAA Copagri - ASCOLI PICENO - 401</t>
  </si>
  <si>
    <t>GALANTI GIORGIO</t>
  </si>
  <si>
    <t>PICA ANTONINA</t>
  </si>
  <si>
    <t>CAA Confagricoltura - ANCONA - 001</t>
  </si>
  <si>
    <t>ITALIA SELVATICA S.R.L. AGRICOLA SEMPLIFICATA</t>
  </si>
  <si>
    <t>AGEA.ASR.2018.0244551</t>
  </si>
  <si>
    <t>BERBELLINI PAOLO</t>
  </si>
  <si>
    <t>ISOPI PASQUALE</t>
  </si>
  <si>
    <t>AGRICOLA MONTEFIORE DI LUIGI D'AMBROGI &amp; C. S.N.C.</t>
  </si>
  <si>
    <t>CAA CIA - ASCOLI PICENO - 002</t>
  </si>
  <si>
    <t>DE FILIPPIS MARIA LUCIA</t>
  </si>
  <si>
    <t>GIANGROSSI CRISTIANO</t>
  </si>
  <si>
    <t>MOSTO SELVATICO SOCIETA' SEMPLICE AGRICOLA DI CESONI RAFFAELLO E PARME</t>
  </si>
  <si>
    <t>EREDI VERDICCHIO FILIPPO</t>
  </si>
  <si>
    <t>SILVESTRI GIULIANA</t>
  </si>
  <si>
    <t>QUARESIMA PAOLO</t>
  </si>
  <si>
    <t>BASSETTI EMIDIO</t>
  </si>
  <si>
    <t>ACCIARRI MARIA LAURA</t>
  </si>
  <si>
    <t>CAPRIOTTI LORELLA</t>
  </si>
  <si>
    <t>CAA CIA - ASCOLI PICENO - 006</t>
  </si>
  <si>
    <t>KLEIDORFER JOHANN</t>
  </si>
  <si>
    <t>SPINELLI ROSALBA</t>
  </si>
  <si>
    <t>SPLENDIANI STEFANO</t>
  </si>
  <si>
    <t>CAA CIA - PESARO E URBINO - 007</t>
  </si>
  <si>
    <t>VOLPI ALESSANDRA</t>
  </si>
  <si>
    <t>CASETTARI ROMANO</t>
  </si>
  <si>
    <t>MARTELLI ALESSIA</t>
  </si>
  <si>
    <t>GIDIUCCI CAROLINA</t>
  </si>
  <si>
    <t>RECCHI FRANCESCHINI MARIO ANTONIO</t>
  </si>
  <si>
    <t>CAA CIA - ANCONA - 002</t>
  </si>
  <si>
    <t>BETTARELLI ANNA</t>
  </si>
  <si>
    <t>CAA CIA - ANCONA - 005</t>
  </si>
  <si>
    <t>CARBINI PATRIZIA</t>
  </si>
  <si>
    <t>VOLPONI PAOLA</t>
  </si>
  <si>
    <t>CAA Coldiretti - PESARO E URBINO - 013</t>
  </si>
  <si>
    <t>ROSSI ROMINA</t>
  </si>
  <si>
    <t>CAA CIA - ASCOLI PICENO - 005</t>
  </si>
  <si>
    <t>ANTOGNOZZI GABRIELLA</t>
  </si>
  <si>
    <t>CAA CAF AGRI - ASCOLI PICENO - 221</t>
  </si>
  <si>
    <t>CITERONI GIOACCHINO</t>
  </si>
  <si>
    <t>CAA UNICAA - ASCOLI PICENO - 003</t>
  </si>
  <si>
    <t>PACIONI BARBARA</t>
  </si>
  <si>
    <t>CARMINUCCI GIOVANNI</t>
  </si>
  <si>
    <t>CAA Coldiretti - PESARO E URBINO - 001</t>
  </si>
  <si>
    <t>NARDI CARLO</t>
  </si>
  <si>
    <t>NESPECA GINA</t>
  </si>
  <si>
    <t>SOCIETA' AGRICOLA TERRA E SAPORI DI BALDACCIONI ROMINA E RAIMONDO S.S.</t>
  </si>
  <si>
    <t>AGEA.ASR.2018.0177522</t>
  </si>
  <si>
    <t>SERV. DEC. AGRICOLTURA E ALIM. - MACERATA</t>
  </si>
  <si>
    <t>CAA Coldiretti - MACERATA - 007</t>
  </si>
  <si>
    <t>PENNESI GIUSEPPA</t>
  </si>
  <si>
    <t>AGEA.ASR.2018.0227564</t>
  </si>
  <si>
    <t>CAA Coldiretti - ASCOLI PICENO - 030</t>
  </si>
  <si>
    <t>D'ANGELO SANTINA</t>
  </si>
  <si>
    <t>AGEA.ASR.2018.0192764</t>
  </si>
  <si>
    <t>CAA Coldiretti - MACERATA - 002</t>
  </si>
  <si>
    <t>TITTARELLI SERAFINO</t>
  </si>
  <si>
    <t>CAA CIA - MACERATA - 001</t>
  </si>
  <si>
    <t>PELATELLI ALESSANDRO</t>
  </si>
  <si>
    <t>CAA Coldiretti - MACERATA - 009</t>
  </si>
  <si>
    <t>PONZI TERESA</t>
  </si>
  <si>
    <t>CAA CAF AGRI - MACERATA - 226</t>
  </si>
  <si>
    <t>POPOV IGOR</t>
  </si>
  <si>
    <t>CAA Coldiretti - MACERATA - 008</t>
  </si>
  <si>
    <t>PIERSANTI INES</t>
  </si>
  <si>
    <t>RANTICA ADELE</t>
  </si>
  <si>
    <t>CAA LiberiAgricoltori - MACERATA - 001</t>
  </si>
  <si>
    <t>RAPONI ELISABETTA</t>
  </si>
  <si>
    <t>CAA Coldiretti - MACERATA - 018</t>
  </si>
  <si>
    <t>RESCHINI EMANUELE</t>
  </si>
  <si>
    <t>CAA CAF AGRI - MACERATA - 224</t>
  </si>
  <si>
    <t>QUATRINI EMILIO</t>
  </si>
  <si>
    <t>CAA Confagricoltura - MACERATA - 001</t>
  </si>
  <si>
    <t>QUINTABA' STEFANO</t>
  </si>
  <si>
    <t>RAMADORI MARIO</t>
  </si>
  <si>
    <t>RAMADORI ALBERTO</t>
  </si>
  <si>
    <t>CAA CAF AGRI - MACERATA - 223</t>
  </si>
  <si>
    <t>QUAGLIUZZI FABIO</t>
  </si>
  <si>
    <t>QUARCHIONI NAZARENO</t>
  </si>
  <si>
    <t>PETRUCCI SUSANNA</t>
  </si>
  <si>
    <t>CAA Copagri - MACERATA - 503</t>
  </si>
  <si>
    <t>PETRACCI GABRIELLA</t>
  </si>
  <si>
    <t>TANTUCCI ARMANDO</t>
  </si>
  <si>
    <t>CAA UNICAA - MACERATA - 002</t>
  </si>
  <si>
    <t>PASQUALI MARIO</t>
  </si>
  <si>
    <t>CAA Coldiretti - MACERATA - 017</t>
  </si>
  <si>
    <t>PALLOTTI FABRIZIO</t>
  </si>
  <si>
    <t>CAA Coldiretti - MACERATA - 010</t>
  </si>
  <si>
    <t>PALMIZI RENZO</t>
  </si>
  <si>
    <t>PANICHI LIA</t>
  </si>
  <si>
    <t>PANTANETTI ROSITA</t>
  </si>
  <si>
    <t>OSIMANI MARIO</t>
  </si>
  <si>
    <t>PAGNANELLI MILENA</t>
  </si>
  <si>
    <t>ORAZI LAURO</t>
  </si>
  <si>
    <t>MONTEVERDE GIOVANNI</t>
  </si>
  <si>
    <t>IMMOBILIARE AGRICOLA MONTETORTO SRL</t>
  </si>
  <si>
    <t>MORELLI ANGELA</t>
  </si>
  <si>
    <t>MOSCIATTI PAOLO</t>
  </si>
  <si>
    <t>MOCHI ENNIO</t>
  </si>
  <si>
    <t>MERLINI RENZO</t>
  </si>
  <si>
    <t>MICUCCI GALLIANO</t>
  </si>
  <si>
    <t>MENCHI NAZZARENO</t>
  </si>
  <si>
    <t>MARINOZZI GIOVANNA</t>
  </si>
  <si>
    <t>MASSUCCI GIAMMARIO</t>
  </si>
  <si>
    <t>MAPONI ELIO</t>
  </si>
  <si>
    <t>MARCANTONELLI EZIO</t>
  </si>
  <si>
    <t>LUCHETTA PIERINO</t>
  </si>
  <si>
    <t>LUCARELLI MARIA LUISA</t>
  </si>
  <si>
    <t>LUCARELLI MAURIZIO</t>
  </si>
  <si>
    <t>LAPPONI BLANDINA</t>
  </si>
  <si>
    <t>LE STROPPIGLIOSE SOCIETA' AGRICOLA SEMPLICE</t>
  </si>
  <si>
    <t>FRANCIONI FERDINANDO</t>
  </si>
  <si>
    <t>ANGELONI PAOLO</t>
  </si>
  <si>
    <t>ANDREOZZI ARMANDO</t>
  </si>
  <si>
    <t>MESCHINI ANNA</t>
  </si>
  <si>
    <t>MARINUCCI EURO</t>
  </si>
  <si>
    <t>MASSUCCI MASSIMO</t>
  </si>
  <si>
    <t>MAMMANA GABRIELE</t>
  </si>
  <si>
    <t>ILARI PAOLO</t>
  </si>
  <si>
    <t>GROSSO ANTONIO</t>
  </si>
  <si>
    <t>DI LORENZO ALESSANDRO</t>
  </si>
  <si>
    <t>MICHETTI GIUSEPPE</t>
  </si>
  <si>
    <t>CAA Coldiretti - FERMO - 001</t>
  </si>
  <si>
    <t>TACCONI FRANCESCA</t>
  </si>
  <si>
    <t>CAA Coldiretti - ASCOLI PICENO - 040</t>
  </si>
  <si>
    <t>SOCIETA' AGRICOLA COLLE DEL GIGLIO ARL</t>
  </si>
  <si>
    <t>MARILUNGO GABRIELE</t>
  </si>
  <si>
    <t>VAGNONI ALESSANDRINA</t>
  </si>
  <si>
    <t>VAGNARELLI ANNA MARIA</t>
  </si>
  <si>
    <t>CAA CAF AGRI - ANCONA - 221</t>
  </si>
  <si>
    <t>DOLCINI SERGIO</t>
  </si>
  <si>
    <t>CAA Copagri - ANCONA - 504</t>
  </si>
  <si>
    <t>NOCCIOLI DINO</t>
  </si>
  <si>
    <t>CAA Degli Agricoltori - ANCONA - 101</t>
  </si>
  <si>
    <t>PAESANI LEONELLO</t>
  </si>
  <si>
    <t>MERIGGI ANTONELLA</t>
  </si>
  <si>
    <t>LUCARELLI VALERIO</t>
  </si>
  <si>
    <t>DILETTI GIOVANNI</t>
  </si>
  <si>
    <t>CORRADETTI RENATO</t>
  </si>
  <si>
    <t>CACCIATORI MASSIMO CLITO</t>
  </si>
  <si>
    <t>CAA CAF AGRI - FERMO - 222</t>
  </si>
  <si>
    <t>VIRGILI GIULIA</t>
  </si>
  <si>
    <t>OLIVIERI OLIVIERO</t>
  </si>
  <si>
    <t>CAA CAF AGRI - ANCONA - 225</t>
  </si>
  <si>
    <t>CARLONI SIMONE</t>
  </si>
  <si>
    <t>CECCARELLI SONIA</t>
  </si>
  <si>
    <t>BLASI GIORGIO</t>
  </si>
  <si>
    <t>CAA Coldiretti - ANCONA - 006</t>
  </si>
  <si>
    <t>CIMARELLI TERESA</t>
  </si>
  <si>
    <t>TIBURTINI MARIA RITA</t>
  </si>
  <si>
    <t>FORTUNATI DAVIDE</t>
  </si>
  <si>
    <t>CAA CIA - ANCONA - 004</t>
  </si>
  <si>
    <t>FRABONI KATIA</t>
  </si>
  <si>
    <t>AMABILI MARIA GRAZIA</t>
  </si>
  <si>
    <t>STACCHIOTTI GIANLUCA</t>
  </si>
  <si>
    <t>ORADEI MARCO</t>
  </si>
  <si>
    <t>PATERNIANI DOMENICO</t>
  </si>
  <si>
    <t>CARLINI PIO</t>
  </si>
  <si>
    <t>FRATTINI LAURA</t>
  </si>
  <si>
    <t>MONALDI BRUNO</t>
  </si>
  <si>
    <t>VIOZZI MASSIMILIANO</t>
  </si>
  <si>
    <t>CHICHI LEGRINA</t>
  </si>
  <si>
    <t>BASSETTI DONATELLA</t>
  </si>
  <si>
    <t>TACCONI ROSINA</t>
  </si>
  <si>
    <t>LANCIOTTI ROBERTO</t>
  </si>
  <si>
    <t>ACCORSI FAUSTA</t>
  </si>
  <si>
    <t>GEMINIANI PIERO E BASILIDE SOCIETA' SEMPLICE</t>
  </si>
  <si>
    <t>ALBERTI ITALO</t>
  </si>
  <si>
    <t>PALLONI ROBERTA</t>
  </si>
  <si>
    <t>TRAINI BERNARDINO PIER LUIGI</t>
  </si>
  <si>
    <t>RIPANI ENZO</t>
  </si>
  <si>
    <t>GOBBI TIZIANA</t>
  </si>
  <si>
    <t>ALEANDRI LUIGI</t>
  </si>
  <si>
    <t>ILLUMINATI FILIPPO</t>
  </si>
  <si>
    <t>MOZZONI GUERRINO</t>
  </si>
  <si>
    <t>ILLUMINATI NICOLINO</t>
  </si>
  <si>
    <t>SEGHETTI EMILIO</t>
  </si>
  <si>
    <t>IOBBI RENATA</t>
  </si>
  <si>
    <t>POLINI LUIGI</t>
  </si>
  <si>
    <t>VILLA DOMENICO</t>
  </si>
  <si>
    <t>LAFIN SONIA</t>
  </si>
  <si>
    <t>PETROCCHI LUIGI</t>
  </si>
  <si>
    <t>CAPRIOTTI CAMILLO</t>
  </si>
  <si>
    <t>CAA Coldiretti - ASCOLI PICENO - 015</t>
  </si>
  <si>
    <t>NARDONI DONATELLA</t>
  </si>
  <si>
    <t>STIPA CARLA</t>
  </si>
  <si>
    <t>CAA Coldiretti - ANCONA - 002</t>
  </si>
  <si>
    <t>CAMPIONI FRANCESCO</t>
  </si>
  <si>
    <t>CECCHINI FRANCESCO</t>
  </si>
  <si>
    <t>CEDOLA AROLDO</t>
  </si>
  <si>
    <t>LA CITTADELLA DEI MONTI SIBILLINI - SOCIETA' A RESPONSABILITA' LIMITAT</t>
  </si>
  <si>
    <t>CAA Coldiretti - ANCONA - 003</t>
  </si>
  <si>
    <t>COCCIARINI GIANFRANCO</t>
  </si>
  <si>
    <t>FERRANTI FRANCO</t>
  </si>
  <si>
    <t>CAA CIA - ANCONA - 003</t>
  </si>
  <si>
    <t>FORESTIERE ROSINA</t>
  </si>
  <si>
    <t>VOLUNNI LUCIANO</t>
  </si>
  <si>
    <t>BARCHETTA DOMENICO</t>
  </si>
  <si>
    <t>PAGGI ERNESTO</t>
  </si>
  <si>
    <t>PANZINI FRANCA</t>
  </si>
  <si>
    <t>PAOLUCCI MARIA</t>
  </si>
  <si>
    <t>VALORI GIULIA</t>
  </si>
  <si>
    <t>SILENZI GIOVANNA</t>
  </si>
  <si>
    <t>EOS GROUP SRL</t>
  </si>
  <si>
    <t>D'ERASMO ORNELLA</t>
  </si>
  <si>
    <t>VECCHIOTTI PIERPAOLO</t>
  </si>
  <si>
    <t>PITTORI GIUSEPPINA</t>
  </si>
  <si>
    <t>NAVONE CLAUDIO MARIA</t>
  </si>
  <si>
    <t>PULITA FAUSTO</t>
  </si>
  <si>
    <t>RADONI IVANA</t>
  </si>
  <si>
    <t>RAMINI ISABELLA</t>
  </si>
  <si>
    <t>SPINA FRANCO</t>
  </si>
  <si>
    <t>ROTOLONI IDA MARIA</t>
  </si>
  <si>
    <t>CAA CAF AGRI - ANCONA - 224</t>
  </si>
  <si>
    <t>SAGRATI PATRIZIA</t>
  </si>
  <si>
    <t>CAA CAF AGRI - ANCONA - 226</t>
  </si>
  <si>
    <t>SANSEVERINATI ISIDORO</t>
  </si>
  <si>
    <t>STRACCIA MARISA</t>
  </si>
  <si>
    <t>VAGNONI PATRIZIA</t>
  </si>
  <si>
    <t>VALLORANI BERNARDINA</t>
  </si>
  <si>
    <t>VECCIA VINCENZO</t>
  </si>
  <si>
    <t>ZEPPILLI DOMENICA</t>
  </si>
  <si>
    <t>FALCIONI AMATO</t>
  </si>
  <si>
    <t>FALCIONI MAURIZIO</t>
  </si>
  <si>
    <t>DIVISI FERDINANDO</t>
  </si>
  <si>
    <t>CERRETANI GIANNI</t>
  </si>
  <si>
    <t>DE ANGELIS NICOLA</t>
  </si>
  <si>
    <t>CAA UNICAA - ASCOLI PICENO - 004</t>
  </si>
  <si>
    <t>CURZI VINCENZO</t>
  </si>
  <si>
    <t>COSSIGNANI GIONE</t>
  </si>
  <si>
    <t>CAPRIOTTI PIETRO</t>
  </si>
  <si>
    <t>COLLINA GIUSEPPINA</t>
  </si>
  <si>
    <t>DE BELLIS ENNIA</t>
  </si>
  <si>
    <t>LUCIDI LUIGINA</t>
  </si>
  <si>
    <t>LIBERTI PACIFICO</t>
  </si>
  <si>
    <t>MARCANTONI CANDIDO</t>
  </si>
  <si>
    <t>PALINI PATRIZIA</t>
  </si>
  <si>
    <t>CARLETTI ROSSELLA</t>
  </si>
  <si>
    <t>SOBRINI DUILIO</t>
  </si>
  <si>
    <t>CALVARESI GISELLA</t>
  </si>
  <si>
    <t>CARZEDDA LUCIA</t>
  </si>
  <si>
    <t>CATERA ROSA</t>
  </si>
  <si>
    <t>TOMASSINI GIOVANNI</t>
  </si>
  <si>
    <t>CESARONI GIULIANO</t>
  </si>
  <si>
    <t>CAA UNICAA - ANCONA - 003</t>
  </si>
  <si>
    <t>BASTARI CRISTIANO</t>
  </si>
  <si>
    <t>SCREPANTI PRIMO</t>
  </si>
  <si>
    <t>DEL GATTO SAMUELE</t>
  </si>
  <si>
    <t>ACCIARRI CARLETTO</t>
  </si>
  <si>
    <t>CAA CAF AGRI - ANCONA - 228</t>
  </si>
  <si>
    <t>RAGNI TIZIANO</t>
  </si>
  <si>
    <t>MORICI GIULIANO</t>
  </si>
  <si>
    <t>MONTESI ANNA ROSA</t>
  </si>
  <si>
    <t>MOSCONI MALVINA</t>
  </si>
  <si>
    <t>MOSCONI MARIA</t>
  </si>
  <si>
    <t>CAA Coldiretti - ANCONA - 008</t>
  </si>
  <si>
    <t>NENCI SIMONA</t>
  </si>
  <si>
    <t>OMENETTI FLAVIO</t>
  </si>
  <si>
    <t>PAOLETTI GIANCARLO</t>
  </si>
  <si>
    <t>CAA Coldiretti - ANCONA - 004</t>
  </si>
  <si>
    <t>PARROCCHIA SAN GREGORIO MAGNO -PIANELLO DI OSTRA</t>
  </si>
  <si>
    <t>PITTORI DANILO</t>
  </si>
  <si>
    <t>PUGNALONI CRISTINA</t>
  </si>
  <si>
    <t>TRAINI ADRIANO</t>
  </si>
  <si>
    <t>SOCIETA' AGRICOLA 'SANA FRUX' DI ANTOGNOZZI S.S.</t>
  </si>
  <si>
    <t>TOMASSETTI CLAUDIA</t>
  </si>
  <si>
    <t>TOSI COSTANTINO</t>
  </si>
  <si>
    <t>VAGNONI DARIO</t>
  </si>
  <si>
    <t>VENAROTTA MARIA</t>
  </si>
  <si>
    <t>VILLA RITA</t>
  </si>
  <si>
    <t>VILLA SANTA GIUSEPPINA</t>
  </si>
  <si>
    <t>AGEA.ASR.2018.0184539</t>
  </si>
  <si>
    <t>CAA CIA - ANCONA - 001</t>
  </si>
  <si>
    <t>NUMIDI LUCIA</t>
  </si>
  <si>
    <t>PAOLUCCI EMMA</t>
  </si>
  <si>
    <t>PELONI COSTANTINO</t>
  </si>
  <si>
    <t>ROSORANI NADIA</t>
  </si>
  <si>
    <t>ZANETTE ANDREA</t>
  </si>
  <si>
    <t>AMADIO FRANCESCO</t>
  </si>
  <si>
    <t>COSCARELLA GRAZIELLA</t>
  </si>
  <si>
    <t>ERCOLI FIORINDO</t>
  </si>
  <si>
    <t>MATRICARDI MARIA TERESA</t>
  </si>
  <si>
    <t>FIORI IVANA</t>
  </si>
  <si>
    <t>GALANDRINI GIORGIO</t>
  </si>
  <si>
    <t>AGEA.ASR.2018.0095130</t>
  </si>
  <si>
    <t>GALLUCCI GIUSEPPE</t>
  </si>
  <si>
    <t>GALLUCCI ROBERTO</t>
  </si>
  <si>
    <t>GENKE LEHER IRMGARD ELISABETH</t>
  </si>
  <si>
    <t>GIROLAMI GIUSEPPE</t>
  </si>
  <si>
    <t>CALVARESI GABRIELLA</t>
  </si>
  <si>
    <t>CARDI ALBERTO</t>
  </si>
  <si>
    <t>CATERVI ANNA</t>
  </si>
  <si>
    <t>CANDIDORI LUCA</t>
  </si>
  <si>
    <t>BARBAGIANNI GIOVANNI</t>
  </si>
  <si>
    <t>BELLABARBA VITALIANA</t>
  </si>
  <si>
    <t>BISCONTI RENATA</t>
  </si>
  <si>
    <t>SPECA MONICA</t>
  </si>
  <si>
    <t>TOMASSETTI EZIO</t>
  </si>
  <si>
    <t>TOTO' GRAZIANO</t>
  </si>
  <si>
    <t>ZALLOCCO ENRICA</t>
  </si>
  <si>
    <t>MORICI LUIGI</t>
  </si>
  <si>
    <t>MARONI NAZZARENO</t>
  </si>
  <si>
    <t>MIGNI ERSILIA</t>
  </si>
  <si>
    <t>ZAMPONI FRANCO</t>
  </si>
  <si>
    <t>MILANI PIETRO</t>
  </si>
  <si>
    <t>SIRB MONICA-DANIELA</t>
  </si>
  <si>
    <t>ROGANI EMANUELE</t>
  </si>
  <si>
    <t>ROMAGNOLI NICOLINA</t>
  </si>
  <si>
    <t>PASSACANTANDO ANDREA</t>
  </si>
  <si>
    <t>PAOLUCCI AGOSTINO</t>
  </si>
  <si>
    <t>CAA CAF AGRI - ASCOLI PICENO - 222</t>
  </si>
  <si>
    <t>BASTIANI GRAZIANO</t>
  </si>
  <si>
    <t>SOCIETA' AGRICOLA BIOLCA SOCIETA' SEMPLICE</t>
  </si>
  <si>
    <t>TESTA RITA</t>
  </si>
  <si>
    <t>TITTARELLI ISIDORO</t>
  </si>
  <si>
    <t>MUZI GUIDO</t>
  </si>
  <si>
    <t>TORRESI ENRICO</t>
  </si>
  <si>
    <t>TRAINI ANTONELLA</t>
  </si>
  <si>
    <t>VALCERASA SAS DI CAMPETELLA FABIO &amp; C.</t>
  </si>
  <si>
    <t>VALENTI CAMILLO</t>
  </si>
  <si>
    <t>VISSANI FAUSTO</t>
  </si>
  <si>
    <t>VITA GABRIELE</t>
  </si>
  <si>
    <t>GROSSI MARIA-LUISA</t>
  </si>
  <si>
    <t>MIGNI IGINIA</t>
  </si>
  <si>
    <t>MARINOZZI ANNA</t>
  </si>
  <si>
    <t>MARZIALI ALBERTO</t>
  </si>
  <si>
    <t>MARZIALI MARCO</t>
  </si>
  <si>
    <t>MATTOZZI GIUSEPPE</t>
  </si>
  <si>
    <t>MERCURI RITA</t>
  </si>
  <si>
    <t>BONCI GIANFRANCO</t>
  </si>
  <si>
    <t>MERCURI MAURIZIO, ANTONIO E ROSSI ADAMO</t>
  </si>
  <si>
    <t>MERCURI ANTONIETTA</t>
  </si>
  <si>
    <t>MERCURI MARISA</t>
  </si>
  <si>
    <t>MARZIALI DOMENICO</t>
  </si>
  <si>
    <t>TARTARELLI MARIELLA</t>
  </si>
  <si>
    <t>SOCIETA' AGRICOLA VIVACE SNC</t>
  </si>
  <si>
    <t>NATALI ADELE</t>
  </si>
  <si>
    <t>OLIVIERI CRISTIANO</t>
  </si>
  <si>
    <t>ORTENZI CHRISTIAN</t>
  </si>
  <si>
    <t>PACI CLARETTI DINO</t>
  </si>
  <si>
    <t>PENNESI FABIOLA</t>
  </si>
  <si>
    <t>PETROCCHI RODOLFO</t>
  </si>
  <si>
    <t>POMPOZZI SILVANA</t>
  </si>
  <si>
    <t>PULCINI LUCIANA</t>
  </si>
  <si>
    <t>ROCCHI RENATA</t>
  </si>
  <si>
    <t>ROSSI ROSA</t>
  </si>
  <si>
    <t>LAGI MAURIZIO</t>
  </si>
  <si>
    <t>LIVEROTTI OLIVIERO</t>
  </si>
  <si>
    <t>SOCIETA' AGRICOLA BINI S.S.</t>
  </si>
  <si>
    <t>SOCIETA' AGRICOLA SALVATELLI MASSIMO-PATRIZIA E CIPOLLETTA ALBINA S.S.</t>
  </si>
  <si>
    <t>FAGIANI DECIO</t>
  </si>
  <si>
    <t>FAGIANI DELIO</t>
  </si>
  <si>
    <t>FEBI FRATELLI IMPRESA AGRICOLA</t>
  </si>
  <si>
    <t>FRANCHI MARIANO</t>
  </si>
  <si>
    <t>DICHIARA EGIDIO</t>
  </si>
  <si>
    <t>DI ZIO ANNA ANTONIETTA</t>
  </si>
  <si>
    <t>AGOSTINI RODOLFO</t>
  </si>
  <si>
    <t>ALEANDRI EMILIO</t>
  </si>
  <si>
    <t>ANGELICI EMILIA</t>
  </si>
  <si>
    <t>ANGELINI MARIA</t>
  </si>
  <si>
    <t>ANGELINI MARINUCCI ALDO</t>
  </si>
  <si>
    <t>ANGELINI PAOLO</t>
  </si>
  <si>
    <t>TESTA CESARE-MARIA</t>
  </si>
  <si>
    <t>CAMPELLO MAURIZIO</t>
  </si>
  <si>
    <t>SOCIETA' AGRICOLA - PISELLI PIETRO E C. SOC. SEMPLICE</t>
  </si>
  <si>
    <t>SAGRIPANTI CLAUDIO</t>
  </si>
  <si>
    <t>FALCONI GIANCARLO</t>
  </si>
  <si>
    <t>EREDI ANTOGNOZZI GUERINO</t>
  </si>
  <si>
    <t>RUBICONDO FEDERICA</t>
  </si>
  <si>
    <t>SALVI PIERINA</t>
  </si>
  <si>
    <t>SALVUCCI GIANNINA</t>
  </si>
  <si>
    <t>SALVUCCI SAURO</t>
  </si>
  <si>
    <t>SANTORI MARISA</t>
  </si>
  <si>
    <t>SCIAMANNA SILVANA</t>
  </si>
  <si>
    <t>MARINACCI FILOMENA</t>
  </si>
  <si>
    <t>ERMINI NICOLA</t>
  </si>
  <si>
    <t>CAA CAF AGRI - PESARO E URBINO - 221</t>
  </si>
  <si>
    <t>ANICI MARTA</t>
  </si>
  <si>
    <t>CAA Coldiretti - RIMINI - 002</t>
  </si>
  <si>
    <t>BARZAGLI ROBERTA</t>
  </si>
  <si>
    <t>BENOFFI ANTONIETTA</t>
  </si>
  <si>
    <t>CAPPANNARI PERLA</t>
  </si>
  <si>
    <t>SOCIETA' AGRICOLA SIMONCINI DI SIMONCINI PIERPAOLO E GIUNGI MANUELA SO</t>
  </si>
  <si>
    <t>CAA Confagricoltura - PESARO E URBINO - 001</t>
  </si>
  <si>
    <t>ARCA VINCENZO</t>
  </si>
  <si>
    <t>ANGELINI DINO</t>
  </si>
  <si>
    <t>CAA Coldiretti - PESARO E URBINO - 007</t>
  </si>
  <si>
    <t>BERLONI ANTONIO</t>
  </si>
  <si>
    <t>BIANCHI GIACOMO</t>
  </si>
  <si>
    <t>SERRA GRAZIELLA</t>
  </si>
  <si>
    <t>SCREPANTE MARISA</t>
  </si>
  <si>
    <t>SANTONI GRAZIELLA</t>
  </si>
  <si>
    <t>SIROCCHI PASQUALINA</t>
  </si>
  <si>
    <t>SISTI EMILIO</t>
  </si>
  <si>
    <t>BRACALENTI ANTONIA</t>
  </si>
  <si>
    <t>MENGHI LINA</t>
  </si>
  <si>
    <t>AGRI.CO. S.A.S. DI CIPOLLETTI RENO &amp; C.</t>
  </si>
  <si>
    <t>NICOLINI ROLANDO</t>
  </si>
  <si>
    <t>ELEUTERI ROSALBA</t>
  </si>
  <si>
    <t>CAA CIA - PESARO E URBINO - 006</t>
  </si>
  <si>
    <t>CARRADORINI GABRIELLA</t>
  </si>
  <si>
    <t>D'AGOSTINO ALBERICO</t>
  </si>
  <si>
    <t>CAA CAF AGRI - PESARO E URBINO - 222</t>
  </si>
  <si>
    <t>EUSEPI ALFONSO</t>
  </si>
  <si>
    <t>GIOVAGNOLI PIO</t>
  </si>
  <si>
    <t>GIOVANETTI RENZO</t>
  </si>
  <si>
    <t>MAZZANTI NEVIO</t>
  </si>
  <si>
    <t>MORONI MAURIZIO</t>
  </si>
  <si>
    <t>ROCCHETTI SILVANO</t>
  </si>
  <si>
    <t>CAA Coldiretti - PESARO E URBINO - 008</t>
  </si>
  <si>
    <t>PAGNONI MARCO STEFANO</t>
  </si>
  <si>
    <t>CAA UNICAA - PESARO E URBINO - 003</t>
  </si>
  <si>
    <t>TAMANTI LOREDANA</t>
  </si>
  <si>
    <t>TURI TERESA</t>
  </si>
  <si>
    <t>ZAFFARESE DOMENICA MARIA</t>
  </si>
  <si>
    <t>ZIOSI STEFANO</t>
  </si>
  <si>
    <t>GAMBINI MAURIZIO</t>
  </si>
  <si>
    <t>BRUSCOLI NADIA</t>
  </si>
  <si>
    <t>DONNINI TONINO</t>
  </si>
  <si>
    <t>CAA CIA - PESARO E URBINO - 001</t>
  </si>
  <si>
    <t>MARCHETTI MANLIO</t>
  </si>
  <si>
    <t>FIORELLI GIAMPIERO</t>
  </si>
  <si>
    <t>ROMAGNOLI GIUSEPPE</t>
  </si>
  <si>
    <t>CIRIACI TOMMASO</t>
  </si>
  <si>
    <t>TIZI SANDRO</t>
  </si>
  <si>
    <t>TRAPE' LITTORIA</t>
  </si>
  <si>
    <t>MAFFEI MARCO</t>
  </si>
  <si>
    <t>VIOLINI SESTILIO</t>
  </si>
  <si>
    <t>MALAVOLTA GIUSEPPE</t>
  </si>
  <si>
    <t>CAA Liberi Prof.- PESARO E URBINO - 001</t>
  </si>
  <si>
    <t>CARDONI PIER VINCENZO</t>
  </si>
  <si>
    <t>STRAPPAVECCIA PAOLO</t>
  </si>
  <si>
    <t>TAFFETANI FRANCO</t>
  </si>
  <si>
    <t>POSSANZINI GIANLUIGI</t>
  </si>
  <si>
    <t>F &amp; G S.R.L.</t>
  </si>
  <si>
    <t>FAGIANI GIANCARLO</t>
  </si>
  <si>
    <t>SALVUCCI LUCIA</t>
  </si>
  <si>
    <t>CAA Coldiretti - RIMINI - 005</t>
  </si>
  <si>
    <t>BOTTICELLI AGOSTINO</t>
  </si>
  <si>
    <t>SCHEGGIA SERAFINO</t>
  </si>
  <si>
    <t>SIMONETTI GENTILINA</t>
  </si>
  <si>
    <t>MEGHINI ADRIANA</t>
  </si>
  <si>
    <t>KINDERMANN HELMUT FELIX</t>
  </si>
  <si>
    <t>FRATTESI MARINELLA</t>
  </si>
  <si>
    <t>CONCETTONI PAOLO</t>
  </si>
  <si>
    <t>COTECHINI FRANCA</t>
  </si>
  <si>
    <t>ACCIARRESI MAURIZIA</t>
  </si>
  <si>
    <t>ACCIARRI LUIGINA</t>
  </si>
  <si>
    <t>ACCIARRI VINCENZO</t>
  </si>
  <si>
    <t>ALLEVI FRANCO</t>
  </si>
  <si>
    <t>CAPPELLA GIOVANNA</t>
  </si>
  <si>
    <t>AMABILI DINO</t>
  </si>
  <si>
    <t>ARRAGONI EMIDIO</t>
  </si>
  <si>
    <t>BONFIGLI GIANANGELO</t>
  </si>
  <si>
    <t>BORRONI FAUSTO</t>
  </si>
  <si>
    <t>DI GIACOMI ALDO</t>
  </si>
  <si>
    <t>DE PAOLIS ERMINIA</t>
  </si>
  <si>
    <t>CANCELLIERI GIANFRANCA</t>
  </si>
  <si>
    <t>BRUNI MARIA</t>
  </si>
  <si>
    <t>MARCACCINI MATTEO</t>
  </si>
  <si>
    <t>MAUGHELLI BEATRICE</t>
  </si>
  <si>
    <t>MONTI ATTILIO</t>
  </si>
  <si>
    <t>MOSCATELLI SIMONETTA</t>
  </si>
  <si>
    <t>CIACCI MASSIMO</t>
  </si>
  <si>
    <t>MANNARA SERGIO</t>
  </si>
  <si>
    <t>BURATTI 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</si>
</sst>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E4EA8-5471-41AB-A329-FAD8181FEA48}">
  <dimension ref="A1:X468"/>
  <sheetViews>
    <sheetView showGridLines="0" tabSelected="1" workbookViewId="0">
      <selection activeCell="F472" sqref="F472"/>
    </sheetView>
  </sheetViews>
  <sheetFormatPr defaultRowHeight="15" x14ac:dyDescent="0.25"/>
  <cols>
    <col min="1" max="1" width="15.5703125" style="4" bestFit="1" customWidth="1"/>
    <col min="2" max="2" width="16.28515625" style="4" bestFit="1" customWidth="1"/>
    <col min="3" max="3" width="18.42578125" style="4" bestFit="1" customWidth="1"/>
    <col min="4" max="4" width="36.5703125" style="4" bestFit="1" customWidth="1"/>
    <col min="5" max="5" width="32.42578125" style="4" bestFit="1" customWidth="1"/>
    <col min="6" max="6" width="36.5703125" style="4" bestFit="1" customWidth="1"/>
    <col min="7" max="7" width="8.42578125" style="4" bestFit="1" customWidth="1"/>
    <col min="8" max="8" width="12.7109375" style="4" bestFit="1" customWidth="1"/>
    <col min="9" max="9" width="21.140625" style="4" bestFit="1" customWidth="1"/>
    <col min="10" max="10" width="20.140625" style="4" bestFit="1" customWidth="1"/>
    <col min="11" max="12" width="17" style="4" bestFit="1" customWidth="1"/>
    <col min="13" max="13" width="23" style="4" customWidth="1"/>
    <col min="14" max="14" width="36.5703125" style="4" bestFit="1" customWidth="1"/>
    <col min="15" max="15" width="18.85546875" style="4" bestFit="1" customWidth="1"/>
    <col min="16" max="16" width="23" style="4" bestFit="1" customWidth="1"/>
    <col min="17" max="17" width="16.28515625" style="4" bestFit="1" customWidth="1"/>
    <col min="18" max="18" width="17.85546875" style="4" bestFit="1" customWidth="1"/>
    <col min="19" max="19" width="20.28515625" style="4" bestFit="1" customWidth="1"/>
    <col min="20" max="20" width="18.42578125" style="4" bestFit="1" customWidth="1"/>
    <col min="21" max="21" width="24.5703125" style="4" bestFit="1" customWidth="1"/>
    <col min="22" max="23" width="27.140625" style="4" bestFit="1" customWidth="1"/>
    <col min="24" max="24" width="33.85546875" style="4" bestFit="1" customWidth="1"/>
    <col min="25" max="16384" width="9.140625" style="4"/>
  </cols>
  <sheetData>
    <row r="1" spans="1:2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</row>
    <row r="4" spans="1:24" ht="24.75" x14ac:dyDescent="0.25">
      <c r="A4" s="6" t="s">
        <v>25</v>
      </c>
      <c r="B4" s="6" t="s">
        <v>35</v>
      </c>
      <c r="C4" s="6" t="s">
        <v>48</v>
      </c>
      <c r="D4" s="6" t="s">
        <v>49</v>
      </c>
      <c r="E4" s="6" t="s">
        <v>36</v>
      </c>
      <c r="F4" s="6" t="s">
        <v>36</v>
      </c>
      <c r="G4" s="6">
        <v>2017</v>
      </c>
      <c r="H4" s="6" t="str">
        <f>CONCATENATE("74270010387")</f>
        <v>74270010387</v>
      </c>
      <c r="I4" s="6" t="s">
        <v>28</v>
      </c>
      <c r="J4" s="6" t="s">
        <v>37</v>
      </c>
      <c r="K4" s="6" t="str">
        <f>CONCATENATE("")</f>
        <v/>
      </c>
      <c r="L4" s="6" t="str">
        <f>CONCATENATE("4 4.1 2a")</f>
        <v>4 4.1 2a</v>
      </c>
      <c r="M4" s="6" t="str">
        <f>CONCATENATE("RLNSLV77S66E388V")</f>
        <v>RLNSLV77S66E388V</v>
      </c>
      <c r="N4" s="6" t="s">
        <v>50</v>
      </c>
      <c r="O4" s="6" t="s">
        <v>51</v>
      </c>
      <c r="P4" s="7">
        <v>43019</v>
      </c>
      <c r="Q4" s="6" t="s">
        <v>30</v>
      </c>
      <c r="R4" s="6" t="s">
        <v>31</v>
      </c>
      <c r="S4" s="6" t="s">
        <v>32</v>
      </c>
      <c r="T4" s="8">
        <v>10080</v>
      </c>
      <c r="U4" s="8">
        <v>4346.5</v>
      </c>
      <c r="V4" s="8">
        <v>4013.86</v>
      </c>
      <c r="W4" s="6">
        <v>0</v>
      </c>
      <c r="X4" s="8">
        <v>1719.64</v>
      </c>
    </row>
    <row r="5" spans="1:24" ht="24.75" x14ac:dyDescent="0.25">
      <c r="A5" s="6" t="s">
        <v>25</v>
      </c>
      <c r="B5" s="6" t="s">
        <v>26</v>
      </c>
      <c r="C5" s="6" t="s">
        <v>48</v>
      </c>
      <c r="D5" s="6" t="s">
        <v>52</v>
      </c>
      <c r="E5" s="6" t="s">
        <v>34</v>
      </c>
      <c r="F5" s="6" t="s">
        <v>53</v>
      </c>
      <c r="G5" s="6">
        <v>2017</v>
      </c>
      <c r="H5" s="6" t="str">
        <f>CONCATENATE("74770289028")</f>
        <v>74770289028</v>
      </c>
      <c r="I5" s="6" t="s">
        <v>28</v>
      </c>
      <c r="J5" s="6" t="s">
        <v>29</v>
      </c>
      <c r="K5" s="6" t="str">
        <f>CONCATENATE("214")</f>
        <v>214</v>
      </c>
      <c r="L5" s="6" t="str">
        <f>CONCATENATE("11 11.2 4b")</f>
        <v>11 11.2 4b</v>
      </c>
      <c r="M5" s="6" t="str">
        <f>CONCATENATE("GGLFPP50E25A335E")</f>
        <v>GGLFPP50E25A335E</v>
      </c>
      <c r="N5" s="6" t="s">
        <v>54</v>
      </c>
      <c r="O5" s="6" t="s">
        <v>55</v>
      </c>
      <c r="P5" s="7">
        <v>43185</v>
      </c>
      <c r="Q5" s="6" t="s">
        <v>30</v>
      </c>
      <c r="R5" s="6" t="s">
        <v>31</v>
      </c>
      <c r="S5" s="6" t="s">
        <v>32</v>
      </c>
      <c r="T5" s="6">
        <v>267.08999999999997</v>
      </c>
      <c r="U5" s="6">
        <v>115.17</v>
      </c>
      <c r="V5" s="6">
        <v>106.36</v>
      </c>
      <c r="W5" s="6">
        <v>0</v>
      </c>
      <c r="X5" s="6">
        <v>45.56</v>
      </c>
    </row>
    <row r="6" spans="1:24" ht="24.75" x14ac:dyDescent="0.25">
      <c r="A6" s="6" t="s">
        <v>25</v>
      </c>
      <c r="B6" s="6" t="s">
        <v>26</v>
      </c>
      <c r="C6" s="6" t="s">
        <v>48</v>
      </c>
      <c r="D6" s="6" t="s">
        <v>52</v>
      </c>
      <c r="E6" s="6" t="s">
        <v>38</v>
      </c>
      <c r="F6" s="6" t="s">
        <v>56</v>
      </c>
      <c r="G6" s="6">
        <v>2017</v>
      </c>
      <c r="H6" s="6" t="str">
        <f>CONCATENATE("74770104508")</f>
        <v>74770104508</v>
      </c>
      <c r="I6" s="6" t="s">
        <v>28</v>
      </c>
      <c r="J6" s="6" t="s">
        <v>29</v>
      </c>
      <c r="K6" s="6" t="str">
        <f>CONCATENATE("214")</f>
        <v>214</v>
      </c>
      <c r="L6" s="6" t="str">
        <f>CONCATENATE("11 11.2 4b")</f>
        <v>11 11.2 4b</v>
      </c>
      <c r="M6" s="6" t="str">
        <f>CONCATENATE("SLVGLL57D53G005J")</f>
        <v>SLVGLL57D53G005J</v>
      </c>
      <c r="N6" s="6" t="s">
        <v>57</v>
      </c>
      <c r="O6" s="6" t="s">
        <v>55</v>
      </c>
      <c r="P6" s="7">
        <v>43185</v>
      </c>
      <c r="Q6" s="6" t="s">
        <v>30</v>
      </c>
      <c r="R6" s="6" t="s">
        <v>31</v>
      </c>
      <c r="S6" s="6" t="s">
        <v>32</v>
      </c>
      <c r="T6" s="6">
        <v>325.45</v>
      </c>
      <c r="U6" s="6">
        <v>140.33000000000001</v>
      </c>
      <c r="V6" s="6">
        <v>129.59</v>
      </c>
      <c r="W6" s="6">
        <v>0</v>
      </c>
      <c r="X6" s="6">
        <v>55.53</v>
      </c>
    </row>
    <row r="7" spans="1:24" ht="24.75" x14ac:dyDescent="0.25">
      <c r="A7" s="6" t="s">
        <v>25</v>
      </c>
      <c r="B7" s="6" t="s">
        <v>26</v>
      </c>
      <c r="C7" s="6" t="s">
        <v>48</v>
      </c>
      <c r="D7" s="6" t="s">
        <v>58</v>
      </c>
      <c r="E7" s="6" t="s">
        <v>38</v>
      </c>
      <c r="F7" s="6" t="s">
        <v>59</v>
      </c>
      <c r="G7" s="6">
        <v>2017</v>
      </c>
      <c r="H7" s="6" t="str">
        <f>CONCATENATE("74770298888")</f>
        <v>74770298888</v>
      </c>
      <c r="I7" s="6" t="s">
        <v>28</v>
      </c>
      <c r="J7" s="6" t="s">
        <v>29</v>
      </c>
      <c r="K7" s="6" t="str">
        <f>CONCATENATE("214")</f>
        <v>214</v>
      </c>
      <c r="L7" s="6" t="str">
        <f>CONCATENATE("11 11.2 4b")</f>
        <v>11 11.2 4b</v>
      </c>
      <c r="M7" s="6" t="str">
        <f>CONCATENATE("GGGNMR60S53Z130W")</f>
        <v>GGGNMR60S53Z130W</v>
      </c>
      <c r="N7" s="6" t="s">
        <v>60</v>
      </c>
      <c r="O7" s="6" t="s">
        <v>55</v>
      </c>
      <c r="P7" s="7">
        <v>43185</v>
      </c>
      <c r="Q7" s="6" t="s">
        <v>30</v>
      </c>
      <c r="R7" s="6" t="s">
        <v>31</v>
      </c>
      <c r="S7" s="6" t="s">
        <v>32</v>
      </c>
      <c r="T7" s="8">
        <v>1188.8900000000001</v>
      </c>
      <c r="U7" s="6">
        <v>512.65</v>
      </c>
      <c r="V7" s="6">
        <v>473.42</v>
      </c>
      <c r="W7" s="6">
        <v>0</v>
      </c>
      <c r="X7" s="6">
        <v>202.82</v>
      </c>
    </row>
    <row r="8" spans="1:24" ht="24.75" x14ac:dyDescent="0.25">
      <c r="A8" s="6" t="s">
        <v>25</v>
      </c>
      <c r="B8" s="6" t="s">
        <v>26</v>
      </c>
      <c r="C8" s="6" t="s">
        <v>48</v>
      </c>
      <c r="D8" s="6" t="s">
        <v>52</v>
      </c>
      <c r="E8" s="6" t="s">
        <v>36</v>
      </c>
      <c r="F8" s="6" t="s">
        <v>36</v>
      </c>
      <c r="G8" s="6">
        <v>2017</v>
      </c>
      <c r="H8" s="6" t="str">
        <f>CONCATENATE("74770292758")</f>
        <v>74770292758</v>
      </c>
      <c r="I8" s="6" t="s">
        <v>28</v>
      </c>
      <c r="J8" s="6" t="s">
        <v>29</v>
      </c>
      <c r="K8" s="6" t="str">
        <f>CONCATENATE("214")</f>
        <v>214</v>
      </c>
      <c r="L8" s="6" t="str">
        <f>CONCATENATE("11 11.2 4b")</f>
        <v>11 11.2 4b</v>
      </c>
      <c r="M8" s="6" t="str">
        <f>CONCATENATE("VRGGRL44H21F415X")</f>
        <v>VRGGRL44H21F415X</v>
      </c>
      <c r="N8" s="6" t="s">
        <v>61</v>
      </c>
      <c r="O8" s="6" t="s">
        <v>55</v>
      </c>
      <c r="P8" s="7">
        <v>43185</v>
      </c>
      <c r="Q8" s="6" t="s">
        <v>30</v>
      </c>
      <c r="R8" s="6" t="s">
        <v>31</v>
      </c>
      <c r="S8" s="6" t="s">
        <v>32</v>
      </c>
      <c r="T8" s="6">
        <v>470.42</v>
      </c>
      <c r="U8" s="6">
        <v>202.85</v>
      </c>
      <c r="V8" s="6">
        <v>187.32</v>
      </c>
      <c r="W8" s="6">
        <v>0</v>
      </c>
      <c r="X8" s="6">
        <v>80.25</v>
      </c>
    </row>
    <row r="9" spans="1:24" ht="24.75" x14ac:dyDescent="0.25">
      <c r="A9" s="6" t="s">
        <v>25</v>
      </c>
      <c r="B9" s="6" t="s">
        <v>26</v>
      </c>
      <c r="C9" s="6" t="s">
        <v>48</v>
      </c>
      <c r="D9" s="6" t="s">
        <v>52</v>
      </c>
      <c r="E9" s="6" t="s">
        <v>38</v>
      </c>
      <c r="F9" s="6" t="s">
        <v>62</v>
      </c>
      <c r="G9" s="6">
        <v>2017</v>
      </c>
      <c r="H9" s="6" t="str">
        <f>CONCATENATE("74770095193")</f>
        <v>74770095193</v>
      </c>
      <c r="I9" s="6" t="s">
        <v>28</v>
      </c>
      <c r="J9" s="6" t="s">
        <v>29</v>
      </c>
      <c r="K9" s="6" t="str">
        <f>CONCATENATE("214")</f>
        <v>214</v>
      </c>
      <c r="L9" s="6" t="str">
        <f>CONCATENATE("11 11.1 4b")</f>
        <v>11 11.1 4b</v>
      </c>
      <c r="M9" s="6" t="str">
        <f>CONCATENATE("SSSMRC61M23A462X")</f>
        <v>SSSMRC61M23A462X</v>
      </c>
      <c r="N9" s="6" t="s">
        <v>63</v>
      </c>
      <c r="O9" s="6" t="s">
        <v>55</v>
      </c>
      <c r="P9" s="7">
        <v>43185</v>
      </c>
      <c r="Q9" s="6" t="s">
        <v>30</v>
      </c>
      <c r="R9" s="6" t="s">
        <v>31</v>
      </c>
      <c r="S9" s="6" t="s">
        <v>32</v>
      </c>
      <c r="T9" s="6">
        <v>486.52</v>
      </c>
      <c r="U9" s="6">
        <v>209.79</v>
      </c>
      <c r="V9" s="6">
        <v>193.73</v>
      </c>
      <c r="W9" s="6">
        <v>0</v>
      </c>
      <c r="X9" s="6">
        <v>83</v>
      </c>
    </row>
    <row r="10" spans="1:24" ht="24.75" x14ac:dyDescent="0.25">
      <c r="A10" s="6" t="s">
        <v>25</v>
      </c>
      <c r="B10" s="6" t="s">
        <v>26</v>
      </c>
      <c r="C10" s="6" t="s">
        <v>48</v>
      </c>
      <c r="D10" s="6" t="s">
        <v>58</v>
      </c>
      <c r="E10" s="6" t="s">
        <v>38</v>
      </c>
      <c r="F10" s="6" t="s">
        <v>59</v>
      </c>
      <c r="G10" s="6">
        <v>2017</v>
      </c>
      <c r="H10" s="6" t="str">
        <f>CONCATENATE("74770299027")</f>
        <v>74770299027</v>
      </c>
      <c r="I10" s="6" t="s">
        <v>28</v>
      </c>
      <c r="J10" s="6" t="s">
        <v>29</v>
      </c>
      <c r="K10" s="6" t="str">
        <f>CONCATENATE("214")</f>
        <v>214</v>
      </c>
      <c r="L10" s="6" t="str">
        <f>CONCATENATE("11 11.2 4b")</f>
        <v>11 11.2 4b</v>
      </c>
      <c r="M10" s="6" t="str">
        <f>CONCATENATE("GGGNMR60S53Z130W")</f>
        <v>GGGNMR60S53Z130W</v>
      </c>
      <c r="N10" s="6" t="s">
        <v>60</v>
      </c>
      <c r="O10" s="6" t="s">
        <v>55</v>
      </c>
      <c r="P10" s="7">
        <v>43185</v>
      </c>
      <c r="Q10" s="6" t="s">
        <v>30</v>
      </c>
      <c r="R10" s="6" t="s">
        <v>31</v>
      </c>
      <c r="S10" s="6" t="s">
        <v>32</v>
      </c>
      <c r="T10" s="6">
        <v>391.15</v>
      </c>
      <c r="U10" s="6">
        <v>168.66</v>
      </c>
      <c r="V10" s="6">
        <v>155.76</v>
      </c>
      <c r="W10" s="6">
        <v>0</v>
      </c>
      <c r="X10" s="6">
        <v>66.73</v>
      </c>
    </row>
    <row r="11" spans="1:24" ht="24.75" x14ac:dyDescent="0.25">
      <c r="A11" s="6" t="s">
        <v>25</v>
      </c>
      <c r="B11" s="6" t="s">
        <v>26</v>
      </c>
      <c r="C11" s="6" t="s">
        <v>48</v>
      </c>
      <c r="D11" s="6" t="s">
        <v>52</v>
      </c>
      <c r="E11" s="6" t="s">
        <v>36</v>
      </c>
      <c r="F11" s="6" t="s">
        <v>36</v>
      </c>
      <c r="G11" s="6">
        <v>2016</v>
      </c>
      <c r="H11" s="6" t="str">
        <f>CONCATENATE("64240537791")</f>
        <v>64240537791</v>
      </c>
      <c r="I11" s="6" t="s">
        <v>28</v>
      </c>
      <c r="J11" s="6" t="s">
        <v>37</v>
      </c>
      <c r="K11" s="6" t="str">
        <f>CONCATENATE("")</f>
        <v/>
      </c>
      <c r="L11" s="6" t="str">
        <f>CONCATENATE("11 11.2 4b")</f>
        <v>11 11.2 4b</v>
      </c>
      <c r="M11" s="6" t="str">
        <f>CONCATENATE("00125960443")</f>
        <v>00125960443</v>
      </c>
      <c r="N11" s="6" t="s">
        <v>64</v>
      </c>
      <c r="O11" s="6" t="s">
        <v>65</v>
      </c>
      <c r="P11" s="7">
        <v>43185</v>
      </c>
      <c r="Q11" s="6" t="s">
        <v>30</v>
      </c>
      <c r="R11" s="6" t="s">
        <v>31</v>
      </c>
      <c r="S11" s="6" t="s">
        <v>32</v>
      </c>
      <c r="T11" s="8">
        <v>3047.57</v>
      </c>
      <c r="U11" s="8">
        <v>1314.11</v>
      </c>
      <c r="V11" s="8">
        <v>1213.54</v>
      </c>
      <c r="W11" s="6">
        <v>0</v>
      </c>
      <c r="X11" s="6">
        <v>519.91999999999996</v>
      </c>
    </row>
    <row r="12" spans="1:24" ht="24.75" x14ac:dyDescent="0.25">
      <c r="A12" s="6" t="s">
        <v>25</v>
      </c>
      <c r="B12" s="6" t="s">
        <v>26</v>
      </c>
      <c r="C12" s="6" t="s">
        <v>48</v>
      </c>
      <c r="D12" s="6" t="s">
        <v>52</v>
      </c>
      <c r="E12" s="6" t="s">
        <v>47</v>
      </c>
      <c r="F12" s="6" t="s">
        <v>66</v>
      </c>
      <c r="G12" s="6">
        <v>2017</v>
      </c>
      <c r="H12" s="6" t="str">
        <f>CONCATENATE("74770228620")</f>
        <v>74770228620</v>
      </c>
      <c r="I12" s="6" t="s">
        <v>28</v>
      </c>
      <c r="J12" s="6" t="s">
        <v>29</v>
      </c>
      <c r="K12" s="6" t="str">
        <f>CONCATENATE("214")</f>
        <v>214</v>
      </c>
      <c r="L12" s="6" t="str">
        <f>CONCATENATE("11 11.2 4b")</f>
        <v>11 11.2 4b</v>
      </c>
      <c r="M12" s="6" t="str">
        <f>CONCATENATE("QNZRND32D14F591F")</f>
        <v>QNZRND32D14F591F</v>
      </c>
      <c r="N12" s="6" t="s">
        <v>67</v>
      </c>
      <c r="O12" s="6" t="s">
        <v>55</v>
      </c>
      <c r="P12" s="7">
        <v>43185</v>
      </c>
      <c r="Q12" s="6" t="s">
        <v>30</v>
      </c>
      <c r="R12" s="6" t="s">
        <v>31</v>
      </c>
      <c r="S12" s="6" t="s">
        <v>32</v>
      </c>
      <c r="T12" s="6">
        <v>339.23</v>
      </c>
      <c r="U12" s="6">
        <v>146.28</v>
      </c>
      <c r="V12" s="6">
        <v>135.08000000000001</v>
      </c>
      <c r="W12" s="6">
        <v>0</v>
      </c>
      <c r="X12" s="6">
        <v>57.87</v>
      </c>
    </row>
    <row r="13" spans="1:24" ht="24.75" x14ac:dyDescent="0.25">
      <c r="A13" s="6" t="s">
        <v>25</v>
      </c>
      <c r="B13" s="6" t="s">
        <v>26</v>
      </c>
      <c r="C13" s="6" t="s">
        <v>48</v>
      </c>
      <c r="D13" s="6" t="s">
        <v>52</v>
      </c>
      <c r="E13" s="6" t="s">
        <v>34</v>
      </c>
      <c r="F13" s="6" t="s">
        <v>68</v>
      </c>
      <c r="G13" s="6">
        <v>2017</v>
      </c>
      <c r="H13" s="6" t="str">
        <f>CONCATENATE("74770132400")</f>
        <v>74770132400</v>
      </c>
      <c r="I13" s="6" t="s">
        <v>28</v>
      </c>
      <c r="J13" s="6" t="s">
        <v>29</v>
      </c>
      <c r="K13" s="6" t="str">
        <f>CONCATENATE("214")</f>
        <v>214</v>
      </c>
      <c r="L13" s="6" t="str">
        <f>CONCATENATE("11 11.2 4b")</f>
        <v>11 11.2 4b</v>
      </c>
      <c r="M13" s="6" t="str">
        <f>CONCATENATE("MCCMHL88P58D542O")</f>
        <v>MCCMHL88P58D542O</v>
      </c>
      <c r="N13" s="6" t="s">
        <v>69</v>
      </c>
      <c r="O13" s="6" t="s">
        <v>55</v>
      </c>
      <c r="P13" s="7">
        <v>43185</v>
      </c>
      <c r="Q13" s="6" t="s">
        <v>30</v>
      </c>
      <c r="R13" s="6" t="s">
        <v>31</v>
      </c>
      <c r="S13" s="6" t="s">
        <v>32</v>
      </c>
      <c r="T13" s="6">
        <v>276.32</v>
      </c>
      <c r="U13" s="6">
        <v>119.15</v>
      </c>
      <c r="V13" s="6">
        <v>110.03</v>
      </c>
      <c r="W13" s="6">
        <v>0</v>
      </c>
      <c r="X13" s="6">
        <v>47.14</v>
      </c>
    </row>
    <row r="14" spans="1:24" ht="24.75" x14ac:dyDescent="0.25">
      <c r="A14" s="6" t="s">
        <v>25</v>
      </c>
      <c r="B14" s="6" t="s">
        <v>26</v>
      </c>
      <c r="C14" s="6" t="s">
        <v>48</v>
      </c>
      <c r="D14" s="6" t="s">
        <v>52</v>
      </c>
      <c r="E14" s="6" t="s">
        <v>38</v>
      </c>
      <c r="F14" s="6" t="s">
        <v>62</v>
      </c>
      <c r="G14" s="6">
        <v>2017</v>
      </c>
      <c r="H14" s="6" t="str">
        <f>CONCATENATE("74770175698")</f>
        <v>74770175698</v>
      </c>
      <c r="I14" s="6" t="s">
        <v>28</v>
      </c>
      <c r="J14" s="6" t="s">
        <v>29</v>
      </c>
      <c r="K14" s="6" t="str">
        <f>CONCATENATE("214")</f>
        <v>214</v>
      </c>
      <c r="L14" s="6" t="str">
        <f>CONCATENATE("11 11.2 4b")</f>
        <v>11 11.2 4b</v>
      </c>
      <c r="M14" s="6" t="str">
        <f>CONCATENATE("DMTSTN48L20L597W")</f>
        <v>DMTSTN48L20L597W</v>
      </c>
      <c r="N14" s="6" t="s">
        <v>70</v>
      </c>
      <c r="O14" s="6" t="s">
        <v>55</v>
      </c>
      <c r="P14" s="7">
        <v>43185</v>
      </c>
      <c r="Q14" s="6" t="s">
        <v>30</v>
      </c>
      <c r="R14" s="6" t="s">
        <v>31</v>
      </c>
      <c r="S14" s="6" t="s">
        <v>32</v>
      </c>
      <c r="T14" s="6">
        <v>532.97</v>
      </c>
      <c r="U14" s="6">
        <v>229.82</v>
      </c>
      <c r="V14" s="6">
        <v>212.23</v>
      </c>
      <c r="W14" s="6">
        <v>0</v>
      </c>
      <c r="X14" s="6">
        <v>90.92</v>
      </c>
    </row>
    <row r="15" spans="1:24" ht="24.75" x14ac:dyDescent="0.25">
      <c r="A15" s="6" t="s">
        <v>25</v>
      </c>
      <c r="B15" s="6" t="s">
        <v>26</v>
      </c>
      <c r="C15" s="6" t="s">
        <v>48</v>
      </c>
      <c r="D15" s="6" t="s">
        <v>52</v>
      </c>
      <c r="E15" s="6" t="s">
        <v>38</v>
      </c>
      <c r="F15" s="6" t="s">
        <v>62</v>
      </c>
      <c r="G15" s="6">
        <v>2017</v>
      </c>
      <c r="H15" s="6" t="str">
        <f>CONCATENATE("74770272206")</f>
        <v>74770272206</v>
      </c>
      <c r="I15" s="6" t="s">
        <v>28</v>
      </c>
      <c r="J15" s="6" t="s">
        <v>29</v>
      </c>
      <c r="K15" s="6" t="str">
        <f>CONCATENATE("214")</f>
        <v>214</v>
      </c>
      <c r="L15" s="6" t="str">
        <f>CONCATENATE("11 11.2 4b")</f>
        <v>11 11.2 4b</v>
      </c>
      <c r="M15" s="6" t="str">
        <f>CONCATENATE("CRRMNL60B55D210M")</f>
        <v>CRRMNL60B55D210M</v>
      </c>
      <c r="N15" s="6" t="s">
        <v>71</v>
      </c>
      <c r="O15" s="6" t="s">
        <v>55</v>
      </c>
      <c r="P15" s="7">
        <v>43185</v>
      </c>
      <c r="Q15" s="6" t="s">
        <v>30</v>
      </c>
      <c r="R15" s="6" t="s">
        <v>31</v>
      </c>
      <c r="S15" s="6" t="s">
        <v>32</v>
      </c>
      <c r="T15" s="6">
        <v>519.34</v>
      </c>
      <c r="U15" s="6">
        <v>223.94</v>
      </c>
      <c r="V15" s="6">
        <v>206.8</v>
      </c>
      <c r="W15" s="6">
        <v>0</v>
      </c>
      <c r="X15" s="6">
        <v>88.6</v>
      </c>
    </row>
    <row r="16" spans="1:24" ht="24.75" x14ac:dyDescent="0.25">
      <c r="A16" s="6" t="s">
        <v>25</v>
      </c>
      <c r="B16" s="6" t="s">
        <v>26</v>
      </c>
      <c r="C16" s="6" t="s">
        <v>48</v>
      </c>
      <c r="D16" s="6" t="s">
        <v>52</v>
      </c>
      <c r="E16" s="6" t="s">
        <v>36</v>
      </c>
      <c r="F16" s="6" t="s">
        <v>36</v>
      </c>
      <c r="G16" s="6">
        <v>2017</v>
      </c>
      <c r="H16" s="6" t="str">
        <f>CONCATENATE("74770250483")</f>
        <v>74770250483</v>
      </c>
      <c r="I16" s="6" t="s">
        <v>28</v>
      </c>
      <c r="J16" s="6" t="s">
        <v>29</v>
      </c>
      <c r="K16" s="6" t="str">
        <f>CONCATENATE("214")</f>
        <v>214</v>
      </c>
      <c r="L16" s="6" t="str">
        <f>CONCATENATE("11 11.2 4b")</f>
        <v>11 11.2 4b</v>
      </c>
      <c r="M16" s="6" t="str">
        <f>CONCATENATE("CCCCLD59H22G005J")</f>
        <v>CCCCLD59H22G005J</v>
      </c>
      <c r="N16" s="6" t="s">
        <v>72</v>
      </c>
      <c r="O16" s="6" t="s">
        <v>55</v>
      </c>
      <c r="P16" s="7">
        <v>43185</v>
      </c>
      <c r="Q16" s="6" t="s">
        <v>30</v>
      </c>
      <c r="R16" s="6" t="s">
        <v>31</v>
      </c>
      <c r="S16" s="6" t="s">
        <v>32</v>
      </c>
      <c r="T16" s="6">
        <v>213.91</v>
      </c>
      <c r="U16" s="6">
        <v>92.24</v>
      </c>
      <c r="V16" s="6">
        <v>85.18</v>
      </c>
      <c r="W16" s="6">
        <v>0</v>
      </c>
      <c r="X16" s="6">
        <v>36.49</v>
      </c>
    </row>
    <row r="17" spans="1:24" ht="24.75" x14ac:dyDescent="0.25">
      <c r="A17" s="6" t="s">
        <v>25</v>
      </c>
      <c r="B17" s="6" t="s">
        <v>26</v>
      </c>
      <c r="C17" s="6" t="s">
        <v>48</v>
      </c>
      <c r="D17" s="6" t="s">
        <v>52</v>
      </c>
      <c r="E17" s="6" t="s">
        <v>27</v>
      </c>
      <c r="F17" s="6" t="s">
        <v>73</v>
      </c>
      <c r="G17" s="6">
        <v>2017</v>
      </c>
      <c r="H17" s="6" t="str">
        <f>CONCATENATE("74770109853")</f>
        <v>74770109853</v>
      </c>
      <c r="I17" s="6" t="s">
        <v>28</v>
      </c>
      <c r="J17" s="6" t="s">
        <v>29</v>
      </c>
      <c r="K17" s="6" t="str">
        <f>CONCATENATE("214")</f>
        <v>214</v>
      </c>
      <c r="L17" s="6" t="str">
        <f>CONCATENATE("11 11.2 4b")</f>
        <v>11 11.2 4b</v>
      </c>
      <c r="M17" s="6" t="str">
        <f>CONCATENATE("BLLMRS63B60D542Z")</f>
        <v>BLLMRS63B60D542Z</v>
      </c>
      <c r="N17" s="6" t="s">
        <v>74</v>
      </c>
      <c r="O17" s="6" t="s">
        <v>55</v>
      </c>
      <c r="P17" s="7">
        <v>43185</v>
      </c>
      <c r="Q17" s="6" t="s">
        <v>30</v>
      </c>
      <c r="R17" s="6" t="s">
        <v>31</v>
      </c>
      <c r="S17" s="6" t="s">
        <v>32</v>
      </c>
      <c r="T17" s="6">
        <v>482.78</v>
      </c>
      <c r="U17" s="6">
        <v>208.17</v>
      </c>
      <c r="V17" s="6">
        <v>192.24</v>
      </c>
      <c r="W17" s="6">
        <v>0</v>
      </c>
      <c r="X17" s="6">
        <v>82.37</v>
      </c>
    </row>
    <row r="18" spans="1:24" ht="24.75" x14ac:dyDescent="0.25">
      <c r="A18" s="6" t="s">
        <v>25</v>
      </c>
      <c r="B18" s="6" t="s">
        <v>26</v>
      </c>
      <c r="C18" s="6" t="s">
        <v>48</v>
      </c>
      <c r="D18" s="6" t="s">
        <v>58</v>
      </c>
      <c r="E18" s="6" t="s">
        <v>38</v>
      </c>
      <c r="F18" s="6" t="s">
        <v>75</v>
      </c>
      <c r="G18" s="6">
        <v>2017</v>
      </c>
      <c r="H18" s="6" t="str">
        <f>CONCATENATE("74770279284")</f>
        <v>74770279284</v>
      </c>
      <c r="I18" s="6" t="s">
        <v>28</v>
      </c>
      <c r="J18" s="6" t="s">
        <v>29</v>
      </c>
      <c r="K18" s="6" t="str">
        <f>CONCATENATE("214")</f>
        <v>214</v>
      </c>
      <c r="L18" s="6" t="str">
        <f>CONCATENATE("11 11.2 4b")</f>
        <v>11 11.2 4b</v>
      </c>
      <c r="M18" s="6" t="str">
        <f>CONCATENATE("CSANGL30E41A895U")</f>
        <v>CSANGL30E41A895U</v>
      </c>
      <c r="N18" s="6" t="s">
        <v>76</v>
      </c>
      <c r="O18" s="6" t="s">
        <v>55</v>
      </c>
      <c r="P18" s="7">
        <v>43185</v>
      </c>
      <c r="Q18" s="6" t="s">
        <v>30</v>
      </c>
      <c r="R18" s="6" t="s">
        <v>31</v>
      </c>
      <c r="S18" s="6" t="s">
        <v>32</v>
      </c>
      <c r="T18" s="6">
        <v>675.48</v>
      </c>
      <c r="U18" s="6">
        <v>291.27</v>
      </c>
      <c r="V18" s="6">
        <v>268.98</v>
      </c>
      <c r="W18" s="6">
        <v>0</v>
      </c>
      <c r="X18" s="6">
        <v>115.23</v>
      </c>
    </row>
    <row r="19" spans="1:24" ht="24.75" x14ac:dyDescent="0.25">
      <c r="A19" s="6" t="s">
        <v>25</v>
      </c>
      <c r="B19" s="6" t="s">
        <v>26</v>
      </c>
      <c r="C19" s="6" t="s">
        <v>48</v>
      </c>
      <c r="D19" s="6" t="s">
        <v>52</v>
      </c>
      <c r="E19" s="6" t="s">
        <v>38</v>
      </c>
      <c r="F19" s="6" t="s">
        <v>62</v>
      </c>
      <c r="G19" s="6">
        <v>2017</v>
      </c>
      <c r="H19" s="6" t="str">
        <f>CONCATENATE("74770130347")</f>
        <v>74770130347</v>
      </c>
      <c r="I19" s="6" t="s">
        <v>28</v>
      </c>
      <c r="J19" s="6" t="s">
        <v>29</v>
      </c>
      <c r="K19" s="6" t="str">
        <f>CONCATENATE("214")</f>
        <v>214</v>
      </c>
      <c r="L19" s="6" t="str">
        <f>CONCATENATE("11 11.2 4b")</f>
        <v>11 11.2 4b</v>
      </c>
      <c r="M19" s="6" t="str">
        <f>CONCATENATE("RNLMRC78H25A462U")</f>
        <v>RNLMRC78H25A462U</v>
      </c>
      <c r="N19" s="6" t="s">
        <v>77</v>
      </c>
      <c r="O19" s="6" t="s">
        <v>55</v>
      </c>
      <c r="P19" s="7">
        <v>43185</v>
      </c>
      <c r="Q19" s="6" t="s">
        <v>30</v>
      </c>
      <c r="R19" s="6" t="s">
        <v>31</v>
      </c>
      <c r="S19" s="6" t="s">
        <v>32</v>
      </c>
      <c r="T19" s="8">
        <v>1333.91</v>
      </c>
      <c r="U19" s="6">
        <v>575.17999999999995</v>
      </c>
      <c r="V19" s="6">
        <v>531.16</v>
      </c>
      <c r="W19" s="6">
        <v>0</v>
      </c>
      <c r="X19" s="6">
        <v>227.57</v>
      </c>
    </row>
    <row r="20" spans="1:24" ht="24.75" x14ac:dyDescent="0.25">
      <c r="A20" s="6" t="s">
        <v>25</v>
      </c>
      <c r="B20" s="6" t="s">
        <v>26</v>
      </c>
      <c r="C20" s="6" t="s">
        <v>48</v>
      </c>
      <c r="D20" s="6" t="s">
        <v>52</v>
      </c>
      <c r="E20" s="6" t="s">
        <v>34</v>
      </c>
      <c r="F20" s="6" t="s">
        <v>78</v>
      </c>
      <c r="G20" s="6">
        <v>2017</v>
      </c>
      <c r="H20" s="6" t="str">
        <f>CONCATENATE("74770130214")</f>
        <v>74770130214</v>
      </c>
      <c r="I20" s="6" t="s">
        <v>28</v>
      </c>
      <c r="J20" s="6" t="s">
        <v>29</v>
      </c>
      <c r="K20" s="6" t="str">
        <f>CONCATENATE("214")</f>
        <v>214</v>
      </c>
      <c r="L20" s="6" t="str">
        <f>CONCATENATE("11 11.2 4b")</f>
        <v>11 11.2 4b</v>
      </c>
      <c r="M20" s="6" t="str">
        <f>CONCATENATE("RPNMNL76M46E058T")</f>
        <v>RPNMNL76M46E058T</v>
      </c>
      <c r="N20" s="6" t="s">
        <v>79</v>
      </c>
      <c r="O20" s="6" t="s">
        <v>55</v>
      </c>
      <c r="P20" s="7">
        <v>43185</v>
      </c>
      <c r="Q20" s="6" t="s">
        <v>30</v>
      </c>
      <c r="R20" s="6" t="s">
        <v>31</v>
      </c>
      <c r="S20" s="6" t="s">
        <v>32</v>
      </c>
      <c r="T20" s="6">
        <v>278.58</v>
      </c>
      <c r="U20" s="6">
        <v>120.12</v>
      </c>
      <c r="V20" s="6">
        <v>110.93</v>
      </c>
      <c r="W20" s="6">
        <v>0</v>
      </c>
      <c r="X20" s="6">
        <v>47.53</v>
      </c>
    </row>
    <row r="21" spans="1:24" ht="24.75" x14ac:dyDescent="0.25">
      <c r="A21" s="6" t="s">
        <v>25</v>
      </c>
      <c r="B21" s="6" t="s">
        <v>26</v>
      </c>
      <c r="C21" s="6" t="s">
        <v>48</v>
      </c>
      <c r="D21" s="6" t="s">
        <v>52</v>
      </c>
      <c r="E21" s="6" t="s">
        <v>38</v>
      </c>
      <c r="F21" s="6" t="s">
        <v>62</v>
      </c>
      <c r="G21" s="6">
        <v>2017</v>
      </c>
      <c r="H21" s="6" t="str">
        <f>CONCATENATE("74770269509")</f>
        <v>74770269509</v>
      </c>
      <c r="I21" s="6" t="s">
        <v>28</v>
      </c>
      <c r="J21" s="6" t="s">
        <v>29</v>
      </c>
      <c r="K21" s="6" t="str">
        <f>CONCATENATE("214")</f>
        <v>214</v>
      </c>
      <c r="L21" s="6" t="str">
        <f>CONCATENATE("11 11.1 4b")</f>
        <v>11 11.1 4b</v>
      </c>
      <c r="M21" s="6" t="str">
        <f>CONCATENATE("CMLFRC77L46H769E")</f>
        <v>CMLFRC77L46H769E</v>
      </c>
      <c r="N21" s="6" t="s">
        <v>80</v>
      </c>
      <c r="O21" s="6" t="s">
        <v>55</v>
      </c>
      <c r="P21" s="7">
        <v>43185</v>
      </c>
      <c r="Q21" s="6" t="s">
        <v>30</v>
      </c>
      <c r="R21" s="6" t="s">
        <v>31</v>
      </c>
      <c r="S21" s="6" t="s">
        <v>32</v>
      </c>
      <c r="T21" s="6">
        <v>176.11</v>
      </c>
      <c r="U21" s="6">
        <v>75.94</v>
      </c>
      <c r="V21" s="6">
        <v>70.13</v>
      </c>
      <c r="W21" s="6">
        <v>0</v>
      </c>
      <c r="X21" s="6">
        <v>30.04</v>
      </c>
    </row>
    <row r="22" spans="1:24" ht="24.75" x14ac:dyDescent="0.25">
      <c r="A22" s="6" t="s">
        <v>25</v>
      </c>
      <c r="B22" s="6" t="s">
        <v>26</v>
      </c>
      <c r="C22" s="6" t="s">
        <v>48</v>
      </c>
      <c r="D22" s="6" t="s">
        <v>58</v>
      </c>
      <c r="E22" s="6" t="s">
        <v>34</v>
      </c>
      <c r="F22" s="6" t="s">
        <v>81</v>
      </c>
      <c r="G22" s="6">
        <v>2017</v>
      </c>
      <c r="H22" s="6" t="str">
        <f>CONCATENATE("74770043417")</f>
        <v>74770043417</v>
      </c>
      <c r="I22" s="6" t="s">
        <v>28</v>
      </c>
      <c r="J22" s="6" t="s">
        <v>29</v>
      </c>
      <c r="K22" s="6" t="str">
        <f>CONCATENATE("214")</f>
        <v>214</v>
      </c>
      <c r="L22" s="6" t="str">
        <f>CONCATENATE("10 10.1 4a")</f>
        <v>10 10.1 4a</v>
      </c>
      <c r="M22" s="6" t="str">
        <f>CONCATENATE("01407300415")</f>
        <v>01407300415</v>
      </c>
      <c r="N22" s="6" t="s">
        <v>82</v>
      </c>
      <c r="O22" s="6" t="s">
        <v>55</v>
      </c>
      <c r="P22" s="7">
        <v>43185</v>
      </c>
      <c r="Q22" s="6" t="s">
        <v>30</v>
      </c>
      <c r="R22" s="6" t="s">
        <v>31</v>
      </c>
      <c r="S22" s="6" t="s">
        <v>32</v>
      </c>
      <c r="T22" s="8">
        <v>1080</v>
      </c>
      <c r="U22" s="6">
        <v>465.7</v>
      </c>
      <c r="V22" s="6">
        <v>430.06</v>
      </c>
      <c r="W22" s="6">
        <v>0</v>
      </c>
      <c r="X22" s="6">
        <v>184.24</v>
      </c>
    </row>
    <row r="23" spans="1:24" ht="24.75" x14ac:dyDescent="0.25">
      <c r="A23" s="6" t="s">
        <v>25</v>
      </c>
      <c r="B23" s="6" t="s">
        <v>26</v>
      </c>
      <c r="C23" s="6" t="s">
        <v>48</v>
      </c>
      <c r="D23" s="6" t="s">
        <v>52</v>
      </c>
      <c r="E23" s="6" t="s">
        <v>33</v>
      </c>
      <c r="F23" s="6" t="s">
        <v>83</v>
      </c>
      <c r="G23" s="6">
        <v>2017</v>
      </c>
      <c r="H23" s="6" t="str">
        <f>CONCATENATE("74770195191")</f>
        <v>74770195191</v>
      </c>
      <c r="I23" s="6" t="s">
        <v>28</v>
      </c>
      <c r="J23" s="6" t="s">
        <v>29</v>
      </c>
      <c r="K23" s="6" t="str">
        <f>CONCATENATE("214")</f>
        <v>214</v>
      </c>
      <c r="L23" s="6" t="str">
        <f>CONCATENATE("11 11.2 4b")</f>
        <v>11 11.2 4b</v>
      </c>
      <c r="M23" s="6" t="str">
        <f>CONCATENATE("CNGLGU59T30L728M")</f>
        <v>CNGLGU59T30L728M</v>
      </c>
      <c r="N23" s="6" t="s">
        <v>84</v>
      </c>
      <c r="O23" s="6" t="s">
        <v>55</v>
      </c>
      <c r="P23" s="7">
        <v>43185</v>
      </c>
      <c r="Q23" s="6" t="s">
        <v>30</v>
      </c>
      <c r="R23" s="6" t="s">
        <v>31</v>
      </c>
      <c r="S23" s="6" t="s">
        <v>32</v>
      </c>
      <c r="T23" s="6">
        <v>161.13999999999999</v>
      </c>
      <c r="U23" s="6">
        <v>69.48</v>
      </c>
      <c r="V23" s="6">
        <v>64.17</v>
      </c>
      <c r="W23" s="6">
        <v>0</v>
      </c>
      <c r="X23" s="6">
        <v>27.49</v>
      </c>
    </row>
    <row r="24" spans="1:24" ht="24.75" x14ac:dyDescent="0.25">
      <c r="A24" s="6" t="s">
        <v>25</v>
      </c>
      <c r="B24" s="6" t="s">
        <v>26</v>
      </c>
      <c r="C24" s="6" t="s">
        <v>48</v>
      </c>
      <c r="D24" s="6" t="s">
        <v>58</v>
      </c>
      <c r="E24" s="6" t="s">
        <v>43</v>
      </c>
      <c r="F24" s="6" t="s">
        <v>85</v>
      </c>
      <c r="G24" s="6">
        <v>2016</v>
      </c>
      <c r="H24" s="6" t="str">
        <f>CONCATENATE("64240900585")</f>
        <v>64240900585</v>
      </c>
      <c r="I24" s="6" t="s">
        <v>28</v>
      </c>
      <c r="J24" s="6" t="s">
        <v>37</v>
      </c>
      <c r="K24" s="6" t="str">
        <f>CONCATENATE("")</f>
        <v/>
      </c>
      <c r="L24" s="6" t="str">
        <f>CONCATENATE("11 11.2 4b")</f>
        <v>11 11.2 4b</v>
      </c>
      <c r="M24" s="6" t="str">
        <f>CONCATENATE("MGNRNZ56M20G479H")</f>
        <v>MGNRNZ56M20G479H</v>
      </c>
      <c r="N24" s="6" t="s">
        <v>86</v>
      </c>
      <c r="O24" s="6" t="s">
        <v>65</v>
      </c>
      <c r="P24" s="7">
        <v>43185</v>
      </c>
      <c r="Q24" s="6" t="s">
        <v>30</v>
      </c>
      <c r="R24" s="6" t="s">
        <v>31</v>
      </c>
      <c r="S24" s="6" t="s">
        <v>32</v>
      </c>
      <c r="T24" s="8">
        <v>10381.59</v>
      </c>
      <c r="U24" s="8">
        <v>4476.54</v>
      </c>
      <c r="V24" s="8">
        <v>4133.95</v>
      </c>
      <c r="W24" s="6">
        <v>0</v>
      </c>
      <c r="X24" s="8">
        <v>1771.1</v>
      </c>
    </row>
    <row r="25" spans="1:24" ht="24.75" x14ac:dyDescent="0.25">
      <c r="A25" s="6" t="s">
        <v>25</v>
      </c>
      <c r="B25" s="6" t="s">
        <v>26</v>
      </c>
      <c r="C25" s="6" t="s">
        <v>48</v>
      </c>
      <c r="D25" s="6" t="s">
        <v>58</v>
      </c>
      <c r="E25" s="6" t="s">
        <v>43</v>
      </c>
      <c r="F25" s="6" t="s">
        <v>87</v>
      </c>
      <c r="G25" s="6">
        <v>2016</v>
      </c>
      <c r="H25" s="6" t="str">
        <f>CONCATENATE("64240480653")</f>
        <v>64240480653</v>
      </c>
      <c r="I25" s="6" t="s">
        <v>28</v>
      </c>
      <c r="J25" s="6" t="s">
        <v>37</v>
      </c>
      <c r="K25" s="6" t="str">
        <f>CONCATENATE("")</f>
        <v/>
      </c>
      <c r="L25" s="6" t="str">
        <f>CONCATENATE("11 11.2 4b")</f>
        <v>11 11.2 4b</v>
      </c>
      <c r="M25" s="6" t="str">
        <f>CONCATENATE("01426320410")</f>
        <v>01426320410</v>
      </c>
      <c r="N25" s="6" t="s">
        <v>88</v>
      </c>
      <c r="O25" s="6" t="s">
        <v>65</v>
      </c>
      <c r="P25" s="7">
        <v>43185</v>
      </c>
      <c r="Q25" s="6" t="s">
        <v>30</v>
      </c>
      <c r="R25" s="6" t="s">
        <v>31</v>
      </c>
      <c r="S25" s="6" t="s">
        <v>32</v>
      </c>
      <c r="T25" s="8">
        <v>3871.76</v>
      </c>
      <c r="U25" s="8">
        <v>1669.5</v>
      </c>
      <c r="V25" s="8">
        <v>1541.73</v>
      </c>
      <c r="W25" s="6">
        <v>0</v>
      </c>
      <c r="X25" s="6">
        <v>660.53</v>
      </c>
    </row>
    <row r="26" spans="1:24" ht="24.75" x14ac:dyDescent="0.25">
      <c r="A26" s="6" t="s">
        <v>25</v>
      </c>
      <c r="B26" s="6" t="s">
        <v>26</v>
      </c>
      <c r="C26" s="6" t="s">
        <v>48</v>
      </c>
      <c r="D26" s="6" t="s">
        <v>52</v>
      </c>
      <c r="E26" s="6" t="s">
        <v>33</v>
      </c>
      <c r="F26" s="6" t="s">
        <v>83</v>
      </c>
      <c r="G26" s="6">
        <v>2017</v>
      </c>
      <c r="H26" s="6" t="str">
        <f>CONCATENATE("74770279847")</f>
        <v>74770279847</v>
      </c>
      <c r="I26" s="6" t="s">
        <v>28</v>
      </c>
      <c r="J26" s="6" t="s">
        <v>29</v>
      </c>
      <c r="K26" s="6" t="str">
        <f>CONCATENATE("214")</f>
        <v>214</v>
      </c>
      <c r="L26" s="6" t="str">
        <f>CONCATENATE("11 11.2 4b")</f>
        <v>11 11.2 4b</v>
      </c>
      <c r="M26" s="6" t="str">
        <f>CONCATENATE("MRSNRC29M23C901E")</f>
        <v>MRSNRC29M23C901E</v>
      </c>
      <c r="N26" s="6" t="s">
        <v>89</v>
      </c>
      <c r="O26" s="6" t="s">
        <v>55</v>
      </c>
      <c r="P26" s="7">
        <v>43185</v>
      </c>
      <c r="Q26" s="6" t="s">
        <v>30</v>
      </c>
      <c r="R26" s="6" t="s">
        <v>31</v>
      </c>
      <c r="S26" s="6" t="s">
        <v>32</v>
      </c>
      <c r="T26" s="8">
        <v>4007.65</v>
      </c>
      <c r="U26" s="8">
        <v>1728.1</v>
      </c>
      <c r="V26" s="8">
        <v>1595.85</v>
      </c>
      <c r="W26" s="6">
        <v>0</v>
      </c>
      <c r="X26" s="6">
        <v>683.7</v>
      </c>
    </row>
    <row r="27" spans="1:24" ht="24.75" x14ac:dyDescent="0.25">
      <c r="A27" s="6" t="s">
        <v>25</v>
      </c>
      <c r="B27" s="6" t="s">
        <v>26</v>
      </c>
      <c r="C27" s="6" t="s">
        <v>48</v>
      </c>
      <c r="D27" s="6" t="s">
        <v>58</v>
      </c>
      <c r="E27" s="6" t="s">
        <v>38</v>
      </c>
      <c r="F27" s="6" t="s">
        <v>90</v>
      </c>
      <c r="G27" s="6">
        <v>2017</v>
      </c>
      <c r="H27" s="6" t="str">
        <f>CONCATENATE("74770231509")</f>
        <v>74770231509</v>
      </c>
      <c r="I27" s="6" t="s">
        <v>28</v>
      </c>
      <c r="J27" s="6" t="s">
        <v>29</v>
      </c>
      <c r="K27" s="6" t="str">
        <f>CONCATENATE("214")</f>
        <v>214</v>
      </c>
      <c r="L27" s="6" t="str">
        <f>CONCATENATE("11 11.2 4b")</f>
        <v>11 11.2 4b</v>
      </c>
      <c r="M27" s="6" t="str">
        <f>CONCATENATE("BTTLCU62T52I608W")</f>
        <v>BTTLCU62T52I608W</v>
      </c>
      <c r="N27" s="6" t="s">
        <v>91</v>
      </c>
      <c r="O27" s="6" t="s">
        <v>55</v>
      </c>
      <c r="P27" s="7">
        <v>43185</v>
      </c>
      <c r="Q27" s="6" t="s">
        <v>30</v>
      </c>
      <c r="R27" s="6" t="s">
        <v>31</v>
      </c>
      <c r="S27" s="6" t="s">
        <v>32</v>
      </c>
      <c r="T27" s="8">
        <v>1700.21</v>
      </c>
      <c r="U27" s="6">
        <v>733.13</v>
      </c>
      <c r="V27" s="6">
        <v>677.02</v>
      </c>
      <c r="W27" s="6">
        <v>0</v>
      </c>
      <c r="X27" s="6">
        <v>290.06</v>
      </c>
    </row>
    <row r="28" spans="1:24" ht="24.75" x14ac:dyDescent="0.25">
      <c r="A28" s="6" t="s">
        <v>25</v>
      </c>
      <c r="B28" s="6" t="s">
        <v>26</v>
      </c>
      <c r="C28" s="6" t="s">
        <v>48</v>
      </c>
      <c r="D28" s="6" t="s">
        <v>58</v>
      </c>
      <c r="E28" s="6" t="s">
        <v>38</v>
      </c>
      <c r="F28" s="6" t="s">
        <v>90</v>
      </c>
      <c r="G28" s="6">
        <v>2017</v>
      </c>
      <c r="H28" s="6" t="str">
        <f>CONCATENATE("74770317928")</f>
        <v>74770317928</v>
      </c>
      <c r="I28" s="6" t="s">
        <v>28</v>
      </c>
      <c r="J28" s="6" t="s">
        <v>29</v>
      </c>
      <c r="K28" s="6" t="str">
        <f>CONCATENATE("214")</f>
        <v>214</v>
      </c>
      <c r="L28" s="6" t="str">
        <f>CONCATENATE("11 11.1 4b")</f>
        <v>11 11.1 4b</v>
      </c>
      <c r="M28" s="6" t="str">
        <f>CONCATENATE("BTTLCU62T52I608W")</f>
        <v>BTTLCU62T52I608W</v>
      </c>
      <c r="N28" s="6" t="s">
        <v>91</v>
      </c>
      <c r="O28" s="6" t="s">
        <v>55</v>
      </c>
      <c r="P28" s="7">
        <v>43185</v>
      </c>
      <c r="Q28" s="6" t="s">
        <v>30</v>
      </c>
      <c r="R28" s="6" t="s">
        <v>31</v>
      </c>
      <c r="S28" s="6" t="s">
        <v>32</v>
      </c>
      <c r="T28" s="8">
        <v>2447.4</v>
      </c>
      <c r="U28" s="8">
        <v>1055.32</v>
      </c>
      <c r="V28" s="6">
        <v>974.55</v>
      </c>
      <c r="W28" s="6">
        <v>0</v>
      </c>
      <c r="X28" s="6">
        <v>417.53</v>
      </c>
    </row>
    <row r="29" spans="1:24" ht="24.75" x14ac:dyDescent="0.25">
      <c r="A29" s="6" t="s">
        <v>25</v>
      </c>
      <c r="B29" s="6" t="s">
        <v>26</v>
      </c>
      <c r="C29" s="6" t="s">
        <v>48</v>
      </c>
      <c r="D29" s="6" t="s">
        <v>58</v>
      </c>
      <c r="E29" s="6" t="s">
        <v>43</v>
      </c>
      <c r="F29" s="6" t="s">
        <v>87</v>
      </c>
      <c r="G29" s="6">
        <v>2017</v>
      </c>
      <c r="H29" s="6" t="str">
        <f>CONCATENATE("74770255540")</f>
        <v>74770255540</v>
      </c>
      <c r="I29" s="6" t="s">
        <v>28</v>
      </c>
      <c r="J29" s="6" t="s">
        <v>29</v>
      </c>
      <c r="K29" s="6" t="str">
        <f>CONCATENATE("214")</f>
        <v>214</v>
      </c>
      <c r="L29" s="6" t="str">
        <f>CONCATENATE("11 11.2 4b")</f>
        <v>11 11.2 4b</v>
      </c>
      <c r="M29" s="6" t="str">
        <f>CONCATENATE("00456890417")</f>
        <v>00456890417</v>
      </c>
      <c r="N29" s="6" t="s">
        <v>92</v>
      </c>
      <c r="O29" s="6" t="s">
        <v>55</v>
      </c>
      <c r="P29" s="7">
        <v>43185</v>
      </c>
      <c r="Q29" s="6" t="s">
        <v>30</v>
      </c>
      <c r="R29" s="6" t="s">
        <v>31</v>
      </c>
      <c r="S29" s="6" t="s">
        <v>32</v>
      </c>
      <c r="T29" s="8">
        <v>1519.52</v>
      </c>
      <c r="U29" s="6">
        <v>655.22</v>
      </c>
      <c r="V29" s="6">
        <v>605.07000000000005</v>
      </c>
      <c r="W29" s="6">
        <v>0</v>
      </c>
      <c r="X29" s="6">
        <v>259.23</v>
      </c>
    </row>
    <row r="30" spans="1:24" ht="24.75" x14ac:dyDescent="0.25">
      <c r="A30" s="6" t="s">
        <v>25</v>
      </c>
      <c r="B30" s="6" t="s">
        <v>26</v>
      </c>
      <c r="C30" s="6" t="s">
        <v>48</v>
      </c>
      <c r="D30" s="6" t="s">
        <v>52</v>
      </c>
      <c r="E30" s="6" t="s">
        <v>36</v>
      </c>
      <c r="F30" s="6" t="s">
        <v>36</v>
      </c>
      <c r="G30" s="6">
        <v>2017</v>
      </c>
      <c r="H30" s="6" t="str">
        <f>CONCATENATE("74770210925")</f>
        <v>74770210925</v>
      </c>
      <c r="I30" s="6" t="s">
        <v>28</v>
      </c>
      <c r="J30" s="6" t="s">
        <v>29</v>
      </c>
      <c r="K30" s="6" t="str">
        <f>CONCATENATE("214")</f>
        <v>214</v>
      </c>
      <c r="L30" s="6" t="str">
        <f>CONCATENATE("11 11.2 4b")</f>
        <v>11 11.2 4b</v>
      </c>
      <c r="M30" s="6" t="str">
        <f>CONCATENATE("01098050444")</f>
        <v>01098050444</v>
      </c>
      <c r="N30" s="6" t="s">
        <v>93</v>
      </c>
      <c r="O30" s="6" t="s">
        <v>55</v>
      </c>
      <c r="P30" s="7">
        <v>43185</v>
      </c>
      <c r="Q30" s="6" t="s">
        <v>30</v>
      </c>
      <c r="R30" s="6" t="s">
        <v>31</v>
      </c>
      <c r="S30" s="6" t="s">
        <v>32</v>
      </c>
      <c r="T30" s="8">
        <v>2128.0100000000002</v>
      </c>
      <c r="U30" s="6">
        <v>917.6</v>
      </c>
      <c r="V30" s="6">
        <v>847.37</v>
      </c>
      <c r="W30" s="6">
        <v>0</v>
      </c>
      <c r="X30" s="6">
        <v>363.04</v>
      </c>
    </row>
    <row r="31" spans="1:24" ht="24.75" x14ac:dyDescent="0.25">
      <c r="A31" s="6" t="s">
        <v>25</v>
      </c>
      <c r="B31" s="6" t="s">
        <v>26</v>
      </c>
      <c r="C31" s="6" t="s">
        <v>48</v>
      </c>
      <c r="D31" s="6" t="s">
        <v>52</v>
      </c>
      <c r="E31" s="6" t="s">
        <v>34</v>
      </c>
      <c r="F31" s="6" t="s">
        <v>53</v>
      </c>
      <c r="G31" s="6">
        <v>2017</v>
      </c>
      <c r="H31" s="6" t="str">
        <f>CONCATENATE("74770053259")</f>
        <v>74770053259</v>
      </c>
      <c r="I31" s="6" t="s">
        <v>28</v>
      </c>
      <c r="J31" s="6" t="s">
        <v>29</v>
      </c>
      <c r="K31" s="6" t="str">
        <f>CONCATENATE("214")</f>
        <v>214</v>
      </c>
      <c r="L31" s="6" t="str">
        <f>CONCATENATE("11 11.2 4b")</f>
        <v>11 11.2 4b</v>
      </c>
      <c r="M31" s="6" t="str">
        <f>CONCATENATE("CMNMGS46M52I912E")</f>
        <v>CMNMGS46M52I912E</v>
      </c>
      <c r="N31" s="6" t="s">
        <v>94</v>
      </c>
      <c r="O31" s="6" t="s">
        <v>55</v>
      </c>
      <c r="P31" s="7">
        <v>43185</v>
      </c>
      <c r="Q31" s="6" t="s">
        <v>30</v>
      </c>
      <c r="R31" s="6" t="s">
        <v>31</v>
      </c>
      <c r="S31" s="6" t="s">
        <v>32</v>
      </c>
      <c r="T31" s="6">
        <v>369.15</v>
      </c>
      <c r="U31" s="6">
        <v>159.18</v>
      </c>
      <c r="V31" s="6">
        <v>147</v>
      </c>
      <c r="W31" s="6">
        <v>0</v>
      </c>
      <c r="X31" s="6">
        <v>62.97</v>
      </c>
    </row>
    <row r="32" spans="1:24" ht="24.75" x14ac:dyDescent="0.25">
      <c r="A32" s="6" t="s">
        <v>25</v>
      </c>
      <c r="B32" s="6" t="s">
        <v>26</v>
      </c>
      <c r="C32" s="6" t="s">
        <v>48</v>
      </c>
      <c r="D32" s="6" t="s">
        <v>52</v>
      </c>
      <c r="E32" s="6" t="s">
        <v>47</v>
      </c>
      <c r="F32" s="6" t="s">
        <v>66</v>
      </c>
      <c r="G32" s="6">
        <v>2017</v>
      </c>
      <c r="H32" s="6" t="str">
        <f>CONCATENATE("74770228729")</f>
        <v>74770228729</v>
      </c>
      <c r="I32" s="6" t="s">
        <v>28</v>
      </c>
      <c r="J32" s="6" t="s">
        <v>29</v>
      </c>
      <c r="K32" s="6" t="str">
        <f>CONCATENATE("214")</f>
        <v>214</v>
      </c>
      <c r="L32" s="6" t="str">
        <f>CONCATENATE("11 11.2 4b")</f>
        <v>11 11.2 4b</v>
      </c>
      <c r="M32" s="6" t="str">
        <f>CONCATENATE("LFNLSN49P21C321V")</f>
        <v>LFNLSN49P21C321V</v>
      </c>
      <c r="N32" s="6" t="s">
        <v>95</v>
      </c>
      <c r="O32" s="6" t="s">
        <v>55</v>
      </c>
      <c r="P32" s="7">
        <v>43185</v>
      </c>
      <c r="Q32" s="6" t="s">
        <v>30</v>
      </c>
      <c r="R32" s="6" t="s">
        <v>31</v>
      </c>
      <c r="S32" s="6" t="s">
        <v>32</v>
      </c>
      <c r="T32" s="6">
        <v>183.92</v>
      </c>
      <c r="U32" s="6">
        <v>79.31</v>
      </c>
      <c r="V32" s="6">
        <v>73.239999999999995</v>
      </c>
      <c r="W32" s="6">
        <v>0</v>
      </c>
      <c r="X32" s="6">
        <v>31.37</v>
      </c>
    </row>
    <row r="33" spans="1:24" ht="24.75" x14ac:dyDescent="0.25">
      <c r="A33" s="6" t="s">
        <v>25</v>
      </c>
      <c r="B33" s="6" t="s">
        <v>26</v>
      </c>
      <c r="C33" s="6" t="s">
        <v>48</v>
      </c>
      <c r="D33" s="6" t="s">
        <v>52</v>
      </c>
      <c r="E33" s="6" t="s">
        <v>36</v>
      </c>
      <c r="F33" s="6" t="s">
        <v>36</v>
      </c>
      <c r="G33" s="6">
        <v>2017</v>
      </c>
      <c r="H33" s="6" t="str">
        <f>CONCATENATE("74770101843")</f>
        <v>74770101843</v>
      </c>
      <c r="I33" s="6" t="s">
        <v>28</v>
      </c>
      <c r="J33" s="6" t="s">
        <v>29</v>
      </c>
      <c r="K33" s="6" t="str">
        <f>CONCATENATE("214")</f>
        <v>214</v>
      </c>
      <c r="L33" s="6" t="str">
        <f>CONCATENATE("11 11.2 4b")</f>
        <v>11 11.2 4b</v>
      </c>
      <c r="M33" s="6" t="str">
        <f>CONCATENATE("FLZGNN67P01H769G")</f>
        <v>FLZGNN67P01H769G</v>
      </c>
      <c r="N33" s="6" t="s">
        <v>96</v>
      </c>
      <c r="O33" s="6" t="s">
        <v>55</v>
      </c>
      <c r="P33" s="7">
        <v>43185</v>
      </c>
      <c r="Q33" s="6" t="s">
        <v>30</v>
      </c>
      <c r="R33" s="6" t="s">
        <v>31</v>
      </c>
      <c r="S33" s="6" t="s">
        <v>32</v>
      </c>
      <c r="T33" s="6">
        <v>374.34</v>
      </c>
      <c r="U33" s="6">
        <v>161.41999999999999</v>
      </c>
      <c r="V33" s="6">
        <v>149.06</v>
      </c>
      <c r="W33" s="6">
        <v>0</v>
      </c>
      <c r="X33" s="6">
        <v>63.86</v>
      </c>
    </row>
    <row r="34" spans="1:24" ht="24.75" x14ac:dyDescent="0.25">
      <c r="A34" s="6" t="s">
        <v>25</v>
      </c>
      <c r="B34" s="6" t="s">
        <v>26</v>
      </c>
      <c r="C34" s="6" t="s">
        <v>48</v>
      </c>
      <c r="D34" s="6" t="s">
        <v>52</v>
      </c>
      <c r="E34" s="6" t="s">
        <v>45</v>
      </c>
      <c r="F34" s="6" t="s">
        <v>46</v>
      </c>
      <c r="G34" s="6">
        <v>2017</v>
      </c>
      <c r="H34" s="6" t="str">
        <f>CONCATENATE("74770048275")</f>
        <v>74770048275</v>
      </c>
      <c r="I34" s="6" t="s">
        <v>28</v>
      </c>
      <c r="J34" s="6" t="s">
        <v>29</v>
      </c>
      <c r="K34" s="6" t="str">
        <f>CONCATENATE("214")</f>
        <v>214</v>
      </c>
      <c r="L34" s="6" t="str">
        <f>CONCATENATE("11 11.2 4b")</f>
        <v>11 11.2 4b</v>
      </c>
      <c r="M34" s="6" t="str">
        <f>CONCATENATE("FLPLBN48E16A462J")</f>
        <v>FLPLBN48E16A462J</v>
      </c>
      <c r="N34" s="6" t="s">
        <v>97</v>
      </c>
      <c r="O34" s="6" t="s">
        <v>55</v>
      </c>
      <c r="P34" s="7">
        <v>43185</v>
      </c>
      <c r="Q34" s="6" t="s">
        <v>30</v>
      </c>
      <c r="R34" s="6" t="s">
        <v>31</v>
      </c>
      <c r="S34" s="6" t="s">
        <v>32</v>
      </c>
      <c r="T34" s="6">
        <v>297.35000000000002</v>
      </c>
      <c r="U34" s="6">
        <v>128.22</v>
      </c>
      <c r="V34" s="6">
        <v>118.4</v>
      </c>
      <c r="W34" s="6">
        <v>0</v>
      </c>
      <c r="X34" s="6">
        <v>50.73</v>
      </c>
    </row>
    <row r="35" spans="1:24" ht="24.75" x14ac:dyDescent="0.25">
      <c r="A35" s="6" t="s">
        <v>25</v>
      </c>
      <c r="B35" s="6" t="s">
        <v>26</v>
      </c>
      <c r="C35" s="6" t="s">
        <v>48</v>
      </c>
      <c r="D35" s="6" t="s">
        <v>52</v>
      </c>
      <c r="E35" s="6" t="s">
        <v>33</v>
      </c>
      <c r="F35" s="6" t="s">
        <v>83</v>
      </c>
      <c r="G35" s="6">
        <v>2017</v>
      </c>
      <c r="H35" s="6" t="str">
        <f>CONCATENATE("74770232606")</f>
        <v>74770232606</v>
      </c>
      <c r="I35" s="6" t="s">
        <v>28</v>
      </c>
      <c r="J35" s="6" t="s">
        <v>29</v>
      </c>
      <c r="K35" s="6" t="str">
        <f>CONCATENATE("214")</f>
        <v>214</v>
      </c>
      <c r="L35" s="6" t="str">
        <f>CONCATENATE("11 11.2 4b")</f>
        <v>11 11.2 4b</v>
      </c>
      <c r="M35" s="6" t="str">
        <f>CONCATENATE("MRSNRC29M23C901E")</f>
        <v>MRSNRC29M23C901E</v>
      </c>
      <c r="N35" s="6" t="s">
        <v>89</v>
      </c>
      <c r="O35" s="6" t="s">
        <v>55</v>
      </c>
      <c r="P35" s="7">
        <v>43185</v>
      </c>
      <c r="Q35" s="6" t="s">
        <v>30</v>
      </c>
      <c r="R35" s="6" t="s">
        <v>31</v>
      </c>
      <c r="S35" s="6" t="s">
        <v>32</v>
      </c>
      <c r="T35" s="6">
        <v>901.5</v>
      </c>
      <c r="U35" s="6">
        <v>388.73</v>
      </c>
      <c r="V35" s="6">
        <v>358.98</v>
      </c>
      <c r="W35" s="6">
        <v>0</v>
      </c>
      <c r="X35" s="6">
        <v>153.79</v>
      </c>
    </row>
    <row r="36" spans="1:24" ht="24.75" x14ac:dyDescent="0.25">
      <c r="A36" s="6" t="s">
        <v>25</v>
      </c>
      <c r="B36" s="6" t="s">
        <v>26</v>
      </c>
      <c r="C36" s="6" t="s">
        <v>48</v>
      </c>
      <c r="D36" s="6" t="s">
        <v>52</v>
      </c>
      <c r="E36" s="6" t="s">
        <v>33</v>
      </c>
      <c r="F36" s="6" t="s">
        <v>83</v>
      </c>
      <c r="G36" s="6">
        <v>2017</v>
      </c>
      <c r="H36" s="6" t="str">
        <f>CONCATENATE("74770195951")</f>
        <v>74770195951</v>
      </c>
      <c r="I36" s="6" t="s">
        <v>28</v>
      </c>
      <c r="J36" s="6" t="s">
        <v>29</v>
      </c>
      <c r="K36" s="6" t="str">
        <f>CONCATENATE("214")</f>
        <v>214</v>
      </c>
      <c r="L36" s="6" t="str">
        <f>CONCATENATE("11 11.2 4b")</f>
        <v>11 11.2 4b</v>
      </c>
      <c r="M36" s="6" t="str">
        <f>CONCATENATE("RCCBRN41E23H321D")</f>
        <v>RCCBRN41E23H321D</v>
      </c>
      <c r="N36" s="6" t="s">
        <v>98</v>
      </c>
      <c r="O36" s="6" t="s">
        <v>55</v>
      </c>
      <c r="P36" s="7">
        <v>43185</v>
      </c>
      <c r="Q36" s="6" t="s">
        <v>30</v>
      </c>
      <c r="R36" s="6" t="s">
        <v>31</v>
      </c>
      <c r="S36" s="6" t="s">
        <v>32</v>
      </c>
      <c r="T36" s="6">
        <v>869.07</v>
      </c>
      <c r="U36" s="6">
        <v>374.74</v>
      </c>
      <c r="V36" s="6">
        <v>346.06</v>
      </c>
      <c r="W36" s="6">
        <v>0</v>
      </c>
      <c r="X36" s="6">
        <v>148.27000000000001</v>
      </c>
    </row>
    <row r="37" spans="1:24" ht="24.75" x14ac:dyDescent="0.25">
      <c r="A37" s="6" t="s">
        <v>25</v>
      </c>
      <c r="B37" s="6" t="s">
        <v>26</v>
      </c>
      <c r="C37" s="6" t="s">
        <v>48</v>
      </c>
      <c r="D37" s="6" t="s">
        <v>52</v>
      </c>
      <c r="E37" s="6" t="s">
        <v>34</v>
      </c>
      <c r="F37" s="6" t="s">
        <v>53</v>
      </c>
      <c r="G37" s="6">
        <v>2017</v>
      </c>
      <c r="H37" s="6" t="str">
        <f>CONCATENATE("74770125313")</f>
        <v>74770125313</v>
      </c>
      <c r="I37" s="6" t="s">
        <v>28</v>
      </c>
      <c r="J37" s="6" t="s">
        <v>29</v>
      </c>
      <c r="K37" s="6" t="str">
        <f>CONCATENATE("214")</f>
        <v>214</v>
      </c>
      <c r="L37" s="6" t="str">
        <f>CONCATENATE("11 11.2 4b")</f>
        <v>11 11.2 4b</v>
      </c>
      <c r="M37" s="6" t="str">
        <f>CONCATENATE("RSSGPP54C11A462B")</f>
        <v>RSSGPP54C11A462B</v>
      </c>
      <c r="N37" s="6" t="s">
        <v>99</v>
      </c>
      <c r="O37" s="6" t="s">
        <v>55</v>
      </c>
      <c r="P37" s="7">
        <v>43185</v>
      </c>
      <c r="Q37" s="6" t="s">
        <v>30</v>
      </c>
      <c r="R37" s="6" t="s">
        <v>31</v>
      </c>
      <c r="S37" s="6" t="s">
        <v>32</v>
      </c>
      <c r="T37" s="6">
        <v>196.24</v>
      </c>
      <c r="U37" s="6">
        <v>84.62</v>
      </c>
      <c r="V37" s="6">
        <v>78.14</v>
      </c>
      <c r="W37" s="6">
        <v>0</v>
      </c>
      <c r="X37" s="6">
        <v>33.479999999999997</v>
      </c>
    </row>
    <row r="38" spans="1:24" ht="24.75" x14ac:dyDescent="0.25">
      <c r="A38" s="6" t="s">
        <v>25</v>
      </c>
      <c r="B38" s="6" t="s">
        <v>26</v>
      </c>
      <c r="C38" s="6" t="s">
        <v>48</v>
      </c>
      <c r="D38" s="6" t="s">
        <v>52</v>
      </c>
      <c r="E38" s="6" t="s">
        <v>36</v>
      </c>
      <c r="F38" s="6" t="s">
        <v>36</v>
      </c>
      <c r="G38" s="6">
        <v>2017</v>
      </c>
      <c r="H38" s="6" t="str">
        <f>CONCATENATE("74770146475")</f>
        <v>74770146475</v>
      </c>
      <c r="I38" s="6" t="s">
        <v>28</v>
      </c>
      <c r="J38" s="6" t="s">
        <v>29</v>
      </c>
      <c r="K38" s="6" t="str">
        <f>CONCATENATE("214")</f>
        <v>214</v>
      </c>
      <c r="L38" s="6" t="str">
        <f>CONCATENATE("11 11.2 4b")</f>
        <v>11 11.2 4b</v>
      </c>
      <c r="M38" s="6" t="str">
        <f>CONCATENATE("01186180442")</f>
        <v>01186180442</v>
      </c>
      <c r="N38" s="6" t="s">
        <v>100</v>
      </c>
      <c r="O38" s="6" t="s">
        <v>55</v>
      </c>
      <c r="P38" s="7">
        <v>43185</v>
      </c>
      <c r="Q38" s="6" t="s">
        <v>30</v>
      </c>
      <c r="R38" s="6" t="s">
        <v>31</v>
      </c>
      <c r="S38" s="6" t="s">
        <v>32</v>
      </c>
      <c r="T38" s="8">
        <v>2218.9499999999998</v>
      </c>
      <c r="U38" s="6">
        <v>956.81</v>
      </c>
      <c r="V38" s="6">
        <v>883.59</v>
      </c>
      <c r="W38" s="6">
        <v>0</v>
      </c>
      <c r="X38" s="6">
        <v>378.55</v>
      </c>
    </row>
    <row r="39" spans="1:24" ht="24.75" x14ac:dyDescent="0.25">
      <c r="A39" s="6" t="s">
        <v>25</v>
      </c>
      <c r="B39" s="6" t="s">
        <v>26</v>
      </c>
      <c r="C39" s="6" t="s">
        <v>48</v>
      </c>
      <c r="D39" s="6" t="s">
        <v>52</v>
      </c>
      <c r="E39" s="6" t="s">
        <v>38</v>
      </c>
      <c r="F39" s="6" t="s">
        <v>62</v>
      </c>
      <c r="G39" s="6">
        <v>2017</v>
      </c>
      <c r="H39" s="6" t="str">
        <f>CONCATENATE("74770198401")</f>
        <v>74770198401</v>
      </c>
      <c r="I39" s="6" t="s">
        <v>28</v>
      </c>
      <c r="J39" s="6" t="s">
        <v>29</v>
      </c>
      <c r="K39" s="6" t="str">
        <f>CONCATENATE("214")</f>
        <v>214</v>
      </c>
      <c r="L39" s="6" t="str">
        <f>CONCATENATE("11 11.2 4b")</f>
        <v>11 11.2 4b</v>
      </c>
      <c r="M39" s="6" t="str">
        <f>CONCATENATE("LMNGPP69R02A271F")</f>
        <v>LMNGPP69R02A271F</v>
      </c>
      <c r="N39" s="6" t="s">
        <v>101</v>
      </c>
      <c r="O39" s="6" t="s">
        <v>55</v>
      </c>
      <c r="P39" s="7">
        <v>43185</v>
      </c>
      <c r="Q39" s="6" t="s">
        <v>30</v>
      </c>
      <c r="R39" s="6" t="s">
        <v>31</v>
      </c>
      <c r="S39" s="6" t="s">
        <v>32</v>
      </c>
      <c r="T39" s="8">
        <v>1004.62</v>
      </c>
      <c r="U39" s="6">
        <v>433.19</v>
      </c>
      <c r="V39" s="6">
        <v>400.04</v>
      </c>
      <c r="W39" s="6">
        <v>0</v>
      </c>
      <c r="X39" s="6">
        <v>171.39</v>
      </c>
    </row>
    <row r="40" spans="1:24" ht="24.75" x14ac:dyDescent="0.25">
      <c r="A40" s="6" t="s">
        <v>25</v>
      </c>
      <c r="B40" s="6" t="s">
        <v>26</v>
      </c>
      <c r="C40" s="6" t="s">
        <v>48</v>
      </c>
      <c r="D40" s="6" t="s">
        <v>52</v>
      </c>
      <c r="E40" s="6" t="s">
        <v>38</v>
      </c>
      <c r="F40" s="6" t="s">
        <v>62</v>
      </c>
      <c r="G40" s="6">
        <v>2017</v>
      </c>
      <c r="H40" s="6" t="str">
        <f>CONCATENATE("74770130172")</f>
        <v>74770130172</v>
      </c>
      <c r="I40" s="6" t="s">
        <v>28</v>
      </c>
      <c r="J40" s="6" t="s">
        <v>29</v>
      </c>
      <c r="K40" s="6" t="str">
        <f>CONCATENATE("214")</f>
        <v>214</v>
      </c>
      <c r="L40" s="6" t="str">
        <f>CONCATENATE("11 11.1 4b - 11 11.2 4b")</f>
        <v>11 11.1 4b - 11 11.2 4b</v>
      </c>
      <c r="M40" s="6" t="str">
        <f>CONCATENATE("RNLMRC78H25A462U")</f>
        <v>RNLMRC78H25A462U</v>
      </c>
      <c r="N40" s="6" t="s">
        <v>77</v>
      </c>
      <c r="O40" s="6" t="s">
        <v>55</v>
      </c>
      <c r="P40" s="7">
        <v>43185</v>
      </c>
      <c r="Q40" s="6" t="s">
        <v>30</v>
      </c>
      <c r="R40" s="6" t="s">
        <v>31</v>
      </c>
      <c r="S40" s="6" t="s">
        <v>32</v>
      </c>
      <c r="T40" s="8">
        <v>2730.46</v>
      </c>
      <c r="U40" s="8">
        <v>1177.3699999999999</v>
      </c>
      <c r="V40" s="8">
        <v>1087.27</v>
      </c>
      <c r="W40" s="6">
        <v>0</v>
      </c>
      <c r="X40" s="6">
        <v>465.82</v>
      </c>
    </row>
    <row r="41" spans="1:24" ht="24.75" x14ac:dyDescent="0.25">
      <c r="A41" s="6" t="s">
        <v>25</v>
      </c>
      <c r="B41" s="6" t="s">
        <v>26</v>
      </c>
      <c r="C41" s="6" t="s">
        <v>48</v>
      </c>
      <c r="D41" s="6" t="s">
        <v>52</v>
      </c>
      <c r="E41" s="6" t="s">
        <v>34</v>
      </c>
      <c r="F41" s="6" t="s">
        <v>53</v>
      </c>
      <c r="G41" s="6">
        <v>2017</v>
      </c>
      <c r="H41" s="6" t="str">
        <f>CONCATENATE("74770034648")</f>
        <v>74770034648</v>
      </c>
      <c r="I41" s="6" t="s">
        <v>28</v>
      </c>
      <c r="J41" s="6" t="s">
        <v>29</v>
      </c>
      <c r="K41" s="6" t="str">
        <f>CONCATENATE("214")</f>
        <v>214</v>
      </c>
      <c r="L41" s="6" t="str">
        <f>CONCATENATE("11 11.2 4b")</f>
        <v>11 11.2 4b</v>
      </c>
      <c r="M41" s="6" t="str">
        <f>CONCATENATE("00112000443")</f>
        <v>00112000443</v>
      </c>
      <c r="N41" s="6" t="s">
        <v>102</v>
      </c>
      <c r="O41" s="6" t="s">
        <v>55</v>
      </c>
      <c r="P41" s="7">
        <v>43185</v>
      </c>
      <c r="Q41" s="6" t="s">
        <v>30</v>
      </c>
      <c r="R41" s="6" t="s">
        <v>31</v>
      </c>
      <c r="S41" s="6" t="s">
        <v>32</v>
      </c>
      <c r="T41" s="8">
        <v>2431.44</v>
      </c>
      <c r="U41" s="8">
        <v>1048.44</v>
      </c>
      <c r="V41" s="6">
        <v>968.2</v>
      </c>
      <c r="W41" s="6">
        <v>0</v>
      </c>
      <c r="X41" s="6">
        <v>414.8</v>
      </c>
    </row>
    <row r="42" spans="1:24" ht="24.75" x14ac:dyDescent="0.25">
      <c r="A42" s="6" t="s">
        <v>25</v>
      </c>
      <c r="B42" s="6" t="s">
        <v>26</v>
      </c>
      <c r="C42" s="6" t="s">
        <v>48</v>
      </c>
      <c r="D42" s="6" t="s">
        <v>52</v>
      </c>
      <c r="E42" s="6" t="s">
        <v>45</v>
      </c>
      <c r="F42" s="6" t="s">
        <v>46</v>
      </c>
      <c r="G42" s="6">
        <v>2017</v>
      </c>
      <c r="H42" s="6" t="str">
        <f>CONCATENATE("74770048317")</f>
        <v>74770048317</v>
      </c>
      <c r="I42" s="6" t="s">
        <v>28</v>
      </c>
      <c r="J42" s="6" t="s">
        <v>29</v>
      </c>
      <c r="K42" s="6" t="str">
        <f>CONCATENATE("214")</f>
        <v>214</v>
      </c>
      <c r="L42" s="6" t="str">
        <f>CONCATENATE("11 11.2 4b")</f>
        <v>11 11.2 4b</v>
      </c>
      <c r="M42" s="6" t="str">
        <f>CONCATENATE("01185350442")</f>
        <v>01185350442</v>
      </c>
      <c r="N42" s="6" t="s">
        <v>103</v>
      </c>
      <c r="O42" s="6" t="s">
        <v>55</v>
      </c>
      <c r="P42" s="7">
        <v>43185</v>
      </c>
      <c r="Q42" s="6" t="s">
        <v>30</v>
      </c>
      <c r="R42" s="6" t="s">
        <v>31</v>
      </c>
      <c r="S42" s="6" t="s">
        <v>32</v>
      </c>
      <c r="T42" s="8">
        <v>1567.89</v>
      </c>
      <c r="U42" s="6">
        <v>676.07</v>
      </c>
      <c r="V42" s="6">
        <v>624.33000000000004</v>
      </c>
      <c r="W42" s="6">
        <v>0</v>
      </c>
      <c r="X42" s="6">
        <v>267.49</v>
      </c>
    </row>
    <row r="43" spans="1:24" ht="24.75" x14ac:dyDescent="0.25">
      <c r="A43" s="6" t="s">
        <v>25</v>
      </c>
      <c r="B43" s="6" t="s">
        <v>26</v>
      </c>
      <c r="C43" s="6" t="s">
        <v>48</v>
      </c>
      <c r="D43" s="6" t="s">
        <v>52</v>
      </c>
      <c r="E43" s="6" t="s">
        <v>33</v>
      </c>
      <c r="F43" s="6" t="s">
        <v>83</v>
      </c>
      <c r="G43" s="6">
        <v>2017</v>
      </c>
      <c r="H43" s="6" t="str">
        <f>CONCATENATE("74770195100")</f>
        <v>74770195100</v>
      </c>
      <c r="I43" s="6" t="s">
        <v>28</v>
      </c>
      <c r="J43" s="6" t="s">
        <v>29</v>
      </c>
      <c r="K43" s="6" t="str">
        <f>CONCATENATE("214")</f>
        <v>214</v>
      </c>
      <c r="L43" s="6" t="str">
        <f>CONCATENATE("11 11.2 4b")</f>
        <v>11 11.2 4b</v>
      </c>
      <c r="M43" s="6" t="str">
        <f>CONCATENATE("NGLMGR60P41G516B")</f>
        <v>NGLMGR60P41G516B</v>
      </c>
      <c r="N43" s="6" t="s">
        <v>104</v>
      </c>
      <c r="O43" s="6" t="s">
        <v>55</v>
      </c>
      <c r="P43" s="7">
        <v>43185</v>
      </c>
      <c r="Q43" s="6" t="s">
        <v>30</v>
      </c>
      <c r="R43" s="6" t="s">
        <v>31</v>
      </c>
      <c r="S43" s="6" t="s">
        <v>32</v>
      </c>
      <c r="T43" s="6">
        <v>600.92999999999995</v>
      </c>
      <c r="U43" s="6">
        <v>259.12</v>
      </c>
      <c r="V43" s="6">
        <v>239.29</v>
      </c>
      <c r="W43" s="6">
        <v>0</v>
      </c>
      <c r="X43" s="6">
        <v>102.52</v>
      </c>
    </row>
    <row r="44" spans="1:24" ht="24.75" x14ac:dyDescent="0.25">
      <c r="A44" s="6" t="s">
        <v>25</v>
      </c>
      <c r="B44" s="6" t="s">
        <v>26</v>
      </c>
      <c r="C44" s="6" t="s">
        <v>48</v>
      </c>
      <c r="D44" s="6" t="s">
        <v>52</v>
      </c>
      <c r="E44" s="6" t="s">
        <v>33</v>
      </c>
      <c r="F44" s="6" t="s">
        <v>83</v>
      </c>
      <c r="G44" s="6">
        <v>2017</v>
      </c>
      <c r="H44" s="6" t="str">
        <f>CONCATENATE("74770195308")</f>
        <v>74770195308</v>
      </c>
      <c r="I44" s="6" t="s">
        <v>28</v>
      </c>
      <c r="J44" s="6" t="s">
        <v>29</v>
      </c>
      <c r="K44" s="6" t="str">
        <f>CONCATENATE("214")</f>
        <v>214</v>
      </c>
      <c r="L44" s="6" t="str">
        <f>CONCATENATE("11 11.2 4b")</f>
        <v>11 11.2 4b</v>
      </c>
      <c r="M44" s="6" t="str">
        <f>CONCATENATE("FLCLSN67M58D548M")</f>
        <v>FLCLSN67M58D548M</v>
      </c>
      <c r="N44" s="6" t="s">
        <v>105</v>
      </c>
      <c r="O44" s="6" t="s">
        <v>55</v>
      </c>
      <c r="P44" s="7">
        <v>43185</v>
      </c>
      <c r="Q44" s="6" t="s">
        <v>30</v>
      </c>
      <c r="R44" s="6" t="s">
        <v>31</v>
      </c>
      <c r="S44" s="6" t="s">
        <v>32</v>
      </c>
      <c r="T44" s="8">
        <v>1988.37</v>
      </c>
      <c r="U44" s="6">
        <v>857.39</v>
      </c>
      <c r="V44" s="6">
        <v>791.77</v>
      </c>
      <c r="W44" s="6">
        <v>0</v>
      </c>
      <c r="X44" s="6">
        <v>339.21</v>
      </c>
    </row>
    <row r="45" spans="1:24" ht="24.75" x14ac:dyDescent="0.25">
      <c r="A45" s="6" t="s">
        <v>25</v>
      </c>
      <c r="B45" s="6" t="s">
        <v>26</v>
      </c>
      <c r="C45" s="6" t="s">
        <v>48</v>
      </c>
      <c r="D45" s="6" t="s">
        <v>52</v>
      </c>
      <c r="E45" s="6" t="s">
        <v>38</v>
      </c>
      <c r="F45" s="6" t="s">
        <v>62</v>
      </c>
      <c r="G45" s="6">
        <v>2017</v>
      </c>
      <c r="H45" s="6" t="str">
        <f>CONCATENATE("74770194384")</f>
        <v>74770194384</v>
      </c>
      <c r="I45" s="6" t="s">
        <v>28</v>
      </c>
      <c r="J45" s="6" t="s">
        <v>29</v>
      </c>
      <c r="K45" s="6" t="str">
        <f>CONCATENATE("214")</f>
        <v>214</v>
      </c>
      <c r="L45" s="6" t="str">
        <f>CONCATENATE("11 11.2 4b")</f>
        <v>11 11.2 4b</v>
      </c>
      <c r="M45" s="6" t="str">
        <f>CONCATENATE("PRTVNT68R53H769G")</f>
        <v>PRTVNT68R53H769G</v>
      </c>
      <c r="N45" s="6" t="s">
        <v>106</v>
      </c>
      <c r="O45" s="6" t="s">
        <v>55</v>
      </c>
      <c r="P45" s="7">
        <v>43185</v>
      </c>
      <c r="Q45" s="6" t="s">
        <v>30</v>
      </c>
      <c r="R45" s="6" t="s">
        <v>31</v>
      </c>
      <c r="S45" s="6" t="s">
        <v>32</v>
      </c>
      <c r="T45" s="6">
        <v>106.53</v>
      </c>
      <c r="U45" s="6">
        <v>45.94</v>
      </c>
      <c r="V45" s="6">
        <v>42.42</v>
      </c>
      <c r="W45" s="6">
        <v>0</v>
      </c>
      <c r="X45" s="6">
        <v>18.170000000000002</v>
      </c>
    </row>
    <row r="46" spans="1:24" ht="24.75" x14ac:dyDescent="0.25">
      <c r="A46" s="6" t="s">
        <v>25</v>
      </c>
      <c r="B46" s="6" t="s">
        <v>26</v>
      </c>
      <c r="C46" s="6" t="s">
        <v>48</v>
      </c>
      <c r="D46" s="6" t="s">
        <v>52</v>
      </c>
      <c r="E46" s="6" t="s">
        <v>38</v>
      </c>
      <c r="F46" s="6" t="s">
        <v>62</v>
      </c>
      <c r="G46" s="6">
        <v>2017</v>
      </c>
      <c r="H46" s="6" t="str">
        <f>CONCATENATE("74770274426")</f>
        <v>74770274426</v>
      </c>
      <c r="I46" s="6" t="s">
        <v>28</v>
      </c>
      <c r="J46" s="6" t="s">
        <v>29</v>
      </c>
      <c r="K46" s="6" t="str">
        <f>CONCATENATE("214")</f>
        <v>214</v>
      </c>
      <c r="L46" s="6" t="str">
        <f>CONCATENATE("11 11.2 4b")</f>
        <v>11 11.2 4b</v>
      </c>
      <c r="M46" s="6" t="str">
        <f>CONCATENATE("00903910446")</f>
        <v>00903910446</v>
      </c>
      <c r="N46" s="6" t="s">
        <v>107</v>
      </c>
      <c r="O46" s="6" t="s">
        <v>55</v>
      </c>
      <c r="P46" s="7">
        <v>43185</v>
      </c>
      <c r="Q46" s="6" t="s">
        <v>30</v>
      </c>
      <c r="R46" s="6" t="s">
        <v>31</v>
      </c>
      <c r="S46" s="6" t="s">
        <v>32</v>
      </c>
      <c r="T46" s="6">
        <v>205.04</v>
      </c>
      <c r="U46" s="6">
        <v>88.41</v>
      </c>
      <c r="V46" s="6">
        <v>81.650000000000006</v>
      </c>
      <c r="W46" s="6">
        <v>0</v>
      </c>
      <c r="X46" s="6">
        <v>34.979999999999997</v>
      </c>
    </row>
    <row r="47" spans="1:24" ht="24.75" x14ac:dyDescent="0.25">
      <c r="A47" s="6" t="s">
        <v>25</v>
      </c>
      <c r="B47" s="6" t="s">
        <v>26</v>
      </c>
      <c r="C47" s="6" t="s">
        <v>48</v>
      </c>
      <c r="D47" s="6" t="s">
        <v>52</v>
      </c>
      <c r="E47" s="6" t="s">
        <v>36</v>
      </c>
      <c r="F47" s="6" t="s">
        <v>36</v>
      </c>
      <c r="G47" s="6">
        <v>2017</v>
      </c>
      <c r="H47" s="6" t="str">
        <f>CONCATENATE("74770173776")</f>
        <v>74770173776</v>
      </c>
      <c r="I47" s="6" t="s">
        <v>28</v>
      </c>
      <c r="J47" s="6" t="s">
        <v>29</v>
      </c>
      <c r="K47" s="6" t="str">
        <f>CONCATENATE("214")</f>
        <v>214</v>
      </c>
      <c r="L47" s="6" t="str">
        <f>CONCATENATE("11 11.2 4b")</f>
        <v>11 11.2 4b</v>
      </c>
      <c r="M47" s="6" t="str">
        <f>CONCATENATE("DNCSVN56T23G005Y")</f>
        <v>DNCSVN56T23G005Y</v>
      </c>
      <c r="N47" s="6" t="s">
        <v>108</v>
      </c>
      <c r="O47" s="6" t="s">
        <v>55</v>
      </c>
      <c r="P47" s="7">
        <v>43185</v>
      </c>
      <c r="Q47" s="6" t="s">
        <v>30</v>
      </c>
      <c r="R47" s="6" t="s">
        <v>31</v>
      </c>
      <c r="S47" s="6" t="s">
        <v>32</v>
      </c>
      <c r="T47" s="6">
        <v>556.27</v>
      </c>
      <c r="U47" s="6">
        <v>239.86</v>
      </c>
      <c r="V47" s="6">
        <v>221.51</v>
      </c>
      <c r="W47" s="6">
        <v>0</v>
      </c>
      <c r="X47" s="6">
        <v>94.9</v>
      </c>
    </row>
    <row r="48" spans="1:24" ht="24.75" x14ac:dyDescent="0.25">
      <c r="A48" s="6" t="s">
        <v>25</v>
      </c>
      <c r="B48" s="6" t="s">
        <v>26</v>
      </c>
      <c r="C48" s="6" t="s">
        <v>48</v>
      </c>
      <c r="D48" s="6" t="s">
        <v>52</v>
      </c>
      <c r="E48" s="6" t="s">
        <v>36</v>
      </c>
      <c r="F48" s="6" t="s">
        <v>36</v>
      </c>
      <c r="G48" s="6">
        <v>2017</v>
      </c>
      <c r="H48" s="6" t="str">
        <f>CONCATENATE("74770173784")</f>
        <v>74770173784</v>
      </c>
      <c r="I48" s="6" t="s">
        <v>28</v>
      </c>
      <c r="J48" s="6" t="s">
        <v>29</v>
      </c>
      <c r="K48" s="6" t="str">
        <f>CONCATENATE("214")</f>
        <v>214</v>
      </c>
      <c r="L48" s="6" t="str">
        <f>CONCATENATE("11 11.2 4b")</f>
        <v>11 11.2 4b</v>
      </c>
      <c r="M48" s="6" t="str">
        <f>CONCATENATE("DNCSVN56T23G005Y")</f>
        <v>DNCSVN56T23G005Y</v>
      </c>
      <c r="N48" s="6" t="s">
        <v>108</v>
      </c>
      <c r="O48" s="6" t="s">
        <v>55</v>
      </c>
      <c r="P48" s="7">
        <v>43185</v>
      </c>
      <c r="Q48" s="6" t="s">
        <v>30</v>
      </c>
      <c r="R48" s="6" t="s">
        <v>31</v>
      </c>
      <c r="S48" s="6" t="s">
        <v>32</v>
      </c>
      <c r="T48" s="6">
        <v>471.07</v>
      </c>
      <c r="U48" s="6">
        <v>203.13</v>
      </c>
      <c r="V48" s="6">
        <v>187.58</v>
      </c>
      <c r="W48" s="6">
        <v>0</v>
      </c>
      <c r="X48" s="6">
        <v>80.36</v>
      </c>
    </row>
    <row r="49" spans="1:24" ht="24.75" x14ac:dyDescent="0.25">
      <c r="A49" s="6" t="s">
        <v>25</v>
      </c>
      <c r="B49" s="6" t="s">
        <v>26</v>
      </c>
      <c r="C49" s="6" t="s">
        <v>48</v>
      </c>
      <c r="D49" s="6" t="s">
        <v>52</v>
      </c>
      <c r="E49" s="6" t="s">
        <v>38</v>
      </c>
      <c r="F49" s="6" t="s">
        <v>62</v>
      </c>
      <c r="G49" s="6">
        <v>2017</v>
      </c>
      <c r="H49" s="6" t="str">
        <f>CONCATENATE("74770277718")</f>
        <v>74770277718</v>
      </c>
      <c r="I49" s="6" t="s">
        <v>28</v>
      </c>
      <c r="J49" s="6" t="s">
        <v>29</v>
      </c>
      <c r="K49" s="6" t="str">
        <f>CONCATENATE("214")</f>
        <v>214</v>
      </c>
      <c r="L49" s="6" t="str">
        <f>CONCATENATE("11 11.1 4b")</f>
        <v>11 11.1 4b</v>
      </c>
      <c r="M49" s="6" t="str">
        <f>CONCATENATE("NCCVNT89M18H769W")</f>
        <v>NCCVNT89M18H769W</v>
      </c>
      <c r="N49" s="6" t="s">
        <v>109</v>
      </c>
      <c r="O49" s="6" t="s">
        <v>55</v>
      </c>
      <c r="P49" s="7">
        <v>43185</v>
      </c>
      <c r="Q49" s="6" t="s">
        <v>30</v>
      </c>
      <c r="R49" s="6" t="s">
        <v>31</v>
      </c>
      <c r="S49" s="6" t="s">
        <v>32</v>
      </c>
      <c r="T49" s="6">
        <v>643.6</v>
      </c>
      <c r="U49" s="6">
        <v>277.52</v>
      </c>
      <c r="V49" s="6">
        <v>256.27999999999997</v>
      </c>
      <c r="W49" s="6">
        <v>0</v>
      </c>
      <c r="X49" s="6">
        <v>109.8</v>
      </c>
    </row>
    <row r="50" spans="1:24" ht="24.75" x14ac:dyDescent="0.25">
      <c r="A50" s="6" t="s">
        <v>25</v>
      </c>
      <c r="B50" s="6" t="s">
        <v>26</v>
      </c>
      <c r="C50" s="6" t="s">
        <v>48</v>
      </c>
      <c r="D50" s="6" t="s">
        <v>52</v>
      </c>
      <c r="E50" s="6" t="s">
        <v>34</v>
      </c>
      <c r="F50" s="6" t="s">
        <v>68</v>
      </c>
      <c r="G50" s="6">
        <v>2017</v>
      </c>
      <c r="H50" s="6" t="str">
        <f>CONCATENATE("74770132707")</f>
        <v>74770132707</v>
      </c>
      <c r="I50" s="6" t="s">
        <v>28</v>
      </c>
      <c r="J50" s="6" t="s">
        <v>29</v>
      </c>
      <c r="K50" s="6" t="str">
        <f>CONCATENATE("214")</f>
        <v>214</v>
      </c>
      <c r="L50" s="6" t="str">
        <f>CONCATENATE("11 11.2 4b")</f>
        <v>11 11.2 4b</v>
      </c>
      <c r="M50" s="6" t="str">
        <f>CONCATENATE("MCCMHL88P58D542O")</f>
        <v>MCCMHL88P58D542O</v>
      </c>
      <c r="N50" s="6" t="s">
        <v>69</v>
      </c>
      <c r="O50" s="6" t="s">
        <v>55</v>
      </c>
      <c r="P50" s="7">
        <v>43185</v>
      </c>
      <c r="Q50" s="6" t="s">
        <v>30</v>
      </c>
      <c r="R50" s="6" t="s">
        <v>31</v>
      </c>
      <c r="S50" s="6" t="s">
        <v>32</v>
      </c>
      <c r="T50" s="6">
        <v>182.38</v>
      </c>
      <c r="U50" s="6">
        <v>78.64</v>
      </c>
      <c r="V50" s="6">
        <v>72.62</v>
      </c>
      <c r="W50" s="6">
        <v>0</v>
      </c>
      <c r="X50" s="6">
        <v>31.12</v>
      </c>
    </row>
    <row r="51" spans="1:24" ht="24.75" x14ac:dyDescent="0.25">
      <c r="A51" s="6" t="s">
        <v>25</v>
      </c>
      <c r="B51" s="6" t="s">
        <v>26</v>
      </c>
      <c r="C51" s="6" t="s">
        <v>48</v>
      </c>
      <c r="D51" s="6" t="s">
        <v>52</v>
      </c>
      <c r="E51" s="6" t="s">
        <v>33</v>
      </c>
      <c r="F51" s="6" t="s">
        <v>83</v>
      </c>
      <c r="G51" s="6">
        <v>2017</v>
      </c>
      <c r="H51" s="6" t="str">
        <f>CONCATENATE("74770195811")</f>
        <v>74770195811</v>
      </c>
      <c r="I51" s="6" t="s">
        <v>28</v>
      </c>
      <c r="J51" s="6" t="s">
        <v>29</v>
      </c>
      <c r="K51" s="6" t="str">
        <f>CONCATENATE("214")</f>
        <v>214</v>
      </c>
      <c r="L51" s="6" t="str">
        <f>CONCATENATE("11 11.2 4b")</f>
        <v>11 11.2 4b</v>
      </c>
      <c r="M51" s="6" t="str">
        <f>CONCATENATE("PLLNRN63L53D542H")</f>
        <v>PLLNRN63L53D542H</v>
      </c>
      <c r="N51" s="6" t="s">
        <v>110</v>
      </c>
      <c r="O51" s="6" t="s">
        <v>55</v>
      </c>
      <c r="P51" s="7">
        <v>43185</v>
      </c>
      <c r="Q51" s="6" t="s">
        <v>30</v>
      </c>
      <c r="R51" s="6" t="s">
        <v>31</v>
      </c>
      <c r="S51" s="6" t="s">
        <v>32</v>
      </c>
      <c r="T51" s="6">
        <v>466.2</v>
      </c>
      <c r="U51" s="6">
        <v>201.03</v>
      </c>
      <c r="V51" s="6">
        <v>185.64</v>
      </c>
      <c r="W51" s="6">
        <v>0</v>
      </c>
      <c r="X51" s="6">
        <v>79.53</v>
      </c>
    </row>
    <row r="52" spans="1:24" ht="24.75" x14ac:dyDescent="0.25">
      <c r="A52" s="6" t="s">
        <v>25</v>
      </c>
      <c r="B52" s="6" t="s">
        <v>26</v>
      </c>
      <c r="C52" s="6" t="s">
        <v>48</v>
      </c>
      <c r="D52" s="6" t="s">
        <v>52</v>
      </c>
      <c r="E52" s="6" t="s">
        <v>39</v>
      </c>
      <c r="F52" s="6" t="s">
        <v>111</v>
      </c>
      <c r="G52" s="6">
        <v>2017</v>
      </c>
      <c r="H52" s="6" t="str">
        <f>CONCATENATE("74770048036")</f>
        <v>74770048036</v>
      </c>
      <c r="I52" s="6" t="s">
        <v>28</v>
      </c>
      <c r="J52" s="6" t="s">
        <v>29</v>
      </c>
      <c r="K52" s="6" t="str">
        <f>CONCATENATE("214")</f>
        <v>214</v>
      </c>
      <c r="L52" s="6" t="str">
        <f>CONCATENATE("11 11.2 4b")</f>
        <v>11 11.2 4b</v>
      </c>
      <c r="M52" s="6" t="str">
        <f>CONCATENATE("GLNGRG58M11G224Y")</f>
        <v>GLNGRG58M11G224Y</v>
      </c>
      <c r="N52" s="6" t="s">
        <v>112</v>
      </c>
      <c r="O52" s="6" t="s">
        <v>55</v>
      </c>
      <c r="P52" s="7">
        <v>43185</v>
      </c>
      <c r="Q52" s="6" t="s">
        <v>30</v>
      </c>
      <c r="R52" s="6" t="s">
        <v>31</v>
      </c>
      <c r="S52" s="6" t="s">
        <v>32</v>
      </c>
      <c r="T52" s="6">
        <v>138.99</v>
      </c>
      <c r="U52" s="6">
        <v>59.93</v>
      </c>
      <c r="V52" s="6">
        <v>55.35</v>
      </c>
      <c r="W52" s="6">
        <v>0</v>
      </c>
      <c r="X52" s="6">
        <v>23.71</v>
      </c>
    </row>
    <row r="53" spans="1:24" ht="24.75" x14ac:dyDescent="0.25">
      <c r="A53" s="6" t="s">
        <v>25</v>
      </c>
      <c r="B53" s="6" t="s">
        <v>26</v>
      </c>
      <c r="C53" s="6" t="s">
        <v>48</v>
      </c>
      <c r="D53" s="6" t="s">
        <v>52</v>
      </c>
      <c r="E53" s="6" t="s">
        <v>38</v>
      </c>
      <c r="F53" s="6" t="s">
        <v>62</v>
      </c>
      <c r="G53" s="6">
        <v>2017</v>
      </c>
      <c r="H53" s="6" t="str">
        <f>CONCATENATE("74770275076")</f>
        <v>74770275076</v>
      </c>
      <c r="I53" s="6" t="s">
        <v>28</v>
      </c>
      <c r="J53" s="6" t="s">
        <v>29</v>
      </c>
      <c r="K53" s="6" t="str">
        <f>CONCATENATE("214")</f>
        <v>214</v>
      </c>
      <c r="L53" s="6" t="str">
        <f>CONCATENATE("11 11.2 4b")</f>
        <v>11 11.2 4b</v>
      </c>
      <c r="M53" s="6" t="str">
        <f>CONCATENATE("PCINNN28S54A047B")</f>
        <v>PCINNN28S54A047B</v>
      </c>
      <c r="N53" s="6" t="s">
        <v>113</v>
      </c>
      <c r="O53" s="6" t="s">
        <v>55</v>
      </c>
      <c r="P53" s="7">
        <v>43185</v>
      </c>
      <c r="Q53" s="6" t="s">
        <v>30</v>
      </c>
      <c r="R53" s="6" t="s">
        <v>31</v>
      </c>
      <c r="S53" s="6" t="s">
        <v>32</v>
      </c>
      <c r="T53" s="6">
        <v>272.29000000000002</v>
      </c>
      <c r="U53" s="6">
        <v>117.41</v>
      </c>
      <c r="V53" s="6">
        <v>108.43</v>
      </c>
      <c r="W53" s="6">
        <v>0</v>
      </c>
      <c r="X53" s="6">
        <v>46.45</v>
      </c>
    </row>
    <row r="54" spans="1:24" ht="24.75" x14ac:dyDescent="0.25">
      <c r="A54" s="6" t="s">
        <v>25</v>
      </c>
      <c r="B54" s="6" t="s">
        <v>26</v>
      </c>
      <c r="C54" s="6" t="s">
        <v>48</v>
      </c>
      <c r="D54" s="6" t="s">
        <v>49</v>
      </c>
      <c r="E54" s="6" t="s">
        <v>33</v>
      </c>
      <c r="F54" s="6" t="s">
        <v>114</v>
      </c>
      <c r="G54" s="6">
        <v>2016</v>
      </c>
      <c r="H54" s="6" t="str">
        <f>CONCATENATE("64770229124")</f>
        <v>64770229124</v>
      </c>
      <c r="I54" s="6" t="s">
        <v>40</v>
      </c>
      <c r="J54" s="6" t="s">
        <v>29</v>
      </c>
      <c r="K54" s="6" t="str">
        <f>CONCATENATE("214")</f>
        <v>214</v>
      </c>
      <c r="L54" s="6" t="str">
        <f>CONCATENATE("11 11.1 4b")</f>
        <v>11 11.1 4b</v>
      </c>
      <c r="M54" s="6" t="str">
        <f>CONCATENATE("02654340427")</f>
        <v>02654340427</v>
      </c>
      <c r="N54" s="6" t="s">
        <v>115</v>
      </c>
      <c r="O54" s="6" t="s">
        <v>116</v>
      </c>
      <c r="P54" s="7">
        <v>43185</v>
      </c>
      <c r="Q54" s="6" t="s">
        <v>30</v>
      </c>
      <c r="R54" s="6" t="s">
        <v>31</v>
      </c>
      <c r="S54" s="6" t="s">
        <v>32</v>
      </c>
      <c r="T54" s="6">
        <v>480.47</v>
      </c>
      <c r="U54" s="6">
        <v>207.18</v>
      </c>
      <c r="V54" s="6">
        <v>191.32</v>
      </c>
      <c r="W54" s="6">
        <v>0</v>
      </c>
      <c r="X54" s="6">
        <v>81.97</v>
      </c>
    </row>
    <row r="55" spans="1:24" ht="24.75" x14ac:dyDescent="0.25">
      <c r="A55" s="6" t="s">
        <v>25</v>
      </c>
      <c r="B55" s="6" t="s">
        <v>26</v>
      </c>
      <c r="C55" s="6" t="s">
        <v>48</v>
      </c>
      <c r="D55" s="6" t="s">
        <v>52</v>
      </c>
      <c r="E55" s="6" t="s">
        <v>33</v>
      </c>
      <c r="F55" s="6" t="s">
        <v>83</v>
      </c>
      <c r="G55" s="6">
        <v>2017</v>
      </c>
      <c r="H55" s="6" t="str">
        <f>CONCATENATE("74770195159")</f>
        <v>74770195159</v>
      </c>
      <c r="I55" s="6" t="s">
        <v>28</v>
      </c>
      <c r="J55" s="6" t="s">
        <v>29</v>
      </c>
      <c r="K55" s="6" t="str">
        <f>CONCATENATE("214")</f>
        <v>214</v>
      </c>
      <c r="L55" s="6" t="str">
        <f>CONCATENATE("11 11.1 4b")</f>
        <v>11 11.1 4b</v>
      </c>
      <c r="M55" s="6" t="str">
        <f>CONCATENATE("BRBPLA56B05D542P")</f>
        <v>BRBPLA56B05D542P</v>
      </c>
      <c r="N55" s="6" t="s">
        <v>117</v>
      </c>
      <c r="O55" s="6" t="s">
        <v>55</v>
      </c>
      <c r="P55" s="7">
        <v>43185</v>
      </c>
      <c r="Q55" s="6" t="s">
        <v>30</v>
      </c>
      <c r="R55" s="6" t="s">
        <v>31</v>
      </c>
      <c r="S55" s="6" t="s">
        <v>32</v>
      </c>
      <c r="T55" s="6">
        <v>71.98</v>
      </c>
      <c r="U55" s="6">
        <v>31.04</v>
      </c>
      <c r="V55" s="6">
        <v>28.66</v>
      </c>
      <c r="W55" s="6">
        <v>0</v>
      </c>
      <c r="X55" s="6">
        <v>12.28</v>
      </c>
    </row>
    <row r="56" spans="1:24" ht="24.75" x14ac:dyDescent="0.25">
      <c r="A56" s="6" t="s">
        <v>25</v>
      </c>
      <c r="B56" s="6" t="s">
        <v>26</v>
      </c>
      <c r="C56" s="6" t="s">
        <v>48</v>
      </c>
      <c r="D56" s="6" t="s">
        <v>52</v>
      </c>
      <c r="E56" s="6" t="s">
        <v>33</v>
      </c>
      <c r="F56" s="6" t="s">
        <v>83</v>
      </c>
      <c r="G56" s="6">
        <v>2017</v>
      </c>
      <c r="H56" s="6" t="str">
        <f>CONCATENATE("74770195472")</f>
        <v>74770195472</v>
      </c>
      <c r="I56" s="6" t="s">
        <v>28</v>
      </c>
      <c r="J56" s="6" t="s">
        <v>29</v>
      </c>
      <c r="K56" s="6" t="str">
        <f>CONCATENATE("214")</f>
        <v>214</v>
      </c>
      <c r="L56" s="6" t="str">
        <f>CONCATENATE("11 11.2 4b")</f>
        <v>11 11.2 4b</v>
      </c>
      <c r="M56" s="6" t="str">
        <f>CONCATENATE("SPIPQL40L28H769H")</f>
        <v>SPIPQL40L28H769H</v>
      </c>
      <c r="N56" s="6" t="s">
        <v>118</v>
      </c>
      <c r="O56" s="6" t="s">
        <v>55</v>
      </c>
      <c r="P56" s="7">
        <v>43185</v>
      </c>
      <c r="Q56" s="6" t="s">
        <v>30</v>
      </c>
      <c r="R56" s="6" t="s">
        <v>31</v>
      </c>
      <c r="S56" s="6" t="s">
        <v>32</v>
      </c>
      <c r="T56" s="6">
        <v>174.76</v>
      </c>
      <c r="U56" s="6">
        <v>75.36</v>
      </c>
      <c r="V56" s="6">
        <v>69.59</v>
      </c>
      <c r="W56" s="6">
        <v>0</v>
      </c>
      <c r="X56" s="6">
        <v>29.81</v>
      </c>
    </row>
    <row r="57" spans="1:24" ht="24.75" x14ac:dyDescent="0.25">
      <c r="A57" s="6" t="s">
        <v>25</v>
      </c>
      <c r="B57" s="6" t="s">
        <v>26</v>
      </c>
      <c r="C57" s="6" t="s">
        <v>48</v>
      </c>
      <c r="D57" s="6" t="s">
        <v>52</v>
      </c>
      <c r="E57" s="6" t="s">
        <v>33</v>
      </c>
      <c r="F57" s="6" t="s">
        <v>83</v>
      </c>
      <c r="G57" s="6">
        <v>2017</v>
      </c>
      <c r="H57" s="6" t="str">
        <f>CONCATENATE("74770195035")</f>
        <v>74770195035</v>
      </c>
      <c r="I57" s="6" t="s">
        <v>28</v>
      </c>
      <c r="J57" s="6" t="s">
        <v>29</v>
      </c>
      <c r="K57" s="6" t="str">
        <f>CONCATENATE("214")</f>
        <v>214</v>
      </c>
      <c r="L57" s="6" t="str">
        <f>CONCATENATE("11 11.2 4b")</f>
        <v>11 11.2 4b</v>
      </c>
      <c r="M57" s="6" t="str">
        <f>CONCATENATE("01302930449")</f>
        <v>01302930449</v>
      </c>
      <c r="N57" s="6" t="s">
        <v>119</v>
      </c>
      <c r="O57" s="6" t="s">
        <v>55</v>
      </c>
      <c r="P57" s="7">
        <v>43185</v>
      </c>
      <c r="Q57" s="6" t="s">
        <v>30</v>
      </c>
      <c r="R57" s="6" t="s">
        <v>31</v>
      </c>
      <c r="S57" s="6" t="s">
        <v>32</v>
      </c>
      <c r="T57" s="6">
        <v>762.54</v>
      </c>
      <c r="U57" s="6">
        <v>328.81</v>
      </c>
      <c r="V57" s="6">
        <v>303.64</v>
      </c>
      <c r="W57" s="6">
        <v>0</v>
      </c>
      <c r="X57" s="6">
        <v>130.09</v>
      </c>
    </row>
    <row r="58" spans="1:24" ht="24.75" x14ac:dyDescent="0.25">
      <c r="A58" s="6" t="s">
        <v>25</v>
      </c>
      <c r="B58" s="6" t="s">
        <v>26</v>
      </c>
      <c r="C58" s="6" t="s">
        <v>48</v>
      </c>
      <c r="D58" s="6" t="s">
        <v>52</v>
      </c>
      <c r="E58" s="6" t="s">
        <v>38</v>
      </c>
      <c r="F58" s="6" t="s">
        <v>120</v>
      </c>
      <c r="G58" s="6">
        <v>2017</v>
      </c>
      <c r="H58" s="6" t="str">
        <f>CONCATENATE("74770022767")</f>
        <v>74770022767</v>
      </c>
      <c r="I58" s="6" t="s">
        <v>28</v>
      </c>
      <c r="J58" s="6" t="s">
        <v>29</v>
      </c>
      <c r="K58" s="6" t="str">
        <f>CONCATENATE("214")</f>
        <v>214</v>
      </c>
      <c r="L58" s="6" t="str">
        <f>CONCATENATE("11 11.2 4b")</f>
        <v>11 11.2 4b</v>
      </c>
      <c r="M58" s="6" t="str">
        <f>CONCATENATE("DFLMLC65C51A399X")</f>
        <v>DFLMLC65C51A399X</v>
      </c>
      <c r="N58" s="6" t="s">
        <v>121</v>
      </c>
      <c r="O58" s="6" t="s">
        <v>55</v>
      </c>
      <c r="P58" s="7">
        <v>43185</v>
      </c>
      <c r="Q58" s="6" t="s">
        <v>30</v>
      </c>
      <c r="R58" s="6" t="s">
        <v>31</v>
      </c>
      <c r="S58" s="6" t="s">
        <v>32</v>
      </c>
      <c r="T58" s="6">
        <v>160.80000000000001</v>
      </c>
      <c r="U58" s="6">
        <v>69.34</v>
      </c>
      <c r="V58" s="6">
        <v>64.03</v>
      </c>
      <c r="W58" s="6">
        <v>0</v>
      </c>
      <c r="X58" s="6">
        <v>27.43</v>
      </c>
    </row>
    <row r="59" spans="1:24" ht="24.75" x14ac:dyDescent="0.25">
      <c r="A59" s="6" t="s">
        <v>25</v>
      </c>
      <c r="B59" s="6" t="s">
        <v>26</v>
      </c>
      <c r="C59" s="6" t="s">
        <v>48</v>
      </c>
      <c r="D59" s="6" t="s">
        <v>52</v>
      </c>
      <c r="E59" s="6" t="s">
        <v>38</v>
      </c>
      <c r="F59" s="6" t="s">
        <v>56</v>
      </c>
      <c r="G59" s="6">
        <v>2017</v>
      </c>
      <c r="H59" s="6" t="str">
        <f>CONCATENATE("74770042393")</f>
        <v>74770042393</v>
      </c>
      <c r="I59" s="6" t="s">
        <v>28</v>
      </c>
      <c r="J59" s="6" t="s">
        <v>29</v>
      </c>
      <c r="K59" s="6" t="str">
        <f>CONCATENATE("214")</f>
        <v>214</v>
      </c>
      <c r="L59" s="6" t="str">
        <f>CONCATENATE("11 11.1 4b")</f>
        <v>11 11.1 4b</v>
      </c>
      <c r="M59" s="6" t="str">
        <f>CONCATENATE("GNGCST72P15H769H")</f>
        <v>GNGCST72P15H769H</v>
      </c>
      <c r="N59" s="6" t="s">
        <v>122</v>
      </c>
      <c r="O59" s="6" t="s">
        <v>55</v>
      </c>
      <c r="P59" s="7">
        <v>43185</v>
      </c>
      <c r="Q59" s="6" t="s">
        <v>30</v>
      </c>
      <c r="R59" s="6" t="s">
        <v>31</v>
      </c>
      <c r="S59" s="6" t="s">
        <v>32</v>
      </c>
      <c r="T59" s="6">
        <v>501.94</v>
      </c>
      <c r="U59" s="6">
        <v>216.44</v>
      </c>
      <c r="V59" s="6">
        <v>199.87</v>
      </c>
      <c r="W59" s="6">
        <v>0</v>
      </c>
      <c r="X59" s="6">
        <v>85.63</v>
      </c>
    </row>
    <row r="60" spans="1:24" ht="24.75" x14ac:dyDescent="0.25">
      <c r="A60" s="6" t="s">
        <v>25</v>
      </c>
      <c r="B60" s="6" t="s">
        <v>26</v>
      </c>
      <c r="C60" s="6" t="s">
        <v>48</v>
      </c>
      <c r="D60" s="6" t="s">
        <v>52</v>
      </c>
      <c r="E60" s="6" t="s">
        <v>38</v>
      </c>
      <c r="F60" s="6" t="s">
        <v>120</v>
      </c>
      <c r="G60" s="6">
        <v>2017</v>
      </c>
      <c r="H60" s="6" t="str">
        <f>CONCATENATE("74770051725")</f>
        <v>74770051725</v>
      </c>
      <c r="I60" s="6" t="s">
        <v>28</v>
      </c>
      <c r="J60" s="6" t="s">
        <v>29</v>
      </c>
      <c r="K60" s="6" t="str">
        <f>CONCATENATE("214")</f>
        <v>214</v>
      </c>
      <c r="L60" s="6" t="str">
        <f>CONCATENATE("11 11.2 4b")</f>
        <v>11 11.2 4b</v>
      </c>
      <c r="M60" s="6" t="str">
        <f>CONCATENATE("02069530448")</f>
        <v>02069530448</v>
      </c>
      <c r="N60" s="6" t="s">
        <v>123</v>
      </c>
      <c r="O60" s="6" t="s">
        <v>55</v>
      </c>
      <c r="P60" s="7">
        <v>43185</v>
      </c>
      <c r="Q60" s="6" t="s">
        <v>30</v>
      </c>
      <c r="R60" s="6" t="s">
        <v>31</v>
      </c>
      <c r="S60" s="6" t="s">
        <v>32</v>
      </c>
      <c r="T60" s="6">
        <v>554.92999999999995</v>
      </c>
      <c r="U60" s="6">
        <v>239.29</v>
      </c>
      <c r="V60" s="6">
        <v>220.97</v>
      </c>
      <c r="W60" s="6">
        <v>0</v>
      </c>
      <c r="X60" s="6">
        <v>94.67</v>
      </c>
    </row>
    <row r="61" spans="1:24" ht="24.75" x14ac:dyDescent="0.25">
      <c r="A61" s="6" t="s">
        <v>25</v>
      </c>
      <c r="B61" s="6" t="s">
        <v>26</v>
      </c>
      <c r="C61" s="6" t="s">
        <v>48</v>
      </c>
      <c r="D61" s="6" t="s">
        <v>52</v>
      </c>
      <c r="E61" s="6" t="s">
        <v>33</v>
      </c>
      <c r="F61" s="6" t="s">
        <v>83</v>
      </c>
      <c r="G61" s="6">
        <v>2017</v>
      </c>
      <c r="H61" s="6" t="str">
        <f>CONCATENATE("74770195274")</f>
        <v>74770195274</v>
      </c>
      <c r="I61" s="6" t="s">
        <v>28</v>
      </c>
      <c r="J61" s="6" t="s">
        <v>29</v>
      </c>
      <c r="K61" s="6" t="str">
        <f>CONCATENATE("214")</f>
        <v>214</v>
      </c>
      <c r="L61" s="6" t="str">
        <f>CONCATENATE("11 11.1 4b")</f>
        <v>11 11.1 4b</v>
      </c>
      <c r="M61" s="6" t="str">
        <f>CONCATENATE("02058680444")</f>
        <v>02058680444</v>
      </c>
      <c r="N61" s="6" t="s">
        <v>124</v>
      </c>
      <c r="O61" s="6" t="s">
        <v>55</v>
      </c>
      <c r="P61" s="7">
        <v>43185</v>
      </c>
      <c r="Q61" s="6" t="s">
        <v>30</v>
      </c>
      <c r="R61" s="6" t="s">
        <v>31</v>
      </c>
      <c r="S61" s="6" t="s">
        <v>32</v>
      </c>
      <c r="T61" s="6">
        <v>375.98</v>
      </c>
      <c r="U61" s="6">
        <v>162.12</v>
      </c>
      <c r="V61" s="6">
        <v>149.72</v>
      </c>
      <c r="W61" s="6">
        <v>0</v>
      </c>
      <c r="X61" s="6">
        <v>64.14</v>
      </c>
    </row>
    <row r="62" spans="1:24" ht="24.75" x14ac:dyDescent="0.25">
      <c r="A62" s="6" t="s">
        <v>25</v>
      </c>
      <c r="B62" s="6" t="s">
        <v>26</v>
      </c>
      <c r="C62" s="6" t="s">
        <v>48</v>
      </c>
      <c r="D62" s="6" t="s">
        <v>52</v>
      </c>
      <c r="E62" s="6" t="s">
        <v>36</v>
      </c>
      <c r="F62" s="6" t="s">
        <v>36</v>
      </c>
      <c r="G62" s="6">
        <v>2017</v>
      </c>
      <c r="H62" s="6" t="str">
        <f>CONCATENATE("74770173792")</f>
        <v>74770173792</v>
      </c>
      <c r="I62" s="6" t="s">
        <v>28</v>
      </c>
      <c r="J62" s="6" t="s">
        <v>29</v>
      </c>
      <c r="K62" s="6" t="str">
        <f>CONCATENATE("214")</f>
        <v>214</v>
      </c>
      <c r="L62" s="6" t="str">
        <f>CONCATENATE("11 11.2 4b")</f>
        <v>11 11.2 4b</v>
      </c>
      <c r="M62" s="6" t="str">
        <f>CONCATENATE("SLVGLN58L63A047M")</f>
        <v>SLVGLN58L63A047M</v>
      </c>
      <c r="N62" s="6" t="s">
        <v>125</v>
      </c>
      <c r="O62" s="6" t="s">
        <v>55</v>
      </c>
      <c r="P62" s="7">
        <v>43185</v>
      </c>
      <c r="Q62" s="6" t="s">
        <v>30</v>
      </c>
      <c r="R62" s="6" t="s">
        <v>31</v>
      </c>
      <c r="S62" s="6" t="s">
        <v>32</v>
      </c>
      <c r="T62" s="6">
        <v>885.67</v>
      </c>
      <c r="U62" s="6">
        <v>381.9</v>
      </c>
      <c r="V62" s="6">
        <v>352.67</v>
      </c>
      <c r="W62" s="6">
        <v>0</v>
      </c>
      <c r="X62" s="6">
        <v>151.1</v>
      </c>
    </row>
    <row r="63" spans="1:24" ht="24.75" x14ac:dyDescent="0.25">
      <c r="A63" s="6" t="s">
        <v>25</v>
      </c>
      <c r="B63" s="6" t="s">
        <v>26</v>
      </c>
      <c r="C63" s="6" t="s">
        <v>48</v>
      </c>
      <c r="D63" s="6" t="s">
        <v>52</v>
      </c>
      <c r="E63" s="6" t="s">
        <v>36</v>
      </c>
      <c r="F63" s="6" t="s">
        <v>36</v>
      </c>
      <c r="G63" s="6">
        <v>2017</v>
      </c>
      <c r="H63" s="6" t="str">
        <f>CONCATENATE("74770173818")</f>
        <v>74770173818</v>
      </c>
      <c r="I63" s="6" t="s">
        <v>28</v>
      </c>
      <c r="J63" s="6" t="s">
        <v>29</v>
      </c>
      <c r="K63" s="6" t="str">
        <f>CONCATENATE("214")</f>
        <v>214</v>
      </c>
      <c r="L63" s="6" t="str">
        <f>CONCATENATE("11 11.2 4b")</f>
        <v>11 11.2 4b</v>
      </c>
      <c r="M63" s="6" t="str">
        <f>CONCATENATE("SLVGLN58L63A047M")</f>
        <v>SLVGLN58L63A047M</v>
      </c>
      <c r="N63" s="6" t="s">
        <v>125</v>
      </c>
      <c r="O63" s="6" t="s">
        <v>55</v>
      </c>
      <c r="P63" s="7">
        <v>43185</v>
      </c>
      <c r="Q63" s="6" t="s">
        <v>30</v>
      </c>
      <c r="R63" s="6" t="s">
        <v>31</v>
      </c>
      <c r="S63" s="6" t="s">
        <v>32</v>
      </c>
      <c r="T63" s="6">
        <v>397.37</v>
      </c>
      <c r="U63" s="6">
        <v>171.35</v>
      </c>
      <c r="V63" s="6">
        <v>158.22999999999999</v>
      </c>
      <c r="W63" s="6">
        <v>0</v>
      </c>
      <c r="X63" s="6">
        <v>67.790000000000006</v>
      </c>
    </row>
    <row r="64" spans="1:24" ht="24.75" x14ac:dyDescent="0.25">
      <c r="A64" s="6" t="s">
        <v>25</v>
      </c>
      <c r="B64" s="6" t="s">
        <v>26</v>
      </c>
      <c r="C64" s="6" t="s">
        <v>48</v>
      </c>
      <c r="D64" s="6" t="s">
        <v>52</v>
      </c>
      <c r="E64" s="6" t="s">
        <v>33</v>
      </c>
      <c r="F64" s="6" t="s">
        <v>83</v>
      </c>
      <c r="G64" s="6">
        <v>2017</v>
      </c>
      <c r="H64" s="6" t="str">
        <f>CONCATENATE("74770195902")</f>
        <v>74770195902</v>
      </c>
      <c r="I64" s="6" t="s">
        <v>28</v>
      </c>
      <c r="J64" s="6" t="s">
        <v>29</v>
      </c>
      <c r="K64" s="6" t="str">
        <f>CONCATENATE("214")</f>
        <v>214</v>
      </c>
      <c r="L64" s="6" t="str">
        <f>CONCATENATE("11 11.2 4b")</f>
        <v>11 11.2 4b</v>
      </c>
      <c r="M64" s="6" t="str">
        <f>CONCATENATE("QRSPLA62M09A462A")</f>
        <v>QRSPLA62M09A462A</v>
      </c>
      <c r="N64" s="6" t="s">
        <v>126</v>
      </c>
      <c r="O64" s="6" t="s">
        <v>55</v>
      </c>
      <c r="P64" s="7">
        <v>43185</v>
      </c>
      <c r="Q64" s="6" t="s">
        <v>30</v>
      </c>
      <c r="R64" s="6" t="s">
        <v>31</v>
      </c>
      <c r="S64" s="6" t="s">
        <v>32</v>
      </c>
      <c r="T64" s="8">
        <v>1700.34</v>
      </c>
      <c r="U64" s="6">
        <v>733.19</v>
      </c>
      <c r="V64" s="6">
        <v>677.08</v>
      </c>
      <c r="W64" s="6">
        <v>0</v>
      </c>
      <c r="X64" s="6">
        <v>290.07</v>
      </c>
    </row>
    <row r="65" spans="1:24" ht="24.75" x14ac:dyDescent="0.25">
      <c r="A65" s="6" t="s">
        <v>25</v>
      </c>
      <c r="B65" s="6" t="s">
        <v>26</v>
      </c>
      <c r="C65" s="6" t="s">
        <v>48</v>
      </c>
      <c r="D65" s="6" t="s">
        <v>52</v>
      </c>
      <c r="E65" s="6" t="s">
        <v>38</v>
      </c>
      <c r="F65" s="6" t="s">
        <v>56</v>
      </c>
      <c r="G65" s="6">
        <v>2017</v>
      </c>
      <c r="H65" s="6" t="str">
        <f>CONCATENATE("74770042419")</f>
        <v>74770042419</v>
      </c>
      <c r="I65" s="6" t="s">
        <v>28</v>
      </c>
      <c r="J65" s="6" t="s">
        <v>29</v>
      </c>
      <c r="K65" s="6" t="str">
        <f>CONCATENATE("214")</f>
        <v>214</v>
      </c>
      <c r="L65" s="6" t="str">
        <f>CONCATENATE("11 11.1 4b")</f>
        <v>11 11.1 4b</v>
      </c>
      <c r="M65" s="6" t="str">
        <f>CONCATENATE("BSSMDE58L27C321E")</f>
        <v>BSSMDE58L27C321E</v>
      </c>
      <c r="N65" s="6" t="s">
        <v>127</v>
      </c>
      <c r="O65" s="6" t="s">
        <v>55</v>
      </c>
      <c r="P65" s="7">
        <v>43185</v>
      </c>
      <c r="Q65" s="6" t="s">
        <v>30</v>
      </c>
      <c r="R65" s="6" t="s">
        <v>31</v>
      </c>
      <c r="S65" s="6" t="s">
        <v>32</v>
      </c>
      <c r="T65" s="6">
        <v>223.52</v>
      </c>
      <c r="U65" s="6">
        <v>96.38</v>
      </c>
      <c r="V65" s="6">
        <v>89.01</v>
      </c>
      <c r="W65" s="6">
        <v>0</v>
      </c>
      <c r="X65" s="6">
        <v>38.130000000000003</v>
      </c>
    </row>
    <row r="66" spans="1:24" ht="24.75" x14ac:dyDescent="0.25">
      <c r="A66" s="6" t="s">
        <v>25</v>
      </c>
      <c r="B66" s="6" t="s">
        <v>26</v>
      </c>
      <c r="C66" s="6" t="s">
        <v>48</v>
      </c>
      <c r="D66" s="6" t="s">
        <v>52</v>
      </c>
      <c r="E66" s="6" t="s">
        <v>38</v>
      </c>
      <c r="F66" s="6" t="s">
        <v>62</v>
      </c>
      <c r="G66" s="6">
        <v>2017</v>
      </c>
      <c r="H66" s="6" t="str">
        <f>CONCATENATE("74770194368")</f>
        <v>74770194368</v>
      </c>
      <c r="I66" s="6" t="s">
        <v>28</v>
      </c>
      <c r="J66" s="6" t="s">
        <v>29</v>
      </c>
      <c r="K66" s="6" t="str">
        <f>CONCATENATE("214")</f>
        <v>214</v>
      </c>
      <c r="L66" s="6" t="str">
        <f>CONCATENATE("11 11.1 4b")</f>
        <v>11 11.1 4b</v>
      </c>
      <c r="M66" s="6" t="str">
        <f>CONCATENATE("CCRMLR52H58A047W")</f>
        <v>CCRMLR52H58A047W</v>
      </c>
      <c r="N66" s="6" t="s">
        <v>128</v>
      </c>
      <c r="O66" s="6" t="s">
        <v>55</v>
      </c>
      <c r="P66" s="7">
        <v>43185</v>
      </c>
      <c r="Q66" s="6" t="s">
        <v>30</v>
      </c>
      <c r="R66" s="6" t="s">
        <v>31</v>
      </c>
      <c r="S66" s="6" t="s">
        <v>32</v>
      </c>
      <c r="T66" s="6">
        <v>342.57</v>
      </c>
      <c r="U66" s="6">
        <v>147.72</v>
      </c>
      <c r="V66" s="6">
        <v>136.41</v>
      </c>
      <c r="W66" s="6">
        <v>0</v>
      </c>
      <c r="X66" s="6">
        <v>58.44</v>
      </c>
    </row>
    <row r="67" spans="1:24" ht="24.75" x14ac:dyDescent="0.25">
      <c r="A67" s="6" t="s">
        <v>25</v>
      </c>
      <c r="B67" s="6" t="s">
        <v>26</v>
      </c>
      <c r="C67" s="6" t="s">
        <v>48</v>
      </c>
      <c r="D67" s="6" t="s">
        <v>52</v>
      </c>
      <c r="E67" s="6" t="s">
        <v>39</v>
      </c>
      <c r="F67" s="6" t="s">
        <v>111</v>
      </c>
      <c r="G67" s="6">
        <v>2017</v>
      </c>
      <c r="H67" s="6" t="str">
        <f>CONCATENATE("74770048077")</f>
        <v>74770048077</v>
      </c>
      <c r="I67" s="6" t="s">
        <v>28</v>
      </c>
      <c r="J67" s="6" t="s">
        <v>29</v>
      </c>
      <c r="K67" s="6" t="str">
        <f>CONCATENATE("214")</f>
        <v>214</v>
      </c>
      <c r="L67" s="6" t="str">
        <f>CONCATENATE("11 11.2 4b")</f>
        <v>11 11.2 4b</v>
      </c>
      <c r="M67" s="6" t="str">
        <f>CONCATENATE("CPRLLL59S62H769U")</f>
        <v>CPRLLL59S62H769U</v>
      </c>
      <c r="N67" s="6" t="s">
        <v>129</v>
      </c>
      <c r="O67" s="6" t="s">
        <v>55</v>
      </c>
      <c r="P67" s="7">
        <v>43185</v>
      </c>
      <c r="Q67" s="6" t="s">
        <v>30</v>
      </c>
      <c r="R67" s="6" t="s">
        <v>31</v>
      </c>
      <c r="S67" s="6" t="s">
        <v>32</v>
      </c>
      <c r="T67" s="6">
        <v>288.3</v>
      </c>
      <c r="U67" s="6">
        <v>124.31</v>
      </c>
      <c r="V67" s="6">
        <v>114.8</v>
      </c>
      <c r="W67" s="6">
        <v>0</v>
      </c>
      <c r="X67" s="6">
        <v>49.19</v>
      </c>
    </row>
    <row r="68" spans="1:24" ht="24.75" x14ac:dyDescent="0.25">
      <c r="A68" s="6" t="s">
        <v>25</v>
      </c>
      <c r="B68" s="6" t="s">
        <v>26</v>
      </c>
      <c r="C68" s="6" t="s">
        <v>48</v>
      </c>
      <c r="D68" s="6" t="s">
        <v>52</v>
      </c>
      <c r="E68" s="6" t="s">
        <v>38</v>
      </c>
      <c r="F68" s="6" t="s">
        <v>130</v>
      </c>
      <c r="G68" s="6">
        <v>2017</v>
      </c>
      <c r="H68" s="6" t="str">
        <f>CONCATENATE("74770145733")</f>
        <v>74770145733</v>
      </c>
      <c r="I68" s="6" t="s">
        <v>28</v>
      </c>
      <c r="J68" s="6" t="s">
        <v>29</v>
      </c>
      <c r="K68" s="6" t="str">
        <f>CONCATENATE("214")</f>
        <v>214</v>
      </c>
      <c r="L68" s="6" t="str">
        <f>CONCATENATE("11 11.1 4b")</f>
        <v>11 11.1 4b</v>
      </c>
      <c r="M68" s="6" t="str">
        <f>CONCATENATE("KLDJNN67T18Z112T")</f>
        <v>KLDJNN67T18Z112T</v>
      </c>
      <c r="N68" s="6" t="s">
        <v>131</v>
      </c>
      <c r="O68" s="6" t="s">
        <v>55</v>
      </c>
      <c r="P68" s="7">
        <v>43185</v>
      </c>
      <c r="Q68" s="6" t="s">
        <v>30</v>
      </c>
      <c r="R68" s="6" t="s">
        <v>31</v>
      </c>
      <c r="S68" s="6" t="s">
        <v>32</v>
      </c>
      <c r="T68" s="6">
        <v>109.34</v>
      </c>
      <c r="U68" s="6">
        <v>47.15</v>
      </c>
      <c r="V68" s="6">
        <v>43.54</v>
      </c>
      <c r="W68" s="6">
        <v>0</v>
      </c>
      <c r="X68" s="6">
        <v>18.649999999999999</v>
      </c>
    </row>
    <row r="69" spans="1:24" ht="24.75" x14ac:dyDescent="0.25">
      <c r="A69" s="6" t="s">
        <v>25</v>
      </c>
      <c r="B69" s="6" t="s">
        <v>26</v>
      </c>
      <c r="C69" s="6" t="s">
        <v>48</v>
      </c>
      <c r="D69" s="6" t="s">
        <v>52</v>
      </c>
      <c r="E69" s="6" t="s">
        <v>36</v>
      </c>
      <c r="F69" s="6" t="s">
        <v>36</v>
      </c>
      <c r="G69" s="6">
        <v>2017</v>
      </c>
      <c r="H69" s="6" t="str">
        <f>CONCATENATE("74770211394")</f>
        <v>74770211394</v>
      </c>
      <c r="I69" s="6" t="s">
        <v>28</v>
      </c>
      <c r="J69" s="6" t="s">
        <v>29</v>
      </c>
      <c r="K69" s="6" t="str">
        <f>CONCATENATE("214")</f>
        <v>214</v>
      </c>
      <c r="L69" s="6" t="str">
        <f>CONCATENATE("11 11.2 4b")</f>
        <v>11 11.2 4b</v>
      </c>
      <c r="M69" s="6" t="str">
        <f>CONCATENATE("SPNRLB61M44F415O")</f>
        <v>SPNRLB61M44F415O</v>
      </c>
      <c r="N69" s="6" t="s">
        <v>132</v>
      </c>
      <c r="O69" s="6" t="s">
        <v>55</v>
      </c>
      <c r="P69" s="7">
        <v>43185</v>
      </c>
      <c r="Q69" s="6" t="s">
        <v>30</v>
      </c>
      <c r="R69" s="6" t="s">
        <v>31</v>
      </c>
      <c r="S69" s="6" t="s">
        <v>32</v>
      </c>
      <c r="T69" s="8">
        <v>1572.6</v>
      </c>
      <c r="U69" s="6">
        <v>678.11</v>
      </c>
      <c r="V69" s="6">
        <v>626.21</v>
      </c>
      <c r="W69" s="6">
        <v>0</v>
      </c>
      <c r="X69" s="6">
        <v>268.27999999999997</v>
      </c>
    </row>
    <row r="70" spans="1:24" ht="24.75" x14ac:dyDescent="0.25">
      <c r="A70" s="6" t="s">
        <v>25</v>
      </c>
      <c r="B70" s="6" t="s">
        <v>26</v>
      </c>
      <c r="C70" s="6" t="s">
        <v>48</v>
      </c>
      <c r="D70" s="6" t="s">
        <v>52</v>
      </c>
      <c r="E70" s="6" t="s">
        <v>33</v>
      </c>
      <c r="F70" s="6" t="s">
        <v>83</v>
      </c>
      <c r="G70" s="6">
        <v>2017</v>
      </c>
      <c r="H70" s="6" t="str">
        <f>CONCATENATE("74770195993")</f>
        <v>74770195993</v>
      </c>
      <c r="I70" s="6" t="s">
        <v>28</v>
      </c>
      <c r="J70" s="6" t="s">
        <v>29</v>
      </c>
      <c r="K70" s="6" t="str">
        <f>CONCATENATE("214")</f>
        <v>214</v>
      </c>
      <c r="L70" s="6" t="str">
        <f>CONCATENATE("11 11.1 4b - 11 11.2 4b")</f>
        <v>11 11.1 4b - 11 11.2 4b</v>
      </c>
      <c r="M70" s="6" t="str">
        <f>CONCATENATE("SPLSFN71E29D542U")</f>
        <v>SPLSFN71E29D542U</v>
      </c>
      <c r="N70" s="6" t="s">
        <v>133</v>
      </c>
      <c r="O70" s="6" t="s">
        <v>55</v>
      </c>
      <c r="P70" s="7">
        <v>43185</v>
      </c>
      <c r="Q70" s="6" t="s">
        <v>30</v>
      </c>
      <c r="R70" s="6" t="s">
        <v>31</v>
      </c>
      <c r="S70" s="6" t="s">
        <v>32</v>
      </c>
      <c r="T70" s="8">
        <v>2121.17</v>
      </c>
      <c r="U70" s="6">
        <v>914.65</v>
      </c>
      <c r="V70" s="6">
        <v>844.65</v>
      </c>
      <c r="W70" s="6">
        <v>0</v>
      </c>
      <c r="X70" s="6">
        <v>361.87</v>
      </c>
    </row>
    <row r="71" spans="1:24" ht="24.75" x14ac:dyDescent="0.25">
      <c r="A71" s="6" t="s">
        <v>25</v>
      </c>
      <c r="B71" s="6" t="s">
        <v>26</v>
      </c>
      <c r="C71" s="6" t="s">
        <v>48</v>
      </c>
      <c r="D71" s="6" t="s">
        <v>58</v>
      </c>
      <c r="E71" s="6" t="s">
        <v>38</v>
      </c>
      <c r="F71" s="6" t="s">
        <v>134</v>
      </c>
      <c r="G71" s="6">
        <v>2017</v>
      </c>
      <c r="H71" s="6" t="str">
        <f>CONCATENATE("74770059835")</f>
        <v>74770059835</v>
      </c>
      <c r="I71" s="6" t="s">
        <v>28</v>
      </c>
      <c r="J71" s="6" t="s">
        <v>29</v>
      </c>
      <c r="K71" s="6" t="str">
        <f>CONCATENATE("214")</f>
        <v>214</v>
      </c>
      <c r="L71" s="6" t="str">
        <f>CONCATENATE("11 11.1 4b")</f>
        <v>11 11.1 4b</v>
      </c>
      <c r="M71" s="6" t="str">
        <f>CONCATENATE("VLPLSN82M67G999X")</f>
        <v>VLPLSN82M67G999X</v>
      </c>
      <c r="N71" s="6" t="s">
        <v>135</v>
      </c>
      <c r="O71" s="6" t="s">
        <v>55</v>
      </c>
      <c r="P71" s="7">
        <v>43185</v>
      </c>
      <c r="Q71" s="6" t="s">
        <v>30</v>
      </c>
      <c r="R71" s="6" t="s">
        <v>31</v>
      </c>
      <c r="S71" s="6" t="s">
        <v>32</v>
      </c>
      <c r="T71" s="8">
        <v>3762.49</v>
      </c>
      <c r="U71" s="8">
        <v>1622.39</v>
      </c>
      <c r="V71" s="8">
        <v>1498.22</v>
      </c>
      <c r="W71" s="6">
        <v>0</v>
      </c>
      <c r="X71" s="6">
        <v>641.88</v>
      </c>
    </row>
    <row r="72" spans="1:24" ht="24.75" x14ac:dyDescent="0.25">
      <c r="A72" s="6" t="s">
        <v>25</v>
      </c>
      <c r="B72" s="6" t="s">
        <v>26</v>
      </c>
      <c r="C72" s="6" t="s">
        <v>48</v>
      </c>
      <c r="D72" s="6" t="s">
        <v>58</v>
      </c>
      <c r="E72" s="6" t="s">
        <v>38</v>
      </c>
      <c r="F72" s="6" t="s">
        <v>134</v>
      </c>
      <c r="G72" s="6">
        <v>2017</v>
      </c>
      <c r="H72" s="6" t="str">
        <f>CONCATENATE("74770052988")</f>
        <v>74770052988</v>
      </c>
      <c r="I72" s="6" t="s">
        <v>28</v>
      </c>
      <c r="J72" s="6" t="s">
        <v>29</v>
      </c>
      <c r="K72" s="6" t="str">
        <f>CONCATENATE("214")</f>
        <v>214</v>
      </c>
      <c r="L72" s="6" t="str">
        <f>CONCATENATE("11 11.2 4b")</f>
        <v>11 11.2 4b</v>
      </c>
      <c r="M72" s="6" t="str">
        <f>CONCATENATE("CSTRMN50R20B352X")</f>
        <v>CSTRMN50R20B352X</v>
      </c>
      <c r="N72" s="6" t="s">
        <v>136</v>
      </c>
      <c r="O72" s="6" t="s">
        <v>55</v>
      </c>
      <c r="P72" s="7">
        <v>43185</v>
      </c>
      <c r="Q72" s="6" t="s">
        <v>30</v>
      </c>
      <c r="R72" s="6" t="s">
        <v>31</v>
      </c>
      <c r="S72" s="6" t="s">
        <v>32</v>
      </c>
      <c r="T72" s="6">
        <v>948.97</v>
      </c>
      <c r="U72" s="6">
        <v>409.2</v>
      </c>
      <c r="V72" s="6">
        <v>377.88</v>
      </c>
      <c r="W72" s="6">
        <v>0</v>
      </c>
      <c r="X72" s="6">
        <v>161.88999999999999</v>
      </c>
    </row>
    <row r="73" spans="1:24" ht="24.75" x14ac:dyDescent="0.25">
      <c r="A73" s="6" t="s">
        <v>25</v>
      </c>
      <c r="B73" s="6" t="s">
        <v>26</v>
      </c>
      <c r="C73" s="6" t="s">
        <v>48</v>
      </c>
      <c r="D73" s="6" t="s">
        <v>52</v>
      </c>
      <c r="E73" s="6" t="s">
        <v>36</v>
      </c>
      <c r="F73" s="6" t="s">
        <v>36</v>
      </c>
      <c r="G73" s="6">
        <v>2017</v>
      </c>
      <c r="H73" s="6" t="str">
        <f>CONCATENATE("74770293038")</f>
        <v>74770293038</v>
      </c>
      <c r="I73" s="6" t="s">
        <v>28</v>
      </c>
      <c r="J73" s="6" t="s">
        <v>29</v>
      </c>
      <c r="K73" s="6" t="str">
        <f>CONCATENATE("214")</f>
        <v>214</v>
      </c>
      <c r="L73" s="6" t="str">
        <f>CONCATENATE("11 11.2 4b")</f>
        <v>11 11.2 4b</v>
      </c>
      <c r="M73" s="6" t="str">
        <f>CONCATENATE("MRTLSS80H62A462B")</f>
        <v>MRTLSS80H62A462B</v>
      </c>
      <c r="N73" s="6" t="s">
        <v>137</v>
      </c>
      <c r="O73" s="6" t="s">
        <v>55</v>
      </c>
      <c r="P73" s="7">
        <v>43185</v>
      </c>
      <c r="Q73" s="6" t="s">
        <v>30</v>
      </c>
      <c r="R73" s="6" t="s">
        <v>31</v>
      </c>
      <c r="S73" s="6" t="s">
        <v>32</v>
      </c>
      <c r="T73" s="6">
        <v>311.67</v>
      </c>
      <c r="U73" s="6">
        <v>134.38999999999999</v>
      </c>
      <c r="V73" s="6">
        <v>124.11</v>
      </c>
      <c r="W73" s="6">
        <v>0</v>
      </c>
      <c r="X73" s="6">
        <v>53.17</v>
      </c>
    </row>
    <row r="74" spans="1:24" ht="24.75" x14ac:dyDescent="0.25">
      <c r="A74" s="6" t="s">
        <v>25</v>
      </c>
      <c r="B74" s="6" t="s">
        <v>26</v>
      </c>
      <c r="C74" s="6" t="s">
        <v>48</v>
      </c>
      <c r="D74" s="6" t="s">
        <v>52</v>
      </c>
      <c r="E74" s="6" t="s">
        <v>36</v>
      </c>
      <c r="F74" s="6" t="s">
        <v>36</v>
      </c>
      <c r="G74" s="6">
        <v>2017</v>
      </c>
      <c r="H74" s="6" t="str">
        <f>CONCATENATE("74770114317")</f>
        <v>74770114317</v>
      </c>
      <c r="I74" s="6" t="s">
        <v>28</v>
      </c>
      <c r="J74" s="6" t="s">
        <v>29</v>
      </c>
      <c r="K74" s="6" t="str">
        <f>CONCATENATE("214")</f>
        <v>214</v>
      </c>
      <c r="L74" s="6" t="str">
        <f>CONCATENATE("11 11.2 4b")</f>
        <v>11 11.2 4b</v>
      </c>
      <c r="M74" s="6" t="str">
        <f>CONCATENATE("GDCCLN43A68F415E")</f>
        <v>GDCCLN43A68F415E</v>
      </c>
      <c r="N74" s="6" t="s">
        <v>138</v>
      </c>
      <c r="O74" s="6" t="s">
        <v>55</v>
      </c>
      <c r="P74" s="7">
        <v>43185</v>
      </c>
      <c r="Q74" s="6" t="s">
        <v>30</v>
      </c>
      <c r="R74" s="6" t="s">
        <v>31</v>
      </c>
      <c r="S74" s="6" t="s">
        <v>32</v>
      </c>
      <c r="T74" s="6">
        <v>153.87</v>
      </c>
      <c r="U74" s="6">
        <v>66.349999999999994</v>
      </c>
      <c r="V74" s="6">
        <v>61.27</v>
      </c>
      <c r="W74" s="6">
        <v>0</v>
      </c>
      <c r="X74" s="6">
        <v>26.25</v>
      </c>
    </row>
    <row r="75" spans="1:24" ht="24.75" x14ac:dyDescent="0.25">
      <c r="A75" s="6" t="s">
        <v>25</v>
      </c>
      <c r="B75" s="6" t="s">
        <v>26</v>
      </c>
      <c r="C75" s="6" t="s">
        <v>48</v>
      </c>
      <c r="D75" s="6" t="s">
        <v>52</v>
      </c>
      <c r="E75" s="6" t="s">
        <v>38</v>
      </c>
      <c r="F75" s="6" t="s">
        <v>56</v>
      </c>
      <c r="G75" s="6">
        <v>2017</v>
      </c>
      <c r="H75" s="6" t="str">
        <f>CONCATENATE("74770159791")</f>
        <v>74770159791</v>
      </c>
      <c r="I75" s="6" t="s">
        <v>28</v>
      </c>
      <c r="J75" s="6" t="s">
        <v>29</v>
      </c>
      <c r="K75" s="6" t="str">
        <f>CONCATENATE("214")</f>
        <v>214</v>
      </c>
      <c r="L75" s="6" t="str">
        <f>CONCATENATE("11 11.1 4b")</f>
        <v>11 11.1 4b</v>
      </c>
      <c r="M75" s="6" t="str">
        <f>CONCATENATE("RCCMNT93E12H501V")</f>
        <v>RCCMNT93E12H501V</v>
      </c>
      <c r="N75" s="6" t="s">
        <v>139</v>
      </c>
      <c r="O75" s="6" t="s">
        <v>55</v>
      </c>
      <c r="P75" s="7">
        <v>43185</v>
      </c>
      <c r="Q75" s="6" t="s">
        <v>30</v>
      </c>
      <c r="R75" s="6" t="s">
        <v>31</v>
      </c>
      <c r="S75" s="6" t="s">
        <v>32</v>
      </c>
      <c r="T75" s="6">
        <v>943.21</v>
      </c>
      <c r="U75" s="6">
        <v>406.71</v>
      </c>
      <c r="V75" s="6">
        <v>375.59</v>
      </c>
      <c r="W75" s="6">
        <v>0</v>
      </c>
      <c r="X75" s="6">
        <v>160.91</v>
      </c>
    </row>
    <row r="76" spans="1:24" ht="24.75" x14ac:dyDescent="0.25">
      <c r="A76" s="6" t="s">
        <v>25</v>
      </c>
      <c r="B76" s="6" t="s">
        <v>26</v>
      </c>
      <c r="C76" s="6" t="s">
        <v>48</v>
      </c>
      <c r="D76" s="6" t="s">
        <v>49</v>
      </c>
      <c r="E76" s="6" t="s">
        <v>38</v>
      </c>
      <c r="F76" s="6" t="s">
        <v>140</v>
      </c>
      <c r="G76" s="6">
        <v>2016</v>
      </c>
      <c r="H76" s="6" t="str">
        <f>CONCATENATE("64770323133")</f>
        <v>64770323133</v>
      </c>
      <c r="I76" s="6" t="s">
        <v>28</v>
      </c>
      <c r="J76" s="6" t="s">
        <v>29</v>
      </c>
      <c r="K76" s="6" t="str">
        <f>CONCATENATE("214")</f>
        <v>214</v>
      </c>
      <c r="L76" s="6" t="str">
        <f>CONCATENATE("11 11.1 4b")</f>
        <v>11 11.1 4b</v>
      </c>
      <c r="M76" s="6" t="str">
        <f>CONCATENATE("BTTNNA45L57D965T")</f>
        <v>BTTNNA45L57D965T</v>
      </c>
      <c r="N76" s="6" t="s">
        <v>141</v>
      </c>
      <c r="O76" s="6" t="s">
        <v>116</v>
      </c>
      <c r="P76" s="7">
        <v>43185</v>
      </c>
      <c r="Q76" s="6" t="s">
        <v>30</v>
      </c>
      <c r="R76" s="6" t="s">
        <v>31</v>
      </c>
      <c r="S76" s="6" t="s">
        <v>32</v>
      </c>
      <c r="T76" s="6">
        <v>126.96</v>
      </c>
      <c r="U76" s="6">
        <v>54.75</v>
      </c>
      <c r="V76" s="6">
        <v>50.56</v>
      </c>
      <c r="W76" s="6">
        <v>0</v>
      </c>
      <c r="X76" s="6">
        <v>21.65</v>
      </c>
    </row>
    <row r="77" spans="1:24" ht="24.75" x14ac:dyDescent="0.25">
      <c r="A77" s="6" t="s">
        <v>25</v>
      </c>
      <c r="B77" s="6" t="s">
        <v>26</v>
      </c>
      <c r="C77" s="6" t="s">
        <v>48</v>
      </c>
      <c r="D77" s="6" t="s">
        <v>49</v>
      </c>
      <c r="E77" s="6" t="s">
        <v>38</v>
      </c>
      <c r="F77" s="6" t="s">
        <v>142</v>
      </c>
      <c r="G77" s="6">
        <v>2016</v>
      </c>
      <c r="H77" s="6" t="str">
        <f>CONCATENATE("64770332100")</f>
        <v>64770332100</v>
      </c>
      <c r="I77" s="6" t="s">
        <v>28</v>
      </c>
      <c r="J77" s="6" t="s">
        <v>29</v>
      </c>
      <c r="K77" s="6" t="str">
        <f>CONCATENATE("214")</f>
        <v>214</v>
      </c>
      <c r="L77" s="6" t="str">
        <f>CONCATENATE("11 11.2 4b")</f>
        <v>11 11.2 4b</v>
      </c>
      <c r="M77" s="6" t="str">
        <f>CONCATENATE("CRBPRZ61M70G771M")</f>
        <v>CRBPRZ61M70G771M</v>
      </c>
      <c r="N77" s="6" t="s">
        <v>143</v>
      </c>
      <c r="O77" s="6" t="s">
        <v>116</v>
      </c>
      <c r="P77" s="7">
        <v>43185</v>
      </c>
      <c r="Q77" s="6" t="s">
        <v>30</v>
      </c>
      <c r="R77" s="6" t="s">
        <v>31</v>
      </c>
      <c r="S77" s="6" t="s">
        <v>32</v>
      </c>
      <c r="T77" s="6">
        <v>808.34</v>
      </c>
      <c r="U77" s="6">
        <v>348.56</v>
      </c>
      <c r="V77" s="6">
        <v>321.88</v>
      </c>
      <c r="W77" s="6">
        <v>0</v>
      </c>
      <c r="X77" s="6">
        <v>137.9</v>
      </c>
    </row>
    <row r="78" spans="1:24" ht="24.75" x14ac:dyDescent="0.25">
      <c r="A78" s="6" t="s">
        <v>25</v>
      </c>
      <c r="B78" s="6" t="s">
        <v>26</v>
      </c>
      <c r="C78" s="6" t="s">
        <v>48</v>
      </c>
      <c r="D78" s="6" t="s">
        <v>52</v>
      </c>
      <c r="E78" s="6" t="s">
        <v>38</v>
      </c>
      <c r="F78" s="6" t="s">
        <v>62</v>
      </c>
      <c r="G78" s="6">
        <v>2017</v>
      </c>
      <c r="H78" s="6" t="str">
        <f>CONCATENATE("74770269640")</f>
        <v>74770269640</v>
      </c>
      <c r="I78" s="6" t="s">
        <v>28</v>
      </c>
      <c r="J78" s="6" t="s">
        <v>29</v>
      </c>
      <c r="K78" s="6" t="str">
        <f>CONCATENATE("214")</f>
        <v>214</v>
      </c>
      <c r="L78" s="6" t="str">
        <f>CONCATENATE("11 11.2 4b")</f>
        <v>11 11.2 4b</v>
      </c>
      <c r="M78" s="6" t="str">
        <f>CONCATENATE("VLPPLA72T54H769L")</f>
        <v>VLPPLA72T54H769L</v>
      </c>
      <c r="N78" s="6" t="s">
        <v>144</v>
      </c>
      <c r="O78" s="6" t="s">
        <v>55</v>
      </c>
      <c r="P78" s="7">
        <v>43185</v>
      </c>
      <c r="Q78" s="6" t="s">
        <v>30</v>
      </c>
      <c r="R78" s="6" t="s">
        <v>31</v>
      </c>
      <c r="S78" s="6" t="s">
        <v>32</v>
      </c>
      <c r="T78" s="6">
        <v>316.66000000000003</v>
      </c>
      <c r="U78" s="6">
        <v>136.54</v>
      </c>
      <c r="V78" s="6">
        <v>126.09</v>
      </c>
      <c r="W78" s="6">
        <v>0</v>
      </c>
      <c r="X78" s="6">
        <v>54.03</v>
      </c>
    </row>
    <row r="79" spans="1:24" ht="24.75" x14ac:dyDescent="0.25">
      <c r="A79" s="6" t="s">
        <v>25</v>
      </c>
      <c r="B79" s="6" t="s">
        <v>26</v>
      </c>
      <c r="C79" s="6" t="s">
        <v>48</v>
      </c>
      <c r="D79" s="6" t="s">
        <v>58</v>
      </c>
      <c r="E79" s="6" t="s">
        <v>34</v>
      </c>
      <c r="F79" s="6" t="s">
        <v>145</v>
      </c>
      <c r="G79" s="6">
        <v>2016</v>
      </c>
      <c r="H79" s="6" t="str">
        <f>CONCATENATE("64770368047")</f>
        <v>64770368047</v>
      </c>
      <c r="I79" s="6" t="s">
        <v>28</v>
      </c>
      <c r="J79" s="6" t="s">
        <v>29</v>
      </c>
      <c r="K79" s="6" t="str">
        <f>CONCATENATE("214")</f>
        <v>214</v>
      </c>
      <c r="L79" s="6" t="str">
        <f>CONCATENATE("11 11.1 4b")</f>
        <v>11 11.1 4b</v>
      </c>
      <c r="M79" s="6" t="str">
        <f>CONCATENATE("RSSRMN75B47D488M")</f>
        <v>RSSRMN75B47D488M</v>
      </c>
      <c r="N79" s="6" t="s">
        <v>146</v>
      </c>
      <c r="O79" s="6" t="s">
        <v>116</v>
      </c>
      <c r="P79" s="7">
        <v>43185</v>
      </c>
      <c r="Q79" s="6" t="s">
        <v>30</v>
      </c>
      <c r="R79" s="6" t="s">
        <v>31</v>
      </c>
      <c r="S79" s="6" t="s">
        <v>32</v>
      </c>
      <c r="T79" s="8">
        <v>6044.49</v>
      </c>
      <c r="U79" s="8">
        <v>2606.38</v>
      </c>
      <c r="V79" s="8">
        <v>2406.92</v>
      </c>
      <c r="W79" s="6">
        <v>0</v>
      </c>
      <c r="X79" s="8">
        <v>1031.19</v>
      </c>
    </row>
    <row r="80" spans="1:24" ht="24.75" x14ac:dyDescent="0.25">
      <c r="A80" s="6" t="s">
        <v>25</v>
      </c>
      <c r="B80" s="6" t="s">
        <v>26</v>
      </c>
      <c r="C80" s="6" t="s">
        <v>48</v>
      </c>
      <c r="D80" s="6" t="s">
        <v>52</v>
      </c>
      <c r="E80" s="6" t="s">
        <v>38</v>
      </c>
      <c r="F80" s="6" t="s">
        <v>147</v>
      </c>
      <c r="G80" s="6">
        <v>2017</v>
      </c>
      <c r="H80" s="6" t="str">
        <f>CONCATENATE("74770028590")</f>
        <v>74770028590</v>
      </c>
      <c r="I80" s="6" t="s">
        <v>28</v>
      </c>
      <c r="J80" s="6" t="s">
        <v>29</v>
      </c>
      <c r="K80" s="6" t="str">
        <f>CONCATENATE("214")</f>
        <v>214</v>
      </c>
      <c r="L80" s="6" t="str">
        <f>CONCATENATE("11 11.2 4b")</f>
        <v>11 11.2 4b</v>
      </c>
      <c r="M80" s="6" t="str">
        <f>CONCATENATE("NTGGRL54L57C070D")</f>
        <v>NTGGRL54L57C070D</v>
      </c>
      <c r="N80" s="6" t="s">
        <v>148</v>
      </c>
      <c r="O80" s="6" t="s">
        <v>55</v>
      </c>
      <c r="P80" s="7">
        <v>43185</v>
      </c>
      <c r="Q80" s="6" t="s">
        <v>30</v>
      </c>
      <c r="R80" s="6" t="s">
        <v>31</v>
      </c>
      <c r="S80" s="6" t="s">
        <v>32</v>
      </c>
      <c r="T80" s="6">
        <v>184.06</v>
      </c>
      <c r="U80" s="6">
        <v>79.37</v>
      </c>
      <c r="V80" s="6">
        <v>73.290000000000006</v>
      </c>
      <c r="W80" s="6">
        <v>0</v>
      </c>
      <c r="X80" s="6">
        <v>31.4</v>
      </c>
    </row>
    <row r="81" spans="1:24" ht="24.75" x14ac:dyDescent="0.25">
      <c r="A81" s="6" t="s">
        <v>25</v>
      </c>
      <c r="B81" s="6" t="s">
        <v>26</v>
      </c>
      <c r="C81" s="6" t="s">
        <v>48</v>
      </c>
      <c r="D81" s="6" t="s">
        <v>52</v>
      </c>
      <c r="E81" s="6" t="s">
        <v>27</v>
      </c>
      <c r="F81" s="6" t="s">
        <v>149</v>
      </c>
      <c r="G81" s="6">
        <v>2017</v>
      </c>
      <c r="H81" s="6" t="str">
        <f>CONCATENATE("74770195001")</f>
        <v>74770195001</v>
      </c>
      <c r="I81" s="6" t="s">
        <v>28</v>
      </c>
      <c r="J81" s="6" t="s">
        <v>29</v>
      </c>
      <c r="K81" s="6" t="str">
        <f>CONCATENATE("214")</f>
        <v>214</v>
      </c>
      <c r="L81" s="6" t="str">
        <f>CONCATENATE("11 11.2 4b")</f>
        <v>11 11.2 4b</v>
      </c>
      <c r="M81" s="6" t="str">
        <f>CONCATENATE("CTRGCH73H06D542X")</f>
        <v>CTRGCH73H06D542X</v>
      </c>
      <c r="N81" s="6" t="s">
        <v>150</v>
      </c>
      <c r="O81" s="6" t="s">
        <v>55</v>
      </c>
      <c r="P81" s="7">
        <v>43185</v>
      </c>
      <c r="Q81" s="6" t="s">
        <v>30</v>
      </c>
      <c r="R81" s="6" t="s">
        <v>31</v>
      </c>
      <c r="S81" s="6" t="s">
        <v>32</v>
      </c>
      <c r="T81" s="6">
        <v>142.9</v>
      </c>
      <c r="U81" s="6">
        <v>61.62</v>
      </c>
      <c r="V81" s="6">
        <v>56.9</v>
      </c>
      <c r="W81" s="6">
        <v>0</v>
      </c>
      <c r="X81" s="6">
        <v>24.38</v>
      </c>
    </row>
    <row r="82" spans="1:24" ht="24.75" x14ac:dyDescent="0.25">
      <c r="A82" s="6" t="s">
        <v>25</v>
      </c>
      <c r="B82" s="6" t="s">
        <v>26</v>
      </c>
      <c r="C82" s="6" t="s">
        <v>48</v>
      </c>
      <c r="D82" s="6" t="s">
        <v>52</v>
      </c>
      <c r="E82" s="6" t="s">
        <v>42</v>
      </c>
      <c r="F82" s="6" t="s">
        <v>151</v>
      </c>
      <c r="G82" s="6">
        <v>2017</v>
      </c>
      <c r="H82" s="6" t="str">
        <f>CONCATENATE("74770049802")</f>
        <v>74770049802</v>
      </c>
      <c r="I82" s="6" t="s">
        <v>28</v>
      </c>
      <c r="J82" s="6" t="s">
        <v>29</v>
      </c>
      <c r="K82" s="6" t="str">
        <f>CONCATENATE("214")</f>
        <v>214</v>
      </c>
      <c r="L82" s="6" t="str">
        <f>CONCATENATE("11 11.1 4b")</f>
        <v>11 11.1 4b</v>
      </c>
      <c r="M82" s="6" t="str">
        <f>CONCATENATE("PCNBBR71R52E783L")</f>
        <v>PCNBBR71R52E783L</v>
      </c>
      <c r="N82" s="6" t="s">
        <v>152</v>
      </c>
      <c r="O82" s="6" t="s">
        <v>55</v>
      </c>
      <c r="P82" s="7">
        <v>43185</v>
      </c>
      <c r="Q82" s="6" t="s">
        <v>30</v>
      </c>
      <c r="R82" s="6" t="s">
        <v>31</v>
      </c>
      <c r="S82" s="6" t="s">
        <v>32</v>
      </c>
      <c r="T82" s="8">
        <v>1197.17</v>
      </c>
      <c r="U82" s="6">
        <v>516.22</v>
      </c>
      <c r="V82" s="6">
        <v>476.71</v>
      </c>
      <c r="W82" s="6">
        <v>0</v>
      </c>
      <c r="X82" s="6">
        <v>204.24</v>
      </c>
    </row>
    <row r="83" spans="1:24" ht="24.75" x14ac:dyDescent="0.25">
      <c r="A83" s="6" t="s">
        <v>25</v>
      </c>
      <c r="B83" s="6" t="s">
        <v>26</v>
      </c>
      <c r="C83" s="6" t="s">
        <v>48</v>
      </c>
      <c r="D83" s="6" t="s">
        <v>52</v>
      </c>
      <c r="E83" s="6" t="s">
        <v>36</v>
      </c>
      <c r="F83" s="6" t="s">
        <v>36</v>
      </c>
      <c r="G83" s="6">
        <v>2017</v>
      </c>
      <c r="H83" s="6" t="str">
        <f>CONCATENATE("74770211295")</f>
        <v>74770211295</v>
      </c>
      <c r="I83" s="6" t="s">
        <v>28</v>
      </c>
      <c r="J83" s="6" t="s">
        <v>29</v>
      </c>
      <c r="K83" s="6" t="str">
        <f>CONCATENATE("214")</f>
        <v>214</v>
      </c>
      <c r="L83" s="6" t="str">
        <f>CONCATENATE("11 11.2 4b")</f>
        <v>11 11.2 4b</v>
      </c>
      <c r="M83" s="6" t="str">
        <f>CONCATENATE("CRMGNN75A27H769Q")</f>
        <v>CRMGNN75A27H769Q</v>
      </c>
      <c r="N83" s="6" t="s">
        <v>153</v>
      </c>
      <c r="O83" s="6" t="s">
        <v>55</v>
      </c>
      <c r="P83" s="7">
        <v>43185</v>
      </c>
      <c r="Q83" s="6" t="s">
        <v>30</v>
      </c>
      <c r="R83" s="6" t="s">
        <v>31</v>
      </c>
      <c r="S83" s="6" t="s">
        <v>32</v>
      </c>
      <c r="T83" s="6">
        <v>683.26</v>
      </c>
      <c r="U83" s="6">
        <v>294.62</v>
      </c>
      <c r="V83" s="6">
        <v>272.07</v>
      </c>
      <c r="W83" s="6">
        <v>0</v>
      </c>
      <c r="X83" s="6">
        <v>116.57</v>
      </c>
    </row>
    <row r="84" spans="1:24" ht="24.75" x14ac:dyDescent="0.25">
      <c r="A84" s="6" t="s">
        <v>25</v>
      </c>
      <c r="B84" s="6" t="s">
        <v>26</v>
      </c>
      <c r="C84" s="6" t="s">
        <v>48</v>
      </c>
      <c r="D84" s="6" t="s">
        <v>58</v>
      </c>
      <c r="E84" s="6" t="s">
        <v>34</v>
      </c>
      <c r="F84" s="6" t="s">
        <v>154</v>
      </c>
      <c r="G84" s="6">
        <v>2017</v>
      </c>
      <c r="H84" s="6" t="str">
        <f>CONCATENATE("74770030414")</f>
        <v>74770030414</v>
      </c>
      <c r="I84" s="6" t="s">
        <v>28</v>
      </c>
      <c r="J84" s="6" t="s">
        <v>29</v>
      </c>
      <c r="K84" s="6" t="str">
        <f>CONCATENATE("214")</f>
        <v>214</v>
      </c>
      <c r="L84" s="6" t="str">
        <f>CONCATENATE("10 10.1 4a")</f>
        <v>10 10.1 4a</v>
      </c>
      <c r="M84" s="6" t="str">
        <f>CONCATENATE("NRDCRL65D10L498M")</f>
        <v>NRDCRL65D10L498M</v>
      </c>
      <c r="N84" s="6" t="s">
        <v>155</v>
      </c>
      <c r="O84" s="6" t="s">
        <v>55</v>
      </c>
      <c r="P84" s="7">
        <v>43185</v>
      </c>
      <c r="Q84" s="6" t="s">
        <v>30</v>
      </c>
      <c r="R84" s="6" t="s">
        <v>31</v>
      </c>
      <c r="S84" s="6" t="s">
        <v>32</v>
      </c>
      <c r="T84" s="6">
        <v>835.38</v>
      </c>
      <c r="U84" s="6">
        <v>360.22</v>
      </c>
      <c r="V84" s="6">
        <v>332.65</v>
      </c>
      <c r="W84" s="6">
        <v>0</v>
      </c>
      <c r="X84" s="6">
        <v>142.51</v>
      </c>
    </row>
    <row r="85" spans="1:24" ht="24.75" x14ac:dyDescent="0.25">
      <c r="A85" s="6" t="s">
        <v>25</v>
      </c>
      <c r="B85" s="6" t="s">
        <v>26</v>
      </c>
      <c r="C85" s="6" t="s">
        <v>48</v>
      </c>
      <c r="D85" s="6" t="s">
        <v>52</v>
      </c>
      <c r="E85" s="6" t="s">
        <v>36</v>
      </c>
      <c r="F85" s="6" t="s">
        <v>36</v>
      </c>
      <c r="G85" s="6">
        <v>2017</v>
      </c>
      <c r="H85" s="6" t="str">
        <f>CONCATENATE("74770097298")</f>
        <v>74770097298</v>
      </c>
      <c r="I85" s="6" t="s">
        <v>28</v>
      </c>
      <c r="J85" s="6" t="s">
        <v>29</v>
      </c>
      <c r="K85" s="6" t="str">
        <f>CONCATENATE("214")</f>
        <v>214</v>
      </c>
      <c r="L85" s="6" t="str">
        <f>CONCATENATE("11 11.2 4b")</f>
        <v>11 11.2 4b</v>
      </c>
      <c r="M85" s="6" t="str">
        <f>CONCATENATE("NSPGNI47E41C321L")</f>
        <v>NSPGNI47E41C321L</v>
      </c>
      <c r="N85" s="6" t="s">
        <v>156</v>
      </c>
      <c r="O85" s="6" t="s">
        <v>55</v>
      </c>
      <c r="P85" s="7">
        <v>43185</v>
      </c>
      <c r="Q85" s="6" t="s">
        <v>30</v>
      </c>
      <c r="R85" s="6" t="s">
        <v>31</v>
      </c>
      <c r="S85" s="6" t="s">
        <v>32</v>
      </c>
      <c r="T85" s="6">
        <v>166.96</v>
      </c>
      <c r="U85" s="6">
        <v>71.989999999999995</v>
      </c>
      <c r="V85" s="6">
        <v>66.48</v>
      </c>
      <c r="W85" s="6">
        <v>0</v>
      </c>
      <c r="X85" s="6">
        <v>28.49</v>
      </c>
    </row>
    <row r="86" spans="1:24" ht="24.75" x14ac:dyDescent="0.25">
      <c r="A86" s="6" t="s">
        <v>25</v>
      </c>
      <c r="B86" s="6" t="s">
        <v>26</v>
      </c>
      <c r="C86" s="6" t="s">
        <v>48</v>
      </c>
      <c r="D86" s="6" t="s">
        <v>52</v>
      </c>
      <c r="E86" s="6" t="s">
        <v>36</v>
      </c>
      <c r="F86" s="6" t="s">
        <v>36</v>
      </c>
      <c r="G86" s="6">
        <v>2017</v>
      </c>
      <c r="H86" s="6" t="str">
        <f>CONCATENATE("74770097306")</f>
        <v>74770097306</v>
      </c>
      <c r="I86" s="6" t="s">
        <v>28</v>
      </c>
      <c r="J86" s="6" t="s">
        <v>29</v>
      </c>
      <c r="K86" s="6" t="str">
        <f>CONCATENATE("214")</f>
        <v>214</v>
      </c>
      <c r="L86" s="6" t="str">
        <f>CONCATENATE("11 11.2 4b")</f>
        <v>11 11.2 4b</v>
      </c>
      <c r="M86" s="6" t="str">
        <f>CONCATENATE("NSPGNI47E41C321L")</f>
        <v>NSPGNI47E41C321L</v>
      </c>
      <c r="N86" s="6" t="s">
        <v>156</v>
      </c>
      <c r="O86" s="6" t="s">
        <v>55</v>
      </c>
      <c r="P86" s="7">
        <v>43185</v>
      </c>
      <c r="Q86" s="6" t="s">
        <v>30</v>
      </c>
      <c r="R86" s="6" t="s">
        <v>31</v>
      </c>
      <c r="S86" s="6" t="s">
        <v>32</v>
      </c>
      <c r="T86" s="6">
        <v>173</v>
      </c>
      <c r="U86" s="6">
        <v>74.599999999999994</v>
      </c>
      <c r="V86" s="6">
        <v>68.89</v>
      </c>
      <c r="W86" s="6">
        <v>0</v>
      </c>
      <c r="X86" s="6">
        <v>29.51</v>
      </c>
    </row>
    <row r="87" spans="1:24" ht="24.75" x14ac:dyDescent="0.25">
      <c r="A87" s="6" t="s">
        <v>25</v>
      </c>
      <c r="B87" s="6" t="s">
        <v>26</v>
      </c>
      <c r="C87" s="6" t="s">
        <v>48</v>
      </c>
      <c r="D87" s="6" t="s">
        <v>58</v>
      </c>
      <c r="E87" s="6" t="s">
        <v>34</v>
      </c>
      <c r="F87" s="6" t="s">
        <v>81</v>
      </c>
      <c r="G87" s="6">
        <v>2016</v>
      </c>
      <c r="H87" s="6" t="str">
        <f>CONCATENATE("64770154066")</f>
        <v>64770154066</v>
      </c>
      <c r="I87" s="6" t="s">
        <v>40</v>
      </c>
      <c r="J87" s="6" t="s">
        <v>29</v>
      </c>
      <c r="K87" s="6" t="str">
        <f>CONCATENATE("214")</f>
        <v>214</v>
      </c>
      <c r="L87" s="6" t="str">
        <f>CONCATENATE("10 10.1 4a")</f>
        <v>10 10.1 4a</v>
      </c>
      <c r="M87" s="6" t="str">
        <f>CONCATENATE("00984410415")</f>
        <v>00984410415</v>
      </c>
      <c r="N87" s="6" t="s">
        <v>157</v>
      </c>
      <c r="O87" s="6" t="s">
        <v>158</v>
      </c>
      <c r="P87" s="7">
        <v>43167</v>
      </c>
      <c r="Q87" s="6" t="s">
        <v>30</v>
      </c>
      <c r="R87" s="6" t="s">
        <v>31</v>
      </c>
      <c r="S87" s="6" t="s">
        <v>32</v>
      </c>
      <c r="T87" s="8">
        <v>3150</v>
      </c>
      <c r="U87" s="8">
        <v>1358.28</v>
      </c>
      <c r="V87" s="8">
        <v>1254.33</v>
      </c>
      <c r="W87" s="6">
        <v>0</v>
      </c>
      <c r="X87" s="6">
        <v>537.39</v>
      </c>
    </row>
    <row r="88" spans="1:24" ht="24.75" x14ac:dyDescent="0.25">
      <c r="A88" s="6" t="s">
        <v>25</v>
      </c>
      <c r="B88" s="6" t="s">
        <v>26</v>
      </c>
      <c r="C88" s="6" t="s">
        <v>48</v>
      </c>
      <c r="D88" s="6" t="s">
        <v>58</v>
      </c>
      <c r="E88" s="6" t="s">
        <v>34</v>
      </c>
      <c r="F88" s="6" t="s">
        <v>81</v>
      </c>
      <c r="G88" s="6">
        <v>2016</v>
      </c>
      <c r="H88" s="6" t="str">
        <f>CONCATENATE("64770154058")</f>
        <v>64770154058</v>
      </c>
      <c r="I88" s="6" t="s">
        <v>40</v>
      </c>
      <c r="J88" s="6" t="s">
        <v>29</v>
      </c>
      <c r="K88" s="6" t="str">
        <f>CONCATENATE("214")</f>
        <v>214</v>
      </c>
      <c r="L88" s="6" t="str">
        <f>CONCATENATE("10 10.1 4a")</f>
        <v>10 10.1 4a</v>
      </c>
      <c r="M88" s="6" t="str">
        <f>CONCATENATE("00984410415")</f>
        <v>00984410415</v>
      </c>
      <c r="N88" s="6" t="s">
        <v>157</v>
      </c>
      <c r="O88" s="6" t="s">
        <v>158</v>
      </c>
      <c r="P88" s="7">
        <v>43167</v>
      </c>
      <c r="Q88" s="6" t="s">
        <v>30</v>
      </c>
      <c r="R88" s="6" t="s">
        <v>31</v>
      </c>
      <c r="S88" s="6" t="s">
        <v>32</v>
      </c>
      <c r="T88" s="6">
        <v>729</v>
      </c>
      <c r="U88" s="6">
        <v>314.33999999999997</v>
      </c>
      <c r="V88" s="6">
        <v>290.29000000000002</v>
      </c>
      <c r="W88" s="6">
        <v>0</v>
      </c>
      <c r="X88" s="6">
        <v>124.37</v>
      </c>
    </row>
    <row r="89" spans="1:24" x14ac:dyDescent="0.25">
      <c r="A89" s="6" t="s">
        <v>25</v>
      </c>
      <c r="B89" s="6" t="s">
        <v>26</v>
      </c>
      <c r="C89" s="6" t="s">
        <v>48</v>
      </c>
      <c r="D89" s="6" t="s">
        <v>159</v>
      </c>
      <c r="E89" s="6" t="s">
        <v>34</v>
      </c>
      <c r="F89" s="6" t="s">
        <v>160</v>
      </c>
      <c r="G89" s="6">
        <v>2017</v>
      </c>
      <c r="H89" s="6" t="str">
        <f>CONCATENATE("74780068974")</f>
        <v>74780068974</v>
      </c>
      <c r="I89" s="6" t="s">
        <v>28</v>
      </c>
      <c r="J89" s="6" t="s">
        <v>29</v>
      </c>
      <c r="K89" s="6" t="str">
        <f>CONCATENATE("221")</f>
        <v>221</v>
      </c>
      <c r="L89" s="6" t="str">
        <f>CONCATENATE("8 8.1 5e")</f>
        <v>8 8.1 5e</v>
      </c>
      <c r="M89" s="6" t="str">
        <f>CONCATENATE("PNNGPP33C68I286G")</f>
        <v>PNNGPP33C68I286G</v>
      </c>
      <c r="N89" s="6" t="s">
        <v>161</v>
      </c>
      <c r="O89" s="6" t="s">
        <v>162</v>
      </c>
      <c r="P89" s="7">
        <v>43173</v>
      </c>
      <c r="Q89" s="6" t="s">
        <v>30</v>
      </c>
      <c r="R89" s="6" t="s">
        <v>31</v>
      </c>
      <c r="S89" s="6" t="s">
        <v>32</v>
      </c>
      <c r="T89" s="6">
        <v>416.3</v>
      </c>
      <c r="U89" s="6">
        <v>179.51</v>
      </c>
      <c r="V89" s="6">
        <v>165.77</v>
      </c>
      <c r="W89" s="6">
        <v>0</v>
      </c>
      <c r="X89" s="6">
        <v>71.02</v>
      </c>
    </row>
    <row r="90" spans="1:24" ht="24.75" x14ac:dyDescent="0.25">
      <c r="A90" s="6" t="s">
        <v>25</v>
      </c>
      <c r="B90" s="6" t="s">
        <v>26</v>
      </c>
      <c r="C90" s="6" t="s">
        <v>48</v>
      </c>
      <c r="D90" s="6" t="s">
        <v>52</v>
      </c>
      <c r="E90" s="6" t="s">
        <v>34</v>
      </c>
      <c r="F90" s="6" t="s">
        <v>163</v>
      </c>
      <c r="G90" s="6">
        <v>2017</v>
      </c>
      <c r="H90" s="6" t="str">
        <f>CONCATENATE("74780024449")</f>
        <v>74780024449</v>
      </c>
      <c r="I90" s="6" t="s">
        <v>28</v>
      </c>
      <c r="J90" s="6" t="s">
        <v>29</v>
      </c>
      <c r="K90" s="6" t="str">
        <f>CONCATENATE("221")</f>
        <v>221</v>
      </c>
      <c r="L90" s="6" t="str">
        <f>CONCATENATE("8 8.1 5e")</f>
        <v>8 8.1 5e</v>
      </c>
      <c r="M90" s="6" t="str">
        <f>CONCATENATE("DNGSTN35A45C321R")</f>
        <v>DNGSTN35A45C321R</v>
      </c>
      <c r="N90" s="6" t="s">
        <v>164</v>
      </c>
      <c r="O90" s="6" t="s">
        <v>165</v>
      </c>
      <c r="P90" s="7">
        <v>43173</v>
      </c>
      <c r="Q90" s="6" t="s">
        <v>30</v>
      </c>
      <c r="R90" s="6" t="s">
        <v>31</v>
      </c>
      <c r="S90" s="6" t="s">
        <v>32</v>
      </c>
      <c r="T90" s="6">
        <v>271.64</v>
      </c>
      <c r="U90" s="6">
        <v>117.13</v>
      </c>
      <c r="V90" s="6">
        <v>108.17</v>
      </c>
      <c r="W90" s="6">
        <v>0</v>
      </c>
      <c r="X90" s="6">
        <v>46.34</v>
      </c>
    </row>
    <row r="91" spans="1:24" x14ac:dyDescent="0.25">
      <c r="A91" s="6" t="s">
        <v>25</v>
      </c>
      <c r="B91" s="6" t="s">
        <v>26</v>
      </c>
      <c r="C91" s="6" t="s">
        <v>48</v>
      </c>
      <c r="D91" s="6" t="s">
        <v>159</v>
      </c>
      <c r="E91" s="6" t="s">
        <v>34</v>
      </c>
      <c r="F91" s="6" t="s">
        <v>166</v>
      </c>
      <c r="G91" s="6">
        <v>2017</v>
      </c>
      <c r="H91" s="6" t="str">
        <f>CONCATENATE("74780065533")</f>
        <v>74780065533</v>
      </c>
      <c r="I91" s="6" t="s">
        <v>28</v>
      </c>
      <c r="J91" s="6" t="s">
        <v>29</v>
      </c>
      <c r="K91" s="6" t="str">
        <f>CONCATENATE("221")</f>
        <v>221</v>
      </c>
      <c r="L91" s="6" t="str">
        <f>CONCATENATE("8 8.1 5e")</f>
        <v>8 8.1 5e</v>
      </c>
      <c r="M91" s="6" t="str">
        <f>CONCATENATE("TTTSFN41E30C704M")</f>
        <v>TTTSFN41E30C704M</v>
      </c>
      <c r="N91" s="6" t="s">
        <v>167</v>
      </c>
      <c r="O91" s="6" t="s">
        <v>162</v>
      </c>
      <c r="P91" s="7">
        <v>43173</v>
      </c>
      <c r="Q91" s="6" t="s">
        <v>30</v>
      </c>
      <c r="R91" s="6" t="s">
        <v>31</v>
      </c>
      <c r="S91" s="6" t="s">
        <v>32</v>
      </c>
      <c r="T91" s="6">
        <v>395</v>
      </c>
      <c r="U91" s="6">
        <v>170.32</v>
      </c>
      <c r="V91" s="6">
        <v>157.29</v>
      </c>
      <c r="W91" s="6">
        <v>0</v>
      </c>
      <c r="X91" s="6">
        <v>67.39</v>
      </c>
    </row>
    <row r="92" spans="1:24" x14ac:dyDescent="0.25">
      <c r="A92" s="6" t="s">
        <v>25</v>
      </c>
      <c r="B92" s="6" t="s">
        <v>26</v>
      </c>
      <c r="C92" s="6" t="s">
        <v>48</v>
      </c>
      <c r="D92" s="6" t="s">
        <v>159</v>
      </c>
      <c r="E92" s="6" t="s">
        <v>38</v>
      </c>
      <c r="F92" s="6" t="s">
        <v>168</v>
      </c>
      <c r="G92" s="6">
        <v>2017</v>
      </c>
      <c r="H92" s="6" t="str">
        <f>CONCATENATE("74780029265")</f>
        <v>74780029265</v>
      </c>
      <c r="I92" s="6" t="s">
        <v>28</v>
      </c>
      <c r="J92" s="6" t="s">
        <v>29</v>
      </c>
      <c r="K92" s="6" t="str">
        <f>CONCATENATE("221")</f>
        <v>221</v>
      </c>
      <c r="L92" s="6" t="str">
        <f>CONCATENATE("8 8.1 5e")</f>
        <v>8 8.1 5e</v>
      </c>
      <c r="M92" s="6" t="str">
        <f>CONCATENATE("PLTLSN77D18C704N")</f>
        <v>PLTLSN77D18C704N</v>
      </c>
      <c r="N92" s="6" t="s">
        <v>169</v>
      </c>
      <c r="O92" s="6" t="s">
        <v>162</v>
      </c>
      <c r="P92" s="7">
        <v>43173</v>
      </c>
      <c r="Q92" s="6" t="s">
        <v>30</v>
      </c>
      <c r="R92" s="6" t="s">
        <v>31</v>
      </c>
      <c r="S92" s="6" t="s">
        <v>32</v>
      </c>
      <c r="T92" s="6">
        <v>397.6</v>
      </c>
      <c r="U92" s="6">
        <v>171.45</v>
      </c>
      <c r="V92" s="6">
        <v>158.32</v>
      </c>
      <c r="W92" s="6">
        <v>0</v>
      </c>
      <c r="X92" s="6">
        <v>67.83</v>
      </c>
    </row>
    <row r="93" spans="1:24" x14ac:dyDescent="0.25">
      <c r="A93" s="6" t="s">
        <v>25</v>
      </c>
      <c r="B93" s="6" t="s">
        <v>26</v>
      </c>
      <c r="C93" s="6" t="s">
        <v>48</v>
      </c>
      <c r="D93" s="6" t="s">
        <v>159</v>
      </c>
      <c r="E93" s="6" t="s">
        <v>34</v>
      </c>
      <c r="F93" s="6" t="s">
        <v>170</v>
      </c>
      <c r="G93" s="6">
        <v>2017</v>
      </c>
      <c r="H93" s="6" t="str">
        <f>CONCATENATE("74780070418")</f>
        <v>74780070418</v>
      </c>
      <c r="I93" s="6" t="s">
        <v>28</v>
      </c>
      <c r="J93" s="6" t="s">
        <v>29</v>
      </c>
      <c r="K93" s="6" t="str">
        <f>CONCATENATE("221")</f>
        <v>221</v>
      </c>
      <c r="L93" s="6" t="str">
        <f>CONCATENATE("8 8.1 5e")</f>
        <v>8 8.1 5e</v>
      </c>
      <c r="M93" s="6" t="str">
        <f>CONCATENATE("PNZTRS46L61F839B")</f>
        <v>PNZTRS46L61F839B</v>
      </c>
      <c r="N93" s="6" t="s">
        <v>171</v>
      </c>
      <c r="O93" s="6" t="s">
        <v>162</v>
      </c>
      <c r="P93" s="7">
        <v>43173</v>
      </c>
      <c r="Q93" s="6" t="s">
        <v>30</v>
      </c>
      <c r="R93" s="6" t="s">
        <v>31</v>
      </c>
      <c r="S93" s="6" t="s">
        <v>32</v>
      </c>
      <c r="T93" s="6">
        <v>900</v>
      </c>
      <c r="U93" s="6">
        <v>388.08</v>
      </c>
      <c r="V93" s="6">
        <v>358.38</v>
      </c>
      <c r="W93" s="6">
        <v>0</v>
      </c>
      <c r="X93" s="6">
        <v>153.54</v>
      </c>
    </row>
    <row r="94" spans="1:24" x14ac:dyDescent="0.25">
      <c r="A94" s="6" t="s">
        <v>25</v>
      </c>
      <c r="B94" s="6" t="s">
        <v>26</v>
      </c>
      <c r="C94" s="6" t="s">
        <v>48</v>
      </c>
      <c r="D94" s="6" t="s">
        <v>159</v>
      </c>
      <c r="E94" s="6" t="s">
        <v>27</v>
      </c>
      <c r="F94" s="6" t="s">
        <v>172</v>
      </c>
      <c r="G94" s="6">
        <v>2017</v>
      </c>
      <c r="H94" s="6" t="str">
        <f>CONCATENATE("74780041443")</f>
        <v>74780041443</v>
      </c>
      <c r="I94" s="6" t="s">
        <v>28</v>
      </c>
      <c r="J94" s="6" t="s">
        <v>29</v>
      </c>
      <c r="K94" s="6" t="str">
        <f>CONCATENATE("221")</f>
        <v>221</v>
      </c>
      <c r="L94" s="6" t="str">
        <f>CONCATENATE("8 8.1 5e")</f>
        <v>8 8.1 5e</v>
      </c>
      <c r="M94" s="6" t="str">
        <f>CONCATENATE("PPVGRI67S10Z154V")</f>
        <v>PPVGRI67S10Z154V</v>
      </c>
      <c r="N94" s="6" t="s">
        <v>173</v>
      </c>
      <c r="O94" s="6" t="s">
        <v>162</v>
      </c>
      <c r="P94" s="7">
        <v>43173</v>
      </c>
      <c r="Q94" s="6" t="s">
        <v>30</v>
      </c>
      <c r="R94" s="6" t="s">
        <v>31</v>
      </c>
      <c r="S94" s="6" t="s">
        <v>32</v>
      </c>
      <c r="T94" s="6">
        <v>175.57</v>
      </c>
      <c r="U94" s="6">
        <v>75.709999999999994</v>
      </c>
      <c r="V94" s="6">
        <v>69.91</v>
      </c>
      <c r="W94" s="6">
        <v>0</v>
      </c>
      <c r="X94" s="6">
        <v>29.95</v>
      </c>
    </row>
    <row r="95" spans="1:24" x14ac:dyDescent="0.25">
      <c r="A95" s="6" t="s">
        <v>25</v>
      </c>
      <c r="B95" s="6" t="s">
        <v>26</v>
      </c>
      <c r="C95" s="6" t="s">
        <v>48</v>
      </c>
      <c r="D95" s="6" t="s">
        <v>159</v>
      </c>
      <c r="E95" s="6" t="s">
        <v>34</v>
      </c>
      <c r="F95" s="6" t="s">
        <v>174</v>
      </c>
      <c r="G95" s="6">
        <v>2017</v>
      </c>
      <c r="H95" s="6" t="str">
        <f>CONCATENATE("74780063959")</f>
        <v>74780063959</v>
      </c>
      <c r="I95" s="6" t="s">
        <v>28</v>
      </c>
      <c r="J95" s="6" t="s">
        <v>29</v>
      </c>
      <c r="K95" s="6" t="str">
        <f>CONCATENATE("221")</f>
        <v>221</v>
      </c>
      <c r="L95" s="6" t="str">
        <f>CONCATENATE("8 8.1 5e")</f>
        <v>8 8.1 5e</v>
      </c>
      <c r="M95" s="6" t="str">
        <f>CONCATENATE("PRSNSI44T67I156N")</f>
        <v>PRSNSI44T67I156N</v>
      </c>
      <c r="N95" s="6" t="s">
        <v>175</v>
      </c>
      <c r="O95" s="6" t="s">
        <v>162</v>
      </c>
      <c r="P95" s="7">
        <v>43173</v>
      </c>
      <c r="Q95" s="6" t="s">
        <v>30</v>
      </c>
      <c r="R95" s="6" t="s">
        <v>31</v>
      </c>
      <c r="S95" s="6" t="s">
        <v>32</v>
      </c>
      <c r="T95" s="6">
        <v>293.22000000000003</v>
      </c>
      <c r="U95" s="6">
        <v>126.44</v>
      </c>
      <c r="V95" s="6">
        <v>116.76</v>
      </c>
      <c r="W95" s="6">
        <v>0</v>
      </c>
      <c r="X95" s="6">
        <v>50.02</v>
      </c>
    </row>
    <row r="96" spans="1:24" x14ac:dyDescent="0.25">
      <c r="A96" s="6" t="s">
        <v>25</v>
      </c>
      <c r="B96" s="6" t="s">
        <v>26</v>
      </c>
      <c r="C96" s="6" t="s">
        <v>48</v>
      </c>
      <c r="D96" s="6" t="s">
        <v>159</v>
      </c>
      <c r="E96" s="6" t="s">
        <v>34</v>
      </c>
      <c r="F96" s="6" t="s">
        <v>174</v>
      </c>
      <c r="G96" s="6">
        <v>2017</v>
      </c>
      <c r="H96" s="6" t="str">
        <f>CONCATENATE("74780064098")</f>
        <v>74780064098</v>
      </c>
      <c r="I96" s="6" t="s">
        <v>28</v>
      </c>
      <c r="J96" s="6" t="s">
        <v>29</v>
      </c>
      <c r="K96" s="6" t="str">
        <f>CONCATENATE("221")</f>
        <v>221</v>
      </c>
      <c r="L96" s="6" t="str">
        <f>CONCATENATE("8 8.1 5e")</f>
        <v>8 8.1 5e</v>
      </c>
      <c r="M96" s="6" t="str">
        <f>CONCATENATE("RNTDLA36S60L366J")</f>
        <v>RNTDLA36S60L366J</v>
      </c>
      <c r="N96" s="6" t="s">
        <v>176</v>
      </c>
      <c r="O96" s="6" t="s">
        <v>162</v>
      </c>
      <c r="P96" s="7">
        <v>43173</v>
      </c>
      <c r="Q96" s="6" t="s">
        <v>30</v>
      </c>
      <c r="R96" s="6" t="s">
        <v>31</v>
      </c>
      <c r="S96" s="6" t="s">
        <v>32</v>
      </c>
      <c r="T96" s="8">
        <v>1635.3</v>
      </c>
      <c r="U96" s="6">
        <v>705.14</v>
      </c>
      <c r="V96" s="6">
        <v>651.17999999999995</v>
      </c>
      <c r="W96" s="6">
        <v>0</v>
      </c>
      <c r="X96" s="6">
        <v>278.98</v>
      </c>
    </row>
    <row r="97" spans="1:24" x14ac:dyDescent="0.25">
      <c r="A97" s="6" t="s">
        <v>25</v>
      </c>
      <c r="B97" s="6" t="s">
        <v>26</v>
      </c>
      <c r="C97" s="6" t="s">
        <v>48</v>
      </c>
      <c r="D97" s="6" t="s">
        <v>159</v>
      </c>
      <c r="E97" s="6" t="s">
        <v>43</v>
      </c>
      <c r="F97" s="6" t="s">
        <v>177</v>
      </c>
      <c r="G97" s="6">
        <v>2017</v>
      </c>
      <c r="H97" s="6" t="str">
        <f>CONCATENATE("74780015819")</f>
        <v>74780015819</v>
      </c>
      <c r="I97" s="6" t="s">
        <v>28</v>
      </c>
      <c r="J97" s="6" t="s">
        <v>29</v>
      </c>
      <c r="K97" s="6" t="str">
        <f>CONCATENATE("221")</f>
        <v>221</v>
      </c>
      <c r="L97" s="6" t="str">
        <f>CONCATENATE("8 8.1 5e")</f>
        <v>8 8.1 5e</v>
      </c>
      <c r="M97" s="6" t="str">
        <f>CONCATENATE("RPNLBT69C71L366S")</f>
        <v>RPNLBT69C71L366S</v>
      </c>
      <c r="N97" s="6" t="s">
        <v>178</v>
      </c>
      <c r="O97" s="6" t="s">
        <v>162</v>
      </c>
      <c r="P97" s="7">
        <v>43173</v>
      </c>
      <c r="Q97" s="6" t="s">
        <v>30</v>
      </c>
      <c r="R97" s="6" t="s">
        <v>31</v>
      </c>
      <c r="S97" s="6" t="s">
        <v>32</v>
      </c>
      <c r="T97" s="6">
        <v>783.9</v>
      </c>
      <c r="U97" s="6">
        <v>338.02</v>
      </c>
      <c r="V97" s="6">
        <v>312.14999999999998</v>
      </c>
      <c r="W97" s="6">
        <v>0</v>
      </c>
      <c r="X97" s="6">
        <v>133.72999999999999</v>
      </c>
    </row>
    <row r="98" spans="1:24" x14ac:dyDescent="0.25">
      <c r="A98" s="6" t="s">
        <v>25</v>
      </c>
      <c r="B98" s="6" t="s">
        <v>26</v>
      </c>
      <c r="C98" s="6" t="s">
        <v>48</v>
      </c>
      <c r="D98" s="6" t="s">
        <v>159</v>
      </c>
      <c r="E98" s="6" t="s">
        <v>34</v>
      </c>
      <c r="F98" s="6" t="s">
        <v>179</v>
      </c>
      <c r="G98" s="6">
        <v>2017</v>
      </c>
      <c r="H98" s="6" t="str">
        <f>CONCATENATE("74780068198")</f>
        <v>74780068198</v>
      </c>
      <c r="I98" s="6" t="s">
        <v>28</v>
      </c>
      <c r="J98" s="6" t="s">
        <v>29</v>
      </c>
      <c r="K98" s="6" t="str">
        <f>CONCATENATE("221")</f>
        <v>221</v>
      </c>
      <c r="L98" s="6" t="str">
        <f>CONCATENATE("8 8.1 5e")</f>
        <v>8 8.1 5e</v>
      </c>
      <c r="M98" s="6" t="str">
        <f>CONCATENATE("RSCMNL76L13D042S")</f>
        <v>RSCMNL76L13D042S</v>
      </c>
      <c r="N98" s="6" t="s">
        <v>180</v>
      </c>
      <c r="O98" s="6" t="s">
        <v>162</v>
      </c>
      <c r="P98" s="7">
        <v>43173</v>
      </c>
      <c r="Q98" s="6" t="s">
        <v>30</v>
      </c>
      <c r="R98" s="6" t="s">
        <v>31</v>
      </c>
      <c r="S98" s="6" t="s">
        <v>32</v>
      </c>
      <c r="T98" s="8">
        <v>2027.2</v>
      </c>
      <c r="U98" s="6">
        <v>874.13</v>
      </c>
      <c r="V98" s="6">
        <v>807.23</v>
      </c>
      <c r="W98" s="6">
        <v>0</v>
      </c>
      <c r="X98" s="6">
        <v>345.84</v>
      </c>
    </row>
    <row r="99" spans="1:24" x14ac:dyDescent="0.25">
      <c r="A99" s="6" t="s">
        <v>25</v>
      </c>
      <c r="B99" s="6" t="s">
        <v>26</v>
      </c>
      <c r="C99" s="6" t="s">
        <v>48</v>
      </c>
      <c r="D99" s="6" t="s">
        <v>159</v>
      </c>
      <c r="E99" s="6" t="s">
        <v>27</v>
      </c>
      <c r="F99" s="6" t="s">
        <v>181</v>
      </c>
      <c r="G99" s="6">
        <v>2017</v>
      </c>
      <c r="H99" s="6" t="str">
        <f>CONCATENATE("74780056367")</f>
        <v>74780056367</v>
      </c>
      <c r="I99" s="6" t="s">
        <v>28</v>
      </c>
      <c r="J99" s="6" t="s">
        <v>29</v>
      </c>
      <c r="K99" s="6" t="str">
        <f>CONCATENATE("221")</f>
        <v>221</v>
      </c>
      <c r="L99" s="6" t="str">
        <f>CONCATENATE("8 8.1 5e")</f>
        <v>8 8.1 5e</v>
      </c>
      <c r="M99" s="6" t="str">
        <f>CONCATENATE("QTRMLE40T11F496L")</f>
        <v>QTRMLE40T11F496L</v>
      </c>
      <c r="N99" s="6" t="s">
        <v>182</v>
      </c>
      <c r="O99" s="6" t="s">
        <v>162</v>
      </c>
      <c r="P99" s="7">
        <v>43173</v>
      </c>
      <c r="Q99" s="6" t="s">
        <v>30</v>
      </c>
      <c r="R99" s="6" t="s">
        <v>31</v>
      </c>
      <c r="S99" s="6" t="s">
        <v>32</v>
      </c>
      <c r="T99" s="6">
        <v>181</v>
      </c>
      <c r="U99" s="6">
        <v>78.05</v>
      </c>
      <c r="V99" s="6">
        <v>72.069999999999993</v>
      </c>
      <c r="W99" s="6">
        <v>0</v>
      </c>
      <c r="X99" s="6">
        <v>30.88</v>
      </c>
    </row>
    <row r="100" spans="1:24" x14ac:dyDescent="0.25">
      <c r="A100" s="6" t="s">
        <v>25</v>
      </c>
      <c r="B100" s="6" t="s">
        <v>26</v>
      </c>
      <c r="C100" s="6" t="s">
        <v>48</v>
      </c>
      <c r="D100" s="6" t="s">
        <v>159</v>
      </c>
      <c r="E100" s="6" t="s">
        <v>33</v>
      </c>
      <c r="F100" s="6" t="s">
        <v>183</v>
      </c>
      <c r="G100" s="6">
        <v>2017</v>
      </c>
      <c r="H100" s="6" t="str">
        <f>CONCATENATE("74780057332")</f>
        <v>74780057332</v>
      </c>
      <c r="I100" s="6" t="s">
        <v>28</v>
      </c>
      <c r="J100" s="6" t="s">
        <v>29</v>
      </c>
      <c r="K100" s="6" t="str">
        <f>CONCATENATE("221")</f>
        <v>221</v>
      </c>
      <c r="L100" s="6" t="str">
        <f>CONCATENATE("8 8.1 5e")</f>
        <v>8 8.1 5e</v>
      </c>
      <c r="M100" s="6" t="str">
        <f>CONCATENATE("QNTSFN60A21E783B")</f>
        <v>QNTSFN60A21E783B</v>
      </c>
      <c r="N100" s="6" t="s">
        <v>184</v>
      </c>
      <c r="O100" s="6" t="s">
        <v>162</v>
      </c>
      <c r="P100" s="7">
        <v>43173</v>
      </c>
      <c r="Q100" s="6" t="s">
        <v>30</v>
      </c>
      <c r="R100" s="6" t="s">
        <v>31</v>
      </c>
      <c r="S100" s="6" t="s">
        <v>32</v>
      </c>
      <c r="T100" s="6">
        <v>485.08</v>
      </c>
      <c r="U100" s="6">
        <v>209.17</v>
      </c>
      <c r="V100" s="6">
        <v>193.16</v>
      </c>
      <c r="W100" s="6">
        <v>0</v>
      </c>
      <c r="X100" s="6">
        <v>82.75</v>
      </c>
    </row>
    <row r="101" spans="1:24" x14ac:dyDescent="0.25">
      <c r="A101" s="6" t="s">
        <v>25</v>
      </c>
      <c r="B101" s="6" t="s">
        <v>26</v>
      </c>
      <c r="C101" s="6" t="s">
        <v>48</v>
      </c>
      <c r="D101" s="6" t="s">
        <v>159</v>
      </c>
      <c r="E101" s="6" t="s">
        <v>34</v>
      </c>
      <c r="F101" s="6" t="s">
        <v>179</v>
      </c>
      <c r="G101" s="6">
        <v>2017</v>
      </c>
      <c r="H101" s="6" t="str">
        <f>CONCATENATE("74780065004")</f>
        <v>74780065004</v>
      </c>
      <c r="I101" s="6" t="s">
        <v>28</v>
      </c>
      <c r="J101" s="6" t="s">
        <v>29</v>
      </c>
      <c r="K101" s="6" t="str">
        <f>CONCATENATE("221")</f>
        <v>221</v>
      </c>
      <c r="L101" s="6" t="str">
        <f>CONCATENATE("8 8.1 5e")</f>
        <v>8 8.1 5e</v>
      </c>
      <c r="M101" s="6" t="str">
        <f>CONCATENATE("RMDMRA66M03L501N")</f>
        <v>RMDMRA66M03L501N</v>
      </c>
      <c r="N101" s="6" t="s">
        <v>185</v>
      </c>
      <c r="O101" s="6" t="s">
        <v>162</v>
      </c>
      <c r="P101" s="7">
        <v>43173</v>
      </c>
      <c r="Q101" s="6" t="s">
        <v>30</v>
      </c>
      <c r="R101" s="6" t="s">
        <v>31</v>
      </c>
      <c r="S101" s="6" t="s">
        <v>32</v>
      </c>
      <c r="T101" s="6">
        <v>445.5</v>
      </c>
      <c r="U101" s="6">
        <v>192.1</v>
      </c>
      <c r="V101" s="6">
        <v>177.4</v>
      </c>
      <c r="W101" s="6">
        <v>0</v>
      </c>
      <c r="X101" s="6">
        <v>76</v>
      </c>
    </row>
    <row r="102" spans="1:24" x14ac:dyDescent="0.25">
      <c r="A102" s="6" t="s">
        <v>25</v>
      </c>
      <c r="B102" s="6" t="s">
        <v>26</v>
      </c>
      <c r="C102" s="6" t="s">
        <v>48</v>
      </c>
      <c r="D102" s="6" t="s">
        <v>159</v>
      </c>
      <c r="E102" s="6" t="s">
        <v>34</v>
      </c>
      <c r="F102" s="6" t="s">
        <v>179</v>
      </c>
      <c r="G102" s="6">
        <v>2017</v>
      </c>
      <c r="H102" s="6" t="str">
        <f>CONCATENATE("74780064601")</f>
        <v>74780064601</v>
      </c>
      <c r="I102" s="6" t="s">
        <v>28</v>
      </c>
      <c r="J102" s="6" t="s">
        <v>29</v>
      </c>
      <c r="K102" s="6" t="str">
        <f>CONCATENATE("221")</f>
        <v>221</v>
      </c>
      <c r="L102" s="6" t="str">
        <f>CONCATENATE("8 8.1 5e")</f>
        <v>8 8.1 5e</v>
      </c>
      <c r="M102" s="6" t="str">
        <f>CONCATENATE("RMDLRT44T07F268O")</f>
        <v>RMDLRT44T07F268O</v>
      </c>
      <c r="N102" s="6" t="s">
        <v>186</v>
      </c>
      <c r="O102" s="6" t="s">
        <v>162</v>
      </c>
      <c r="P102" s="7">
        <v>43173</v>
      </c>
      <c r="Q102" s="6" t="s">
        <v>30</v>
      </c>
      <c r="R102" s="6" t="s">
        <v>31</v>
      </c>
      <c r="S102" s="6" t="s">
        <v>32</v>
      </c>
      <c r="T102" s="6">
        <v>630</v>
      </c>
      <c r="U102" s="6">
        <v>271.66000000000003</v>
      </c>
      <c r="V102" s="6">
        <v>250.87</v>
      </c>
      <c r="W102" s="6">
        <v>0</v>
      </c>
      <c r="X102" s="6">
        <v>107.47</v>
      </c>
    </row>
    <row r="103" spans="1:24" x14ac:dyDescent="0.25">
      <c r="A103" s="6" t="s">
        <v>25</v>
      </c>
      <c r="B103" s="6" t="s">
        <v>26</v>
      </c>
      <c r="C103" s="6" t="s">
        <v>48</v>
      </c>
      <c r="D103" s="6" t="s">
        <v>159</v>
      </c>
      <c r="E103" s="6" t="s">
        <v>27</v>
      </c>
      <c r="F103" s="6" t="s">
        <v>187</v>
      </c>
      <c r="G103" s="6">
        <v>2017</v>
      </c>
      <c r="H103" s="6" t="str">
        <f>CONCATENATE("74780031071")</f>
        <v>74780031071</v>
      </c>
      <c r="I103" s="6" t="s">
        <v>28</v>
      </c>
      <c r="J103" s="6" t="s">
        <v>29</v>
      </c>
      <c r="K103" s="6" t="str">
        <f>CONCATENATE("221")</f>
        <v>221</v>
      </c>
      <c r="L103" s="6" t="str">
        <f>CONCATENATE("8 8.1 5e")</f>
        <v>8 8.1 5e</v>
      </c>
      <c r="M103" s="6" t="str">
        <f>CONCATENATE("QGLFBA78S24I156T")</f>
        <v>QGLFBA78S24I156T</v>
      </c>
      <c r="N103" s="6" t="s">
        <v>188</v>
      </c>
      <c r="O103" s="6" t="s">
        <v>162</v>
      </c>
      <c r="P103" s="7">
        <v>43173</v>
      </c>
      <c r="Q103" s="6" t="s">
        <v>30</v>
      </c>
      <c r="R103" s="6" t="s">
        <v>31</v>
      </c>
      <c r="S103" s="6" t="s">
        <v>32</v>
      </c>
      <c r="T103" s="6">
        <v>157.47</v>
      </c>
      <c r="U103" s="6">
        <v>67.900000000000006</v>
      </c>
      <c r="V103" s="6">
        <v>62.7</v>
      </c>
      <c r="W103" s="6">
        <v>0</v>
      </c>
      <c r="X103" s="6">
        <v>26.87</v>
      </c>
    </row>
    <row r="104" spans="1:24" x14ac:dyDescent="0.25">
      <c r="A104" s="6" t="s">
        <v>25</v>
      </c>
      <c r="B104" s="6" t="s">
        <v>26</v>
      </c>
      <c r="C104" s="6" t="s">
        <v>48</v>
      </c>
      <c r="D104" s="6" t="s">
        <v>159</v>
      </c>
      <c r="E104" s="6" t="s">
        <v>34</v>
      </c>
      <c r="F104" s="6" t="s">
        <v>179</v>
      </c>
      <c r="G104" s="6">
        <v>2017</v>
      </c>
      <c r="H104" s="6" t="str">
        <f>CONCATENATE("74780068024")</f>
        <v>74780068024</v>
      </c>
      <c r="I104" s="6" t="s">
        <v>28</v>
      </c>
      <c r="J104" s="6" t="s">
        <v>29</v>
      </c>
      <c r="K104" s="6" t="str">
        <f>CONCATENATE("221")</f>
        <v>221</v>
      </c>
      <c r="L104" s="6" t="str">
        <f>CONCATENATE("8 8.1 5e")</f>
        <v>8 8.1 5e</v>
      </c>
      <c r="M104" s="6" t="str">
        <f>CONCATENATE("QRCNRN50B26D042B")</f>
        <v>QRCNRN50B26D042B</v>
      </c>
      <c r="N104" s="6" t="s">
        <v>189</v>
      </c>
      <c r="O104" s="6" t="s">
        <v>162</v>
      </c>
      <c r="P104" s="7">
        <v>43173</v>
      </c>
      <c r="Q104" s="6" t="s">
        <v>30</v>
      </c>
      <c r="R104" s="6" t="s">
        <v>31</v>
      </c>
      <c r="S104" s="6" t="s">
        <v>32</v>
      </c>
      <c r="T104" s="6">
        <v>539.38</v>
      </c>
      <c r="U104" s="6">
        <v>232.58</v>
      </c>
      <c r="V104" s="6">
        <v>214.78</v>
      </c>
      <c r="W104" s="6">
        <v>0</v>
      </c>
      <c r="X104" s="6">
        <v>92.02</v>
      </c>
    </row>
    <row r="105" spans="1:24" x14ac:dyDescent="0.25">
      <c r="A105" s="6" t="s">
        <v>25</v>
      </c>
      <c r="B105" s="6" t="s">
        <v>26</v>
      </c>
      <c r="C105" s="6" t="s">
        <v>48</v>
      </c>
      <c r="D105" s="6" t="s">
        <v>159</v>
      </c>
      <c r="E105" s="6" t="s">
        <v>27</v>
      </c>
      <c r="F105" s="6" t="s">
        <v>181</v>
      </c>
      <c r="G105" s="6">
        <v>2017</v>
      </c>
      <c r="H105" s="6" t="str">
        <f>CONCATENATE("74780031717")</f>
        <v>74780031717</v>
      </c>
      <c r="I105" s="6" t="s">
        <v>28</v>
      </c>
      <c r="J105" s="6" t="s">
        <v>29</v>
      </c>
      <c r="K105" s="6" t="str">
        <f>CONCATENATE("221")</f>
        <v>221</v>
      </c>
      <c r="L105" s="6" t="str">
        <f>CONCATENATE("8 8.1 5e")</f>
        <v>8 8.1 5e</v>
      </c>
      <c r="M105" s="6" t="str">
        <f>CONCATENATE("PTRSNN54L45E783Z")</f>
        <v>PTRSNN54L45E783Z</v>
      </c>
      <c r="N105" s="6" t="s">
        <v>190</v>
      </c>
      <c r="O105" s="6" t="s">
        <v>162</v>
      </c>
      <c r="P105" s="7">
        <v>43173</v>
      </c>
      <c r="Q105" s="6" t="s">
        <v>30</v>
      </c>
      <c r="R105" s="6" t="s">
        <v>31</v>
      </c>
      <c r="S105" s="6" t="s">
        <v>32</v>
      </c>
      <c r="T105" s="6">
        <v>615.4</v>
      </c>
      <c r="U105" s="6">
        <v>265.36</v>
      </c>
      <c r="V105" s="6">
        <v>245.05</v>
      </c>
      <c r="W105" s="6">
        <v>0</v>
      </c>
      <c r="X105" s="6">
        <v>104.99</v>
      </c>
    </row>
    <row r="106" spans="1:24" x14ac:dyDescent="0.25">
      <c r="A106" s="6" t="s">
        <v>25</v>
      </c>
      <c r="B106" s="6" t="s">
        <v>26</v>
      </c>
      <c r="C106" s="6" t="s">
        <v>48</v>
      </c>
      <c r="D106" s="6" t="s">
        <v>159</v>
      </c>
      <c r="E106" s="6" t="s">
        <v>39</v>
      </c>
      <c r="F106" s="6" t="s">
        <v>191</v>
      </c>
      <c r="G106" s="6">
        <v>2017</v>
      </c>
      <c r="H106" s="6" t="str">
        <f>CONCATENATE("74780034455")</f>
        <v>74780034455</v>
      </c>
      <c r="I106" s="6" t="s">
        <v>28</v>
      </c>
      <c r="J106" s="6" t="s">
        <v>29</v>
      </c>
      <c r="K106" s="6" t="str">
        <f>CONCATENATE("221")</f>
        <v>221</v>
      </c>
      <c r="L106" s="6" t="str">
        <f>CONCATENATE("8 8.1 5e")</f>
        <v>8 8.1 5e</v>
      </c>
      <c r="M106" s="6" t="str">
        <f>CONCATENATE("PTRGRL30R43F268M")</f>
        <v>PTRGRL30R43F268M</v>
      </c>
      <c r="N106" s="6" t="s">
        <v>192</v>
      </c>
      <c r="O106" s="6" t="s">
        <v>162</v>
      </c>
      <c r="P106" s="7">
        <v>43173</v>
      </c>
      <c r="Q106" s="6" t="s">
        <v>30</v>
      </c>
      <c r="R106" s="6" t="s">
        <v>31</v>
      </c>
      <c r="S106" s="6" t="s">
        <v>32</v>
      </c>
      <c r="T106" s="6">
        <v>269.69</v>
      </c>
      <c r="U106" s="6">
        <v>116.29</v>
      </c>
      <c r="V106" s="6">
        <v>107.39</v>
      </c>
      <c r="W106" s="6">
        <v>0</v>
      </c>
      <c r="X106" s="6">
        <v>46.01</v>
      </c>
    </row>
    <row r="107" spans="1:24" x14ac:dyDescent="0.25">
      <c r="A107" s="6" t="s">
        <v>25</v>
      </c>
      <c r="B107" s="6" t="s">
        <v>26</v>
      </c>
      <c r="C107" s="6" t="s">
        <v>48</v>
      </c>
      <c r="D107" s="6" t="s">
        <v>159</v>
      </c>
      <c r="E107" s="6" t="s">
        <v>34</v>
      </c>
      <c r="F107" s="6" t="s">
        <v>166</v>
      </c>
      <c r="G107" s="6">
        <v>2017</v>
      </c>
      <c r="H107" s="6" t="str">
        <f>CONCATENATE("74780065491")</f>
        <v>74780065491</v>
      </c>
      <c r="I107" s="6" t="s">
        <v>28</v>
      </c>
      <c r="J107" s="6" t="s">
        <v>29</v>
      </c>
      <c r="K107" s="6" t="str">
        <f>CONCATENATE("221")</f>
        <v>221</v>
      </c>
      <c r="L107" s="6" t="str">
        <f>CONCATENATE("8 8.1 5e")</f>
        <v>8 8.1 5e</v>
      </c>
      <c r="M107" s="6" t="str">
        <f>CONCATENATE("TNTRND35A25I156H")</f>
        <v>TNTRND35A25I156H</v>
      </c>
      <c r="N107" s="6" t="s">
        <v>193</v>
      </c>
      <c r="O107" s="6" t="s">
        <v>162</v>
      </c>
      <c r="P107" s="7">
        <v>43173</v>
      </c>
      <c r="Q107" s="6" t="s">
        <v>30</v>
      </c>
      <c r="R107" s="6" t="s">
        <v>31</v>
      </c>
      <c r="S107" s="6" t="s">
        <v>32</v>
      </c>
      <c r="T107" s="8">
        <v>1210</v>
      </c>
      <c r="U107" s="6">
        <v>521.75</v>
      </c>
      <c r="V107" s="6">
        <v>481.82</v>
      </c>
      <c r="W107" s="6">
        <v>0</v>
      </c>
      <c r="X107" s="6">
        <v>206.43</v>
      </c>
    </row>
    <row r="108" spans="1:24" x14ac:dyDescent="0.25">
      <c r="A108" s="6" t="s">
        <v>25</v>
      </c>
      <c r="B108" s="6" t="s">
        <v>26</v>
      </c>
      <c r="C108" s="6" t="s">
        <v>48</v>
      </c>
      <c r="D108" s="6" t="s">
        <v>159</v>
      </c>
      <c r="E108" s="6" t="s">
        <v>42</v>
      </c>
      <c r="F108" s="6" t="s">
        <v>194</v>
      </c>
      <c r="G108" s="6">
        <v>2017</v>
      </c>
      <c r="H108" s="6" t="str">
        <f>CONCATENATE("74780020207")</f>
        <v>74780020207</v>
      </c>
      <c r="I108" s="6" t="s">
        <v>28</v>
      </c>
      <c r="J108" s="6" t="s">
        <v>29</v>
      </c>
      <c r="K108" s="6" t="str">
        <f>CONCATENATE("221")</f>
        <v>221</v>
      </c>
      <c r="L108" s="6" t="str">
        <f>CONCATENATE("8 8.1 5e")</f>
        <v>8 8.1 5e</v>
      </c>
      <c r="M108" s="6" t="str">
        <f>CONCATENATE("PSQMRA55C30C770X")</f>
        <v>PSQMRA55C30C770X</v>
      </c>
      <c r="N108" s="6" t="s">
        <v>195</v>
      </c>
      <c r="O108" s="6" t="s">
        <v>162</v>
      </c>
      <c r="P108" s="7">
        <v>43173</v>
      </c>
      <c r="Q108" s="6" t="s">
        <v>30</v>
      </c>
      <c r="R108" s="6" t="s">
        <v>31</v>
      </c>
      <c r="S108" s="6" t="s">
        <v>32</v>
      </c>
      <c r="T108" s="6">
        <v>362</v>
      </c>
      <c r="U108" s="6">
        <v>156.09</v>
      </c>
      <c r="V108" s="6">
        <v>144.15</v>
      </c>
      <c r="W108" s="6">
        <v>0</v>
      </c>
      <c r="X108" s="6">
        <v>61.76</v>
      </c>
    </row>
    <row r="109" spans="1:24" x14ac:dyDescent="0.25">
      <c r="A109" s="6" t="s">
        <v>25</v>
      </c>
      <c r="B109" s="6" t="s">
        <v>26</v>
      </c>
      <c r="C109" s="6" t="s">
        <v>48</v>
      </c>
      <c r="D109" s="6" t="s">
        <v>159</v>
      </c>
      <c r="E109" s="6" t="s">
        <v>34</v>
      </c>
      <c r="F109" s="6" t="s">
        <v>196</v>
      </c>
      <c r="G109" s="6">
        <v>2017</v>
      </c>
      <c r="H109" s="6" t="str">
        <f>CONCATENATE("74780057951")</f>
        <v>74780057951</v>
      </c>
      <c r="I109" s="6" t="s">
        <v>28</v>
      </c>
      <c r="J109" s="6" t="s">
        <v>29</v>
      </c>
      <c r="K109" s="6" t="str">
        <f>CONCATENATE("221")</f>
        <v>221</v>
      </c>
      <c r="L109" s="6" t="str">
        <f>CONCATENATE("8 8.1 5e")</f>
        <v>8 8.1 5e</v>
      </c>
      <c r="M109" s="6" t="str">
        <f>CONCATENATE("PLLFRZ71M09F051U")</f>
        <v>PLLFRZ71M09F051U</v>
      </c>
      <c r="N109" s="6" t="s">
        <v>197</v>
      </c>
      <c r="O109" s="6" t="s">
        <v>162</v>
      </c>
      <c r="P109" s="7">
        <v>43173</v>
      </c>
      <c r="Q109" s="6" t="s">
        <v>30</v>
      </c>
      <c r="R109" s="6" t="s">
        <v>31</v>
      </c>
      <c r="S109" s="6" t="s">
        <v>32</v>
      </c>
      <c r="T109" s="6">
        <v>380</v>
      </c>
      <c r="U109" s="6">
        <v>163.86</v>
      </c>
      <c r="V109" s="6">
        <v>151.32</v>
      </c>
      <c r="W109" s="6">
        <v>0</v>
      </c>
      <c r="X109" s="6">
        <v>64.819999999999993</v>
      </c>
    </row>
    <row r="110" spans="1:24" x14ac:dyDescent="0.25">
      <c r="A110" s="6" t="s">
        <v>25</v>
      </c>
      <c r="B110" s="6" t="s">
        <v>26</v>
      </c>
      <c r="C110" s="6" t="s">
        <v>48</v>
      </c>
      <c r="D110" s="6" t="s">
        <v>159</v>
      </c>
      <c r="E110" s="6" t="s">
        <v>34</v>
      </c>
      <c r="F110" s="6" t="s">
        <v>198</v>
      </c>
      <c r="G110" s="6">
        <v>2017</v>
      </c>
      <c r="H110" s="6" t="str">
        <f>CONCATENATE("74780058447")</f>
        <v>74780058447</v>
      </c>
      <c r="I110" s="6" t="s">
        <v>28</v>
      </c>
      <c r="J110" s="6" t="s">
        <v>29</v>
      </c>
      <c r="K110" s="6" t="str">
        <f>CONCATENATE("221")</f>
        <v>221</v>
      </c>
      <c r="L110" s="6" t="str">
        <f>CONCATENATE("8 8.1 5e")</f>
        <v>8 8.1 5e</v>
      </c>
      <c r="M110" s="6" t="str">
        <f>CONCATENATE("PLMRNZ54P17E783M")</f>
        <v>PLMRNZ54P17E783M</v>
      </c>
      <c r="N110" s="6" t="s">
        <v>199</v>
      </c>
      <c r="O110" s="6" t="s">
        <v>162</v>
      </c>
      <c r="P110" s="7">
        <v>43173</v>
      </c>
      <c r="Q110" s="6" t="s">
        <v>30</v>
      </c>
      <c r="R110" s="6" t="s">
        <v>31</v>
      </c>
      <c r="S110" s="6" t="s">
        <v>32</v>
      </c>
      <c r="T110" s="6">
        <v>332.18</v>
      </c>
      <c r="U110" s="6">
        <v>143.24</v>
      </c>
      <c r="V110" s="6">
        <v>132.27000000000001</v>
      </c>
      <c r="W110" s="6">
        <v>0</v>
      </c>
      <c r="X110" s="6">
        <v>56.67</v>
      </c>
    </row>
    <row r="111" spans="1:24" x14ac:dyDescent="0.25">
      <c r="A111" s="6" t="s">
        <v>25</v>
      </c>
      <c r="B111" s="6" t="s">
        <v>26</v>
      </c>
      <c r="C111" s="6" t="s">
        <v>48</v>
      </c>
      <c r="D111" s="6" t="s">
        <v>159</v>
      </c>
      <c r="E111" s="6" t="s">
        <v>38</v>
      </c>
      <c r="F111" s="6" t="s">
        <v>168</v>
      </c>
      <c r="G111" s="6">
        <v>2017</v>
      </c>
      <c r="H111" s="6" t="str">
        <f>CONCATENATE("74780019183")</f>
        <v>74780019183</v>
      </c>
      <c r="I111" s="6" t="s">
        <v>28</v>
      </c>
      <c r="J111" s="6" t="s">
        <v>29</v>
      </c>
      <c r="K111" s="6" t="str">
        <f>CONCATENATE("221")</f>
        <v>221</v>
      </c>
      <c r="L111" s="6" t="str">
        <f>CONCATENATE("8 8.1 5e")</f>
        <v>8 8.1 5e</v>
      </c>
      <c r="M111" s="6" t="str">
        <f>CONCATENATE("PNCLIA60M54C972D")</f>
        <v>PNCLIA60M54C972D</v>
      </c>
      <c r="N111" s="6" t="s">
        <v>200</v>
      </c>
      <c r="O111" s="6" t="s">
        <v>162</v>
      </c>
      <c r="P111" s="7">
        <v>43173</v>
      </c>
      <c r="Q111" s="6" t="s">
        <v>30</v>
      </c>
      <c r="R111" s="6" t="s">
        <v>31</v>
      </c>
      <c r="S111" s="6" t="s">
        <v>32</v>
      </c>
      <c r="T111" s="6">
        <v>721.6</v>
      </c>
      <c r="U111" s="6">
        <v>311.14999999999998</v>
      </c>
      <c r="V111" s="6">
        <v>287.33999999999997</v>
      </c>
      <c r="W111" s="6">
        <v>0</v>
      </c>
      <c r="X111" s="6">
        <v>123.11</v>
      </c>
    </row>
    <row r="112" spans="1:24" x14ac:dyDescent="0.25">
      <c r="A112" s="6" t="s">
        <v>25</v>
      </c>
      <c r="B112" s="6" t="s">
        <v>26</v>
      </c>
      <c r="C112" s="6" t="s">
        <v>48</v>
      </c>
      <c r="D112" s="6" t="s">
        <v>159</v>
      </c>
      <c r="E112" s="6" t="s">
        <v>34</v>
      </c>
      <c r="F112" s="6" t="s">
        <v>179</v>
      </c>
      <c r="G112" s="6">
        <v>2017</v>
      </c>
      <c r="H112" s="6" t="str">
        <f>CONCATENATE("74780064528")</f>
        <v>74780064528</v>
      </c>
      <c r="I112" s="6" t="s">
        <v>28</v>
      </c>
      <c r="J112" s="6" t="s">
        <v>29</v>
      </c>
      <c r="K112" s="6" t="str">
        <f>CONCATENATE("221")</f>
        <v>221</v>
      </c>
      <c r="L112" s="6" t="str">
        <f>CONCATENATE("8 8.1 5e")</f>
        <v>8 8.1 5e</v>
      </c>
      <c r="M112" s="6" t="str">
        <f>CONCATENATE("PNTRST38C45F621H")</f>
        <v>PNTRST38C45F621H</v>
      </c>
      <c r="N112" s="6" t="s">
        <v>201</v>
      </c>
      <c r="O112" s="6" t="s">
        <v>162</v>
      </c>
      <c r="P112" s="7">
        <v>43173</v>
      </c>
      <c r="Q112" s="6" t="s">
        <v>30</v>
      </c>
      <c r="R112" s="6" t="s">
        <v>31</v>
      </c>
      <c r="S112" s="6" t="s">
        <v>32</v>
      </c>
      <c r="T112" s="6">
        <v>271.5</v>
      </c>
      <c r="U112" s="6">
        <v>117.07</v>
      </c>
      <c r="V112" s="6">
        <v>108.11</v>
      </c>
      <c r="W112" s="6">
        <v>0</v>
      </c>
      <c r="X112" s="6">
        <v>46.32</v>
      </c>
    </row>
    <row r="113" spans="1:24" x14ac:dyDescent="0.25">
      <c r="A113" s="6" t="s">
        <v>25</v>
      </c>
      <c r="B113" s="6" t="s">
        <v>26</v>
      </c>
      <c r="C113" s="6" t="s">
        <v>48</v>
      </c>
      <c r="D113" s="6" t="s">
        <v>159</v>
      </c>
      <c r="E113" s="6" t="s">
        <v>34</v>
      </c>
      <c r="F113" s="6" t="s">
        <v>174</v>
      </c>
      <c r="G113" s="6">
        <v>2017</v>
      </c>
      <c r="H113" s="6" t="str">
        <f>CONCATENATE("74780064858")</f>
        <v>74780064858</v>
      </c>
      <c r="I113" s="6" t="s">
        <v>28</v>
      </c>
      <c r="J113" s="6" t="s">
        <v>29</v>
      </c>
      <c r="K113" s="6" t="str">
        <f>CONCATENATE("221")</f>
        <v>221</v>
      </c>
      <c r="L113" s="6" t="str">
        <f>CONCATENATE("8 8.1 5e")</f>
        <v>8 8.1 5e</v>
      </c>
      <c r="M113" s="6" t="str">
        <f>CONCATENATE("SMNMRA42L02F552I")</f>
        <v>SMNMRA42L02F552I</v>
      </c>
      <c r="N113" s="6" t="s">
        <v>202</v>
      </c>
      <c r="O113" s="6" t="s">
        <v>162</v>
      </c>
      <c r="P113" s="7">
        <v>43173</v>
      </c>
      <c r="Q113" s="6" t="s">
        <v>30</v>
      </c>
      <c r="R113" s="6" t="s">
        <v>31</v>
      </c>
      <c r="S113" s="6" t="s">
        <v>32</v>
      </c>
      <c r="T113" s="8">
        <v>1206</v>
      </c>
      <c r="U113" s="6">
        <v>520.03</v>
      </c>
      <c r="V113" s="6">
        <v>480.23</v>
      </c>
      <c r="W113" s="6">
        <v>0</v>
      </c>
      <c r="X113" s="6">
        <v>205.74</v>
      </c>
    </row>
    <row r="114" spans="1:24" x14ac:dyDescent="0.25">
      <c r="A114" s="6" t="s">
        <v>25</v>
      </c>
      <c r="B114" s="6" t="s">
        <v>26</v>
      </c>
      <c r="C114" s="6" t="s">
        <v>48</v>
      </c>
      <c r="D114" s="6" t="s">
        <v>159</v>
      </c>
      <c r="E114" s="6" t="s">
        <v>34</v>
      </c>
      <c r="F114" s="6" t="s">
        <v>179</v>
      </c>
      <c r="G114" s="6">
        <v>2017</v>
      </c>
      <c r="H114" s="6" t="str">
        <f>CONCATENATE("74780064700")</f>
        <v>74780064700</v>
      </c>
      <c r="I114" s="6" t="s">
        <v>28</v>
      </c>
      <c r="J114" s="6" t="s">
        <v>29</v>
      </c>
      <c r="K114" s="6" t="str">
        <f>CONCATENATE("221")</f>
        <v>221</v>
      </c>
      <c r="L114" s="6" t="str">
        <f>CONCATENATE("8 8.1 5e")</f>
        <v>8 8.1 5e</v>
      </c>
      <c r="M114" s="6" t="str">
        <f>CONCATENATE("PGNMLN41E51E783O")</f>
        <v>PGNMLN41E51E783O</v>
      </c>
      <c r="N114" s="6" t="s">
        <v>203</v>
      </c>
      <c r="O114" s="6" t="s">
        <v>162</v>
      </c>
      <c r="P114" s="7">
        <v>43173</v>
      </c>
      <c r="Q114" s="6" t="s">
        <v>30</v>
      </c>
      <c r="R114" s="6" t="s">
        <v>31</v>
      </c>
      <c r="S114" s="6" t="s">
        <v>32</v>
      </c>
      <c r="T114" s="6">
        <v>813.78</v>
      </c>
      <c r="U114" s="6">
        <v>350.9</v>
      </c>
      <c r="V114" s="6">
        <v>324.05</v>
      </c>
      <c r="W114" s="6">
        <v>0</v>
      </c>
      <c r="X114" s="6">
        <v>138.83000000000001</v>
      </c>
    </row>
    <row r="115" spans="1:24" x14ac:dyDescent="0.25">
      <c r="A115" s="6" t="s">
        <v>25</v>
      </c>
      <c r="B115" s="6" t="s">
        <v>26</v>
      </c>
      <c r="C115" s="6" t="s">
        <v>48</v>
      </c>
      <c r="D115" s="6" t="s">
        <v>159</v>
      </c>
      <c r="E115" s="6" t="s">
        <v>27</v>
      </c>
      <c r="F115" s="6" t="s">
        <v>172</v>
      </c>
      <c r="G115" s="6">
        <v>2017</v>
      </c>
      <c r="H115" s="6" t="str">
        <f>CONCATENATE("74780034984")</f>
        <v>74780034984</v>
      </c>
      <c r="I115" s="6" t="s">
        <v>28</v>
      </c>
      <c r="J115" s="6" t="s">
        <v>29</v>
      </c>
      <c r="K115" s="6" t="str">
        <f>CONCATENATE("221")</f>
        <v>221</v>
      </c>
      <c r="L115" s="6" t="str">
        <f>CONCATENATE("8 8.1 5e")</f>
        <v>8 8.1 5e</v>
      </c>
      <c r="M115" s="6" t="str">
        <f>CONCATENATE("RZOLRA41P15L366Z")</f>
        <v>RZOLRA41P15L366Z</v>
      </c>
      <c r="N115" s="6" t="s">
        <v>204</v>
      </c>
      <c r="O115" s="6" t="s">
        <v>162</v>
      </c>
      <c r="P115" s="7">
        <v>43173</v>
      </c>
      <c r="Q115" s="6" t="s">
        <v>30</v>
      </c>
      <c r="R115" s="6" t="s">
        <v>31</v>
      </c>
      <c r="S115" s="6" t="s">
        <v>32</v>
      </c>
      <c r="T115" s="6">
        <v>186.43</v>
      </c>
      <c r="U115" s="6">
        <v>80.39</v>
      </c>
      <c r="V115" s="6">
        <v>74.239999999999995</v>
      </c>
      <c r="W115" s="6">
        <v>0</v>
      </c>
      <c r="X115" s="6">
        <v>31.8</v>
      </c>
    </row>
    <row r="116" spans="1:24" x14ac:dyDescent="0.25">
      <c r="A116" s="6" t="s">
        <v>25</v>
      </c>
      <c r="B116" s="6" t="s">
        <v>26</v>
      </c>
      <c r="C116" s="6" t="s">
        <v>48</v>
      </c>
      <c r="D116" s="6" t="s">
        <v>159</v>
      </c>
      <c r="E116" s="6" t="s">
        <v>27</v>
      </c>
      <c r="F116" s="6" t="s">
        <v>181</v>
      </c>
      <c r="G116" s="6">
        <v>2017</v>
      </c>
      <c r="H116" s="6" t="str">
        <f>CONCATENATE("74780056276")</f>
        <v>74780056276</v>
      </c>
      <c r="I116" s="6" t="s">
        <v>28</v>
      </c>
      <c r="J116" s="6" t="s">
        <v>29</v>
      </c>
      <c r="K116" s="6" t="str">
        <f>CONCATENATE("221")</f>
        <v>221</v>
      </c>
      <c r="L116" s="6" t="str">
        <f>CONCATENATE("8 8.1 5e")</f>
        <v>8 8.1 5e</v>
      </c>
      <c r="M116" s="6" t="str">
        <f>CONCATENATE("MNTGNN39C18E694G")</f>
        <v>MNTGNN39C18E694G</v>
      </c>
      <c r="N116" s="6" t="s">
        <v>205</v>
      </c>
      <c r="O116" s="6" t="s">
        <v>162</v>
      </c>
      <c r="P116" s="7">
        <v>43173</v>
      </c>
      <c r="Q116" s="6" t="s">
        <v>30</v>
      </c>
      <c r="R116" s="6" t="s">
        <v>31</v>
      </c>
      <c r="S116" s="6" t="s">
        <v>32</v>
      </c>
      <c r="T116" s="6">
        <v>280.14</v>
      </c>
      <c r="U116" s="6">
        <v>120.8</v>
      </c>
      <c r="V116" s="6">
        <v>111.55</v>
      </c>
      <c r="W116" s="6">
        <v>0</v>
      </c>
      <c r="X116" s="6">
        <v>47.79</v>
      </c>
    </row>
    <row r="117" spans="1:24" x14ac:dyDescent="0.25">
      <c r="A117" s="6" t="s">
        <v>25</v>
      </c>
      <c r="B117" s="6" t="s">
        <v>26</v>
      </c>
      <c r="C117" s="6" t="s">
        <v>48</v>
      </c>
      <c r="D117" s="6" t="s">
        <v>159</v>
      </c>
      <c r="E117" s="6" t="s">
        <v>33</v>
      </c>
      <c r="F117" s="6" t="s">
        <v>114</v>
      </c>
      <c r="G117" s="6">
        <v>2017</v>
      </c>
      <c r="H117" s="6" t="str">
        <f>CONCATENATE("74780058322")</f>
        <v>74780058322</v>
      </c>
      <c r="I117" s="6" t="s">
        <v>28</v>
      </c>
      <c r="J117" s="6" t="s">
        <v>29</v>
      </c>
      <c r="K117" s="6" t="str">
        <f>CONCATENATE("221")</f>
        <v>221</v>
      </c>
      <c r="L117" s="6" t="str">
        <f>CONCATENATE("8 8.1 5e")</f>
        <v>8 8.1 5e</v>
      </c>
      <c r="M117" s="6" t="str">
        <f>CONCATENATE("80128610583")</f>
        <v>80128610583</v>
      </c>
      <c r="N117" s="6" t="s">
        <v>206</v>
      </c>
      <c r="O117" s="6" t="s">
        <v>162</v>
      </c>
      <c r="P117" s="7">
        <v>43173</v>
      </c>
      <c r="Q117" s="6" t="s">
        <v>30</v>
      </c>
      <c r="R117" s="6" t="s">
        <v>31</v>
      </c>
      <c r="S117" s="6" t="s">
        <v>32</v>
      </c>
      <c r="T117" s="8">
        <v>3219.46</v>
      </c>
      <c r="U117" s="8">
        <v>1388.23</v>
      </c>
      <c r="V117" s="8">
        <v>1281.99</v>
      </c>
      <c r="W117" s="6">
        <v>0</v>
      </c>
      <c r="X117" s="6">
        <v>549.24</v>
      </c>
    </row>
    <row r="118" spans="1:24" x14ac:dyDescent="0.25">
      <c r="A118" s="6" t="s">
        <v>25</v>
      </c>
      <c r="B118" s="6" t="s">
        <v>26</v>
      </c>
      <c r="C118" s="6" t="s">
        <v>48</v>
      </c>
      <c r="D118" s="6" t="s">
        <v>159</v>
      </c>
      <c r="E118" s="6" t="s">
        <v>34</v>
      </c>
      <c r="F118" s="6" t="s">
        <v>160</v>
      </c>
      <c r="G118" s="6">
        <v>2017</v>
      </c>
      <c r="H118" s="6" t="str">
        <f>CONCATENATE("74780068610")</f>
        <v>74780068610</v>
      </c>
      <c r="I118" s="6" t="s">
        <v>28</v>
      </c>
      <c r="J118" s="6" t="s">
        <v>29</v>
      </c>
      <c r="K118" s="6" t="str">
        <f>CONCATENATE("221")</f>
        <v>221</v>
      </c>
      <c r="L118" s="6" t="str">
        <f>CONCATENATE("8 8.1 5e")</f>
        <v>8 8.1 5e</v>
      </c>
      <c r="M118" s="6" t="str">
        <f>CONCATENATE("MRLNGL88C67H501X")</f>
        <v>MRLNGL88C67H501X</v>
      </c>
      <c r="N118" s="6" t="s">
        <v>207</v>
      </c>
      <c r="O118" s="6" t="s">
        <v>162</v>
      </c>
      <c r="P118" s="7">
        <v>43173</v>
      </c>
      <c r="Q118" s="6" t="s">
        <v>30</v>
      </c>
      <c r="R118" s="6" t="s">
        <v>31</v>
      </c>
      <c r="S118" s="6" t="s">
        <v>32</v>
      </c>
      <c r="T118" s="6">
        <v>90.5</v>
      </c>
      <c r="U118" s="6">
        <v>39.020000000000003</v>
      </c>
      <c r="V118" s="6">
        <v>36.04</v>
      </c>
      <c r="W118" s="6">
        <v>0</v>
      </c>
      <c r="X118" s="6">
        <v>15.44</v>
      </c>
    </row>
    <row r="119" spans="1:24" x14ac:dyDescent="0.25">
      <c r="A119" s="6" t="s">
        <v>25</v>
      </c>
      <c r="B119" s="6" t="s">
        <v>26</v>
      </c>
      <c r="C119" s="6" t="s">
        <v>48</v>
      </c>
      <c r="D119" s="6" t="s">
        <v>159</v>
      </c>
      <c r="E119" s="6" t="s">
        <v>34</v>
      </c>
      <c r="F119" s="6" t="s">
        <v>196</v>
      </c>
      <c r="G119" s="6">
        <v>2017</v>
      </c>
      <c r="H119" s="6" t="str">
        <f>CONCATENATE("74780057688")</f>
        <v>74780057688</v>
      </c>
      <c r="I119" s="6" t="s">
        <v>28</v>
      </c>
      <c r="J119" s="6" t="s">
        <v>29</v>
      </c>
      <c r="K119" s="6" t="str">
        <f>CONCATENATE("221")</f>
        <v>221</v>
      </c>
      <c r="L119" s="6" t="str">
        <f>CONCATENATE("8 8.1 5e")</f>
        <v>8 8.1 5e</v>
      </c>
      <c r="M119" s="6" t="str">
        <f>CONCATENATE("MSCPLA53C27I156Y")</f>
        <v>MSCPLA53C27I156Y</v>
      </c>
      <c r="N119" s="6" t="s">
        <v>208</v>
      </c>
      <c r="O119" s="6" t="s">
        <v>162</v>
      </c>
      <c r="P119" s="7">
        <v>43173</v>
      </c>
      <c r="Q119" s="6" t="s">
        <v>30</v>
      </c>
      <c r="R119" s="6" t="s">
        <v>31</v>
      </c>
      <c r="S119" s="6" t="s">
        <v>32</v>
      </c>
      <c r="T119" s="6">
        <v>199.1</v>
      </c>
      <c r="U119" s="6">
        <v>85.85</v>
      </c>
      <c r="V119" s="6">
        <v>79.28</v>
      </c>
      <c r="W119" s="6">
        <v>0</v>
      </c>
      <c r="X119" s="6">
        <v>33.97</v>
      </c>
    </row>
    <row r="120" spans="1:24" x14ac:dyDescent="0.25">
      <c r="A120" s="6" t="s">
        <v>25</v>
      </c>
      <c r="B120" s="6" t="s">
        <v>26</v>
      </c>
      <c r="C120" s="6" t="s">
        <v>48</v>
      </c>
      <c r="D120" s="6" t="s">
        <v>159</v>
      </c>
      <c r="E120" s="6" t="s">
        <v>34</v>
      </c>
      <c r="F120" s="6" t="s">
        <v>160</v>
      </c>
      <c r="G120" s="6">
        <v>2017</v>
      </c>
      <c r="H120" s="6" t="str">
        <f>CONCATENATE("74780068925")</f>
        <v>74780068925</v>
      </c>
      <c r="I120" s="6" t="s">
        <v>28</v>
      </c>
      <c r="J120" s="6" t="s">
        <v>29</v>
      </c>
      <c r="K120" s="6" t="str">
        <f>CONCATENATE("221")</f>
        <v>221</v>
      </c>
      <c r="L120" s="6" t="str">
        <f>CONCATENATE("8 8.1 5e")</f>
        <v>8 8.1 5e</v>
      </c>
      <c r="M120" s="6" t="str">
        <f>CONCATENATE("MCHNNE38P17G436N")</f>
        <v>MCHNNE38P17G436N</v>
      </c>
      <c r="N120" s="6" t="s">
        <v>209</v>
      </c>
      <c r="O120" s="6" t="s">
        <v>162</v>
      </c>
      <c r="P120" s="7">
        <v>43173</v>
      </c>
      <c r="Q120" s="6" t="s">
        <v>30</v>
      </c>
      <c r="R120" s="6" t="s">
        <v>31</v>
      </c>
      <c r="S120" s="6" t="s">
        <v>32</v>
      </c>
      <c r="T120" s="6">
        <v>208.15</v>
      </c>
      <c r="U120" s="6">
        <v>89.75</v>
      </c>
      <c r="V120" s="6">
        <v>82.89</v>
      </c>
      <c r="W120" s="6">
        <v>0</v>
      </c>
      <c r="X120" s="6">
        <v>35.51</v>
      </c>
    </row>
    <row r="121" spans="1:24" x14ac:dyDescent="0.25">
      <c r="A121" s="6" t="s">
        <v>25</v>
      </c>
      <c r="B121" s="6" t="s">
        <v>26</v>
      </c>
      <c r="C121" s="6" t="s">
        <v>48</v>
      </c>
      <c r="D121" s="6" t="s">
        <v>159</v>
      </c>
      <c r="E121" s="6" t="s">
        <v>38</v>
      </c>
      <c r="F121" s="6" t="s">
        <v>168</v>
      </c>
      <c r="G121" s="6">
        <v>2017</v>
      </c>
      <c r="H121" s="6" t="str">
        <f>CONCATENATE("74780031568")</f>
        <v>74780031568</v>
      </c>
      <c r="I121" s="6" t="s">
        <v>28</v>
      </c>
      <c r="J121" s="6" t="s">
        <v>29</v>
      </c>
      <c r="K121" s="6" t="str">
        <f>CONCATENATE("221")</f>
        <v>221</v>
      </c>
      <c r="L121" s="6" t="str">
        <f>CONCATENATE("8 8.1 5e")</f>
        <v>8 8.1 5e</v>
      </c>
      <c r="M121" s="6" t="str">
        <f>CONCATENATE("MRLRNZ59T20L366X")</f>
        <v>MRLRNZ59T20L366X</v>
      </c>
      <c r="N121" s="6" t="s">
        <v>210</v>
      </c>
      <c r="O121" s="6" t="s">
        <v>162</v>
      </c>
      <c r="P121" s="7">
        <v>43173</v>
      </c>
      <c r="Q121" s="6" t="s">
        <v>30</v>
      </c>
      <c r="R121" s="6" t="s">
        <v>31</v>
      </c>
      <c r="S121" s="6" t="s">
        <v>32</v>
      </c>
      <c r="T121" s="6">
        <v>481.46</v>
      </c>
      <c r="U121" s="6">
        <v>207.61</v>
      </c>
      <c r="V121" s="6">
        <v>191.72</v>
      </c>
      <c r="W121" s="6">
        <v>0</v>
      </c>
      <c r="X121" s="6">
        <v>82.13</v>
      </c>
    </row>
    <row r="122" spans="1:24" x14ac:dyDescent="0.25">
      <c r="A122" s="6" t="s">
        <v>25</v>
      </c>
      <c r="B122" s="6" t="s">
        <v>26</v>
      </c>
      <c r="C122" s="6" t="s">
        <v>48</v>
      </c>
      <c r="D122" s="6" t="s">
        <v>159</v>
      </c>
      <c r="E122" s="6" t="s">
        <v>34</v>
      </c>
      <c r="F122" s="6" t="s">
        <v>179</v>
      </c>
      <c r="G122" s="6">
        <v>2017</v>
      </c>
      <c r="H122" s="6" t="str">
        <f>CONCATENATE("74780060765")</f>
        <v>74780060765</v>
      </c>
      <c r="I122" s="6" t="s">
        <v>28</v>
      </c>
      <c r="J122" s="6" t="s">
        <v>29</v>
      </c>
      <c r="K122" s="6" t="str">
        <f>CONCATENATE("221")</f>
        <v>221</v>
      </c>
      <c r="L122" s="6" t="str">
        <f>CONCATENATE("8 8.1 5e")</f>
        <v>8 8.1 5e</v>
      </c>
      <c r="M122" s="6" t="str">
        <f>CONCATENATE("MCCGLN44C30C770T")</f>
        <v>MCCGLN44C30C770T</v>
      </c>
      <c r="N122" s="6" t="s">
        <v>211</v>
      </c>
      <c r="O122" s="6" t="s">
        <v>162</v>
      </c>
      <c r="P122" s="7">
        <v>43173</v>
      </c>
      <c r="Q122" s="6" t="s">
        <v>30</v>
      </c>
      <c r="R122" s="6" t="s">
        <v>31</v>
      </c>
      <c r="S122" s="6" t="s">
        <v>32</v>
      </c>
      <c r="T122" s="6">
        <v>142.99</v>
      </c>
      <c r="U122" s="6">
        <v>61.66</v>
      </c>
      <c r="V122" s="6">
        <v>56.94</v>
      </c>
      <c r="W122" s="6">
        <v>0</v>
      </c>
      <c r="X122" s="6">
        <v>24.39</v>
      </c>
    </row>
    <row r="123" spans="1:24" x14ac:dyDescent="0.25">
      <c r="A123" s="6" t="s">
        <v>25</v>
      </c>
      <c r="B123" s="6" t="s">
        <v>26</v>
      </c>
      <c r="C123" s="6" t="s">
        <v>48</v>
      </c>
      <c r="D123" s="6" t="s">
        <v>159</v>
      </c>
      <c r="E123" s="6" t="s">
        <v>27</v>
      </c>
      <c r="F123" s="6" t="s">
        <v>181</v>
      </c>
      <c r="G123" s="6">
        <v>2017</v>
      </c>
      <c r="H123" s="6" t="str">
        <f>CONCATENATE("74780057159")</f>
        <v>74780057159</v>
      </c>
      <c r="I123" s="6" t="s">
        <v>28</v>
      </c>
      <c r="J123" s="6" t="s">
        <v>29</v>
      </c>
      <c r="K123" s="6" t="str">
        <f>CONCATENATE("221")</f>
        <v>221</v>
      </c>
      <c r="L123" s="6" t="str">
        <f>CONCATENATE("8 8.1 5e")</f>
        <v>8 8.1 5e</v>
      </c>
      <c r="M123" s="6" t="str">
        <f>CONCATENATE("MNCNZR42P12E694Q")</f>
        <v>MNCNZR42P12E694Q</v>
      </c>
      <c r="N123" s="6" t="s">
        <v>212</v>
      </c>
      <c r="O123" s="6" t="s">
        <v>162</v>
      </c>
      <c r="P123" s="7">
        <v>43173</v>
      </c>
      <c r="Q123" s="6" t="s">
        <v>30</v>
      </c>
      <c r="R123" s="6" t="s">
        <v>31</v>
      </c>
      <c r="S123" s="6" t="s">
        <v>32</v>
      </c>
      <c r="T123" s="8">
        <v>1346.8</v>
      </c>
      <c r="U123" s="6">
        <v>580.74</v>
      </c>
      <c r="V123" s="6">
        <v>536.29999999999995</v>
      </c>
      <c r="W123" s="6">
        <v>0</v>
      </c>
      <c r="X123" s="6">
        <v>229.76</v>
      </c>
    </row>
    <row r="124" spans="1:24" x14ac:dyDescent="0.25">
      <c r="A124" s="6" t="s">
        <v>25</v>
      </c>
      <c r="B124" s="6" t="s">
        <v>26</v>
      </c>
      <c r="C124" s="6" t="s">
        <v>48</v>
      </c>
      <c r="D124" s="6" t="s">
        <v>159</v>
      </c>
      <c r="E124" s="6" t="s">
        <v>34</v>
      </c>
      <c r="F124" s="6" t="s">
        <v>179</v>
      </c>
      <c r="G124" s="6">
        <v>2017</v>
      </c>
      <c r="H124" s="6" t="str">
        <f>CONCATENATE("74780068081")</f>
        <v>74780068081</v>
      </c>
      <c r="I124" s="6" t="s">
        <v>28</v>
      </c>
      <c r="J124" s="6" t="s">
        <v>29</v>
      </c>
      <c r="K124" s="6" t="str">
        <f>CONCATENATE("221")</f>
        <v>221</v>
      </c>
      <c r="L124" s="6" t="str">
        <f>CONCATENATE("8 8.1 5e")</f>
        <v>8 8.1 5e</v>
      </c>
      <c r="M124" s="6" t="str">
        <f>CONCATENATE("MRNGNN51A42D042B")</f>
        <v>MRNGNN51A42D042B</v>
      </c>
      <c r="N124" s="6" t="s">
        <v>213</v>
      </c>
      <c r="O124" s="6" t="s">
        <v>162</v>
      </c>
      <c r="P124" s="7">
        <v>43173</v>
      </c>
      <c r="Q124" s="6" t="s">
        <v>30</v>
      </c>
      <c r="R124" s="6" t="s">
        <v>31</v>
      </c>
      <c r="S124" s="6" t="s">
        <v>32</v>
      </c>
      <c r="T124" s="6">
        <v>99.55</v>
      </c>
      <c r="U124" s="6">
        <v>42.93</v>
      </c>
      <c r="V124" s="6">
        <v>39.64</v>
      </c>
      <c r="W124" s="6">
        <v>0</v>
      </c>
      <c r="X124" s="6">
        <v>16.98</v>
      </c>
    </row>
    <row r="125" spans="1:24" x14ac:dyDescent="0.25">
      <c r="A125" s="6" t="s">
        <v>25</v>
      </c>
      <c r="B125" s="6" t="s">
        <v>26</v>
      </c>
      <c r="C125" s="6" t="s">
        <v>48</v>
      </c>
      <c r="D125" s="6" t="s">
        <v>159</v>
      </c>
      <c r="E125" s="6" t="s">
        <v>34</v>
      </c>
      <c r="F125" s="6" t="s">
        <v>179</v>
      </c>
      <c r="G125" s="6">
        <v>2017</v>
      </c>
      <c r="H125" s="6" t="str">
        <f>CONCATENATE("74780068123")</f>
        <v>74780068123</v>
      </c>
      <c r="I125" s="6" t="s">
        <v>28</v>
      </c>
      <c r="J125" s="6" t="s">
        <v>29</v>
      </c>
      <c r="K125" s="6" t="str">
        <f>CONCATENATE("221")</f>
        <v>221</v>
      </c>
      <c r="L125" s="6" t="str">
        <f>CONCATENATE("8 8.1 5e")</f>
        <v>8 8.1 5e</v>
      </c>
      <c r="M125" s="6" t="str">
        <f>CONCATENATE("MSSGMR41E04H323K")</f>
        <v>MSSGMR41E04H323K</v>
      </c>
      <c r="N125" s="6" t="s">
        <v>214</v>
      </c>
      <c r="O125" s="6" t="s">
        <v>162</v>
      </c>
      <c r="P125" s="7">
        <v>43173</v>
      </c>
      <c r="Q125" s="6" t="s">
        <v>30</v>
      </c>
      <c r="R125" s="6" t="s">
        <v>31</v>
      </c>
      <c r="S125" s="6" t="s">
        <v>32</v>
      </c>
      <c r="T125" s="6">
        <v>224.44</v>
      </c>
      <c r="U125" s="6">
        <v>96.78</v>
      </c>
      <c r="V125" s="6">
        <v>89.37</v>
      </c>
      <c r="W125" s="6">
        <v>0</v>
      </c>
      <c r="X125" s="6">
        <v>38.29</v>
      </c>
    </row>
    <row r="126" spans="1:24" x14ac:dyDescent="0.25">
      <c r="A126" s="6" t="s">
        <v>25</v>
      </c>
      <c r="B126" s="6" t="s">
        <v>26</v>
      </c>
      <c r="C126" s="6" t="s">
        <v>48</v>
      </c>
      <c r="D126" s="6" t="s">
        <v>159</v>
      </c>
      <c r="E126" s="6" t="s">
        <v>34</v>
      </c>
      <c r="F126" s="6" t="s">
        <v>174</v>
      </c>
      <c r="G126" s="6">
        <v>2017</v>
      </c>
      <c r="H126" s="6" t="str">
        <f>CONCATENATE("74780063728")</f>
        <v>74780063728</v>
      </c>
      <c r="I126" s="6" t="s">
        <v>28</v>
      </c>
      <c r="J126" s="6" t="s">
        <v>29</v>
      </c>
      <c r="K126" s="6" t="str">
        <f>CONCATENATE("221")</f>
        <v>221</v>
      </c>
      <c r="L126" s="6" t="str">
        <f>CONCATENATE("8 8.1 5e")</f>
        <v>8 8.1 5e</v>
      </c>
      <c r="M126" s="6" t="str">
        <f>CONCATENATE("MPNLEI27D09I156T")</f>
        <v>MPNLEI27D09I156T</v>
      </c>
      <c r="N126" s="6" t="s">
        <v>215</v>
      </c>
      <c r="O126" s="6" t="s">
        <v>162</v>
      </c>
      <c r="P126" s="7">
        <v>43173</v>
      </c>
      <c r="Q126" s="6" t="s">
        <v>30</v>
      </c>
      <c r="R126" s="6" t="s">
        <v>31</v>
      </c>
      <c r="S126" s="6" t="s">
        <v>32</v>
      </c>
      <c r="T126" s="6">
        <v>971.1</v>
      </c>
      <c r="U126" s="6">
        <v>418.74</v>
      </c>
      <c r="V126" s="6">
        <v>386.69</v>
      </c>
      <c r="W126" s="6">
        <v>0</v>
      </c>
      <c r="X126" s="6">
        <v>165.67</v>
      </c>
    </row>
    <row r="127" spans="1:24" x14ac:dyDescent="0.25">
      <c r="A127" s="6" t="s">
        <v>25</v>
      </c>
      <c r="B127" s="6" t="s">
        <v>26</v>
      </c>
      <c r="C127" s="6" t="s">
        <v>48</v>
      </c>
      <c r="D127" s="6" t="s">
        <v>159</v>
      </c>
      <c r="E127" s="6" t="s">
        <v>39</v>
      </c>
      <c r="F127" s="6" t="s">
        <v>191</v>
      </c>
      <c r="G127" s="6">
        <v>2017</v>
      </c>
      <c r="H127" s="6" t="str">
        <f>CONCATENATE("74780056441")</f>
        <v>74780056441</v>
      </c>
      <c r="I127" s="6" t="s">
        <v>28</v>
      </c>
      <c r="J127" s="6" t="s">
        <v>29</v>
      </c>
      <c r="K127" s="6" t="str">
        <f>CONCATENATE("221")</f>
        <v>221</v>
      </c>
      <c r="L127" s="6" t="str">
        <f>CONCATENATE("8 8.1 5e")</f>
        <v>8 8.1 5e</v>
      </c>
      <c r="M127" s="6" t="str">
        <f>CONCATENATE("MRCZEI47B04I156F")</f>
        <v>MRCZEI47B04I156F</v>
      </c>
      <c r="N127" s="6" t="s">
        <v>216</v>
      </c>
      <c r="O127" s="6" t="s">
        <v>162</v>
      </c>
      <c r="P127" s="7">
        <v>43173</v>
      </c>
      <c r="Q127" s="6" t="s">
        <v>30</v>
      </c>
      <c r="R127" s="6" t="s">
        <v>31</v>
      </c>
      <c r="S127" s="6" t="s">
        <v>32</v>
      </c>
      <c r="T127" s="6">
        <v>114.03</v>
      </c>
      <c r="U127" s="6">
        <v>49.17</v>
      </c>
      <c r="V127" s="6">
        <v>45.41</v>
      </c>
      <c r="W127" s="6">
        <v>0</v>
      </c>
      <c r="X127" s="6">
        <v>19.45</v>
      </c>
    </row>
    <row r="128" spans="1:24" x14ac:dyDescent="0.25">
      <c r="A128" s="6" t="s">
        <v>25</v>
      </c>
      <c r="B128" s="6" t="s">
        <v>26</v>
      </c>
      <c r="C128" s="6" t="s">
        <v>48</v>
      </c>
      <c r="D128" s="6" t="s">
        <v>159</v>
      </c>
      <c r="E128" s="6" t="s">
        <v>27</v>
      </c>
      <c r="F128" s="6" t="s">
        <v>172</v>
      </c>
      <c r="G128" s="6">
        <v>2017</v>
      </c>
      <c r="H128" s="6" t="str">
        <f>CONCATENATE("74780041146")</f>
        <v>74780041146</v>
      </c>
      <c r="I128" s="6" t="s">
        <v>28</v>
      </c>
      <c r="J128" s="6" t="s">
        <v>29</v>
      </c>
      <c r="K128" s="6" t="str">
        <f>CONCATENATE("221")</f>
        <v>221</v>
      </c>
      <c r="L128" s="6" t="str">
        <f>CONCATENATE("8 8.1 5e")</f>
        <v>8 8.1 5e</v>
      </c>
      <c r="M128" s="6" t="str">
        <f>CONCATENATE("LCHPRN30T18F454Y")</f>
        <v>LCHPRN30T18F454Y</v>
      </c>
      <c r="N128" s="6" t="s">
        <v>217</v>
      </c>
      <c r="O128" s="6" t="s">
        <v>162</v>
      </c>
      <c r="P128" s="7">
        <v>43173</v>
      </c>
      <c r="Q128" s="6" t="s">
        <v>30</v>
      </c>
      <c r="R128" s="6" t="s">
        <v>31</v>
      </c>
      <c r="S128" s="6" t="s">
        <v>32</v>
      </c>
      <c r="T128" s="6">
        <v>579.6</v>
      </c>
      <c r="U128" s="6">
        <v>249.92</v>
      </c>
      <c r="V128" s="6">
        <v>230.8</v>
      </c>
      <c r="W128" s="6">
        <v>0</v>
      </c>
      <c r="X128" s="6">
        <v>98.88</v>
      </c>
    </row>
    <row r="129" spans="1:24" x14ac:dyDescent="0.25">
      <c r="A129" s="6" t="s">
        <v>25</v>
      </c>
      <c r="B129" s="6" t="s">
        <v>26</v>
      </c>
      <c r="C129" s="6" t="s">
        <v>48</v>
      </c>
      <c r="D129" s="6" t="s">
        <v>159</v>
      </c>
      <c r="E129" s="6" t="s">
        <v>34</v>
      </c>
      <c r="F129" s="6" t="s">
        <v>160</v>
      </c>
      <c r="G129" s="6">
        <v>2017</v>
      </c>
      <c r="H129" s="6" t="str">
        <f>CONCATENATE("74780068933")</f>
        <v>74780068933</v>
      </c>
      <c r="I129" s="6" t="s">
        <v>28</v>
      </c>
      <c r="J129" s="6" t="s">
        <v>29</v>
      </c>
      <c r="K129" s="6" t="str">
        <f>CONCATENATE("221")</f>
        <v>221</v>
      </c>
      <c r="L129" s="6" t="str">
        <f>CONCATENATE("8 8.1 5e")</f>
        <v>8 8.1 5e</v>
      </c>
      <c r="M129" s="6" t="str">
        <f>CONCATENATE("LCRMLS38R47B474O")</f>
        <v>LCRMLS38R47B474O</v>
      </c>
      <c r="N129" s="6" t="s">
        <v>218</v>
      </c>
      <c r="O129" s="6" t="s">
        <v>162</v>
      </c>
      <c r="P129" s="7">
        <v>43173</v>
      </c>
      <c r="Q129" s="6" t="s">
        <v>30</v>
      </c>
      <c r="R129" s="6" t="s">
        <v>31</v>
      </c>
      <c r="S129" s="6" t="s">
        <v>32</v>
      </c>
      <c r="T129" s="6">
        <v>184.62</v>
      </c>
      <c r="U129" s="6">
        <v>79.61</v>
      </c>
      <c r="V129" s="6">
        <v>73.52</v>
      </c>
      <c r="W129" s="6">
        <v>0</v>
      </c>
      <c r="X129" s="6">
        <v>31.49</v>
      </c>
    </row>
    <row r="130" spans="1:24" x14ac:dyDescent="0.25">
      <c r="A130" s="6" t="s">
        <v>25</v>
      </c>
      <c r="B130" s="6" t="s">
        <v>26</v>
      </c>
      <c r="C130" s="6" t="s">
        <v>48</v>
      </c>
      <c r="D130" s="6" t="s">
        <v>159</v>
      </c>
      <c r="E130" s="6" t="s">
        <v>34</v>
      </c>
      <c r="F130" s="6" t="s">
        <v>174</v>
      </c>
      <c r="G130" s="6">
        <v>2017</v>
      </c>
      <c r="H130" s="6" t="str">
        <f>CONCATENATE("74780063793")</f>
        <v>74780063793</v>
      </c>
      <c r="I130" s="6" t="s">
        <v>28</v>
      </c>
      <c r="J130" s="6" t="s">
        <v>29</v>
      </c>
      <c r="K130" s="6" t="str">
        <f>CONCATENATE("221")</f>
        <v>221</v>
      </c>
      <c r="L130" s="6" t="str">
        <f>CONCATENATE("8 8.1 5e")</f>
        <v>8 8.1 5e</v>
      </c>
      <c r="M130" s="6" t="str">
        <f>CONCATENATE("LCRMRZ58C18I156D")</f>
        <v>LCRMRZ58C18I156D</v>
      </c>
      <c r="N130" s="6" t="s">
        <v>219</v>
      </c>
      <c r="O130" s="6" t="s">
        <v>162</v>
      </c>
      <c r="P130" s="7">
        <v>43173</v>
      </c>
      <c r="Q130" s="6" t="s">
        <v>30</v>
      </c>
      <c r="R130" s="6" t="s">
        <v>31</v>
      </c>
      <c r="S130" s="6" t="s">
        <v>32</v>
      </c>
      <c r="T130" s="6">
        <v>177.38</v>
      </c>
      <c r="U130" s="6">
        <v>76.489999999999995</v>
      </c>
      <c r="V130" s="6">
        <v>70.63</v>
      </c>
      <c r="W130" s="6">
        <v>0</v>
      </c>
      <c r="X130" s="6">
        <v>30.26</v>
      </c>
    </row>
    <row r="131" spans="1:24" x14ac:dyDescent="0.25">
      <c r="A131" s="6" t="s">
        <v>25</v>
      </c>
      <c r="B131" s="6" t="s">
        <v>26</v>
      </c>
      <c r="C131" s="6" t="s">
        <v>48</v>
      </c>
      <c r="D131" s="6" t="s">
        <v>159</v>
      </c>
      <c r="E131" s="6" t="s">
        <v>34</v>
      </c>
      <c r="F131" s="6" t="s">
        <v>198</v>
      </c>
      <c r="G131" s="6">
        <v>2017</v>
      </c>
      <c r="H131" s="6" t="str">
        <f>CONCATENATE("74780058157")</f>
        <v>74780058157</v>
      </c>
      <c r="I131" s="6" t="s">
        <v>28</v>
      </c>
      <c r="J131" s="6" t="s">
        <v>29</v>
      </c>
      <c r="K131" s="6" t="str">
        <f>CONCATENATE("221")</f>
        <v>221</v>
      </c>
      <c r="L131" s="6" t="str">
        <f>CONCATENATE("8 8.1 5e")</f>
        <v>8 8.1 5e</v>
      </c>
      <c r="M131" s="6" t="str">
        <f>CONCATENATE("LPPBND43L53E783G")</f>
        <v>LPPBND43L53E783G</v>
      </c>
      <c r="N131" s="6" t="s">
        <v>220</v>
      </c>
      <c r="O131" s="6" t="s">
        <v>162</v>
      </c>
      <c r="P131" s="7">
        <v>43173</v>
      </c>
      <c r="Q131" s="6" t="s">
        <v>30</v>
      </c>
      <c r="R131" s="6" t="s">
        <v>31</v>
      </c>
      <c r="S131" s="6" t="s">
        <v>32</v>
      </c>
      <c r="T131" s="8">
        <v>1327.5</v>
      </c>
      <c r="U131" s="6">
        <v>572.41999999999996</v>
      </c>
      <c r="V131" s="6">
        <v>528.61</v>
      </c>
      <c r="W131" s="6">
        <v>0</v>
      </c>
      <c r="X131" s="6">
        <v>226.47</v>
      </c>
    </row>
    <row r="132" spans="1:24" ht="24.75" x14ac:dyDescent="0.25">
      <c r="A132" s="6" t="s">
        <v>25</v>
      </c>
      <c r="B132" s="6" t="s">
        <v>26</v>
      </c>
      <c r="C132" s="6" t="s">
        <v>48</v>
      </c>
      <c r="D132" s="6" t="s">
        <v>159</v>
      </c>
      <c r="E132" s="6" t="s">
        <v>34</v>
      </c>
      <c r="F132" s="6" t="s">
        <v>196</v>
      </c>
      <c r="G132" s="6">
        <v>2017</v>
      </c>
      <c r="H132" s="6" t="str">
        <f>CONCATENATE("74780057555")</f>
        <v>74780057555</v>
      </c>
      <c r="I132" s="6" t="s">
        <v>28</v>
      </c>
      <c r="J132" s="6" t="s">
        <v>29</v>
      </c>
      <c r="K132" s="6" t="str">
        <f>CONCATENATE("221")</f>
        <v>221</v>
      </c>
      <c r="L132" s="6" t="str">
        <f>CONCATENATE("8 8.1 5e")</f>
        <v>8 8.1 5e</v>
      </c>
      <c r="M132" s="6" t="str">
        <f>CONCATENATE("01697690434")</f>
        <v>01697690434</v>
      </c>
      <c r="N132" s="6" t="s">
        <v>221</v>
      </c>
      <c r="O132" s="6" t="s">
        <v>162</v>
      </c>
      <c r="P132" s="7">
        <v>43173</v>
      </c>
      <c r="Q132" s="6" t="s">
        <v>30</v>
      </c>
      <c r="R132" s="6" t="s">
        <v>31</v>
      </c>
      <c r="S132" s="6" t="s">
        <v>32</v>
      </c>
      <c r="T132" s="6">
        <v>232.67</v>
      </c>
      <c r="U132" s="6">
        <v>100.33</v>
      </c>
      <c r="V132" s="6">
        <v>92.65</v>
      </c>
      <c r="W132" s="6">
        <v>0</v>
      </c>
      <c r="X132" s="6">
        <v>39.69</v>
      </c>
    </row>
    <row r="133" spans="1:24" x14ac:dyDescent="0.25">
      <c r="A133" s="6" t="s">
        <v>25</v>
      </c>
      <c r="B133" s="6" t="s">
        <v>26</v>
      </c>
      <c r="C133" s="6" t="s">
        <v>48</v>
      </c>
      <c r="D133" s="6" t="s">
        <v>159</v>
      </c>
      <c r="E133" s="6" t="s">
        <v>34</v>
      </c>
      <c r="F133" s="6" t="s">
        <v>198</v>
      </c>
      <c r="G133" s="6">
        <v>2017</v>
      </c>
      <c r="H133" s="6" t="str">
        <f>CONCATENATE("74780057985")</f>
        <v>74780057985</v>
      </c>
      <c r="I133" s="6" t="s">
        <v>28</v>
      </c>
      <c r="J133" s="6" t="s">
        <v>29</v>
      </c>
      <c r="K133" s="6" t="str">
        <f>CONCATENATE("221")</f>
        <v>221</v>
      </c>
      <c r="L133" s="6" t="str">
        <f>CONCATENATE("8 8.1 5e")</f>
        <v>8 8.1 5e</v>
      </c>
      <c r="M133" s="6" t="str">
        <f>CONCATENATE("FRNFDN61R02L366N")</f>
        <v>FRNFDN61R02L366N</v>
      </c>
      <c r="N133" s="6" t="s">
        <v>222</v>
      </c>
      <c r="O133" s="6" t="s">
        <v>162</v>
      </c>
      <c r="P133" s="7">
        <v>43173</v>
      </c>
      <c r="Q133" s="6" t="s">
        <v>30</v>
      </c>
      <c r="R133" s="6" t="s">
        <v>31</v>
      </c>
      <c r="S133" s="6" t="s">
        <v>32</v>
      </c>
      <c r="T133" s="6">
        <v>162.9</v>
      </c>
      <c r="U133" s="6">
        <v>70.239999999999995</v>
      </c>
      <c r="V133" s="6">
        <v>64.87</v>
      </c>
      <c r="W133" s="6">
        <v>0</v>
      </c>
      <c r="X133" s="6">
        <v>27.79</v>
      </c>
    </row>
    <row r="134" spans="1:24" x14ac:dyDescent="0.25">
      <c r="A134" s="6" t="s">
        <v>25</v>
      </c>
      <c r="B134" s="6" t="s">
        <v>26</v>
      </c>
      <c r="C134" s="6" t="s">
        <v>48</v>
      </c>
      <c r="D134" s="6" t="s">
        <v>159</v>
      </c>
      <c r="E134" s="6" t="s">
        <v>34</v>
      </c>
      <c r="F134" s="6" t="s">
        <v>174</v>
      </c>
      <c r="G134" s="6">
        <v>2017</v>
      </c>
      <c r="H134" s="6" t="str">
        <f>CONCATENATE("74780064643")</f>
        <v>74780064643</v>
      </c>
      <c r="I134" s="6" t="s">
        <v>28</v>
      </c>
      <c r="J134" s="6" t="s">
        <v>29</v>
      </c>
      <c r="K134" s="6" t="str">
        <f>CONCATENATE("221")</f>
        <v>221</v>
      </c>
      <c r="L134" s="6" t="str">
        <f>CONCATENATE("8 8.1 5e")</f>
        <v>8 8.1 5e</v>
      </c>
      <c r="M134" s="6" t="str">
        <f>CONCATENATE("NGLPLA58R12I156I")</f>
        <v>NGLPLA58R12I156I</v>
      </c>
      <c r="N134" s="6" t="s">
        <v>223</v>
      </c>
      <c r="O134" s="6" t="s">
        <v>162</v>
      </c>
      <c r="P134" s="7">
        <v>43173</v>
      </c>
      <c r="Q134" s="6" t="s">
        <v>30</v>
      </c>
      <c r="R134" s="6" t="s">
        <v>31</v>
      </c>
      <c r="S134" s="6" t="s">
        <v>32</v>
      </c>
      <c r="T134" s="8">
        <v>2555.7199999999998</v>
      </c>
      <c r="U134" s="8">
        <v>1102.03</v>
      </c>
      <c r="V134" s="8">
        <v>1017.69</v>
      </c>
      <c r="W134" s="6">
        <v>0</v>
      </c>
      <c r="X134" s="6">
        <v>436</v>
      </c>
    </row>
    <row r="135" spans="1:24" x14ac:dyDescent="0.25">
      <c r="A135" s="6" t="s">
        <v>25</v>
      </c>
      <c r="B135" s="6" t="s">
        <v>26</v>
      </c>
      <c r="C135" s="6" t="s">
        <v>48</v>
      </c>
      <c r="D135" s="6" t="s">
        <v>159</v>
      </c>
      <c r="E135" s="6" t="s">
        <v>33</v>
      </c>
      <c r="F135" s="6" t="s">
        <v>183</v>
      </c>
      <c r="G135" s="6">
        <v>2017</v>
      </c>
      <c r="H135" s="6" t="str">
        <f>CONCATENATE("74780048836")</f>
        <v>74780048836</v>
      </c>
      <c r="I135" s="6" t="s">
        <v>28</v>
      </c>
      <c r="J135" s="6" t="s">
        <v>29</v>
      </c>
      <c r="K135" s="6" t="str">
        <f>CONCATENATE("221")</f>
        <v>221</v>
      </c>
      <c r="L135" s="6" t="str">
        <f>CONCATENATE("8 8.1 5e")</f>
        <v>8 8.1 5e</v>
      </c>
      <c r="M135" s="6" t="str">
        <f>CONCATENATE("NDRRND35P30D042Z")</f>
        <v>NDRRND35P30D042Z</v>
      </c>
      <c r="N135" s="6" t="s">
        <v>224</v>
      </c>
      <c r="O135" s="6" t="s">
        <v>162</v>
      </c>
      <c r="P135" s="7">
        <v>43173</v>
      </c>
      <c r="Q135" s="6" t="s">
        <v>30</v>
      </c>
      <c r="R135" s="6" t="s">
        <v>31</v>
      </c>
      <c r="S135" s="6" t="s">
        <v>32</v>
      </c>
      <c r="T135" s="6">
        <v>886.9</v>
      </c>
      <c r="U135" s="6">
        <v>382.43</v>
      </c>
      <c r="V135" s="6">
        <v>353.16</v>
      </c>
      <c r="W135" s="6">
        <v>0</v>
      </c>
      <c r="X135" s="6">
        <v>151.31</v>
      </c>
    </row>
    <row r="136" spans="1:24" x14ac:dyDescent="0.25">
      <c r="A136" s="6" t="s">
        <v>25</v>
      </c>
      <c r="B136" s="6" t="s">
        <v>26</v>
      </c>
      <c r="C136" s="6" t="s">
        <v>48</v>
      </c>
      <c r="D136" s="6" t="s">
        <v>159</v>
      </c>
      <c r="E136" s="6" t="s">
        <v>38</v>
      </c>
      <c r="F136" s="6" t="s">
        <v>168</v>
      </c>
      <c r="G136" s="6">
        <v>2017</v>
      </c>
      <c r="H136" s="6" t="str">
        <f>CONCATENATE("74780020082")</f>
        <v>74780020082</v>
      </c>
      <c r="I136" s="6" t="s">
        <v>28</v>
      </c>
      <c r="J136" s="6" t="s">
        <v>29</v>
      </c>
      <c r="K136" s="6" t="str">
        <f>CONCATENATE("221")</f>
        <v>221</v>
      </c>
      <c r="L136" s="6" t="str">
        <f>CONCATENATE("8 8.1 5e")</f>
        <v>8 8.1 5e</v>
      </c>
      <c r="M136" s="6" t="str">
        <f>CONCATENATE("MSCNNA54E63F632L")</f>
        <v>MSCNNA54E63F632L</v>
      </c>
      <c r="N136" s="6" t="s">
        <v>225</v>
      </c>
      <c r="O136" s="6" t="s">
        <v>162</v>
      </c>
      <c r="P136" s="7">
        <v>43173</v>
      </c>
      <c r="Q136" s="6" t="s">
        <v>30</v>
      </c>
      <c r="R136" s="6" t="s">
        <v>31</v>
      </c>
      <c r="S136" s="6" t="s">
        <v>32</v>
      </c>
      <c r="T136" s="6">
        <v>104.45</v>
      </c>
      <c r="U136" s="6">
        <v>45.04</v>
      </c>
      <c r="V136" s="6">
        <v>41.59</v>
      </c>
      <c r="W136" s="6">
        <v>0</v>
      </c>
      <c r="X136" s="6">
        <v>17.82</v>
      </c>
    </row>
    <row r="137" spans="1:24" x14ac:dyDescent="0.25">
      <c r="A137" s="6" t="s">
        <v>25</v>
      </c>
      <c r="B137" s="6" t="s">
        <v>26</v>
      </c>
      <c r="C137" s="6" t="s">
        <v>48</v>
      </c>
      <c r="D137" s="6" t="s">
        <v>159</v>
      </c>
      <c r="E137" s="6" t="s">
        <v>27</v>
      </c>
      <c r="F137" s="6" t="s">
        <v>181</v>
      </c>
      <c r="G137" s="6">
        <v>2017</v>
      </c>
      <c r="H137" s="6" t="str">
        <f>CONCATENATE("74780056425")</f>
        <v>74780056425</v>
      </c>
      <c r="I137" s="6" t="s">
        <v>28</v>
      </c>
      <c r="J137" s="6" t="s">
        <v>29</v>
      </c>
      <c r="K137" s="6" t="str">
        <f>CONCATENATE("221")</f>
        <v>221</v>
      </c>
      <c r="L137" s="6" t="str">
        <f>CONCATENATE("8 8.1 5e")</f>
        <v>8 8.1 5e</v>
      </c>
      <c r="M137" s="6" t="str">
        <f>CONCATENATE("MRNREU59P15G516T")</f>
        <v>MRNREU59P15G516T</v>
      </c>
      <c r="N137" s="6" t="s">
        <v>226</v>
      </c>
      <c r="O137" s="6" t="s">
        <v>162</v>
      </c>
      <c r="P137" s="7">
        <v>43173</v>
      </c>
      <c r="Q137" s="6" t="s">
        <v>30</v>
      </c>
      <c r="R137" s="6" t="s">
        <v>31</v>
      </c>
      <c r="S137" s="6" t="s">
        <v>32</v>
      </c>
      <c r="T137" s="6">
        <v>130.32</v>
      </c>
      <c r="U137" s="6">
        <v>56.19</v>
      </c>
      <c r="V137" s="6">
        <v>51.89</v>
      </c>
      <c r="W137" s="6">
        <v>0</v>
      </c>
      <c r="X137" s="6">
        <v>22.24</v>
      </c>
    </row>
    <row r="138" spans="1:24" x14ac:dyDescent="0.25">
      <c r="A138" s="6" t="s">
        <v>25</v>
      </c>
      <c r="B138" s="6" t="s">
        <v>26</v>
      </c>
      <c r="C138" s="6" t="s">
        <v>48</v>
      </c>
      <c r="D138" s="6" t="s">
        <v>159</v>
      </c>
      <c r="E138" s="6" t="s">
        <v>27</v>
      </c>
      <c r="F138" s="6" t="s">
        <v>181</v>
      </c>
      <c r="G138" s="6">
        <v>2017</v>
      </c>
      <c r="H138" s="6" t="str">
        <f>CONCATENATE("74780052119")</f>
        <v>74780052119</v>
      </c>
      <c r="I138" s="6" t="s">
        <v>28</v>
      </c>
      <c r="J138" s="6" t="s">
        <v>29</v>
      </c>
      <c r="K138" s="6" t="str">
        <f>CONCATENATE("221")</f>
        <v>221</v>
      </c>
      <c r="L138" s="6" t="str">
        <f>CONCATENATE("8 8.1 5e")</f>
        <v>8 8.1 5e</v>
      </c>
      <c r="M138" s="6" t="str">
        <f>CONCATENATE("MSSMSM64E30H876I")</f>
        <v>MSSMSM64E30H876I</v>
      </c>
      <c r="N138" s="6" t="s">
        <v>227</v>
      </c>
      <c r="O138" s="6" t="s">
        <v>162</v>
      </c>
      <c r="P138" s="7">
        <v>43173</v>
      </c>
      <c r="Q138" s="6" t="s">
        <v>30</v>
      </c>
      <c r="R138" s="6" t="s">
        <v>31</v>
      </c>
      <c r="S138" s="6" t="s">
        <v>32</v>
      </c>
      <c r="T138" s="6">
        <v>295.68</v>
      </c>
      <c r="U138" s="6">
        <v>127.5</v>
      </c>
      <c r="V138" s="6">
        <v>117.74</v>
      </c>
      <c r="W138" s="6">
        <v>0</v>
      </c>
      <c r="X138" s="6">
        <v>50.44</v>
      </c>
    </row>
    <row r="139" spans="1:24" x14ac:dyDescent="0.25">
      <c r="A139" s="6" t="s">
        <v>25</v>
      </c>
      <c r="B139" s="6" t="s">
        <v>26</v>
      </c>
      <c r="C139" s="6" t="s">
        <v>48</v>
      </c>
      <c r="D139" s="6" t="s">
        <v>159</v>
      </c>
      <c r="E139" s="6" t="s">
        <v>33</v>
      </c>
      <c r="F139" s="6" t="s">
        <v>183</v>
      </c>
      <c r="G139" s="6">
        <v>2017</v>
      </c>
      <c r="H139" s="6" t="str">
        <f>CONCATENATE("74780050931")</f>
        <v>74780050931</v>
      </c>
      <c r="I139" s="6" t="s">
        <v>28</v>
      </c>
      <c r="J139" s="6" t="s">
        <v>29</v>
      </c>
      <c r="K139" s="6" t="str">
        <f>CONCATENATE("221")</f>
        <v>221</v>
      </c>
      <c r="L139" s="6" t="str">
        <f>CONCATENATE("8 8.1 5e")</f>
        <v>8 8.1 5e</v>
      </c>
      <c r="M139" s="6" t="str">
        <f>CONCATENATE("MMMGRL54P12E783F")</f>
        <v>MMMGRL54P12E783F</v>
      </c>
      <c r="N139" s="6" t="s">
        <v>228</v>
      </c>
      <c r="O139" s="6" t="s">
        <v>162</v>
      </c>
      <c r="P139" s="7">
        <v>43173</v>
      </c>
      <c r="Q139" s="6" t="s">
        <v>30</v>
      </c>
      <c r="R139" s="6" t="s">
        <v>31</v>
      </c>
      <c r="S139" s="6" t="s">
        <v>32</v>
      </c>
      <c r="T139" s="6">
        <v>780.11</v>
      </c>
      <c r="U139" s="6">
        <v>336.38</v>
      </c>
      <c r="V139" s="6">
        <v>310.64</v>
      </c>
      <c r="W139" s="6">
        <v>0</v>
      </c>
      <c r="X139" s="6">
        <v>133.09</v>
      </c>
    </row>
    <row r="140" spans="1:24" x14ac:dyDescent="0.25">
      <c r="A140" s="6" t="s">
        <v>25</v>
      </c>
      <c r="B140" s="6" t="s">
        <v>26</v>
      </c>
      <c r="C140" s="6" t="s">
        <v>48</v>
      </c>
      <c r="D140" s="6" t="s">
        <v>159</v>
      </c>
      <c r="E140" s="6" t="s">
        <v>34</v>
      </c>
      <c r="F140" s="6" t="s">
        <v>179</v>
      </c>
      <c r="G140" s="6">
        <v>2017</v>
      </c>
      <c r="H140" s="6" t="str">
        <f>CONCATENATE("74780068156")</f>
        <v>74780068156</v>
      </c>
      <c r="I140" s="6" t="s">
        <v>28</v>
      </c>
      <c r="J140" s="6" t="s">
        <v>29</v>
      </c>
      <c r="K140" s="6" t="str">
        <f>CONCATENATE("221")</f>
        <v>221</v>
      </c>
      <c r="L140" s="6" t="str">
        <f>CONCATENATE("8 8.1 5e")</f>
        <v>8 8.1 5e</v>
      </c>
      <c r="M140" s="6" t="str">
        <f>CONCATENATE("LRIPLA57C15D042H")</f>
        <v>LRIPLA57C15D042H</v>
      </c>
      <c r="N140" s="6" t="s">
        <v>229</v>
      </c>
      <c r="O140" s="6" t="s">
        <v>162</v>
      </c>
      <c r="P140" s="7">
        <v>43173</v>
      </c>
      <c r="Q140" s="6" t="s">
        <v>30</v>
      </c>
      <c r="R140" s="6" t="s">
        <v>31</v>
      </c>
      <c r="S140" s="6" t="s">
        <v>32</v>
      </c>
      <c r="T140" s="6">
        <v>112.22</v>
      </c>
      <c r="U140" s="6">
        <v>48.39</v>
      </c>
      <c r="V140" s="6">
        <v>44.69</v>
      </c>
      <c r="W140" s="6">
        <v>0</v>
      </c>
      <c r="X140" s="6">
        <v>19.14</v>
      </c>
    </row>
    <row r="141" spans="1:24" x14ac:dyDescent="0.25">
      <c r="A141" s="6" t="s">
        <v>25</v>
      </c>
      <c r="B141" s="6" t="s">
        <v>26</v>
      </c>
      <c r="C141" s="6" t="s">
        <v>48</v>
      </c>
      <c r="D141" s="6" t="s">
        <v>159</v>
      </c>
      <c r="E141" s="6" t="s">
        <v>43</v>
      </c>
      <c r="F141" s="6" t="s">
        <v>177</v>
      </c>
      <c r="G141" s="6">
        <v>2017</v>
      </c>
      <c r="H141" s="6" t="str">
        <f>CONCATENATE("74780081696")</f>
        <v>74780081696</v>
      </c>
      <c r="I141" s="6" t="s">
        <v>28</v>
      </c>
      <c r="J141" s="6" t="s">
        <v>29</v>
      </c>
      <c r="K141" s="6" t="str">
        <f>CONCATENATE("221")</f>
        <v>221</v>
      </c>
      <c r="L141" s="6" t="str">
        <f>CONCATENATE("8 8.1 5e")</f>
        <v>8 8.1 5e</v>
      </c>
      <c r="M141" s="6" t="str">
        <f>CONCATENATE("GRSNTN40E27C983D")</f>
        <v>GRSNTN40E27C983D</v>
      </c>
      <c r="N141" s="6" t="s">
        <v>230</v>
      </c>
      <c r="O141" s="6" t="s">
        <v>162</v>
      </c>
      <c r="P141" s="7">
        <v>43173</v>
      </c>
      <c r="Q141" s="6" t="s">
        <v>30</v>
      </c>
      <c r="R141" s="6" t="s">
        <v>31</v>
      </c>
      <c r="S141" s="6" t="s">
        <v>32</v>
      </c>
      <c r="T141" s="6">
        <v>339.05</v>
      </c>
      <c r="U141" s="6">
        <v>146.19999999999999</v>
      </c>
      <c r="V141" s="6">
        <v>135.01</v>
      </c>
      <c r="W141" s="6">
        <v>0</v>
      </c>
      <c r="X141" s="6">
        <v>57.84</v>
      </c>
    </row>
    <row r="142" spans="1:24" x14ac:dyDescent="0.25">
      <c r="A142" s="6" t="s">
        <v>25</v>
      </c>
      <c r="B142" s="6" t="s">
        <v>26</v>
      </c>
      <c r="C142" s="6" t="s">
        <v>48</v>
      </c>
      <c r="D142" s="6" t="s">
        <v>159</v>
      </c>
      <c r="E142" s="6" t="s">
        <v>43</v>
      </c>
      <c r="F142" s="6" t="s">
        <v>177</v>
      </c>
      <c r="G142" s="6">
        <v>2017</v>
      </c>
      <c r="H142" s="6" t="str">
        <f>CONCATENATE("74780081720")</f>
        <v>74780081720</v>
      </c>
      <c r="I142" s="6" t="s">
        <v>28</v>
      </c>
      <c r="J142" s="6" t="s">
        <v>29</v>
      </c>
      <c r="K142" s="6" t="str">
        <f>CONCATENATE("221")</f>
        <v>221</v>
      </c>
      <c r="L142" s="6" t="str">
        <f>CONCATENATE("8 8.1 5e")</f>
        <v>8 8.1 5e</v>
      </c>
      <c r="M142" s="6" t="str">
        <f>CONCATENATE("GRSNTN40E27C983D")</f>
        <v>GRSNTN40E27C983D</v>
      </c>
      <c r="N142" s="6" t="s">
        <v>230</v>
      </c>
      <c r="O142" s="6" t="s">
        <v>162</v>
      </c>
      <c r="P142" s="7">
        <v>43173</v>
      </c>
      <c r="Q142" s="6" t="s">
        <v>30</v>
      </c>
      <c r="R142" s="6" t="s">
        <v>31</v>
      </c>
      <c r="S142" s="6" t="s">
        <v>32</v>
      </c>
      <c r="T142" s="6">
        <v>705.47</v>
      </c>
      <c r="U142" s="6">
        <v>304.2</v>
      </c>
      <c r="V142" s="6">
        <v>280.92</v>
      </c>
      <c r="W142" s="6">
        <v>0</v>
      </c>
      <c r="X142" s="6">
        <v>120.35</v>
      </c>
    </row>
    <row r="143" spans="1:24" ht="24.75" x14ac:dyDescent="0.25">
      <c r="A143" s="6" t="s">
        <v>25</v>
      </c>
      <c r="B143" s="6" t="s">
        <v>26</v>
      </c>
      <c r="C143" s="6" t="s">
        <v>48</v>
      </c>
      <c r="D143" s="6" t="s">
        <v>52</v>
      </c>
      <c r="E143" s="6" t="s">
        <v>38</v>
      </c>
      <c r="F143" s="6" t="s">
        <v>56</v>
      </c>
      <c r="G143" s="6">
        <v>2017</v>
      </c>
      <c r="H143" s="6" t="str">
        <f>CONCATENATE("74780005851")</f>
        <v>74780005851</v>
      </c>
      <c r="I143" s="6" t="s">
        <v>28</v>
      </c>
      <c r="J143" s="6" t="s">
        <v>29</v>
      </c>
      <c r="K143" s="6" t="str">
        <f>CONCATENATE("221")</f>
        <v>221</v>
      </c>
      <c r="L143" s="6" t="str">
        <f>CONCATENATE("8 8.1 5e")</f>
        <v>8 8.1 5e</v>
      </c>
      <c r="M143" s="6" t="str">
        <f>CONCATENATE("DLRLSN93A12A462J")</f>
        <v>DLRLSN93A12A462J</v>
      </c>
      <c r="N143" s="6" t="s">
        <v>231</v>
      </c>
      <c r="O143" s="6" t="s">
        <v>165</v>
      </c>
      <c r="P143" s="7">
        <v>43173</v>
      </c>
      <c r="Q143" s="6" t="s">
        <v>30</v>
      </c>
      <c r="R143" s="6" t="s">
        <v>31</v>
      </c>
      <c r="S143" s="6" t="s">
        <v>32</v>
      </c>
      <c r="T143" s="6">
        <v>604.87</v>
      </c>
      <c r="U143" s="6">
        <v>260.82</v>
      </c>
      <c r="V143" s="6">
        <v>240.86</v>
      </c>
      <c r="W143" s="6">
        <v>0</v>
      </c>
      <c r="X143" s="6">
        <v>103.19</v>
      </c>
    </row>
    <row r="144" spans="1:24" ht="24.75" x14ac:dyDescent="0.25">
      <c r="A144" s="6" t="s">
        <v>25</v>
      </c>
      <c r="B144" s="6" t="s">
        <v>26</v>
      </c>
      <c r="C144" s="6" t="s">
        <v>48</v>
      </c>
      <c r="D144" s="6" t="s">
        <v>52</v>
      </c>
      <c r="E144" s="6" t="s">
        <v>38</v>
      </c>
      <c r="F144" s="6" t="s">
        <v>56</v>
      </c>
      <c r="G144" s="6">
        <v>2017</v>
      </c>
      <c r="H144" s="6" t="str">
        <f>CONCATENATE("74780005398")</f>
        <v>74780005398</v>
      </c>
      <c r="I144" s="6" t="s">
        <v>28</v>
      </c>
      <c r="J144" s="6" t="s">
        <v>29</v>
      </c>
      <c r="K144" s="6" t="str">
        <f>CONCATENATE("221")</f>
        <v>221</v>
      </c>
      <c r="L144" s="6" t="str">
        <f>CONCATENATE("8 8.1 5e")</f>
        <v>8 8.1 5e</v>
      </c>
      <c r="M144" s="6" t="str">
        <f>CONCATENATE("MCHGPP37M01H321F")</f>
        <v>MCHGPP37M01H321F</v>
      </c>
      <c r="N144" s="6" t="s">
        <v>232</v>
      </c>
      <c r="O144" s="6" t="s">
        <v>165</v>
      </c>
      <c r="P144" s="7">
        <v>43173</v>
      </c>
      <c r="Q144" s="6" t="s">
        <v>30</v>
      </c>
      <c r="R144" s="6" t="s">
        <v>31</v>
      </c>
      <c r="S144" s="6" t="s">
        <v>32</v>
      </c>
      <c r="T144" s="6">
        <v>833.53</v>
      </c>
      <c r="U144" s="6">
        <v>359.42</v>
      </c>
      <c r="V144" s="6">
        <v>331.91</v>
      </c>
      <c r="W144" s="6">
        <v>0</v>
      </c>
      <c r="X144" s="6">
        <v>142.19999999999999</v>
      </c>
    </row>
    <row r="145" spans="1:24" ht="24.75" x14ac:dyDescent="0.25">
      <c r="A145" s="6" t="s">
        <v>25</v>
      </c>
      <c r="B145" s="6" t="s">
        <v>26</v>
      </c>
      <c r="C145" s="6" t="s">
        <v>48</v>
      </c>
      <c r="D145" s="6" t="s">
        <v>52</v>
      </c>
      <c r="E145" s="6" t="s">
        <v>34</v>
      </c>
      <c r="F145" s="6" t="s">
        <v>233</v>
      </c>
      <c r="G145" s="6">
        <v>2017</v>
      </c>
      <c r="H145" s="6" t="str">
        <f>CONCATENATE("74780057589")</f>
        <v>74780057589</v>
      </c>
      <c r="I145" s="6" t="s">
        <v>28</v>
      </c>
      <c r="J145" s="6" t="s">
        <v>29</v>
      </c>
      <c r="K145" s="6" t="str">
        <f>CONCATENATE("221")</f>
        <v>221</v>
      </c>
      <c r="L145" s="6" t="str">
        <f>CONCATENATE("8 8.1 5e")</f>
        <v>8 8.1 5e</v>
      </c>
      <c r="M145" s="6" t="str">
        <f>CONCATENATE("TCCFNC44E48C935C")</f>
        <v>TCCFNC44E48C935C</v>
      </c>
      <c r="N145" s="6" t="s">
        <v>234</v>
      </c>
      <c r="O145" s="6" t="s">
        <v>165</v>
      </c>
      <c r="P145" s="7">
        <v>43173</v>
      </c>
      <c r="Q145" s="6" t="s">
        <v>30</v>
      </c>
      <c r="R145" s="6" t="s">
        <v>31</v>
      </c>
      <c r="S145" s="6" t="s">
        <v>32</v>
      </c>
      <c r="T145" s="6">
        <v>224.56</v>
      </c>
      <c r="U145" s="6">
        <v>96.83</v>
      </c>
      <c r="V145" s="6">
        <v>89.42</v>
      </c>
      <c r="W145" s="6">
        <v>0</v>
      </c>
      <c r="X145" s="6">
        <v>38.31</v>
      </c>
    </row>
    <row r="146" spans="1:24" ht="24.75" x14ac:dyDescent="0.25">
      <c r="A146" s="6" t="s">
        <v>25</v>
      </c>
      <c r="B146" s="6" t="s">
        <v>26</v>
      </c>
      <c r="C146" s="6" t="s">
        <v>48</v>
      </c>
      <c r="D146" s="6" t="s">
        <v>52</v>
      </c>
      <c r="E146" s="6" t="s">
        <v>34</v>
      </c>
      <c r="F146" s="6" t="s">
        <v>235</v>
      </c>
      <c r="G146" s="6">
        <v>2017</v>
      </c>
      <c r="H146" s="6" t="str">
        <f>CONCATENATE("74780025024")</f>
        <v>74780025024</v>
      </c>
      <c r="I146" s="6" t="s">
        <v>28</v>
      </c>
      <c r="J146" s="6" t="s">
        <v>29</v>
      </c>
      <c r="K146" s="6" t="str">
        <f>CONCATENATE("221")</f>
        <v>221</v>
      </c>
      <c r="L146" s="6" t="str">
        <f>CONCATENATE("8 8.1 5e")</f>
        <v>8 8.1 5e</v>
      </c>
      <c r="M146" s="6" t="str">
        <f>CONCATENATE("01905910442")</f>
        <v>01905910442</v>
      </c>
      <c r="N146" s="6" t="s">
        <v>236</v>
      </c>
      <c r="O146" s="6" t="s">
        <v>165</v>
      </c>
      <c r="P146" s="7">
        <v>43173</v>
      </c>
      <c r="Q146" s="6" t="s">
        <v>30</v>
      </c>
      <c r="R146" s="6" t="s">
        <v>31</v>
      </c>
      <c r="S146" s="6" t="s">
        <v>32</v>
      </c>
      <c r="T146" s="6">
        <v>173.86</v>
      </c>
      <c r="U146" s="6">
        <v>74.97</v>
      </c>
      <c r="V146" s="6">
        <v>69.23</v>
      </c>
      <c r="W146" s="6">
        <v>0</v>
      </c>
      <c r="X146" s="6">
        <v>29.66</v>
      </c>
    </row>
    <row r="147" spans="1:24" ht="24.75" x14ac:dyDescent="0.25">
      <c r="A147" s="6" t="s">
        <v>25</v>
      </c>
      <c r="B147" s="6" t="s">
        <v>26</v>
      </c>
      <c r="C147" s="6" t="s">
        <v>48</v>
      </c>
      <c r="D147" s="6" t="s">
        <v>52</v>
      </c>
      <c r="E147" s="6" t="s">
        <v>34</v>
      </c>
      <c r="F147" s="6" t="s">
        <v>235</v>
      </c>
      <c r="G147" s="6">
        <v>2017</v>
      </c>
      <c r="H147" s="6" t="str">
        <f>CONCATENATE("74780025016")</f>
        <v>74780025016</v>
      </c>
      <c r="I147" s="6" t="s">
        <v>28</v>
      </c>
      <c r="J147" s="6" t="s">
        <v>29</v>
      </c>
      <c r="K147" s="6" t="str">
        <f>CONCATENATE("221")</f>
        <v>221</v>
      </c>
      <c r="L147" s="6" t="str">
        <f>CONCATENATE("8 8.1 5e")</f>
        <v>8 8.1 5e</v>
      </c>
      <c r="M147" s="6" t="str">
        <f>CONCATENATE("01905910442")</f>
        <v>01905910442</v>
      </c>
      <c r="N147" s="6" t="s">
        <v>236</v>
      </c>
      <c r="O147" s="6" t="s">
        <v>165</v>
      </c>
      <c r="P147" s="7">
        <v>43173</v>
      </c>
      <c r="Q147" s="6" t="s">
        <v>30</v>
      </c>
      <c r="R147" s="6" t="s">
        <v>31</v>
      </c>
      <c r="S147" s="6" t="s">
        <v>32</v>
      </c>
      <c r="T147" s="6">
        <v>376.68</v>
      </c>
      <c r="U147" s="6">
        <v>162.41999999999999</v>
      </c>
      <c r="V147" s="6">
        <v>149.99</v>
      </c>
      <c r="W147" s="6">
        <v>0</v>
      </c>
      <c r="X147" s="6">
        <v>64.27</v>
      </c>
    </row>
    <row r="148" spans="1:24" ht="24.75" x14ac:dyDescent="0.25">
      <c r="A148" s="6" t="s">
        <v>25</v>
      </c>
      <c r="B148" s="6" t="s">
        <v>26</v>
      </c>
      <c r="C148" s="6" t="s">
        <v>48</v>
      </c>
      <c r="D148" s="6" t="s">
        <v>52</v>
      </c>
      <c r="E148" s="6" t="s">
        <v>34</v>
      </c>
      <c r="F148" s="6" t="s">
        <v>233</v>
      </c>
      <c r="G148" s="6">
        <v>2017</v>
      </c>
      <c r="H148" s="6" t="str">
        <f>CONCATENATE("74780063934")</f>
        <v>74780063934</v>
      </c>
      <c r="I148" s="6" t="s">
        <v>28</v>
      </c>
      <c r="J148" s="6" t="s">
        <v>29</v>
      </c>
      <c r="K148" s="6" t="str">
        <f>CONCATENATE("221")</f>
        <v>221</v>
      </c>
      <c r="L148" s="6" t="str">
        <f>CONCATENATE("8 8.1 5e")</f>
        <v>8 8.1 5e</v>
      </c>
      <c r="M148" s="6" t="str">
        <f>CONCATENATE("MRLGRL54L21B534J")</f>
        <v>MRLGRL54L21B534J</v>
      </c>
      <c r="N148" s="6" t="s">
        <v>237</v>
      </c>
      <c r="O148" s="6" t="s">
        <v>165</v>
      </c>
      <c r="P148" s="7">
        <v>43173</v>
      </c>
      <c r="Q148" s="6" t="s">
        <v>30</v>
      </c>
      <c r="R148" s="6" t="s">
        <v>31</v>
      </c>
      <c r="S148" s="6" t="s">
        <v>32</v>
      </c>
      <c r="T148" s="6">
        <v>695.52</v>
      </c>
      <c r="U148" s="6">
        <v>299.91000000000003</v>
      </c>
      <c r="V148" s="6">
        <v>276.95999999999998</v>
      </c>
      <c r="W148" s="6">
        <v>0</v>
      </c>
      <c r="X148" s="6">
        <v>118.65</v>
      </c>
    </row>
    <row r="149" spans="1:24" ht="24.75" x14ac:dyDescent="0.25">
      <c r="A149" s="6" t="s">
        <v>25</v>
      </c>
      <c r="B149" s="6" t="s">
        <v>26</v>
      </c>
      <c r="C149" s="6" t="s">
        <v>48</v>
      </c>
      <c r="D149" s="6" t="s">
        <v>52</v>
      </c>
      <c r="E149" s="6" t="s">
        <v>34</v>
      </c>
      <c r="F149" s="6" t="s">
        <v>235</v>
      </c>
      <c r="G149" s="6">
        <v>2017</v>
      </c>
      <c r="H149" s="6" t="str">
        <f>CONCATENATE("74780034315")</f>
        <v>74780034315</v>
      </c>
      <c r="I149" s="6" t="s">
        <v>28</v>
      </c>
      <c r="J149" s="6" t="s">
        <v>29</v>
      </c>
      <c r="K149" s="6" t="str">
        <f>CONCATENATE("221")</f>
        <v>221</v>
      </c>
      <c r="L149" s="6" t="str">
        <f>CONCATENATE("8 8.1 5e")</f>
        <v>8 8.1 5e</v>
      </c>
      <c r="M149" s="6" t="str">
        <f>CONCATENATE("VGNLSN30B64C321B")</f>
        <v>VGNLSN30B64C321B</v>
      </c>
      <c r="N149" s="6" t="s">
        <v>238</v>
      </c>
      <c r="O149" s="6" t="s">
        <v>165</v>
      </c>
      <c r="P149" s="7">
        <v>43173</v>
      </c>
      <c r="Q149" s="6" t="s">
        <v>30</v>
      </c>
      <c r="R149" s="6" t="s">
        <v>31</v>
      </c>
      <c r="S149" s="6" t="s">
        <v>32</v>
      </c>
      <c r="T149" s="8">
        <v>1036.8</v>
      </c>
      <c r="U149" s="6">
        <v>447.07</v>
      </c>
      <c r="V149" s="6">
        <v>412.85</v>
      </c>
      <c r="W149" s="6">
        <v>0</v>
      </c>
      <c r="X149" s="6">
        <v>176.88</v>
      </c>
    </row>
    <row r="150" spans="1:24" ht="24.75" x14ac:dyDescent="0.25">
      <c r="A150" s="6" t="s">
        <v>25</v>
      </c>
      <c r="B150" s="6" t="s">
        <v>26</v>
      </c>
      <c r="C150" s="6" t="s">
        <v>48</v>
      </c>
      <c r="D150" s="6" t="s">
        <v>52</v>
      </c>
      <c r="E150" s="6" t="s">
        <v>38</v>
      </c>
      <c r="F150" s="6" t="s">
        <v>56</v>
      </c>
      <c r="G150" s="6">
        <v>2017</v>
      </c>
      <c r="H150" s="6" t="str">
        <f>CONCATENATE("74780006180")</f>
        <v>74780006180</v>
      </c>
      <c r="I150" s="6" t="s">
        <v>28</v>
      </c>
      <c r="J150" s="6" t="s">
        <v>29</v>
      </c>
      <c r="K150" s="6" t="str">
        <f>CONCATENATE("221")</f>
        <v>221</v>
      </c>
      <c r="L150" s="6" t="str">
        <f>CONCATENATE("8 8.1 5e")</f>
        <v>8 8.1 5e</v>
      </c>
      <c r="M150" s="6" t="str">
        <f>CONCATENATE("VGNNMR54S54C321I")</f>
        <v>VGNNMR54S54C321I</v>
      </c>
      <c r="N150" s="6" t="s">
        <v>239</v>
      </c>
      <c r="O150" s="6" t="s">
        <v>165</v>
      </c>
      <c r="P150" s="7">
        <v>43173</v>
      </c>
      <c r="Q150" s="6" t="s">
        <v>30</v>
      </c>
      <c r="R150" s="6" t="s">
        <v>31</v>
      </c>
      <c r="S150" s="6" t="s">
        <v>32</v>
      </c>
      <c r="T150" s="6">
        <v>500.93</v>
      </c>
      <c r="U150" s="6">
        <v>216</v>
      </c>
      <c r="V150" s="6">
        <v>199.47</v>
      </c>
      <c r="W150" s="6">
        <v>0</v>
      </c>
      <c r="X150" s="6">
        <v>85.46</v>
      </c>
    </row>
    <row r="151" spans="1:24" ht="24.75" x14ac:dyDescent="0.25">
      <c r="A151" s="6" t="s">
        <v>25</v>
      </c>
      <c r="B151" s="6" t="s">
        <v>26</v>
      </c>
      <c r="C151" s="6" t="s">
        <v>48</v>
      </c>
      <c r="D151" s="6" t="s">
        <v>49</v>
      </c>
      <c r="E151" s="6" t="s">
        <v>27</v>
      </c>
      <c r="F151" s="6" t="s">
        <v>240</v>
      </c>
      <c r="G151" s="6">
        <v>2017</v>
      </c>
      <c r="H151" s="6" t="str">
        <f>CONCATENATE("74780019167")</f>
        <v>74780019167</v>
      </c>
      <c r="I151" s="6" t="s">
        <v>28</v>
      </c>
      <c r="J151" s="6" t="s">
        <v>29</v>
      </c>
      <c r="K151" s="6" t="str">
        <f>CONCATENATE("221")</f>
        <v>221</v>
      </c>
      <c r="L151" s="6" t="str">
        <f>CONCATENATE("8 8.1 5e")</f>
        <v>8 8.1 5e</v>
      </c>
      <c r="M151" s="6" t="str">
        <f>CONCATENATE("DLCSRG43R18G157T")</f>
        <v>DLCSRG43R18G157T</v>
      </c>
      <c r="N151" s="6" t="s">
        <v>241</v>
      </c>
      <c r="O151" s="6" t="s">
        <v>165</v>
      </c>
      <c r="P151" s="7">
        <v>43173</v>
      </c>
      <c r="Q151" s="6" t="s">
        <v>30</v>
      </c>
      <c r="R151" s="6" t="s">
        <v>31</v>
      </c>
      <c r="S151" s="6" t="s">
        <v>32</v>
      </c>
      <c r="T151" s="6">
        <v>197.39</v>
      </c>
      <c r="U151" s="6">
        <v>85.11</v>
      </c>
      <c r="V151" s="6">
        <v>78.599999999999994</v>
      </c>
      <c r="W151" s="6">
        <v>0</v>
      </c>
      <c r="X151" s="6">
        <v>33.68</v>
      </c>
    </row>
    <row r="152" spans="1:24" ht="24.75" x14ac:dyDescent="0.25">
      <c r="A152" s="6" t="s">
        <v>25</v>
      </c>
      <c r="B152" s="6" t="s">
        <v>26</v>
      </c>
      <c r="C152" s="6" t="s">
        <v>48</v>
      </c>
      <c r="D152" s="6" t="s">
        <v>49</v>
      </c>
      <c r="E152" s="6" t="s">
        <v>39</v>
      </c>
      <c r="F152" s="6" t="s">
        <v>242</v>
      </c>
      <c r="G152" s="6">
        <v>2017</v>
      </c>
      <c r="H152" s="6" t="str">
        <f>CONCATENATE("74780071531")</f>
        <v>74780071531</v>
      </c>
      <c r="I152" s="6" t="s">
        <v>28</v>
      </c>
      <c r="J152" s="6" t="s">
        <v>29</v>
      </c>
      <c r="K152" s="6" t="str">
        <f>CONCATENATE("221")</f>
        <v>221</v>
      </c>
      <c r="L152" s="6" t="str">
        <f>CONCATENATE("8 8.1 5e")</f>
        <v>8 8.1 5e</v>
      </c>
      <c r="M152" s="6" t="str">
        <f>CONCATENATE("NCCDNI33M04D597H")</f>
        <v>NCCDNI33M04D597H</v>
      </c>
      <c r="N152" s="6" t="s">
        <v>243</v>
      </c>
      <c r="O152" s="6" t="s">
        <v>165</v>
      </c>
      <c r="P152" s="7">
        <v>43173</v>
      </c>
      <c r="Q152" s="6" t="s">
        <v>30</v>
      </c>
      <c r="R152" s="6" t="s">
        <v>31</v>
      </c>
      <c r="S152" s="6" t="s">
        <v>32</v>
      </c>
      <c r="T152" s="6">
        <v>108.66</v>
      </c>
      <c r="U152" s="6">
        <v>46.85</v>
      </c>
      <c r="V152" s="6">
        <v>43.27</v>
      </c>
      <c r="W152" s="6">
        <v>0</v>
      </c>
      <c r="X152" s="6">
        <v>18.54</v>
      </c>
    </row>
    <row r="153" spans="1:24" ht="24.75" x14ac:dyDescent="0.25">
      <c r="A153" s="6" t="s">
        <v>25</v>
      </c>
      <c r="B153" s="6" t="s">
        <v>26</v>
      </c>
      <c r="C153" s="6" t="s">
        <v>48</v>
      </c>
      <c r="D153" s="6" t="s">
        <v>49</v>
      </c>
      <c r="E153" s="6" t="s">
        <v>44</v>
      </c>
      <c r="F153" s="6" t="s">
        <v>244</v>
      </c>
      <c r="G153" s="6">
        <v>2017</v>
      </c>
      <c r="H153" s="6" t="str">
        <f>CONCATENATE("74780041237")</f>
        <v>74780041237</v>
      </c>
      <c r="I153" s="6" t="s">
        <v>28</v>
      </c>
      <c r="J153" s="6" t="s">
        <v>29</v>
      </c>
      <c r="K153" s="6" t="str">
        <f>CONCATENATE("221")</f>
        <v>221</v>
      </c>
      <c r="L153" s="6" t="str">
        <f>CONCATENATE("8 8.1 5e")</f>
        <v>8 8.1 5e</v>
      </c>
      <c r="M153" s="6" t="str">
        <f>CONCATENATE("PSNLLL38S02D597L")</f>
        <v>PSNLLL38S02D597L</v>
      </c>
      <c r="N153" s="6" t="s">
        <v>245</v>
      </c>
      <c r="O153" s="6" t="s">
        <v>165</v>
      </c>
      <c r="P153" s="7">
        <v>43173</v>
      </c>
      <c r="Q153" s="6" t="s">
        <v>30</v>
      </c>
      <c r="R153" s="6" t="s">
        <v>31</v>
      </c>
      <c r="S153" s="6" t="s">
        <v>32</v>
      </c>
      <c r="T153" s="6">
        <v>467.2</v>
      </c>
      <c r="U153" s="6">
        <v>201.46</v>
      </c>
      <c r="V153" s="6">
        <v>186.04</v>
      </c>
      <c r="W153" s="6">
        <v>0</v>
      </c>
      <c r="X153" s="6">
        <v>79.7</v>
      </c>
    </row>
    <row r="154" spans="1:24" ht="24.75" x14ac:dyDescent="0.25">
      <c r="A154" s="6" t="s">
        <v>25</v>
      </c>
      <c r="B154" s="6" t="s">
        <v>26</v>
      </c>
      <c r="C154" s="6" t="s">
        <v>48</v>
      </c>
      <c r="D154" s="6" t="s">
        <v>52</v>
      </c>
      <c r="E154" s="6" t="s">
        <v>33</v>
      </c>
      <c r="F154" s="6" t="s">
        <v>83</v>
      </c>
      <c r="G154" s="6">
        <v>2017</v>
      </c>
      <c r="H154" s="6" t="str">
        <f>CONCATENATE("74780073883")</f>
        <v>74780073883</v>
      </c>
      <c r="I154" s="6" t="s">
        <v>28</v>
      </c>
      <c r="J154" s="6" t="s">
        <v>29</v>
      </c>
      <c r="K154" s="6" t="str">
        <f>CONCATENATE("221")</f>
        <v>221</v>
      </c>
      <c r="L154" s="6" t="str">
        <f>CONCATENATE("8 8.1 5e")</f>
        <v>8 8.1 5e</v>
      </c>
      <c r="M154" s="6" t="str">
        <f>CONCATENATE("MRGNNL65B61A334J")</f>
        <v>MRGNNL65B61A334J</v>
      </c>
      <c r="N154" s="6" t="s">
        <v>246</v>
      </c>
      <c r="O154" s="6" t="s">
        <v>165</v>
      </c>
      <c r="P154" s="7">
        <v>43173</v>
      </c>
      <c r="Q154" s="6" t="s">
        <v>30</v>
      </c>
      <c r="R154" s="6" t="s">
        <v>31</v>
      </c>
      <c r="S154" s="6" t="s">
        <v>32</v>
      </c>
      <c r="T154" s="8">
        <v>22459.22</v>
      </c>
      <c r="U154" s="8">
        <v>9684.42</v>
      </c>
      <c r="V154" s="8">
        <v>8943.26</v>
      </c>
      <c r="W154" s="6">
        <v>0</v>
      </c>
      <c r="X154" s="8">
        <v>3831.54</v>
      </c>
    </row>
    <row r="155" spans="1:24" x14ac:dyDescent="0.25">
      <c r="A155" s="6" t="s">
        <v>25</v>
      </c>
      <c r="B155" s="6" t="s">
        <v>26</v>
      </c>
      <c r="C155" s="6" t="s">
        <v>48</v>
      </c>
      <c r="D155" s="6" t="s">
        <v>159</v>
      </c>
      <c r="E155" s="6" t="s">
        <v>39</v>
      </c>
      <c r="F155" s="6" t="s">
        <v>111</v>
      </c>
      <c r="G155" s="6">
        <v>2017</v>
      </c>
      <c r="H155" s="6" t="str">
        <f>CONCATENATE("74780005539")</f>
        <v>74780005539</v>
      </c>
      <c r="I155" s="6" t="s">
        <v>28</v>
      </c>
      <c r="J155" s="6" t="s">
        <v>29</v>
      </c>
      <c r="K155" s="6" t="str">
        <f>CONCATENATE("221")</f>
        <v>221</v>
      </c>
      <c r="L155" s="6" t="str">
        <f>CONCATENATE("8 8.1 5e")</f>
        <v>8 8.1 5e</v>
      </c>
      <c r="M155" s="6" t="str">
        <f>CONCATENATE("LCRVLR39M01H876I")</f>
        <v>LCRVLR39M01H876I</v>
      </c>
      <c r="N155" s="6" t="s">
        <v>247</v>
      </c>
      <c r="O155" s="6" t="s">
        <v>162</v>
      </c>
      <c r="P155" s="7">
        <v>43173</v>
      </c>
      <c r="Q155" s="6" t="s">
        <v>30</v>
      </c>
      <c r="R155" s="6" t="s">
        <v>31</v>
      </c>
      <c r="S155" s="6" t="s">
        <v>32</v>
      </c>
      <c r="T155" s="8">
        <v>5827.64</v>
      </c>
      <c r="U155" s="8">
        <v>2512.88</v>
      </c>
      <c r="V155" s="8">
        <v>2320.5700000000002</v>
      </c>
      <c r="W155" s="6">
        <v>0</v>
      </c>
      <c r="X155" s="6">
        <v>994.19</v>
      </c>
    </row>
    <row r="156" spans="1:24" ht="24.75" x14ac:dyDescent="0.25">
      <c r="A156" s="6" t="s">
        <v>25</v>
      </c>
      <c r="B156" s="6" t="s">
        <v>26</v>
      </c>
      <c r="C156" s="6" t="s">
        <v>48</v>
      </c>
      <c r="D156" s="6" t="s">
        <v>52</v>
      </c>
      <c r="E156" s="6" t="s">
        <v>34</v>
      </c>
      <c r="F156" s="6" t="s">
        <v>233</v>
      </c>
      <c r="G156" s="6">
        <v>2017</v>
      </c>
      <c r="H156" s="6" t="str">
        <f>CONCATENATE("74780063892")</f>
        <v>74780063892</v>
      </c>
      <c r="I156" s="6" t="s">
        <v>28</v>
      </c>
      <c r="J156" s="6" t="s">
        <v>29</v>
      </c>
      <c r="K156" s="6" t="str">
        <f>CONCATENATE("221")</f>
        <v>221</v>
      </c>
      <c r="L156" s="6" t="str">
        <f>CONCATENATE("8 8.1 5e")</f>
        <v>8 8.1 5e</v>
      </c>
      <c r="M156" s="6" t="str">
        <f>CONCATENATE("DLTGNN54T28D691U")</f>
        <v>DLTGNN54T28D691U</v>
      </c>
      <c r="N156" s="6" t="s">
        <v>248</v>
      </c>
      <c r="O156" s="6" t="s">
        <v>165</v>
      </c>
      <c r="P156" s="7">
        <v>43173</v>
      </c>
      <c r="Q156" s="6" t="s">
        <v>30</v>
      </c>
      <c r="R156" s="6" t="s">
        <v>31</v>
      </c>
      <c r="S156" s="6" t="s">
        <v>32</v>
      </c>
      <c r="T156" s="6">
        <v>691.02</v>
      </c>
      <c r="U156" s="6">
        <v>297.97000000000003</v>
      </c>
      <c r="V156" s="6">
        <v>275.16000000000003</v>
      </c>
      <c r="W156" s="6">
        <v>0</v>
      </c>
      <c r="X156" s="6">
        <v>117.89</v>
      </c>
    </row>
    <row r="157" spans="1:24" ht="24.75" x14ac:dyDescent="0.25">
      <c r="A157" s="6" t="s">
        <v>25</v>
      </c>
      <c r="B157" s="6" t="s">
        <v>26</v>
      </c>
      <c r="C157" s="6" t="s">
        <v>48</v>
      </c>
      <c r="D157" s="6" t="s">
        <v>52</v>
      </c>
      <c r="E157" s="6" t="s">
        <v>34</v>
      </c>
      <c r="F157" s="6" t="s">
        <v>163</v>
      </c>
      <c r="G157" s="6">
        <v>2017</v>
      </c>
      <c r="H157" s="6" t="str">
        <f>CONCATENATE("74780024415")</f>
        <v>74780024415</v>
      </c>
      <c r="I157" s="6" t="s">
        <v>28</v>
      </c>
      <c r="J157" s="6" t="s">
        <v>29</v>
      </c>
      <c r="K157" s="6" t="str">
        <f>CONCATENATE("221")</f>
        <v>221</v>
      </c>
      <c r="L157" s="6" t="str">
        <f>CONCATENATE("8 8.1 5e")</f>
        <v>8 8.1 5e</v>
      </c>
      <c r="M157" s="6" t="str">
        <f>CONCATENATE("CRRRNT69A03G005I")</f>
        <v>CRRRNT69A03G005I</v>
      </c>
      <c r="N157" s="6" t="s">
        <v>249</v>
      </c>
      <c r="O157" s="6" t="s">
        <v>165</v>
      </c>
      <c r="P157" s="7">
        <v>43173</v>
      </c>
      <c r="Q157" s="6" t="s">
        <v>30</v>
      </c>
      <c r="R157" s="6" t="s">
        <v>31</v>
      </c>
      <c r="S157" s="6" t="s">
        <v>32</v>
      </c>
      <c r="T157" s="6">
        <v>251.72</v>
      </c>
      <c r="U157" s="6">
        <v>108.54</v>
      </c>
      <c r="V157" s="6">
        <v>100.23</v>
      </c>
      <c r="W157" s="6">
        <v>0</v>
      </c>
      <c r="X157" s="6">
        <v>42.95</v>
      </c>
    </row>
    <row r="158" spans="1:24" ht="24.75" x14ac:dyDescent="0.25">
      <c r="A158" s="6" t="s">
        <v>25</v>
      </c>
      <c r="B158" s="6" t="s">
        <v>26</v>
      </c>
      <c r="C158" s="6" t="s">
        <v>48</v>
      </c>
      <c r="D158" s="6" t="s">
        <v>52</v>
      </c>
      <c r="E158" s="6" t="s">
        <v>34</v>
      </c>
      <c r="F158" s="6" t="s">
        <v>53</v>
      </c>
      <c r="G158" s="6">
        <v>2017</v>
      </c>
      <c r="H158" s="6" t="str">
        <f>CONCATENATE("74780073834")</f>
        <v>74780073834</v>
      </c>
      <c r="I158" s="6" t="s">
        <v>28</v>
      </c>
      <c r="J158" s="6" t="s">
        <v>29</v>
      </c>
      <c r="K158" s="6" t="str">
        <f>CONCATENATE("221")</f>
        <v>221</v>
      </c>
      <c r="L158" s="6" t="str">
        <f>CONCATENATE("8 8.1 5e")</f>
        <v>8 8.1 5e</v>
      </c>
      <c r="M158" s="6" t="str">
        <f>CONCATENATE("CCCMSM51E04A462W")</f>
        <v>CCCMSM51E04A462W</v>
      </c>
      <c r="N158" s="6" t="s">
        <v>250</v>
      </c>
      <c r="O158" s="6" t="s">
        <v>165</v>
      </c>
      <c r="P158" s="7">
        <v>43173</v>
      </c>
      <c r="Q158" s="6" t="s">
        <v>30</v>
      </c>
      <c r="R158" s="6" t="s">
        <v>31</v>
      </c>
      <c r="S158" s="6" t="s">
        <v>32</v>
      </c>
      <c r="T158" s="6">
        <v>113.54</v>
      </c>
      <c r="U158" s="6">
        <v>48.96</v>
      </c>
      <c r="V158" s="6">
        <v>45.21</v>
      </c>
      <c r="W158" s="6">
        <v>0</v>
      </c>
      <c r="X158" s="6">
        <v>19.37</v>
      </c>
    </row>
    <row r="159" spans="1:24" ht="24.75" x14ac:dyDescent="0.25">
      <c r="A159" s="6" t="s">
        <v>25</v>
      </c>
      <c r="B159" s="6" t="s">
        <v>26</v>
      </c>
      <c r="C159" s="6" t="s">
        <v>48</v>
      </c>
      <c r="D159" s="6" t="s">
        <v>52</v>
      </c>
      <c r="E159" s="6" t="s">
        <v>27</v>
      </c>
      <c r="F159" s="6" t="s">
        <v>251</v>
      </c>
      <c r="G159" s="6">
        <v>2017</v>
      </c>
      <c r="H159" s="6" t="str">
        <f>CONCATENATE("74780007766")</f>
        <v>74780007766</v>
      </c>
      <c r="I159" s="6" t="s">
        <v>28</v>
      </c>
      <c r="J159" s="6" t="s">
        <v>29</v>
      </c>
      <c r="K159" s="6" t="str">
        <f>CONCATENATE("221")</f>
        <v>221</v>
      </c>
      <c r="L159" s="6" t="str">
        <f>CONCATENATE("8 8.1 5e")</f>
        <v>8 8.1 5e</v>
      </c>
      <c r="M159" s="6" t="str">
        <f>CONCATENATE("VRGGLI30H68F614J")</f>
        <v>VRGGLI30H68F614J</v>
      </c>
      <c r="N159" s="6" t="s">
        <v>252</v>
      </c>
      <c r="O159" s="6" t="s">
        <v>165</v>
      </c>
      <c r="P159" s="7">
        <v>43173</v>
      </c>
      <c r="Q159" s="6" t="s">
        <v>30</v>
      </c>
      <c r="R159" s="6" t="s">
        <v>31</v>
      </c>
      <c r="S159" s="6" t="s">
        <v>32</v>
      </c>
      <c r="T159" s="6">
        <v>369.44</v>
      </c>
      <c r="U159" s="6">
        <v>159.30000000000001</v>
      </c>
      <c r="V159" s="6">
        <v>147.11000000000001</v>
      </c>
      <c r="W159" s="6">
        <v>0</v>
      </c>
      <c r="X159" s="6">
        <v>63.03</v>
      </c>
    </row>
    <row r="160" spans="1:24" ht="24.75" x14ac:dyDescent="0.25">
      <c r="A160" s="6" t="s">
        <v>25</v>
      </c>
      <c r="B160" s="6" t="s">
        <v>26</v>
      </c>
      <c r="C160" s="6" t="s">
        <v>48</v>
      </c>
      <c r="D160" s="6" t="s">
        <v>52</v>
      </c>
      <c r="E160" s="6" t="s">
        <v>34</v>
      </c>
      <c r="F160" s="6" t="s">
        <v>68</v>
      </c>
      <c r="G160" s="6">
        <v>2017</v>
      </c>
      <c r="H160" s="6" t="str">
        <f>CONCATENATE("74780060641")</f>
        <v>74780060641</v>
      </c>
      <c r="I160" s="6" t="s">
        <v>28</v>
      </c>
      <c r="J160" s="6" t="s">
        <v>29</v>
      </c>
      <c r="K160" s="6" t="str">
        <f>CONCATENATE("221")</f>
        <v>221</v>
      </c>
      <c r="L160" s="6" t="str">
        <f>CONCATENATE("8 8.1 5e")</f>
        <v>8 8.1 5e</v>
      </c>
      <c r="M160" s="6" t="str">
        <f>CONCATENATE("LVRLVR57S03F520B")</f>
        <v>LVRLVR57S03F520B</v>
      </c>
      <c r="N160" s="6" t="s">
        <v>253</v>
      </c>
      <c r="O160" s="6" t="s">
        <v>165</v>
      </c>
      <c r="P160" s="7">
        <v>43173</v>
      </c>
      <c r="Q160" s="6" t="s">
        <v>30</v>
      </c>
      <c r="R160" s="6" t="s">
        <v>31</v>
      </c>
      <c r="S160" s="6" t="s">
        <v>32</v>
      </c>
      <c r="T160" s="6">
        <v>469.05</v>
      </c>
      <c r="U160" s="6">
        <v>202.25</v>
      </c>
      <c r="V160" s="6">
        <v>186.78</v>
      </c>
      <c r="W160" s="6">
        <v>0</v>
      </c>
      <c r="X160" s="6">
        <v>80.02</v>
      </c>
    </row>
    <row r="161" spans="1:24" ht="24.75" x14ac:dyDescent="0.25">
      <c r="A161" s="6" t="s">
        <v>25</v>
      </c>
      <c r="B161" s="6" t="s">
        <v>26</v>
      </c>
      <c r="C161" s="6" t="s">
        <v>48</v>
      </c>
      <c r="D161" s="6" t="s">
        <v>49</v>
      </c>
      <c r="E161" s="6" t="s">
        <v>27</v>
      </c>
      <c r="F161" s="6" t="s">
        <v>254</v>
      </c>
      <c r="G161" s="6">
        <v>2017</v>
      </c>
      <c r="H161" s="6" t="str">
        <f>CONCATENATE("74780009457")</f>
        <v>74780009457</v>
      </c>
      <c r="I161" s="6" t="s">
        <v>28</v>
      </c>
      <c r="J161" s="6" t="s">
        <v>29</v>
      </c>
      <c r="K161" s="6" t="str">
        <f>CONCATENATE("221")</f>
        <v>221</v>
      </c>
      <c r="L161" s="6" t="str">
        <f>CONCATENATE("8 8.1 5e")</f>
        <v>8 8.1 5e</v>
      </c>
      <c r="M161" s="6" t="str">
        <f>CONCATENATE("CRLSMN68H27I653N")</f>
        <v>CRLSMN68H27I653N</v>
      </c>
      <c r="N161" s="6" t="s">
        <v>255</v>
      </c>
      <c r="O161" s="6" t="s">
        <v>165</v>
      </c>
      <c r="P161" s="7">
        <v>43173</v>
      </c>
      <c r="Q161" s="6" t="s">
        <v>30</v>
      </c>
      <c r="R161" s="6" t="s">
        <v>31</v>
      </c>
      <c r="S161" s="6" t="s">
        <v>32</v>
      </c>
      <c r="T161" s="6">
        <v>90.55</v>
      </c>
      <c r="U161" s="6">
        <v>39.049999999999997</v>
      </c>
      <c r="V161" s="6">
        <v>36.06</v>
      </c>
      <c r="W161" s="6">
        <v>0</v>
      </c>
      <c r="X161" s="6">
        <v>15.44</v>
      </c>
    </row>
    <row r="162" spans="1:24" ht="24.75" x14ac:dyDescent="0.25">
      <c r="A162" s="6" t="s">
        <v>25</v>
      </c>
      <c r="B162" s="6" t="s">
        <v>26</v>
      </c>
      <c r="C162" s="6" t="s">
        <v>48</v>
      </c>
      <c r="D162" s="6" t="s">
        <v>49</v>
      </c>
      <c r="E162" s="6" t="s">
        <v>38</v>
      </c>
      <c r="F162" s="6" t="s">
        <v>142</v>
      </c>
      <c r="G162" s="6">
        <v>2017</v>
      </c>
      <c r="H162" s="6" t="str">
        <f>CONCATENATE("74780056763")</f>
        <v>74780056763</v>
      </c>
      <c r="I162" s="6" t="s">
        <v>28</v>
      </c>
      <c r="J162" s="6" t="s">
        <v>29</v>
      </c>
      <c r="K162" s="6" t="str">
        <f>CONCATENATE("221")</f>
        <v>221</v>
      </c>
      <c r="L162" s="6" t="str">
        <f>CONCATENATE("8 8.1 5e")</f>
        <v>8 8.1 5e</v>
      </c>
      <c r="M162" s="6" t="str">
        <f>CONCATENATE("CCCSNO67D45D451X")</f>
        <v>CCCSNO67D45D451X</v>
      </c>
      <c r="N162" s="6" t="s">
        <v>256</v>
      </c>
      <c r="O162" s="6" t="s">
        <v>165</v>
      </c>
      <c r="P162" s="7">
        <v>43173</v>
      </c>
      <c r="Q162" s="6" t="s">
        <v>30</v>
      </c>
      <c r="R162" s="6" t="s">
        <v>31</v>
      </c>
      <c r="S162" s="6" t="s">
        <v>32</v>
      </c>
      <c r="T162" s="6">
        <v>130.38999999999999</v>
      </c>
      <c r="U162" s="6">
        <v>56.22</v>
      </c>
      <c r="V162" s="6">
        <v>51.92</v>
      </c>
      <c r="W162" s="6">
        <v>0</v>
      </c>
      <c r="X162" s="6">
        <v>22.25</v>
      </c>
    </row>
    <row r="163" spans="1:24" ht="24.75" x14ac:dyDescent="0.25">
      <c r="A163" s="6" t="s">
        <v>25</v>
      </c>
      <c r="B163" s="6" t="s">
        <v>26</v>
      </c>
      <c r="C163" s="6" t="s">
        <v>48</v>
      </c>
      <c r="D163" s="6" t="s">
        <v>52</v>
      </c>
      <c r="E163" s="6" t="s">
        <v>34</v>
      </c>
      <c r="F163" s="6" t="s">
        <v>68</v>
      </c>
      <c r="G163" s="6">
        <v>2017</v>
      </c>
      <c r="H163" s="6" t="str">
        <f>CONCATENATE("74780059346")</f>
        <v>74780059346</v>
      </c>
      <c r="I163" s="6" t="s">
        <v>28</v>
      </c>
      <c r="J163" s="6" t="s">
        <v>29</v>
      </c>
      <c r="K163" s="6" t="str">
        <f>CONCATENATE("221")</f>
        <v>221</v>
      </c>
      <c r="L163" s="6" t="str">
        <f>CONCATENATE("8 8.1 5e")</f>
        <v>8 8.1 5e</v>
      </c>
      <c r="M163" s="6" t="str">
        <f>CONCATENATE("BLSGRG75A28F520E")</f>
        <v>BLSGRG75A28F520E</v>
      </c>
      <c r="N163" s="6" t="s">
        <v>257</v>
      </c>
      <c r="O163" s="6" t="s">
        <v>165</v>
      </c>
      <c r="P163" s="7">
        <v>43173</v>
      </c>
      <c r="Q163" s="6" t="s">
        <v>30</v>
      </c>
      <c r="R163" s="6" t="s">
        <v>31</v>
      </c>
      <c r="S163" s="6" t="s">
        <v>32</v>
      </c>
      <c r="T163" s="6">
        <v>273.86</v>
      </c>
      <c r="U163" s="6">
        <v>118.09</v>
      </c>
      <c r="V163" s="6">
        <v>109.05</v>
      </c>
      <c r="W163" s="6">
        <v>0</v>
      </c>
      <c r="X163" s="6">
        <v>46.72</v>
      </c>
    </row>
    <row r="164" spans="1:24" ht="24.75" x14ac:dyDescent="0.25">
      <c r="A164" s="6" t="s">
        <v>25</v>
      </c>
      <c r="B164" s="6" t="s">
        <v>26</v>
      </c>
      <c r="C164" s="6" t="s">
        <v>48</v>
      </c>
      <c r="D164" s="6" t="s">
        <v>49</v>
      </c>
      <c r="E164" s="6" t="s">
        <v>34</v>
      </c>
      <c r="F164" s="6" t="s">
        <v>258</v>
      </c>
      <c r="G164" s="6">
        <v>2017</v>
      </c>
      <c r="H164" s="6" t="str">
        <f>CONCATENATE("74780070376")</f>
        <v>74780070376</v>
      </c>
      <c r="I164" s="6" t="s">
        <v>28</v>
      </c>
      <c r="J164" s="6" t="s">
        <v>29</v>
      </c>
      <c r="K164" s="6" t="str">
        <f>CONCATENATE("221")</f>
        <v>221</v>
      </c>
      <c r="L164" s="6" t="str">
        <f>CONCATENATE("8 8.1 5e")</f>
        <v>8 8.1 5e</v>
      </c>
      <c r="M164" s="6" t="str">
        <f>CONCATENATE("CMRTRS31D55D211I")</f>
        <v>CMRTRS31D55D211I</v>
      </c>
      <c r="N164" s="6" t="s">
        <v>259</v>
      </c>
      <c r="O164" s="6" t="s">
        <v>165</v>
      </c>
      <c r="P164" s="7">
        <v>43173</v>
      </c>
      <c r="Q164" s="6" t="s">
        <v>30</v>
      </c>
      <c r="R164" s="6" t="s">
        <v>31</v>
      </c>
      <c r="S164" s="6" t="s">
        <v>32</v>
      </c>
      <c r="T164" s="6">
        <v>110.47</v>
      </c>
      <c r="U164" s="6">
        <v>47.63</v>
      </c>
      <c r="V164" s="6">
        <v>43.99</v>
      </c>
      <c r="W164" s="6">
        <v>0</v>
      </c>
      <c r="X164" s="6">
        <v>18.850000000000001</v>
      </c>
    </row>
    <row r="165" spans="1:24" ht="24.75" x14ac:dyDescent="0.25">
      <c r="A165" s="6" t="s">
        <v>25</v>
      </c>
      <c r="B165" s="6" t="s">
        <v>26</v>
      </c>
      <c r="C165" s="6" t="s">
        <v>48</v>
      </c>
      <c r="D165" s="6" t="s">
        <v>52</v>
      </c>
      <c r="E165" s="6" t="s">
        <v>34</v>
      </c>
      <c r="F165" s="6" t="s">
        <v>233</v>
      </c>
      <c r="G165" s="6">
        <v>2017</v>
      </c>
      <c r="H165" s="6" t="str">
        <f>CONCATENATE("74780060112")</f>
        <v>74780060112</v>
      </c>
      <c r="I165" s="6" t="s">
        <v>28</v>
      </c>
      <c r="J165" s="6" t="s">
        <v>29</v>
      </c>
      <c r="K165" s="6" t="str">
        <f>CONCATENATE("221")</f>
        <v>221</v>
      </c>
      <c r="L165" s="6" t="str">
        <f>CONCATENATE("8 8.1 5e")</f>
        <v>8 8.1 5e</v>
      </c>
      <c r="M165" s="6" t="str">
        <f>CONCATENATE("TBRMRT60C71B727W")</f>
        <v>TBRMRT60C71B727W</v>
      </c>
      <c r="N165" s="6" t="s">
        <v>260</v>
      </c>
      <c r="O165" s="6" t="s">
        <v>165</v>
      </c>
      <c r="P165" s="7">
        <v>43173</v>
      </c>
      <c r="Q165" s="6" t="s">
        <v>30</v>
      </c>
      <c r="R165" s="6" t="s">
        <v>31</v>
      </c>
      <c r="S165" s="6" t="s">
        <v>32</v>
      </c>
      <c r="T165" s="6">
        <v>963.59</v>
      </c>
      <c r="U165" s="6">
        <v>415.5</v>
      </c>
      <c r="V165" s="6">
        <v>383.7</v>
      </c>
      <c r="W165" s="6">
        <v>0</v>
      </c>
      <c r="X165" s="6">
        <v>164.39</v>
      </c>
    </row>
    <row r="166" spans="1:24" ht="24.75" x14ac:dyDescent="0.25">
      <c r="A166" s="6" t="s">
        <v>25</v>
      </c>
      <c r="B166" s="6" t="s">
        <v>26</v>
      </c>
      <c r="C166" s="6" t="s">
        <v>48</v>
      </c>
      <c r="D166" s="6" t="s">
        <v>49</v>
      </c>
      <c r="E166" s="6" t="s">
        <v>27</v>
      </c>
      <c r="F166" s="6" t="s">
        <v>240</v>
      </c>
      <c r="G166" s="6">
        <v>2017</v>
      </c>
      <c r="H166" s="6" t="str">
        <f>CONCATENATE("74780019076")</f>
        <v>74780019076</v>
      </c>
      <c r="I166" s="6" t="s">
        <v>28</v>
      </c>
      <c r="J166" s="6" t="s">
        <v>29</v>
      </c>
      <c r="K166" s="6" t="str">
        <f>CONCATENATE("221")</f>
        <v>221</v>
      </c>
      <c r="L166" s="6" t="str">
        <f>CONCATENATE("8 8.1 5e")</f>
        <v>8 8.1 5e</v>
      </c>
      <c r="M166" s="6" t="str">
        <f>CONCATENATE("FRTDVD67H15A271V")</f>
        <v>FRTDVD67H15A271V</v>
      </c>
      <c r="N166" s="6" t="s">
        <v>261</v>
      </c>
      <c r="O166" s="6" t="s">
        <v>165</v>
      </c>
      <c r="P166" s="7">
        <v>43173</v>
      </c>
      <c r="Q166" s="6" t="s">
        <v>30</v>
      </c>
      <c r="R166" s="6" t="s">
        <v>31</v>
      </c>
      <c r="S166" s="6" t="s">
        <v>32</v>
      </c>
      <c r="T166" s="6">
        <v>182.91</v>
      </c>
      <c r="U166" s="6">
        <v>78.87</v>
      </c>
      <c r="V166" s="6">
        <v>72.83</v>
      </c>
      <c r="W166" s="6">
        <v>0</v>
      </c>
      <c r="X166" s="6">
        <v>31.21</v>
      </c>
    </row>
    <row r="167" spans="1:24" ht="24.75" x14ac:dyDescent="0.25">
      <c r="A167" s="6" t="s">
        <v>25</v>
      </c>
      <c r="B167" s="6" t="s">
        <v>26</v>
      </c>
      <c r="C167" s="6" t="s">
        <v>48</v>
      </c>
      <c r="D167" s="6" t="s">
        <v>49</v>
      </c>
      <c r="E167" s="6" t="s">
        <v>38</v>
      </c>
      <c r="F167" s="6" t="s">
        <v>262</v>
      </c>
      <c r="G167" s="6">
        <v>2017</v>
      </c>
      <c r="H167" s="6" t="str">
        <f>CONCATENATE("74780072877")</f>
        <v>74780072877</v>
      </c>
      <c r="I167" s="6" t="s">
        <v>40</v>
      </c>
      <c r="J167" s="6" t="s">
        <v>29</v>
      </c>
      <c r="K167" s="6" t="str">
        <f>CONCATENATE("221")</f>
        <v>221</v>
      </c>
      <c r="L167" s="6" t="str">
        <f>CONCATENATE("8 8.1 5e")</f>
        <v>8 8.1 5e</v>
      </c>
      <c r="M167" s="6" t="str">
        <f>CONCATENATE("FRBKTA60S70D007G")</f>
        <v>FRBKTA60S70D007G</v>
      </c>
      <c r="N167" s="6" t="s">
        <v>263</v>
      </c>
      <c r="O167" s="6" t="s">
        <v>165</v>
      </c>
      <c r="P167" s="7">
        <v>43173</v>
      </c>
      <c r="Q167" s="6" t="s">
        <v>30</v>
      </c>
      <c r="R167" s="6" t="s">
        <v>31</v>
      </c>
      <c r="S167" s="6" t="s">
        <v>32</v>
      </c>
      <c r="T167" s="6">
        <v>106.84</v>
      </c>
      <c r="U167" s="6">
        <v>46.07</v>
      </c>
      <c r="V167" s="6">
        <v>42.54</v>
      </c>
      <c r="W167" s="6">
        <v>0</v>
      </c>
      <c r="X167" s="6">
        <v>18.23</v>
      </c>
    </row>
    <row r="168" spans="1:24" ht="24.75" x14ac:dyDescent="0.25">
      <c r="A168" s="6" t="s">
        <v>25</v>
      </c>
      <c r="B168" s="6" t="s">
        <v>26</v>
      </c>
      <c r="C168" s="6" t="s">
        <v>48</v>
      </c>
      <c r="D168" s="6" t="s">
        <v>52</v>
      </c>
      <c r="E168" s="6" t="s">
        <v>38</v>
      </c>
      <c r="F168" s="6" t="s">
        <v>62</v>
      </c>
      <c r="G168" s="6">
        <v>2017</v>
      </c>
      <c r="H168" s="6" t="str">
        <f>CONCATENATE("74780038027")</f>
        <v>74780038027</v>
      </c>
      <c r="I168" s="6" t="s">
        <v>28</v>
      </c>
      <c r="J168" s="6" t="s">
        <v>29</v>
      </c>
      <c r="K168" s="6" t="str">
        <f>CONCATENATE("221")</f>
        <v>221</v>
      </c>
      <c r="L168" s="6" t="str">
        <f>CONCATENATE("8 8.1 5e")</f>
        <v>8 8.1 5e</v>
      </c>
      <c r="M168" s="6" t="str">
        <f>CONCATENATE("MBLMGR59L63C615H")</f>
        <v>MBLMGR59L63C615H</v>
      </c>
      <c r="N168" s="6" t="s">
        <v>264</v>
      </c>
      <c r="O168" s="6" t="s">
        <v>165</v>
      </c>
      <c r="P168" s="7">
        <v>43173</v>
      </c>
      <c r="Q168" s="6" t="s">
        <v>30</v>
      </c>
      <c r="R168" s="6" t="s">
        <v>31</v>
      </c>
      <c r="S168" s="6" t="s">
        <v>32</v>
      </c>
      <c r="T168" s="8">
        <v>1076.3</v>
      </c>
      <c r="U168" s="6">
        <v>464.1</v>
      </c>
      <c r="V168" s="6">
        <v>428.58</v>
      </c>
      <c r="W168" s="6">
        <v>0</v>
      </c>
      <c r="X168" s="6">
        <v>183.62</v>
      </c>
    </row>
    <row r="169" spans="1:24" ht="24.75" x14ac:dyDescent="0.25">
      <c r="A169" s="6" t="s">
        <v>25</v>
      </c>
      <c r="B169" s="6" t="s">
        <v>26</v>
      </c>
      <c r="C169" s="6" t="s">
        <v>48</v>
      </c>
      <c r="D169" s="6" t="s">
        <v>49</v>
      </c>
      <c r="E169" s="6" t="s">
        <v>27</v>
      </c>
      <c r="F169" s="6" t="s">
        <v>254</v>
      </c>
      <c r="G169" s="6">
        <v>2017</v>
      </c>
      <c r="H169" s="6" t="str">
        <f>CONCATENATE("74780054214")</f>
        <v>74780054214</v>
      </c>
      <c r="I169" s="6" t="s">
        <v>28</v>
      </c>
      <c r="J169" s="6" t="s">
        <v>29</v>
      </c>
      <c r="K169" s="6" t="str">
        <f>CONCATENATE("221")</f>
        <v>221</v>
      </c>
      <c r="L169" s="6" t="str">
        <f>CONCATENATE("8 8.1 5e")</f>
        <v>8 8.1 5e</v>
      </c>
      <c r="M169" s="6" t="str">
        <f>CONCATENATE("STCGLC69R18D597M")</f>
        <v>STCGLC69R18D597M</v>
      </c>
      <c r="N169" s="6" t="s">
        <v>265</v>
      </c>
      <c r="O169" s="6" t="s">
        <v>165</v>
      </c>
      <c r="P169" s="7">
        <v>43173</v>
      </c>
      <c r="Q169" s="6" t="s">
        <v>30</v>
      </c>
      <c r="R169" s="6" t="s">
        <v>31</v>
      </c>
      <c r="S169" s="6" t="s">
        <v>32</v>
      </c>
      <c r="T169" s="8">
        <v>6259.2</v>
      </c>
      <c r="U169" s="8">
        <v>2698.97</v>
      </c>
      <c r="V169" s="8">
        <v>2492.41</v>
      </c>
      <c r="W169" s="6">
        <v>0</v>
      </c>
      <c r="X169" s="8">
        <v>1067.82</v>
      </c>
    </row>
    <row r="170" spans="1:24" ht="24.75" x14ac:dyDescent="0.25">
      <c r="A170" s="6" t="s">
        <v>25</v>
      </c>
      <c r="B170" s="6" t="s">
        <v>26</v>
      </c>
      <c r="C170" s="6" t="s">
        <v>48</v>
      </c>
      <c r="D170" s="6" t="s">
        <v>49</v>
      </c>
      <c r="E170" s="6" t="s">
        <v>38</v>
      </c>
      <c r="F170" s="6" t="s">
        <v>140</v>
      </c>
      <c r="G170" s="6">
        <v>2017</v>
      </c>
      <c r="H170" s="6" t="str">
        <f>CONCATENATE("74780029349")</f>
        <v>74780029349</v>
      </c>
      <c r="I170" s="6" t="s">
        <v>28</v>
      </c>
      <c r="J170" s="6" t="s">
        <v>29</v>
      </c>
      <c r="K170" s="6" t="str">
        <f>CONCATENATE("221")</f>
        <v>221</v>
      </c>
      <c r="L170" s="6" t="str">
        <f>CONCATENATE("8 8.1 5e")</f>
        <v>8 8.1 5e</v>
      </c>
      <c r="M170" s="6" t="str">
        <f>CONCATENATE("RDOMRC39D09E388W")</f>
        <v>RDOMRC39D09E388W</v>
      </c>
      <c r="N170" s="6" t="s">
        <v>266</v>
      </c>
      <c r="O170" s="6" t="s">
        <v>165</v>
      </c>
      <c r="P170" s="7">
        <v>43173</v>
      </c>
      <c r="Q170" s="6" t="s">
        <v>30</v>
      </c>
      <c r="R170" s="6" t="s">
        <v>31</v>
      </c>
      <c r="S170" s="6" t="s">
        <v>32</v>
      </c>
      <c r="T170" s="6">
        <v>181.1</v>
      </c>
      <c r="U170" s="6">
        <v>78.09</v>
      </c>
      <c r="V170" s="6">
        <v>72.11</v>
      </c>
      <c r="W170" s="6">
        <v>0</v>
      </c>
      <c r="X170" s="6">
        <v>30.9</v>
      </c>
    </row>
    <row r="171" spans="1:24" ht="24.75" x14ac:dyDescent="0.25">
      <c r="A171" s="6" t="s">
        <v>25</v>
      </c>
      <c r="B171" s="6" t="s">
        <v>26</v>
      </c>
      <c r="C171" s="6" t="s">
        <v>48</v>
      </c>
      <c r="D171" s="6" t="s">
        <v>49</v>
      </c>
      <c r="E171" s="6" t="s">
        <v>38</v>
      </c>
      <c r="F171" s="6" t="s">
        <v>142</v>
      </c>
      <c r="G171" s="6">
        <v>2017</v>
      </c>
      <c r="H171" s="6" t="str">
        <f>CONCATENATE("74780034000")</f>
        <v>74780034000</v>
      </c>
      <c r="I171" s="6" t="s">
        <v>28</v>
      </c>
      <c r="J171" s="6" t="s">
        <v>29</v>
      </c>
      <c r="K171" s="6" t="str">
        <f>CONCATENATE("221")</f>
        <v>221</v>
      </c>
      <c r="L171" s="6" t="str">
        <f>CONCATENATE("8 8.1 5e")</f>
        <v>8 8.1 5e</v>
      </c>
      <c r="M171" s="6" t="str">
        <f>CONCATENATE("PTRDNC41A25I461A")</f>
        <v>PTRDNC41A25I461A</v>
      </c>
      <c r="N171" s="6" t="s">
        <v>267</v>
      </c>
      <c r="O171" s="6" t="s">
        <v>165</v>
      </c>
      <c r="P171" s="7">
        <v>43173</v>
      </c>
      <c r="Q171" s="6" t="s">
        <v>30</v>
      </c>
      <c r="R171" s="6" t="s">
        <v>31</v>
      </c>
      <c r="S171" s="6" t="s">
        <v>32</v>
      </c>
      <c r="T171" s="6">
        <v>197.39</v>
      </c>
      <c r="U171" s="6">
        <v>85.11</v>
      </c>
      <c r="V171" s="6">
        <v>78.599999999999994</v>
      </c>
      <c r="W171" s="6">
        <v>0</v>
      </c>
      <c r="X171" s="6">
        <v>33.68</v>
      </c>
    </row>
    <row r="172" spans="1:24" ht="24.75" x14ac:dyDescent="0.25">
      <c r="A172" s="6" t="s">
        <v>25</v>
      </c>
      <c r="B172" s="6" t="s">
        <v>26</v>
      </c>
      <c r="C172" s="6" t="s">
        <v>48</v>
      </c>
      <c r="D172" s="6" t="s">
        <v>52</v>
      </c>
      <c r="E172" s="6" t="s">
        <v>34</v>
      </c>
      <c r="F172" s="6" t="s">
        <v>233</v>
      </c>
      <c r="G172" s="6">
        <v>2017</v>
      </c>
      <c r="H172" s="6" t="str">
        <f>CONCATENATE("74780063819")</f>
        <v>74780063819</v>
      </c>
      <c r="I172" s="6" t="s">
        <v>28</v>
      </c>
      <c r="J172" s="6" t="s">
        <v>29</v>
      </c>
      <c r="K172" s="6" t="str">
        <f>CONCATENATE("221")</f>
        <v>221</v>
      </c>
      <c r="L172" s="6" t="str">
        <f>CONCATENATE("8 8.1 5e")</f>
        <v>8 8.1 5e</v>
      </c>
      <c r="M172" s="6" t="str">
        <f>CONCATENATE("CRLPIO58S27F415Y")</f>
        <v>CRLPIO58S27F415Y</v>
      </c>
      <c r="N172" s="6" t="s">
        <v>268</v>
      </c>
      <c r="O172" s="6" t="s">
        <v>165</v>
      </c>
      <c r="P172" s="7">
        <v>43173</v>
      </c>
      <c r="Q172" s="6" t="s">
        <v>30</v>
      </c>
      <c r="R172" s="6" t="s">
        <v>31</v>
      </c>
      <c r="S172" s="6" t="s">
        <v>32</v>
      </c>
      <c r="T172" s="8">
        <v>2271.6999999999998</v>
      </c>
      <c r="U172" s="6">
        <v>979.56</v>
      </c>
      <c r="V172" s="6">
        <v>904.59</v>
      </c>
      <c r="W172" s="6">
        <v>0</v>
      </c>
      <c r="X172" s="6">
        <v>387.55</v>
      </c>
    </row>
    <row r="173" spans="1:24" ht="24.75" x14ac:dyDescent="0.25">
      <c r="A173" s="6" t="s">
        <v>25</v>
      </c>
      <c r="B173" s="6" t="s">
        <v>26</v>
      </c>
      <c r="C173" s="6" t="s">
        <v>48</v>
      </c>
      <c r="D173" s="6" t="s">
        <v>52</v>
      </c>
      <c r="E173" s="6" t="s">
        <v>34</v>
      </c>
      <c r="F173" s="6" t="s">
        <v>235</v>
      </c>
      <c r="G173" s="6">
        <v>2017</v>
      </c>
      <c r="H173" s="6" t="str">
        <f>CONCATENATE("74780022070")</f>
        <v>74780022070</v>
      </c>
      <c r="I173" s="6" t="s">
        <v>28</v>
      </c>
      <c r="J173" s="6" t="s">
        <v>29</v>
      </c>
      <c r="K173" s="6" t="str">
        <f>CONCATENATE("221")</f>
        <v>221</v>
      </c>
      <c r="L173" s="6" t="str">
        <f>CONCATENATE("8 8.1 5e")</f>
        <v>8 8.1 5e</v>
      </c>
      <c r="M173" s="6" t="str">
        <f>CONCATENATE("FRTLRA69C51A940T")</f>
        <v>FRTLRA69C51A940T</v>
      </c>
      <c r="N173" s="6" t="s">
        <v>269</v>
      </c>
      <c r="O173" s="6" t="s">
        <v>165</v>
      </c>
      <c r="P173" s="7">
        <v>43173</v>
      </c>
      <c r="Q173" s="6" t="s">
        <v>30</v>
      </c>
      <c r="R173" s="6" t="s">
        <v>31</v>
      </c>
      <c r="S173" s="6" t="s">
        <v>32</v>
      </c>
      <c r="T173" s="6">
        <v>556.79999999999995</v>
      </c>
      <c r="U173" s="6">
        <v>240.09</v>
      </c>
      <c r="V173" s="6">
        <v>221.72</v>
      </c>
      <c r="W173" s="6">
        <v>0</v>
      </c>
      <c r="X173" s="6">
        <v>94.99</v>
      </c>
    </row>
    <row r="174" spans="1:24" ht="24.75" x14ac:dyDescent="0.25">
      <c r="A174" s="6" t="s">
        <v>25</v>
      </c>
      <c r="B174" s="6" t="s">
        <v>26</v>
      </c>
      <c r="C174" s="6" t="s">
        <v>48</v>
      </c>
      <c r="D174" s="6" t="s">
        <v>52</v>
      </c>
      <c r="E174" s="6" t="s">
        <v>34</v>
      </c>
      <c r="F174" s="6" t="s">
        <v>233</v>
      </c>
      <c r="G174" s="6">
        <v>2017</v>
      </c>
      <c r="H174" s="6" t="str">
        <f>CONCATENATE("74780070517")</f>
        <v>74780070517</v>
      </c>
      <c r="I174" s="6" t="s">
        <v>28</v>
      </c>
      <c r="J174" s="6" t="s">
        <v>29</v>
      </c>
      <c r="K174" s="6" t="str">
        <f>CONCATENATE("221")</f>
        <v>221</v>
      </c>
      <c r="L174" s="6" t="str">
        <f>CONCATENATE("8 8.1 5e")</f>
        <v>8 8.1 5e</v>
      </c>
      <c r="M174" s="6" t="str">
        <f>CONCATENATE("MNLBRN48S08B727M")</f>
        <v>MNLBRN48S08B727M</v>
      </c>
      <c r="N174" s="6" t="s">
        <v>270</v>
      </c>
      <c r="O174" s="6" t="s">
        <v>165</v>
      </c>
      <c r="P174" s="7">
        <v>43173</v>
      </c>
      <c r="Q174" s="6" t="s">
        <v>30</v>
      </c>
      <c r="R174" s="6" t="s">
        <v>31</v>
      </c>
      <c r="S174" s="6" t="s">
        <v>32</v>
      </c>
      <c r="T174" s="6">
        <v>398.47</v>
      </c>
      <c r="U174" s="6">
        <v>171.82</v>
      </c>
      <c r="V174" s="6">
        <v>158.66999999999999</v>
      </c>
      <c r="W174" s="6">
        <v>0</v>
      </c>
      <c r="X174" s="6">
        <v>67.98</v>
      </c>
    </row>
    <row r="175" spans="1:24" ht="24.75" x14ac:dyDescent="0.25">
      <c r="A175" s="6" t="s">
        <v>25</v>
      </c>
      <c r="B175" s="6" t="s">
        <v>26</v>
      </c>
      <c r="C175" s="6" t="s">
        <v>48</v>
      </c>
      <c r="D175" s="6" t="s">
        <v>52</v>
      </c>
      <c r="E175" s="6" t="s">
        <v>34</v>
      </c>
      <c r="F175" s="6" t="s">
        <v>233</v>
      </c>
      <c r="G175" s="6">
        <v>2017</v>
      </c>
      <c r="H175" s="6" t="str">
        <f>CONCATENATE("74780060328")</f>
        <v>74780060328</v>
      </c>
      <c r="I175" s="6" t="s">
        <v>28</v>
      </c>
      <c r="J175" s="6" t="s">
        <v>29</v>
      </c>
      <c r="K175" s="6" t="str">
        <f>CONCATENATE("221")</f>
        <v>221</v>
      </c>
      <c r="L175" s="6" t="str">
        <f>CONCATENATE("8 8.1 5e")</f>
        <v>8 8.1 5e</v>
      </c>
      <c r="M175" s="6" t="str">
        <f>CONCATENATE("VZZMSM81A30D542O")</f>
        <v>VZZMSM81A30D542O</v>
      </c>
      <c r="N175" s="6" t="s">
        <v>271</v>
      </c>
      <c r="O175" s="6" t="s">
        <v>165</v>
      </c>
      <c r="P175" s="7">
        <v>43173</v>
      </c>
      <c r="Q175" s="6" t="s">
        <v>30</v>
      </c>
      <c r="R175" s="6" t="s">
        <v>31</v>
      </c>
      <c r="S175" s="6" t="s">
        <v>32</v>
      </c>
      <c r="T175" s="6">
        <v>768</v>
      </c>
      <c r="U175" s="6">
        <v>331.16</v>
      </c>
      <c r="V175" s="6">
        <v>305.82</v>
      </c>
      <c r="W175" s="6">
        <v>0</v>
      </c>
      <c r="X175" s="6">
        <v>131.02000000000001</v>
      </c>
    </row>
    <row r="176" spans="1:24" ht="24.75" x14ac:dyDescent="0.25">
      <c r="A176" s="6" t="s">
        <v>25</v>
      </c>
      <c r="B176" s="6" t="s">
        <v>26</v>
      </c>
      <c r="C176" s="6" t="s">
        <v>48</v>
      </c>
      <c r="D176" s="6" t="s">
        <v>52</v>
      </c>
      <c r="E176" s="6" t="s">
        <v>34</v>
      </c>
      <c r="F176" s="6" t="s">
        <v>235</v>
      </c>
      <c r="G176" s="6">
        <v>2017</v>
      </c>
      <c r="H176" s="6" t="str">
        <f>CONCATENATE("74780022047")</f>
        <v>74780022047</v>
      </c>
      <c r="I176" s="6" t="s">
        <v>28</v>
      </c>
      <c r="J176" s="6" t="s">
        <v>29</v>
      </c>
      <c r="K176" s="6" t="str">
        <f>CONCATENATE("221")</f>
        <v>221</v>
      </c>
      <c r="L176" s="6" t="str">
        <f>CONCATENATE("8 8.1 5e")</f>
        <v>8 8.1 5e</v>
      </c>
      <c r="M176" s="6" t="str">
        <f>CONCATENATE("CHCLRN45H41C316F")</f>
        <v>CHCLRN45H41C316F</v>
      </c>
      <c r="N176" s="6" t="s">
        <v>272</v>
      </c>
      <c r="O176" s="6" t="s">
        <v>165</v>
      </c>
      <c r="P176" s="7">
        <v>43173</v>
      </c>
      <c r="Q176" s="6" t="s">
        <v>30</v>
      </c>
      <c r="R176" s="6" t="s">
        <v>31</v>
      </c>
      <c r="S176" s="6" t="s">
        <v>32</v>
      </c>
      <c r="T176" s="6">
        <v>996</v>
      </c>
      <c r="U176" s="6">
        <v>429.48</v>
      </c>
      <c r="V176" s="6">
        <v>396.61</v>
      </c>
      <c r="W176" s="6">
        <v>0</v>
      </c>
      <c r="X176" s="6">
        <v>169.91</v>
      </c>
    </row>
    <row r="177" spans="1:24" ht="24.75" x14ac:dyDescent="0.25">
      <c r="A177" s="6" t="s">
        <v>25</v>
      </c>
      <c r="B177" s="6" t="s">
        <v>26</v>
      </c>
      <c r="C177" s="6" t="s">
        <v>48</v>
      </c>
      <c r="D177" s="6" t="s">
        <v>52</v>
      </c>
      <c r="E177" s="6" t="s">
        <v>34</v>
      </c>
      <c r="F177" s="6" t="s">
        <v>233</v>
      </c>
      <c r="G177" s="6">
        <v>2017</v>
      </c>
      <c r="H177" s="6" t="str">
        <f>CONCATENATE("74780061169")</f>
        <v>74780061169</v>
      </c>
      <c r="I177" s="6" t="s">
        <v>28</v>
      </c>
      <c r="J177" s="6" t="s">
        <v>29</v>
      </c>
      <c r="K177" s="6" t="str">
        <f>CONCATENATE("221")</f>
        <v>221</v>
      </c>
      <c r="L177" s="6" t="str">
        <f>CONCATENATE("8 8.1 5e")</f>
        <v>8 8.1 5e</v>
      </c>
      <c r="M177" s="6" t="str">
        <f>CONCATENATE("BSSDTL64M68D691R")</f>
        <v>BSSDTL64M68D691R</v>
      </c>
      <c r="N177" s="6" t="s">
        <v>273</v>
      </c>
      <c r="O177" s="6" t="s">
        <v>165</v>
      </c>
      <c r="P177" s="7">
        <v>43173</v>
      </c>
      <c r="Q177" s="6" t="s">
        <v>30</v>
      </c>
      <c r="R177" s="6" t="s">
        <v>31</v>
      </c>
      <c r="S177" s="6" t="s">
        <v>32</v>
      </c>
      <c r="T177" s="6">
        <v>330.02</v>
      </c>
      <c r="U177" s="6">
        <v>142.30000000000001</v>
      </c>
      <c r="V177" s="6">
        <v>131.41</v>
      </c>
      <c r="W177" s="6">
        <v>0</v>
      </c>
      <c r="X177" s="6">
        <v>56.31</v>
      </c>
    </row>
    <row r="178" spans="1:24" ht="24.75" x14ac:dyDescent="0.25">
      <c r="A178" s="6" t="s">
        <v>25</v>
      </c>
      <c r="B178" s="6" t="s">
        <v>26</v>
      </c>
      <c r="C178" s="6" t="s">
        <v>48</v>
      </c>
      <c r="D178" s="6" t="s">
        <v>52</v>
      </c>
      <c r="E178" s="6" t="s">
        <v>34</v>
      </c>
      <c r="F178" s="6" t="s">
        <v>233</v>
      </c>
      <c r="G178" s="6">
        <v>2017</v>
      </c>
      <c r="H178" s="6" t="str">
        <f>CONCATENATE("74780057571")</f>
        <v>74780057571</v>
      </c>
      <c r="I178" s="6" t="s">
        <v>28</v>
      </c>
      <c r="J178" s="6" t="s">
        <v>29</v>
      </c>
      <c r="K178" s="6" t="str">
        <f>CONCATENATE("221")</f>
        <v>221</v>
      </c>
      <c r="L178" s="6" t="str">
        <f>CONCATENATE("8 8.1 5e")</f>
        <v>8 8.1 5e</v>
      </c>
      <c r="M178" s="6" t="str">
        <f>CONCATENATE("TCCRSN39T57C935Y")</f>
        <v>TCCRSN39T57C935Y</v>
      </c>
      <c r="N178" s="6" t="s">
        <v>274</v>
      </c>
      <c r="O178" s="6" t="s">
        <v>165</v>
      </c>
      <c r="P178" s="7">
        <v>43173</v>
      </c>
      <c r="Q178" s="6" t="s">
        <v>30</v>
      </c>
      <c r="R178" s="6" t="s">
        <v>31</v>
      </c>
      <c r="S178" s="6" t="s">
        <v>32</v>
      </c>
      <c r="T178" s="6">
        <v>264.44</v>
      </c>
      <c r="U178" s="6">
        <v>114.03</v>
      </c>
      <c r="V178" s="6">
        <v>105.3</v>
      </c>
      <c r="W178" s="6">
        <v>0</v>
      </c>
      <c r="X178" s="6">
        <v>45.11</v>
      </c>
    </row>
    <row r="179" spans="1:24" ht="24.75" x14ac:dyDescent="0.25">
      <c r="A179" s="6" t="s">
        <v>25</v>
      </c>
      <c r="B179" s="6" t="s">
        <v>26</v>
      </c>
      <c r="C179" s="6" t="s">
        <v>48</v>
      </c>
      <c r="D179" s="6" t="s">
        <v>52</v>
      </c>
      <c r="E179" s="6" t="s">
        <v>34</v>
      </c>
      <c r="F179" s="6" t="s">
        <v>233</v>
      </c>
      <c r="G179" s="6">
        <v>2017</v>
      </c>
      <c r="H179" s="6" t="str">
        <f>CONCATENATE("74780060435")</f>
        <v>74780060435</v>
      </c>
      <c r="I179" s="6" t="s">
        <v>28</v>
      </c>
      <c r="J179" s="6" t="s">
        <v>29</v>
      </c>
      <c r="K179" s="6" t="str">
        <f>CONCATENATE("221")</f>
        <v>221</v>
      </c>
      <c r="L179" s="6" t="str">
        <f>CONCATENATE("8 8.1 5e")</f>
        <v>8 8.1 5e</v>
      </c>
      <c r="M179" s="6" t="str">
        <f>CONCATENATE("LNCRRT67D21F415V")</f>
        <v>LNCRRT67D21F415V</v>
      </c>
      <c r="N179" s="6" t="s">
        <v>275</v>
      </c>
      <c r="O179" s="6" t="s">
        <v>165</v>
      </c>
      <c r="P179" s="7">
        <v>43173</v>
      </c>
      <c r="Q179" s="6" t="s">
        <v>30</v>
      </c>
      <c r="R179" s="6" t="s">
        <v>31</v>
      </c>
      <c r="S179" s="6" t="s">
        <v>32</v>
      </c>
      <c r="T179" s="6">
        <v>235.2</v>
      </c>
      <c r="U179" s="6">
        <v>101.42</v>
      </c>
      <c r="V179" s="6">
        <v>93.66</v>
      </c>
      <c r="W179" s="6">
        <v>0</v>
      </c>
      <c r="X179" s="6">
        <v>40.119999999999997</v>
      </c>
    </row>
    <row r="180" spans="1:24" ht="24.75" x14ac:dyDescent="0.25">
      <c r="A180" s="6" t="s">
        <v>25</v>
      </c>
      <c r="B180" s="6" t="s">
        <v>26</v>
      </c>
      <c r="C180" s="6" t="s">
        <v>48</v>
      </c>
      <c r="D180" s="6" t="s">
        <v>52</v>
      </c>
      <c r="E180" s="6" t="s">
        <v>34</v>
      </c>
      <c r="F180" s="6" t="s">
        <v>233</v>
      </c>
      <c r="G180" s="6">
        <v>2017</v>
      </c>
      <c r="H180" s="6" t="str">
        <f>CONCATENATE("74780061540")</f>
        <v>74780061540</v>
      </c>
      <c r="I180" s="6" t="s">
        <v>28</v>
      </c>
      <c r="J180" s="6" t="s">
        <v>29</v>
      </c>
      <c r="K180" s="6" t="str">
        <f>CONCATENATE("221")</f>
        <v>221</v>
      </c>
      <c r="L180" s="6" t="str">
        <f>CONCATENATE("8 8.1 5e")</f>
        <v>8 8.1 5e</v>
      </c>
      <c r="M180" s="6" t="str">
        <f>CONCATENATE("CCRFST38R69G289L")</f>
        <v>CCRFST38R69G289L</v>
      </c>
      <c r="N180" s="6" t="s">
        <v>276</v>
      </c>
      <c r="O180" s="6" t="s">
        <v>165</v>
      </c>
      <c r="P180" s="7">
        <v>43173</v>
      </c>
      <c r="Q180" s="6" t="s">
        <v>30</v>
      </c>
      <c r="R180" s="6" t="s">
        <v>31</v>
      </c>
      <c r="S180" s="6" t="s">
        <v>32</v>
      </c>
      <c r="T180" s="8">
        <v>1814.31</v>
      </c>
      <c r="U180" s="6">
        <v>782.33</v>
      </c>
      <c r="V180" s="6">
        <v>722.46</v>
      </c>
      <c r="W180" s="6">
        <v>0</v>
      </c>
      <c r="X180" s="6">
        <v>309.52</v>
      </c>
    </row>
    <row r="181" spans="1:24" ht="24.75" x14ac:dyDescent="0.25">
      <c r="A181" s="6" t="s">
        <v>25</v>
      </c>
      <c r="B181" s="6" t="s">
        <v>26</v>
      </c>
      <c r="C181" s="6" t="s">
        <v>48</v>
      </c>
      <c r="D181" s="6" t="s">
        <v>52</v>
      </c>
      <c r="E181" s="6" t="s">
        <v>34</v>
      </c>
      <c r="F181" s="6" t="s">
        <v>233</v>
      </c>
      <c r="G181" s="6">
        <v>2017</v>
      </c>
      <c r="H181" s="6" t="str">
        <f>CONCATENATE("74780063587")</f>
        <v>74780063587</v>
      </c>
      <c r="I181" s="6" t="s">
        <v>28</v>
      </c>
      <c r="J181" s="6" t="s">
        <v>29</v>
      </c>
      <c r="K181" s="6" t="str">
        <f>CONCATENATE("221")</f>
        <v>221</v>
      </c>
      <c r="L181" s="6" t="str">
        <f>CONCATENATE("8 8.1 5e")</f>
        <v>8 8.1 5e</v>
      </c>
      <c r="M181" s="6" t="str">
        <f>CONCATENATE("01210500441")</f>
        <v>01210500441</v>
      </c>
      <c r="N181" s="6" t="s">
        <v>277</v>
      </c>
      <c r="O181" s="6" t="s">
        <v>165</v>
      </c>
      <c r="P181" s="7">
        <v>43173</v>
      </c>
      <c r="Q181" s="6" t="s">
        <v>30</v>
      </c>
      <c r="R181" s="6" t="s">
        <v>31</v>
      </c>
      <c r="S181" s="6" t="s">
        <v>32</v>
      </c>
      <c r="T181" s="8">
        <v>2454.35</v>
      </c>
      <c r="U181" s="8">
        <v>1058.32</v>
      </c>
      <c r="V181" s="6">
        <v>977.32</v>
      </c>
      <c r="W181" s="6">
        <v>0</v>
      </c>
      <c r="X181" s="6">
        <v>418.71</v>
      </c>
    </row>
    <row r="182" spans="1:24" ht="24.75" x14ac:dyDescent="0.25">
      <c r="A182" s="6" t="s">
        <v>25</v>
      </c>
      <c r="B182" s="6" t="s">
        <v>26</v>
      </c>
      <c r="C182" s="6" t="s">
        <v>48</v>
      </c>
      <c r="D182" s="6" t="s">
        <v>52</v>
      </c>
      <c r="E182" s="6" t="s">
        <v>33</v>
      </c>
      <c r="F182" s="6" t="s">
        <v>83</v>
      </c>
      <c r="G182" s="6">
        <v>2017</v>
      </c>
      <c r="H182" s="6" t="str">
        <f>CONCATENATE("74780009689")</f>
        <v>74780009689</v>
      </c>
      <c r="I182" s="6" t="s">
        <v>28</v>
      </c>
      <c r="J182" s="6" t="s">
        <v>29</v>
      </c>
      <c r="K182" s="6" t="str">
        <f>CONCATENATE("221")</f>
        <v>221</v>
      </c>
      <c r="L182" s="6" t="str">
        <f>CONCATENATE("8 8.1 5e")</f>
        <v>8 8.1 5e</v>
      </c>
      <c r="M182" s="6" t="str">
        <f>CONCATENATE("LBRTLI41B14A462G")</f>
        <v>LBRTLI41B14A462G</v>
      </c>
      <c r="N182" s="6" t="s">
        <v>278</v>
      </c>
      <c r="O182" s="6" t="s">
        <v>165</v>
      </c>
      <c r="P182" s="7">
        <v>43173</v>
      </c>
      <c r="Q182" s="6" t="s">
        <v>30</v>
      </c>
      <c r="R182" s="6" t="s">
        <v>31</v>
      </c>
      <c r="S182" s="6" t="s">
        <v>32</v>
      </c>
      <c r="T182" s="6">
        <v>90.55</v>
      </c>
      <c r="U182" s="6">
        <v>39.049999999999997</v>
      </c>
      <c r="V182" s="6">
        <v>36.06</v>
      </c>
      <c r="W182" s="6">
        <v>0</v>
      </c>
      <c r="X182" s="6">
        <v>15.44</v>
      </c>
    </row>
    <row r="183" spans="1:24" ht="24.75" x14ac:dyDescent="0.25">
      <c r="A183" s="6" t="s">
        <v>25</v>
      </c>
      <c r="B183" s="6" t="s">
        <v>26</v>
      </c>
      <c r="C183" s="6" t="s">
        <v>48</v>
      </c>
      <c r="D183" s="6" t="s">
        <v>52</v>
      </c>
      <c r="E183" s="6" t="s">
        <v>38</v>
      </c>
      <c r="F183" s="6" t="s">
        <v>62</v>
      </c>
      <c r="G183" s="6">
        <v>2017</v>
      </c>
      <c r="H183" s="6" t="str">
        <f>CONCATENATE("74780028648")</f>
        <v>74780028648</v>
      </c>
      <c r="I183" s="6" t="s">
        <v>28</v>
      </c>
      <c r="J183" s="6" t="s">
        <v>29</v>
      </c>
      <c r="K183" s="6" t="str">
        <f>CONCATENATE("221")</f>
        <v>221</v>
      </c>
      <c r="L183" s="6" t="str">
        <f>CONCATENATE("8 8.1 5e")</f>
        <v>8 8.1 5e</v>
      </c>
      <c r="M183" s="6" t="str">
        <f>CONCATENATE("PLLRRT67S53A233T")</f>
        <v>PLLRRT67S53A233T</v>
      </c>
      <c r="N183" s="6" t="s">
        <v>279</v>
      </c>
      <c r="O183" s="6" t="s">
        <v>165</v>
      </c>
      <c r="P183" s="7">
        <v>43173</v>
      </c>
      <c r="Q183" s="6" t="s">
        <v>30</v>
      </c>
      <c r="R183" s="6" t="s">
        <v>31</v>
      </c>
      <c r="S183" s="6" t="s">
        <v>32</v>
      </c>
      <c r="T183" s="6">
        <v>639.28</v>
      </c>
      <c r="U183" s="6">
        <v>275.66000000000003</v>
      </c>
      <c r="V183" s="6">
        <v>254.56</v>
      </c>
      <c r="W183" s="6">
        <v>0</v>
      </c>
      <c r="X183" s="6">
        <v>109.06</v>
      </c>
    </row>
    <row r="184" spans="1:24" ht="24.75" x14ac:dyDescent="0.25">
      <c r="A184" s="6" t="s">
        <v>25</v>
      </c>
      <c r="B184" s="6" t="s">
        <v>26</v>
      </c>
      <c r="C184" s="6" t="s">
        <v>48</v>
      </c>
      <c r="D184" s="6" t="s">
        <v>52</v>
      </c>
      <c r="E184" s="6" t="s">
        <v>34</v>
      </c>
      <c r="F184" s="6" t="s">
        <v>163</v>
      </c>
      <c r="G184" s="6">
        <v>2017</v>
      </c>
      <c r="H184" s="6" t="str">
        <f>CONCATENATE("74780024746")</f>
        <v>74780024746</v>
      </c>
      <c r="I184" s="6" t="s">
        <v>28</v>
      </c>
      <c r="J184" s="6" t="s">
        <v>29</v>
      </c>
      <c r="K184" s="6" t="str">
        <f>CONCATENATE("221")</f>
        <v>221</v>
      </c>
      <c r="L184" s="6" t="str">
        <f>CONCATENATE("8 8.1 5e")</f>
        <v>8 8.1 5e</v>
      </c>
      <c r="M184" s="6" t="str">
        <f>CONCATENATE("TRNBNR58S08C321W")</f>
        <v>TRNBNR58S08C321W</v>
      </c>
      <c r="N184" s="6" t="s">
        <v>280</v>
      </c>
      <c r="O184" s="6" t="s">
        <v>165</v>
      </c>
      <c r="P184" s="7">
        <v>43173</v>
      </c>
      <c r="Q184" s="6" t="s">
        <v>30</v>
      </c>
      <c r="R184" s="6" t="s">
        <v>31</v>
      </c>
      <c r="S184" s="6" t="s">
        <v>32</v>
      </c>
      <c r="T184" s="6">
        <v>409.28</v>
      </c>
      <c r="U184" s="6">
        <v>176.48</v>
      </c>
      <c r="V184" s="6">
        <v>162.97999999999999</v>
      </c>
      <c r="W184" s="6">
        <v>0</v>
      </c>
      <c r="X184" s="6">
        <v>69.819999999999993</v>
      </c>
    </row>
    <row r="185" spans="1:24" ht="24.75" x14ac:dyDescent="0.25">
      <c r="A185" s="6" t="s">
        <v>25</v>
      </c>
      <c r="B185" s="6" t="s">
        <v>26</v>
      </c>
      <c r="C185" s="6" t="s">
        <v>48</v>
      </c>
      <c r="D185" s="6" t="s">
        <v>52</v>
      </c>
      <c r="E185" s="6" t="s">
        <v>38</v>
      </c>
      <c r="F185" s="6" t="s">
        <v>130</v>
      </c>
      <c r="G185" s="6">
        <v>2017</v>
      </c>
      <c r="H185" s="6" t="str">
        <f>CONCATENATE("74780023680")</f>
        <v>74780023680</v>
      </c>
      <c r="I185" s="6" t="s">
        <v>28</v>
      </c>
      <c r="J185" s="6" t="s">
        <v>29</v>
      </c>
      <c r="K185" s="6" t="str">
        <f>CONCATENATE("221")</f>
        <v>221</v>
      </c>
      <c r="L185" s="6" t="str">
        <f>CONCATENATE("8 8.1 5e")</f>
        <v>8 8.1 5e</v>
      </c>
      <c r="M185" s="6" t="str">
        <f>CONCATENATE("RPNNZE64T03B727E")</f>
        <v>RPNNZE64T03B727E</v>
      </c>
      <c r="N185" s="6" t="s">
        <v>281</v>
      </c>
      <c r="O185" s="6" t="s">
        <v>165</v>
      </c>
      <c r="P185" s="7">
        <v>43173</v>
      </c>
      <c r="Q185" s="6" t="s">
        <v>30</v>
      </c>
      <c r="R185" s="6" t="s">
        <v>31</v>
      </c>
      <c r="S185" s="6" t="s">
        <v>32</v>
      </c>
      <c r="T185" s="6">
        <v>262.58999999999997</v>
      </c>
      <c r="U185" s="6">
        <v>113.23</v>
      </c>
      <c r="V185" s="6">
        <v>104.56</v>
      </c>
      <c r="W185" s="6">
        <v>0</v>
      </c>
      <c r="X185" s="6">
        <v>44.8</v>
      </c>
    </row>
    <row r="186" spans="1:24" ht="24.75" x14ac:dyDescent="0.25">
      <c r="A186" s="6" t="s">
        <v>25</v>
      </c>
      <c r="B186" s="6" t="s">
        <v>26</v>
      </c>
      <c r="C186" s="6" t="s">
        <v>48</v>
      </c>
      <c r="D186" s="6" t="s">
        <v>52</v>
      </c>
      <c r="E186" s="6" t="s">
        <v>34</v>
      </c>
      <c r="F186" s="6" t="s">
        <v>233</v>
      </c>
      <c r="G186" s="6">
        <v>2017</v>
      </c>
      <c r="H186" s="6" t="str">
        <f>CONCATENATE("74780061466")</f>
        <v>74780061466</v>
      </c>
      <c r="I186" s="6" t="s">
        <v>28</v>
      </c>
      <c r="J186" s="6" t="s">
        <v>29</v>
      </c>
      <c r="K186" s="6" t="str">
        <f>CONCATENATE("221")</f>
        <v>221</v>
      </c>
      <c r="L186" s="6" t="str">
        <f>CONCATENATE("8 8.1 5e")</f>
        <v>8 8.1 5e</v>
      </c>
      <c r="M186" s="6" t="str">
        <f>CONCATENATE("GBBTZN77M53H769U")</f>
        <v>GBBTZN77M53H769U</v>
      </c>
      <c r="N186" s="6" t="s">
        <v>282</v>
      </c>
      <c r="O186" s="6" t="s">
        <v>165</v>
      </c>
      <c r="P186" s="7">
        <v>43173</v>
      </c>
      <c r="Q186" s="6" t="s">
        <v>30</v>
      </c>
      <c r="R186" s="6" t="s">
        <v>31</v>
      </c>
      <c r="S186" s="6" t="s">
        <v>32</v>
      </c>
      <c r="T186" s="8">
        <v>1463.49</v>
      </c>
      <c r="U186" s="6">
        <v>631.05999999999995</v>
      </c>
      <c r="V186" s="6">
        <v>582.76</v>
      </c>
      <c r="W186" s="6">
        <v>0</v>
      </c>
      <c r="X186" s="6">
        <v>249.67</v>
      </c>
    </row>
    <row r="187" spans="1:24" ht="24.75" x14ac:dyDescent="0.25">
      <c r="A187" s="6" t="s">
        <v>25</v>
      </c>
      <c r="B187" s="6" t="s">
        <v>26</v>
      </c>
      <c r="C187" s="6" t="s">
        <v>48</v>
      </c>
      <c r="D187" s="6" t="s">
        <v>52</v>
      </c>
      <c r="E187" s="6" t="s">
        <v>34</v>
      </c>
      <c r="F187" s="6" t="s">
        <v>163</v>
      </c>
      <c r="G187" s="6">
        <v>2017</v>
      </c>
      <c r="H187" s="6" t="str">
        <f>CONCATENATE("74780024381")</f>
        <v>74780024381</v>
      </c>
      <c r="I187" s="6" t="s">
        <v>28</v>
      </c>
      <c r="J187" s="6" t="s">
        <v>29</v>
      </c>
      <c r="K187" s="6" t="str">
        <f>CONCATENATE("221")</f>
        <v>221</v>
      </c>
      <c r="L187" s="6" t="str">
        <f>CONCATENATE("8 8.1 5e")</f>
        <v>8 8.1 5e</v>
      </c>
      <c r="M187" s="6" t="str">
        <f>CONCATENATE("LNDLGU42H27G005H")</f>
        <v>LNDLGU42H27G005H</v>
      </c>
      <c r="N187" s="6" t="s">
        <v>283</v>
      </c>
      <c r="O187" s="6" t="s">
        <v>165</v>
      </c>
      <c r="P187" s="7">
        <v>43173</v>
      </c>
      <c r="Q187" s="6" t="s">
        <v>30</v>
      </c>
      <c r="R187" s="6" t="s">
        <v>31</v>
      </c>
      <c r="S187" s="6" t="s">
        <v>32</v>
      </c>
      <c r="T187" s="8">
        <v>3745.5</v>
      </c>
      <c r="U187" s="8">
        <v>1615.06</v>
      </c>
      <c r="V187" s="8">
        <v>1491.46</v>
      </c>
      <c r="W187" s="6">
        <v>0</v>
      </c>
      <c r="X187" s="6">
        <v>638.98</v>
      </c>
    </row>
    <row r="188" spans="1:24" ht="24.75" x14ac:dyDescent="0.25">
      <c r="A188" s="6" t="s">
        <v>25</v>
      </c>
      <c r="B188" s="6" t="s">
        <v>26</v>
      </c>
      <c r="C188" s="6" t="s">
        <v>48</v>
      </c>
      <c r="D188" s="6" t="s">
        <v>52</v>
      </c>
      <c r="E188" s="6" t="s">
        <v>34</v>
      </c>
      <c r="F188" s="6" t="s">
        <v>235</v>
      </c>
      <c r="G188" s="6">
        <v>2017</v>
      </c>
      <c r="H188" s="6" t="str">
        <f>CONCATENATE("74780023714")</f>
        <v>74780023714</v>
      </c>
      <c r="I188" s="6" t="s">
        <v>28</v>
      </c>
      <c r="J188" s="6" t="s">
        <v>29</v>
      </c>
      <c r="K188" s="6" t="str">
        <f>CONCATENATE("221")</f>
        <v>221</v>
      </c>
      <c r="L188" s="6" t="str">
        <f>CONCATENATE("8 8.1 5e")</f>
        <v>8 8.1 5e</v>
      </c>
      <c r="M188" s="6" t="str">
        <f>CONCATENATE("LLMFPP33S09H321L")</f>
        <v>LLMFPP33S09H321L</v>
      </c>
      <c r="N188" s="6" t="s">
        <v>284</v>
      </c>
      <c r="O188" s="6" t="s">
        <v>165</v>
      </c>
      <c r="P188" s="7">
        <v>43173</v>
      </c>
      <c r="Q188" s="6" t="s">
        <v>30</v>
      </c>
      <c r="R188" s="6" t="s">
        <v>31</v>
      </c>
      <c r="S188" s="6" t="s">
        <v>32</v>
      </c>
      <c r="T188" s="6">
        <v>484.09</v>
      </c>
      <c r="U188" s="6">
        <v>208.74</v>
      </c>
      <c r="V188" s="6">
        <v>192.76</v>
      </c>
      <c r="W188" s="6">
        <v>0</v>
      </c>
      <c r="X188" s="6">
        <v>82.59</v>
      </c>
    </row>
    <row r="189" spans="1:24" ht="24.75" x14ac:dyDescent="0.25">
      <c r="A189" s="6" t="s">
        <v>25</v>
      </c>
      <c r="B189" s="6" t="s">
        <v>26</v>
      </c>
      <c r="C189" s="6" t="s">
        <v>48</v>
      </c>
      <c r="D189" s="6" t="s">
        <v>52</v>
      </c>
      <c r="E189" s="6" t="s">
        <v>38</v>
      </c>
      <c r="F189" s="6" t="s">
        <v>56</v>
      </c>
      <c r="G189" s="6">
        <v>2017</v>
      </c>
      <c r="H189" s="6" t="str">
        <f>CONCATENATE("74780005414")</f>
        <v>74780005414</v>
      </c>
      <c r="I189" s="6" t="s">
        <v>28</v>
      </c>
      <c r="J189" s="6" t="s">
        <v>29</v>
      </c>
      <c r="K189" s="6" t="str">
        <f>CONCATENATE("221")</f>
        <v>221</v>
      </c>
      <c r="L189" s="6" t="str">
        <f>CONCATENATE("8 8.1 5e")</f>
        <v>8 8.1 5e</v>
      </c>
      <c r="M189" s="6" t="str">
        <f>CONCATENATE("MZZGRN45D16H321Q")</f>
        <v>MZZGRN45D16H321Q</v>
      </c>
      <c r="N189" s="6" t="s">
        <v>285</v>
      </c>
      <c r="O189" s="6" t="s">
        <v>165</v>
      </c>
      <c r="P189" s="7">
        <v>43173</v>
      </c>
      <c r="Q189" s="6" t="s">
        <v>30</v>
      </c>
      <c r="R189" s="6" t="s">
        <v>31</v>
      </c>
      <c r="S189" s="6" t="s">
        <v>32</v>
      </c>
      <c r="T189" s="6">
        <v>874.68</v>
      </c>
      <c r="U189" s="6">
        <v>377.16</v>
      </c>
      <c r="V189" s="6">
        <v>348.3</v>
      </c>
      <c r="W189" s="6">
        <v>0</v>
      </c>
      <c r="X189" s="6">
        <v>149.22</v>
      </c>
    </row>
    <row r="190" spans="1:24" ht="24.75" x14ac:dyDescent="0.25">
      <c r="A190" s="6" t="s">
        <v>25</v>
      </c>
      <c r="B190" s="6" t="s">
        <v>26</v>
      </c>
      <c r="C190" s="6" t="s">
        <v>48</v>
      </c>
      <c r="D190" s="6" t="s">
        <v>52</v>
      </c>
      <c r="E190" s="6" t="s">
        <v>34</v>
      </c>
      <c r="F190" s="6" t="s">
        <v>235</v>
      </c>
      <c r="G190" s="6">
        <v>2017</v>
      </c>
      <c r="H190" s="6" t="str">
        <f>CONCATENATE("74780026394")</f>
        <v>74780026394</v>
      </c>
      <c r="I190" s="6" t="s">
        <v>28</v>
      </c>
      <c r="J190" s="6" t="s">
        <v>29</v>
      </c>
      <c r="K190" s="6" t="str">
        <f>CONCATENATE("221")</f>
        <v>221</v>
      </c>
      <c r="L190" s="6" t="str">
        <f>CONCATENATE("8 8.1 5e")</f>
        <v>8 8.1 5e</v>
      </c>
      <c r="M190" s="6" t="str">
        <f>CONCATENATE("LLMNLN70S17H321W")</f>
        <v>LLMNLN70S17H321W</v>
      </c>
      <c r="N190" s="6" t="s">
        <v>286</v>
      </c>
      <c r="O190" s="6" t="s">
        <v>165</v>
      </c>
      <c r="P190" s="7">
        <v>43173</v>
      </c>
      <c r="Q190" s="6" t="s">
        <v>30</v>
      </c>
      <c r="R190" s="6" t="s">
        <v>31</v>
      </c>
      <c r="S190" s="6" t="s">
        <v>32</v>
      </c>
      <c r="T190" s="6">
        <v>812.92</v>
      </c>
      <c r="U190" s="6">
        <v>350.53</v>
      </c>
      <c r="V190" s="6">
        <v>323.7</v>
      </c>
      <c r="W190" s="6">
        <v>0</v>
      </c>
      <c r="X190" s="6">
        <v>138.69</v>
      </c>
    </row>
    <row r="191" spans="1:24" ht="24.75" x14ac:dyDescent="0.25">
      <c r="A191" s="6" t="s">
        <v>25</v>
      </c>
      <c r="B191" s="6" t="s">
        <v>26</v>
      </c>
      <c r="C191" s="6" t="s">
        <v>48</v>
      </c>
      <c r="D191" s="6" t="s">
        <v>52</v>
      </c>
      <c r="E191" s="6" t="s">
        <v>34</v>
      </c>
      <c r="F191" s="6" t="s">
        <v>163</v>
      </c>
      <c r="G191" s="6">
        <v>2017</v>
      </c>
      <c r="H191" s="6" t="str">
        <f>CONCATENATE("74780024670")</f>
        <v>74780024670</v>
      </c>
      <c r="I191" s="6" t="s">
        <v>28</v>
      </c>
      <c r="J191" s="6" t="s">
        <v>29</v>
      </c>
      <c r="K191" s="6" t="str">
        <f>CONCATENATE("221")</f>
        <v>221</v>
      </c>
      <c r="L191" s="6" t="str">
        <f>CONCATENATE("8 8.1 5e")</f>
        <v>8 8.1 5e</v>
      </c>
      <c r="M191" s="6" t="str">
        <f>CONCATENATE("SGHMLE47T08G005U")</f>
        <v>SGHMLE47T08G005U</v>
      </c>
      <c r="N191" s="6" t="s">
        <v>287</v>
      </c>
      <c r="O191" s="6" t="s">
        <v>165</v>
      </c>
      <c r="P191" s="7">
        <v>43173</v>
      </c>
      <c r="Q191" s="6" t="s">
        <v>30</v>
      </c>
      <c r="R191" s="6" t="s">
        <v>31</v>
      </c>
      <c r="S191" s="6" t="s">
        <v>32</v>
      </c>
      <c r="T191" s="6">
        <v>205.78</v>
      </c>
      <c r="U191" s="6">
        <v>88.73</v>
      </c>
      <c r="V191" s="6">
        <v>81.94</v>
      </c>
      <c r="W191" s="6">
        <v>0</v>
      </c>
      <c r="X191" s="6">
        <v>35.11</v>
      </c>
    </row>
    <row r="192" spans="1:24" ht="24.75" x14ac:dyDescent="0.25">
      <c r="A192" s="6" t="s">
        <v>25</v>
      </c>
      <c r="B192" s="6" t="s">
        <v>26</v>
      </c>
      <c r="C192" s="6" t="s">
        <v>48</v>
      </c>
      <c r="D192" s="6" t="s">
        <v>52</v>
      </c>
      <c r="E192" s="6" t="s">
        <v>33</v>
      </c>
      <c r="F192" s="6" t="s">
        <v>83</v>
      </c>
      <c r="G192" s="6">
        <v>2017</v>
      </c>
      <c r="H192" s="6" t="str">
        <f>CONCATENATE("74780067612")</f>
        <v>74780067612</v>
      </c>
      <c r="I192" s="6" t="s">
        <v>28</v>
      </c>
      <c r="J192" s="6" t="s">
        <v>29</v>
      </c>
      <c r="K192" s="6" t="str">
        <f>CONCATENATE("221")</f>
        <v>221</v>
      </c>
      <c r="L192" s="6" t="str">
        <f>CONCATENATE("8 8.1 5e")</f>
        <v>8 8.1 5e</v>
      </c>
      <c r="M192" s="6" t="str">
        <f>CONCATENATE("BBIRNT52S68F549P")</f>
        <v>BBIRNT52S68F549P</v>
      </c>
      <c r="N192" s="6" t="s">
        <v>288</v>
      </c>
      <c r="O192" s="6" t="s">
        <v>165</v>
      </c>
      <c r="P192" s="7">
        <v>43173</v>
      </c>
      <c r="Q192" s="6" t="s">
        <v>30</v>
      </c>
      <c r="R192" s="6" t="s">
        <v>31</v>
      </c>
      <c r="S192" s="6" t="s">
        <v>32</v>
      </c>
      <c r="T192" s="8">
        <v>1116</v>
      </c>
      <c r="U192" s="6">
        <v>481.22</v>
      </c>
      <c r="V192" s="6">
        <v>444.39</v>
      </c>
      <c r="W192" s="6">
        <v>0</v>
      </c>
      <c r="X192" s="6">
        <v>190.39</v>
      </c>
    </row>
    <row r="193" spans="1:24" ht="24.75" x14ac:dyDescent="0.25">
      <c r="A193" s="6" t="s">
        <v>25</v>
      </c>
      <c r="B193" s="6" t="s">
        <v>26</v>
      </c>
      <c r="C193" s="6" t="s">
        <v>48</v>
      </c>
      <c r="D193" s="6" t="s">
        <v>52</v>
      </c>
      <c r="E193" s="6" t="s">
        <v>34</v>
      </c>
      <c r="F193" s="6" t="s">
        <v>233</v>
      </c>
      <c r="G193" s="6">
        <v>2017</v>
      </c>
      <c r="H193" s="6" t="str">
        <f>CONCATENATE("74780064031")</f>
        <v>74780064031</v>
      </c>
      <c r="I193" s="6" t="s">
        <v>28</v>
      </c>
      <c r="J193" s="6" t="s">
        <v>29</v>
      </c>
      <c r="K193" s="6" t="str">
        <f>CONCATENATE("221")</f>
        <v>221</v>
      </c>
      <c r="L193" s="6" t="str">
        <f>CONCATENATE("8 8.1 5e")</f>
        <v>8 8.1 5e</v>
      </c>
      <c r="M193" s="6" t="str">
        <f>CONCATENATE("PLNLGU53C23B727R")</f>
        <v>PLNLGU53C23B727R</v>
      </c>
      <c r="N193" s="6" t="s">
        <v>289</v>
      </c>
      <c r="O193" s="6" t="s">
        <v>165</v>
      </c>
      <c r="P193" s="7">
        <v>43173</v>
      </c>
      <c r="Q193" s="6" t="s">
        <v>30</v>
      </c>
      <c r="R193" s="6" t="s">
        <v>31</v>
      </c>
      <c r="S193" s="6" t="s">
        <v>32</v>
      </c>
      <c r="T193" s="6">
        <v>420</v>
      </c>
      <c r="U193" s="6">
        <v>181.1</v>
      </c>
      <c r="V193" s="6">
        <v>167.24</v>
      </c>
      <c r="W193" s="6">
        <v>0</v>
      </c>
      <c r="X193" s="6">
        <v>71.66</v>
      </c>
    </row>
    <row r="194" spans="1:24" ht="24.75" x14ac:dyDescent="0.25">
      <c r="A194" s="6" t="s">
        <v>25</v>
      </c>
      <c r="B194" s="6" t="s">
        <v>26</v>
      </c>
      <c r="C194" s="6" t="s">
        <v>48</v>
      </c>
      <c r="D194" s="6" t="s">
        <v>52</v>
      </c>
      <c r="E194" s="6" t="s">
        <v>38</v>
      </c>
      <c r="F194" s="6" t="s">
        <v>56</v>
      </c>
      <c r="G194" s="6">
        <v>2017</v>
      </c>
      <c r="H194" s="6" t="str">
        <f>CONCATENATE("74780011537")</f>
        <v>74780011537</v>
      </c>
      <c r="I194" s="6" t="s">
        <v>28</v>
      </c>
      <c r="J194" s="6" t="s">
        <v>29</v>
      </c>
      <c r="K194" s="6" t="str">
        <f>CONCATENATE("221")</f>
        <v>221</v>
      </c>
      <c r="L194" s="6" t="str">
        <f>CONCATENATE("8 8.1 5e")</f>
        <v>8 8.1 5e</v>
      </c>
      <c r="M194" s="6" t="str">
        <f>CONCATENATE("VLLDNC44P17C321R")</f>
        <v>VLLDNC44P17C321R</v>
      </c>
      <c r="N194" s="6" t="s">
        <v>290</v>
      </c>
      <c r="O194" s="6" t="s">
        <v>165</v>
      </c>
      <c r="P194" s="7">
        <v>43173</v>
      </c>
      <c r="Q194" s="6" t="s">
        <v>30</v>
      </c>
      <c r="R194" s="6" t="s">
        <v>31</v>
      </c>
      <c r="S194" s="6" t="s">
        <v>32</v>
      </c>
      <c r="T194" s="6">
        <v>146.69</v>
      </c>
      <c r="U194" s="6">
        <v>63.25</v>
      </c>
      <c r="V194" s="6">
        <v>58.41</v>
      </c>
      <c r="W194" s="6">
        <v>0</v>
      </c>
      <c r="X194" s="6">
        <v>25.03</v>
      </c>
    </row>
    <row r="195" spans="1:24" ht="24.75" x14ac:dyDescent="0.25">
      <c r="A195" s="6" t="s">
        <v>25</v>
      </c>
      <c r="B195" s="6" t="s">
        <v>26</v>
      </c>
      <c r="C195" s="6" t="s">
        <v>48</v>
      </c>
      <c r="D195" s="6" t="s">
        <v>52</v>
      </c>
      <c r="E195" s="6" t="s">
        <v>34</v>
      </c>
      <c r="F195" s="6" t="s">
        <v>235</v>
      </c>
      <c r="G195" s="6">
        <v>2017</v>
      </c>
      <c r="H195" s="6" t="str">
        <f>CONCATENATE("74780023938")</f>
        <v>74780023938</v>
      </c>
      <c r="I195" s="6" t="s">
        <v>28</v>
      </c>
      <c r="J195" s="6" t="s">
        <v>29</v>
      </c>
      <c r="K195" s="6" t="str">
        <f>CONCATENATE("221")</f>
        <v>221</v>
      </c>
      <c r="L195" s="6" t="str">
        <f>CONCATENATE("8 8.1 5e")</f>
        <v>8 8.1 5e</v>
      </c>
      <c r="M195" s="6" t="str">
        <f>CONCATENATE("LFNSNO45A43Z301J")</f>
        <v>LFNSNO45A43Z301J</v>
      </c>
      <c r="N195" s="6" t="s">
        <v>291</v>
      </c>
      <c r="O195" s="6" t="s">
        <v>165</v>
      </c>
      <c r="P195" s="7">
        <v>43173</v>
      </c>
      <c r="Q195" s="6" t="s">
        <v>30</v>
      </c>
      <c r="R195" s="6" t="s">
        <v>31</v>
      </c>
      <c r="S195" s="6" t="s">
        <v>32</v>
      </c>
      <c r="T195" s="8">
        <v>4059.04</v>
      </c>
      <c r="U195" s="8">
        <v>1750.26</v>
      </c>
      <c r="V195" s="8">
        <v>1616.31</v>
      </c>
      <c r="W195" s="6">
        <v>0</v>
      </c>
      <c r="X195" s="6">
        <v>692.47</v>
      </c>
    </row>
    <row r="196" spans="1:24" ht="24.75" x14ac:dyDescent="0.25">
      <c r="A196" s="6" t="s">
        <v>25</v>
      </c>
      <c r="B196" s="6" t="s">
        <v>26</v>
      </c>
      <c r="C196" s="6" t="s">
        <v>48</v>
      </c>
      <c r="D196" s="6" t="s">
        <v>52</v>
      </c>
      <c r="E196" s="6" t="s">
        <v>34</v>
      </c>
      <c r="F196" s="6" t="s">
        <v>163</v>
      </c>
      <c r="G196" s="6">
        <v>2017</v>
      </c>
      <c r="H196" s="6" t="str">
        <f>CONCATENATE("74780024654")</f>
        <v>74780024654</v>
      </c>
      <c r="I196" s="6" t="s">
        <v>28</v>
      </c>
      <c r="J196" s="6" t="s">
        <v>29</v>
      </c>
      <c r="K196" s="6" t="str">
        <f>CONCATENATE("221")</f>
        <v>221</v>
      </c>
      <c r="L196" s="6" t="str">
        <f>CONCATENATE("8 8.1 5e")</f>
        <v>8 8.1 5e</v>
      </c>
      <c r="M196" s="6" t="str">
        <f>CONCATENATE("PTRLGU73H07G005U")</f>
        <v>PTRLGU73H07G005U</v>
      </c>
      <c r="N196" s="6" t="s">
        <v>292</v>
      </c>
      <c r="O196" s="6" t="s">
        <v>165</v>
      </c>
      <c r="P196" s="7">
        <v>43173</v>
      </c>
      <c r="Q196" s="6" t="s">
        <v>30</v>
      </c>
      <c r="R196" s="6" t="s">
        <v>31</v>
      </c>
      <c r="S196" s="6" t="s">
        <v>32</v>
      </c>
      <c r="T196" s="6">
        <v>126.77</v>
      </c>
      <c r="U196" s="6">
        <v>54.66</v>
      </c>
      <c r="V196" s="6">
        <v>50.48</v>
      </c>
      <c r="W196" s="6">
        <v>0</v>
      </c>
      <c r="X196" s="6">
        <v>21.63</v>
      </c>
    </row>
    <row r="197" spans="1:24" ht="24.75" x14ac:dyDescent="0.25">
      <c r="A197" s="6" t="s">
        <v>25</v>
      </c>
      <c r="B197" s="6" t="s">
        <v>26</v>
      </c>
      <c r="C197" s="6" t="s">
        <v>48</v>
      </c>
      <c r="D197" s="6" t="s">
        <v>52</v>
      </c>
      <c r="E197" s="6" t="s">
        <v>34</v>
      </c>
      <c r="F197" s="6" t="s">
        <v>233</v>
      </c>
      <c r="G197" s="6">
        <v>2017</v>
      </c>
      <c r="H197" s="6" t="str">
        <f>CONCATENATE("74780060583")</f>
        <v>74780060583</v>
      </c>
      <c r="I197" s="6" t="s">
        <v>28</v>
      </c>
      <c r="J197" s="6" t="s">
        <v>29</v>
      </c>
      <c r="K197" s="6" t="str">
        <f>CONCATENATE("221")</f>
        <v>221</v>
      </c>
      <c r="L197" s="6" t="str">
        <f>CONCATENATE("8 8.1 5e")</f>
        <v>8 8.1 5e</v>
      </c>
      <c r="M197" s="6" t="str">
        <f>CONCATENATE("CPRCLL54H30F415H")</f>
        <v>CPRCLL54H30F415H</v>
      </c>
      <c r="N197" s="6" t="s">
        <v>293</v>
      </c>
      <c r="O197" s="6" t="s">
        <v>165</v>
      </c>
      <c r="P197" s="7">
        <v>43173</v>
      </c>
      <c r="Q197" s="6" t="s">
        <v>30</v>
      </c>
      <c r="R197" s="6" t="s">
        <v>31</v>
      </c>
      <c r="S197" s="6" t="s">
        <v>32</v>
      </c>
      <c r="T197" s="6">
        <v>302.43</v>
      </c>
      <c r="U197" s="6">
        <v>130.41</v>
      </c>
      <c r="V197" s="6">
        <v>120.43</v>
      </c>
      <c r="W197" s="6">
        <v>0</v>
      </c>
      <c r="X197" s="6">
        <v>51.59</v>
      </c>
    </row>
    <row r="198" spans="1:24" ht="24.75" x14ac:dyDescent="0.25">
      <c r="A198" s="6" t="s">
        <v>25</v>
      </c>
      <c r="B198" s="6" t="s">
        <v>26</v>
      </c>
      <c r="C198" s="6" t="s">
        <v>48</v>
      </c>
      <c r="D198" s="6" t="s">
        <v>52</v>
      </c>
      <c r="E198" s="6" t="s">
        <v>34</v>
      </c>
      <c r="F198" s="6" t="s">
        <v>294</v>
      </c>
      <c r="G198" s="6">
        <v>2017</v>
      </c>
      <c r="H198" s="6" t="str">
        <f>CONCATENATE("74780060914")</f>
        <v>74780060914</v>
      </c>
      <c r="I198" s="6" t="s">
        <v>28</v>
      </c>
      <c r="J198" s="6" t="s">
        <v>29</v>
      </c>
      <c r="K198" s="6" t="str">
        <f>CONCATENATE("221")</f>
        <v>221</v>
      </c>
      <c r="L198" s="6" t="str">
        <f>CONCATENATE("8 8.1 5e")</f>
        <v>8 8.1 5e</v>
      </c>
      <c r="M198" s="6" t="str">
        <f>CONCATENATE("NRDDTL69L65D542O")</f>
        <v>NRDDTL69L65D542O</v>
      </c>
      <c r="N198" s="6" t="s">
        <v>295</v>
      </c>
      <c r="O198" s="6" t="s">
        <v>165</v>
      </c>
      <c r="P198" s="7">
        <v>43173</v>
      </c>
      <c r="Q198" s="6" t="s">
        <v>30</v>
      </c>
      <c r="R198" s="6" t="s">
        <v>31</v>
      </c>
      <c r="S198" s="6" t="s">
        <v>32</v>
      </c>
      <c r="T198" s="6">
        <v>918</v>
      </c>
      <c r="U198" s="6">
        <v>395.84</v>
      </c>
      <c r="V198" s="6">
        <v>365.55</v>
      </c>
      <c r="W198" s="6">
        <v>0</v>
      </c>
      <c r="X198" s="6">
        <v>156.61000000000001</v>
      </c>
    </row>
    <row r="199" spans="1:24" ht="24.75" x14ac:dyDescent="0.25">
      <c r="A199" s="6" t="s">
        <v>25</v>
      </c>
      <c r="B199" s="6" t="s">
        <v>26</v>
      </c>
      <c r="C199" s="6" t="s">
        <v>48</v>
      </c>
      <c r="D199" s="6" t="s">
        <v>52</v>
      </c>
      <c r="E199" s="6" t="s">
        <v>34</v>
      </c>
      <c r="F199" s="6" t="s">
        <v>163</v>
      </c>
      <c r="G199" s="6">
        <v>2017</v>
      </c>
      <c r="H199" s="6" t="str">
        <f>CONCATENATE("74780024704")</f>
        <v>74780024704</v>
      </c>
      <c r="I199" s="6" t="s">
        <v>28</v>
      </c>
      <c r="J199" s="6" t="s">
        <v>29</v>
      </c>
      <c r="K199" s="6" t="str">
        <f>CONCATENATE("221")</f>
        <v>221</v>
      </c>
      <c r="L199" s="6" t="str">
        <f>CONCATENATE("8 8.1 5e")</f>
        <v>8 8.1 5e</v>
      </c>
      <c r="M199" s="6" t="str">
        <f>CONCATENATE("STPCRL30M45G005N")</f>
        <v>STPCRL30M45G005N</v>
      </c>
      <c r="N199" s="6" t="s">
        <v>296</v>
      </c>
      <c r="O199" s="6" t="s">
        <v>165</v>
      </c>
      <c r="P199" s="7">
        <v>43173</v>
      </c>
      <c r="Q199" s="6" t="s">
        <v>30</v>
      </c>
      <c r="R199" s="6" t="s">
        <v>31</v>
      </c>
      <c r="S199" s="6" t="s">
        <v>32</v>
      </c>
      <c r="T199" s="6">
        <v>523.38</v>
      </c>
      <c r="U199" s="6">
        <v>225.68</v>
      </c>
      <c r="V199" s="6">
        <v>208.41</v>
      </c>
      <c r="W199" s="6">
        <v>0</v>
      </c>
      <c r="X199" s="6">
        <v>89.29</v>
      </c>
    </row>
    <row r="200" spans="1:24" ht="24.75" x14ac:dyDescent="0.25">
      <c r="A200" s="6" t="s">
        <v>25</v>
      </c>
      <c r="B200" s="6" t="s">
        <v>26</v>
      </c>
      <c r="C200" s="6" t="s">
        <v>48</v>
      </c>
      <c r="D200" s="6" t="s">
        <v>49</v>
      </c>
      <c r="E200" s="6" t="s">
        <v>34</v>
      </c>
      <c r="F200" s="6" t="s">
        <v>297</v>
      </c>
      <c r="G200" s="6">
        <v>2017</v>
      </c>
      <c r="H200" s="6" t="str">
        <f>CONCATENATE("74780063827")</f>
        <v>74780063827</v>
      </c>
      <c r="I200" s="6" t="s">
        <v>28</v>
      </c>
      <c r="J200" s="6" t="s">
        <v>29</v>
      </c>
      <c r="K200" s="6" t="str">
        <f>CONCATENATE("221")</f>
        <v>221</v>
      </c>
      <c r="L200" s="6" t="str">
        <f>CONCATENATE("8 8.1 5e")</f>
        <v>8 8.1 5e</v>
      </c>
      <c r="M200" s="6" t="str">
        <f>CONCATENATE("CMPFNC29D17D451Z")</f>
        <v>CMPFNC29D17D451Z</v>
      </c>
      <c r="N200" s="6" t="s">
        <v>298</v>
      </c>
      <c r="O200" s="6" t="s">
        <v>165</v>
      </c>
      <c r="P200" s="7">
        <v>43173</v>
      </c>
      <c r="Q200" s="6" t="s">
        <v>30</v>
      </c>
      <c r="R200" s="6" t="s">
        <v>31</v>
      </c>
      <c r="S200" s="6" t="s">
        <v>32</v>
      </c>
      <c r="T200" s="6">
        <v>134.04</v>
      </c>
      <c r="U200" s="6">
        <v>57.8</v>
      </c>
      <c r="V200" s="6">
        <v>53.37</v>
      </c>
      <c r="W200" s="6">
        <v>0</v>
      </c>
      <c r="X200" s="6">
        <v>22.87</v>
      </c>
    </row>
    <row r="201" spans="1:24" ht="24.75" x14ac:dyDescent="0.25">
      <c r="A201" s="6" t="s">
        <v>25</v>
      </c>
      <c r="B201" s="6" t="s">
        <v>26</v>
      </c>
      <c r="C201" s="6" t="s">
        <v>48</v>
      </c>
      <c r="D201" s="6" t="s">
        <v>49</v>
      </c>
      <c r="E201" s="6" t="s">
        <v>34</v>
      </c>
      <c r="F201" s="6" t="s">
        <v>297</v>
      </c>
      <c r="G201" s="6">
        <v>2017</v>
      </c>
      <c r="H201" s="6" t="str">
        <f>CONCATENATE("74780064494")</f>
        <v>74780064494</v>
      </c>
      <c r="I201" s="6" t="s">
        <v>28</v>
      </c>
      <c r="J201" s="6" t="s">
        <v>29</v>
      </c>
      <c r="K201" s="6" t="str">
        <f>CONCATENATE("221")</f>
        <v>221</v>
      </c>
      <c r="L201" s="6" t="str">
        <f>CONCATENATE("8 8.1 5e")</f>
        <v>8 8.1 5e</v>
      </c>
      <c r="M201" s="6" t="str">
        <f>CONCATENATE("CCCFNC38E14D451M")</f>
        <v>CCCFNC38E14D451M</v>
      </c>
      <c r="N201" s="6" t="s">
        <v>299</v>
      </c>
      <c r="O201" s="6" t="s">
        <v>165</v>
      </c>
      <c r="P201" s="7">
        <v>43173</v>
      </c>
      <c r="Q201" s="6" t="s">
        <v>30</v>
      </c>
      <c r="R201" s="6" t="s">
        <v>31</v>
      </c>
      <c r="S201" s="6" t="s">
        <v>32</v>
      </c>
      <c r="T201" s="6">
        <v>181.1</v>
      </c>
      <c r="U201" s="6">
        <v>78.09</v>
      </c>
      <c r="V201" s="6">
        <v>72.11</v>
      </c>
      <c r="W201" s="6">
        <v>0</v>
      </c>
      <c r="X201" s="6">
        <v>30.9</v>
      </c>
    </row>
    <row r="202" spans="1:24" ht="24.75" x14ac:dyDescent="0.25">
      <c r="A202" s="6" t="s">
        <v>25</v>
      </c>
      <c r="B202" s="6" t="s">
        <v>26</v>
      </c>
      <c r="C202" s="6" t="s">
        <v>48</v>
      </c>
      <c r="D202" s="6" t="s">
        <v>52</v>
      </c>
      <c r="E202" s="6" t="s">
        <v>34</v>
      </c>
      <c r="F202" s="6" t="s">
        <v>294</v>
      </c>
      <c r="G202" s="6">
        <v>2017</v>
      </c>
      <c r="H202" s="6" t="str">
        <f>CONCATENATE("74780060294")</f>
        <v>74780060294</v>
      </c>
      <c r="I202" s="6" t="s">
        <v>28</v>
      </c>
      <c r="J202" s="6" t="s">
        <v>29</v>
      </c>
      <c r="K202" s="6" t="str">
        <f>CONCATENATE("221")</f>
        <v>221</v>
      </c>
      <c r="L202" s="6" t="str">
        <f>CONCATENATE("8 8.1 5e")</f>
        <v>8 8.1 5e</v>
      </c>
      <c r="M202" s="6" t="str">
        <f>CONCATENATE("CDLRLD59M30A271O")</f>
        <v>CDLRLD59M30A271O</v>
      </c>
      <c r="N202" s="6" t="s">
        <v>300</v>
      </c>
      <c r="O202" s="6" t="s">
        <v>165</v>
      </c>
      <c r="P202" s="7">
        <v>43173</v>
      </c>
      <c r="Q202" s="6" t="s">
        <v>30</v>
      </c>
      <c r="R202" s="6" t="s">
        <v>31</v>
      </c>
      <c r="S202" s="6" t="s">
        <v>32</v>
      </c>
      <c r="T202" s="6">
        <v>251.73</v>
      </c>
      <c r="U202" s="6">
        <v>108.55</v>
      </c>
      <c r="V202" s="6">
        <v>100.24</v>
      </c>
      <c r="W202" s="6">
        <v>0</v>
      </c>
      <c r="X202" s="6">
        <v>42.94</v>
      </c>
    </row>
    <row r="203" spans="1:24" ht="24.75" x14ac:dyDescent="0.25">
      <c r="A203" s="6" t="s">
        <v>25</v>
      </c>
      <c r="B203" s="6" t="s">
        <v>26</v>
      </c>
      <c r="C203" s="6" t="s">
        <v>48</v>
      </c>
      <c r="D203" s="6" t="s">
        <v>52</v>
      </c>
      <c r="E203" s="6" t="s">
        <v>33</v>
      </c>
      <c r="F203" s="6" t="s">
        <v>83</v>
      </c>
      <c r="G203" s="6">
        <v>2017</v>
      </c>
      <c r="H203" s="6" t="str">
        <f>CONCATENATE("74780009671")</f>
        <v>74780009671</v>
      </c>
      <c r="I203" s="6" t="s">
        <v>28</v>
      </c>
      <c r="J203" s="6" t="s">
        <v>29</v>
      </c>
      <c r="K203" s="6" t="str">
        <f>CONCATENATE("221")</f>
        <v>221</v>
      </c>
      <c r="L203" s="6" t="str">
        <f>CONCATENATE("8 8.1 5e")</f>
        <v>8 8.1 5e</v>
      </c>
      <c r="M203" s="6" t="str">
        <f>CONCATENATE("00462040445")</f>
        <v>00462040445</v>
      </c>
      <c r="N203" s="6" t="s">
        <v>301</v>
      </c>
      <c r="O203" s="6" t="s">
        <v>165</v>
      </c>
      <c r="P203" s="7">
        <v>43173</v>
      </c>
      <c r="Q203" s="6" t="s">
        <v>30</v>
      </c>
      <c r="R203" s="6" t="s">
        <v>31</v>
      </c>
      <c r="S203" s="6" t="s">
        <v>32</v>
      </c>
      <c r="T203" s="6">
        <v>175.88</v>
      </c>
      <c r="U203" s="6">
        <v>75.84</v>
      </c>
      <c r="V203" s="6">
        <v>70.040000000000006</v>
      </c>
      <c r="W203" s="6">
        <v>0</v>
      </c>
      <c r="X203" s="6">
        <v>30</v>
      </c>
    </row>
    <row r="204" spans="1:24" ht="24.75" x14ac:dyDescent="0.25">
      <c r="A204" s="6" t="s">
        <v>25</v>
      </c>
      <c r="B204" s="6" t="s">
        <v>26</v>
      </c>
      <c r="C204" s="6" t="s">
        <v>48</v>
      </c>
      <c r="D204" s="6" t="s">
        <v>49</v>
      </c>
      <c r="E204" s="6" t="s">
        <v>34</v>
      </c>
      <c r="F204" s="6" t="s">
        <v>302</v>
      </c>
      <c r="G204" s="6">
        <v>2017</v>
      </c>
      <c r="H204" s="6" t="str">
        <f>CONCATENATE("74780049503")</f>
        <v>74780049503</v>
      </c>
      <c r="I204" s="6" t="s">
        <v>28</v>
      </c>
      <c r="J204" s="6" t="s">
        <v>29</v>
      </c>
      <c r="K204" s="6" t="str">
        <f>CONCATENATE("221")</f>
        <v>221</v>
      </c>
      <c r="L204" s="6" t="str">
        <f>CONCATENATE("8 8.1 5e")</f>
        <v>8 8.1 5e</v>
      </c>
      <c r="M204" s="6" t="str">
        <f>CONCATENATE("CCCGFR50P22C704V")</f>
        <v>CCCGFR50P22C704V</v>
      </c>
      <c r="N204" s="6" t="s">
        <v>303</v>
      </c>
      <c r="O204" s="6" t="s">
        <v>165</v>
      </c>
      <c r="P204" s="7">
        <v>43173</v>
      </c>
      <c r="Q204" s="6" t="s">
        <v>30</v>
      </c>
      <c r="R204" s="6" t="s">
        <v>31</v>
      </c>
      <c r="S204" s="6" t="s">
        <v>32</v>
      </c>
      <c r="T204" s="6">
        <v>327.79</v>
      </c>
      <c r="U204" s="6">
        <v>141.34</v>
      </c>
      <c r="V204" s="6">
        <v>130.53</v>
      </c>
      <c r="W204" s="6">
        <v>0</v>
      </c>
      <c r="X204" s="6">
        <v>55.92</v>
      </c>
    </row>
    <row r="205" spans="1:24" ht="24.75" x14ac:dyDescent="0.25">
      <c r="A205" s="6" t="s">
        <v>25</v>
      </c>
      <c r="B205" s="6" t="s">
        <v>26</v>
      </c>
      <c r="C205" s="6" t="s">
        <v>48</v>
      </c>
      <c r="D205" s="6" t="s">
        <v>49</v>
      </c>
      <c r="E205" s="6" t="s">
        <v>33</v>
      </c>
      <c r="F205" s="6" t="s">
        <v>114</v>
      </c>
      <c r="G205" s="6">
        <v>2017</v>
      </c>
      <c r="H205" s="6" t="str">
        <f>CONCATENATE("74780051467")</f>
        <v>74780051467</v>
      </c>
      <c r="I205" s="6" t="s">
        <v>28</v>
      </c>
      <c r="J205" s="6" t="s">
        <v>29</v>
      </c>
      <c r="K205" s="6" t="str">
        <f>CONCATENATE("221")</f>
        <v>221</v>
      </c>
      <c r="L205" s="6" t="str">
        <f>CONCATENATE("8 8.1 5e")</f>
        <v>8 8.1 5e</v>
      </c>
      <c r="M205" s="6" t="str">
        <f>CONCATENATE("FRRFNC62C10E388X")</f>
        <v>FRRFNC62C10E388X</v>
      </c>
      <c r="N205" s="6" t="s">
        <v>304</v>
      </c>
      <c r="O205" s="6" t="s">
        <v>165</v>
      </c>
      <c r="P205" s="7">
        <v>43173</v>
      </c>
      <c r="Q205" s="6" t="s">
        <v>30</v>
      </c>
      <c r="R205" s="6" t="s">
        <v>31</v>
      </c>
      <c r="S205" s="6" t="s">
        <v>32</v>
      </c>
      <c r="T205" s="6">
        <v>642.9</v>
      </c>
      <c r="U205" s="6">
        <v>277.22000000000003</v>
      </c>
      <c r="V205" s="6">
        <v>256</v>
      </c>
      <c r="W205" s="6">
        <v>0</v>
      </c>
      <c r="X205" s="6">
        <v>109.68</v>
      </c>
    </row>
    <row r="206" spans="1:24" ht="24.75" x14ac:dyDescent="0.25">
      <c r="A206" s="6" t="s">
        <v>25</v>
      </c>
      <c r="B206" s="6" t="s">
        <v>26</v>
      </c>
      <c r="C206" s="6" t="s">
        <v>48</v>
      </c>
      <c r="D206" s="6" t="s">
        <v>49</v>
      </c>
      <c r="E206" s="6" t="s">
        <v>38</v>
      </c>
      <c r="F206" s="6" t="s">
        <v>305</v>
      </c>
      <c r="G206" s="6">
        <v>2017</v>
      </c>
      <c r="H206" s="6" t="str">
        <f>CONCATENATE("74780039660")</f>
        <v>74780039660</v>
      </c>
      <c r="I206" s="6" t="s">
        <v>28</v>
      </c>
      <c r="J206" s="6" t="s">
        <v>29</v>
      </c>
      <c r="K206" s="6" t="str">
        <f>CONCATENATE("221")</f>
        <v>221</v>
      </c>
      <c r="L206" s="6" t="str">
        <f>CONCATENATE("8 8.1 5e")</f>
        <v>8 8.1 5e</v>
      </c>
      <c r="M206" s="6" t="str">
        <f>CONCATENATE("FRSRSN65E67E483I")</f>
        <v>FRSRSN65E67E483I</v>
      </c>
      <c r="N206" s="6" t="s">
        <v>306</v>
      </c>
      <c r="O206" s="6" t="s">
        <v>165</v>
      </c>
      <c r="P206" s="7">
        <v>43173</v>
      </c>
      <c r="Q206" s="6" t="s">
        <v>30</v>
      </c>
      <c r="R206" s="6" t="s">
        <v>31</v>
      </c>
      <c r="S206" s="6" t="s">
        <v>32</v>
      </c>
      <c r="T206" s="6">
        <v>114.09</v>
      </c>
      <c r="U206" s="6">
        <v>49.2</v>
      </c>
      <c r="V206" s="6">
        <v>45.43</v>
      </c>
      <c r="W206" s="6">
        <v>0</v>
      </c>
      <c r="X206" s="6">
        <v>19.46</v>
      </c>
    </row>
    <row r="207" spans="1:24" ht="24.75" x14ac:dyDescent="0.25">
      <c r="A207" s="6" t="s">
        <v>25</v>
      </c>
      <c r="B207" s="6" t="s">
        <v>26</v>
      </c>
      <c r="C207" s="6" t="s">
        <v>48</v>
      </c>
      <c r="D207" s="6" t="s">
        <v>52</v>
      </c>
      <c r="E207" s="6" t="s">
        <v>34</v>
      </c>
      <c r="F207" s="6" t="s">
        <v>233</v>
      </c>
      <c r="G207" s="6">
        <v>2017</v>
      </c>
      <c r="H207" s="6" t="str">
        <f>CONCATENATE("74780060203")</f>
        <v>74780060203</v>
      </c>
      <c r="I207" s="6" t="s">
        <v>28</v>
      </c>
      <c r="J207" s="6" t="s">
        <v>29</v>
      </c>
      <c r="K207" s="6" t="str">
        <f>CONCATENATE("221")</f>
        <v>221</v>
      </c>
      <c r="L207" s="6" t="str">
        <f>CONCATENATE("8 8.1 5e")</f>
        <v>8 8.1 5e</v>
      </c>
      <c r="M207" s="6" t="str">
        <f>CONCATENATE("VLNLCN56H27F415X")</f>
        <v>VLNLCN56H27F415X</v>
      </c>
      <c r="N207" s="6" t="s">
        <v>307</v>
      </c>
      <c r="O207" s="6" t="s">
        <v>165</v>
      </c>
      <c r="P207" s="7">
        <v>43173</v>
      </c>
      <c r="Q207" s="6" t="s">
        <v>30</v>
      </c>
      <c r="R207" s="6" t="s">
        <v>31</v>
      </c>
      <c r="S207" s="6" t="s">
        <v>32</v>
      </c>
      <c r="T207" s="6">
        <v>552.57000000000005</v>
      </c>
      <c r="U207" s="6">
        <v>238.27</v>
      </c>
      <c r="V207" s="6">
        <v>220.03</v>
      </c>
      <c r="W207" s="6">
        <v>0</v>
      </c>
      <c r="X207" s="6">
        <v>94.27</v>
      </c>
    </row>
    <row r="208" spans="1:24" ht="24.75" x14ac:dyDescent="0.25">
      <c r="A208" s="6" t="s">
        <v>25</v>
      </c>
      <c r="B208" s="6" t="s">
        <v>26</v>
      </c>
      <c r="C208" s="6" t="s">
        <v>48</v>
      </c>
      <c r="D208" s="6" t="s">
        <v>52</v>
      </c>
      <c r="E208" s="6" t="s">
        <v>39</v>
      </c>
      <c r="F208" s="6" t="s">
        <v>111</v>
      </c>
      <c r="G208" s="6">
        <v>2017</v>
      </c>
      <c r="H208" s="6" t="str">
        <f>CONCATENATE("74780005521")</f>
        <v>74780005521</v>
      </c>
      <c r="I208" s="6" t="s">
        <v>28</v>
      </c>
      <c r="J208" s="6" t="s">
        <v>29</v>
      </c>
      <c r="K208" s="6" t="str">
        <f>CONCATENATE("221")</f>
        <v>221</v>
      </c>
      <c r="L208" s="6" t="str">
        <f>CONCATENATE("8 8.1 5e")</f>
        <v>8 8.1 5e</v>
      </c>
      <c r="M208" s="6" t="str">
        <f>CONCATENATE("BRCDNC76C20D542Z")</f>
        <v>BRCDNC76C20D542Z</v>
      </c>
      <c r="N208" s="6" t="s">
        <v>308</v>
      </c>
      <c r="O208" s="6" t="s">
        <v>165</v>
      </c>
      <c r="P208" s="7">
        <v>43173</v>
      </c>
      <c r="Q208" s="6" t="s">
        <v>30</v>
      </c>
      <c r="R208" s="6" t="s">
        <v>31</v>
      </c>
      <c r="S208" s="6" t="s">
        <v>32</v>
      </c>
      <c r="T208" s="8">
        <v>3217.5</v>
      </c>
      <c r="U208" s="8">
        <v>1387.39</v>
      </c>
      <c r="V208" s="8">
        <v>1281.21</v>
      </c>
      <c r="W208" s="6">
        <v>0</v>
      </c>
      <c r="X208" s="6">
        <v>548.9</v>
      </c>
    </row>
    <row r="209" spans="1:24" ht="24.75" x14ac:dyDescent="0.25">
      <c r="A209" s="6" t="s">
        <v>25</v>
      </c>
      <c r="B209" s="6" t="s">
        <v>26</v>
      </c>
      <c r="C209" s="6" t="s">
        <v>48</v>
      </c>
      <c r="D209" s="6" t="s">
        <v>49</v>
      </c>
      <c r="E209" s="6" t="s">
        <v>33</v>
      </c>
      <c r="F209" s="6" t="s">
        <v>114</v>
      </c>
      <c r="G209" s="6">
        <v>2017</v>
      </c>
      <c r="H209" s="6" t="str">
        <f>CONCATENATE("74780059924")</f>
        <v>74780059924</v>
      </c>
      <c r="I209" s="6" t="s">
        <v>28</v>
      </c>
      <c r="J209" s="6" t="s">
        <v>29</v>
      </c>
      <c r="K209" s="6" t="str">
        <f>CONCATENATE("221")</f>
        <v>221</v>
      </c>
      <c r="L209" s="6" t="str">
        <f>CONCATENATE("8 8.1 5e")</f>
        <v>8 8.1 5e</v>
      </c>
      <c r="M209" s="6" t="str">
        <f>CONCATENATE("PGGRST62M08A271I")</f>
        <v>PGGRST62M08A271I</v>
      </c>
      <c r="N209" s="6" t="s">
        <v>309</v>
      </c>
      <c r="O209" s="6" t="s">
        <v>165</v>
      </c>
      <c r="P209" s="7">
        <v>43173</v>
      </c>
      <c r="Q209" s="6" t="s">
        <v>30</v>
      </c>
      <c r="R209" s="6" t="s">
        <v>31</v>
      </c>
      <c r="S209" s="6" t="s">
        <v>32</v>
      </c>
      <c r="T209" s="8">
        <v>3347.2</v>
      </c>
      <c r="U209" s="8">
        <v>1443.31</v>
      </c>
      <c r="V209" s="8">
        <v>1332.86</v>
      </c>
      <c r="W209" s="6">
        <v>0</v>
      </c>
      <c r="X209" s="6">
        <v>571.03</v>
      </c>
    </row>
    <row r="210" spans="1:24" ht="24.75" x14ac:dyDescent="0.25">
      <c r="A210" s="6" t="s">
        <v>25</v>
      </c>
      <c r="B210" s="6" t="s">
        <v>26</v>
      </c>
      <c r="C210" s="6" t="s">
        <v>48</v>
      </c>
      <c r="D210" s="6" t="s">
        <v>49</v>
      </c>
      <c r="E210" s="6" t="s">
        <v>33</v>
      </c>
      <c r="F210" s="6" t="s">
        <v>114</v>
      </c>
      <c r="G210" s="6">
        <v>2017</v>
      </c>
      <c r="H210" s="6" t="str">
        <f>CONCATENATE("74780060799")</f>
        <v>74780060799</v>
      </c>
      <c r="I210" s="6" t="s">
        <v>28</v>
      </c>
      <c r="J210" s="6" t="s">
        <v>29</v>
      </c>
      <c r="K210" s="6" t="str">
        <f>CONCATENATE("221")</f>
        <v>221</v>
      </c>
      <c r="L210" s="6" t="str">
        <f>CONCATENATE("8 8.1 5e")</f>
        <v>8 8.1 5e</v>
      </c>
      <c r="M210" s="6" t="str">
        <f>CONCATENATE("PNZFNC43D66A271O")</f>
        <v>PNZFNC43D66A271O</v>
      </c>
      <c r="N210" s="6" t="s">
        <v>310</v>
      </c>
      <c r="O210" s="6" t="s">
        <v>165</v>
      </c>
      <c r="P210" s="7">
        <v>43173</v>
      </c>
      <c r="Q210" s="6" t="s">
        <v>30</v>
      </c>
      <c r="R210" s="6" t="s">
        <v>31</v>
      </c>
      <c r="S210" s="6" t="s">
        <v>32</v>
      </c>
      <c r="T210" s="6">
        <v>427.39</v>
      </c>
      <c r="U210" s="6">
        <v>184.29</v>
      </c>
      <c r="V210" s="6">
        <v>170.19</v>
      </c>
      <c r="W210" s="6">
        <v>0</v>
      </c>
      <c r="X210" s="6">
        <v>72.91</v>
      </c>
    </row>
    <row r="211" spans="1:24" ht="24.75" x14ac:dyDescent="0.25">
      <c r="A211" s="6" t="s">
        <v>25</v>
      </c>
      <c r="B211" s="6" t="s">
        <v>26</v>
      </c>
      <c r="C211" s="6" t="s">
        <v>48</v>
      </c>
      <c r="D211" s="6" t="s">
        <v>49</v>
      </c>
      <c r="E211" s="6" t="s">
        <v>33</v>
      </c>
      <c r="F211" s="6" t="s">
        <v>183</v>
      </c>
      <c r="G211" s="6">
        <v>2017</v>
      </c>
      <c r="H211" s="6" t="str">
        <f>CONCATENATE("74780057084")</f>
        <v>74780057084</v>
      </c>
      <c r="I211" s="6" t="s">
        <v>28</v>
      </c>
      <c r="J211" s="6" t="s">
        <v>29</v>
      </c>
      <c r="K211" s="6" t="str">
        <f>CONCATENATE("221")</f>
        <v>221</v>
      </c>
      <c r="L211" s="6" t="str">
        <f>CONCATENATE("8 8.1 5e")</f>
        <v>8 8.1 5e</v>
      </c>
      <c r="M211" s="6" t="str">
        <f>CONCATENATE("PLCMRA59H67D597N")</f>
        <v>PLCMRA59H67D597N</v>
      </c>
      <c r="N211" s="6" t="s">
        <v>311</v>
      </c>
      <c r="O211" s="6" t="s">
        <v>165</v>
      </c>
      <c r="P211" s="7">
        <v>43173</v>
      </c>
      <c r="Q211" s="6" t="s">
        <v>30</v>
      </c>
      <c r="R211" s="6" t="s">
        <v>31</v>
      </c>
      <c r="S211" s="6" t="s">
        <v>32</v>
      </c>
      <c r="T211" s="6">
        <v>162.99</v>
      </c>
      <c r="U211" s="6">
        <v>70.28</v>
      </c>
      <c r="V211" s="6">
        <v>64.900000000000006</v>
      </c>
      <c r="W211" s="6">
        <v>0</v>
      </c>
      <c r="X211" s="6">
        <v>27.81</v>
      </c>
    </row>
    <row r="212" spans="1:24" ht="24.75" x14ac:dyDescent="0.25">
      <c r="A212" s="6" t="s">
        <v>25</v>
      </c>
      <c r="B212" s="6" t="s">
        <v>26</v>
      </c>
      <c r="C212" s="6" t="s">
        <v>48</v>
      </c>
      <c r="D212" s="6" t="s">
        <v>52</v>
      </c>
      <c r="E212" s="6" t="s">
        <v>34</v>
      </c>
      <c r="F212" s="6" t="s">
        <v>294</v>
      </c>
      <c r="G212" s="6">
        <v>2017</v>
      </c>
      <c r="H212" s="6" t="str">
        <f>CONCATENATE("74780060773")</f>
        <v>74780060773</v>
      </c>
      <c r="I212" s="6" t="s">
        <v>28</v>
      </c>
      <c r="J212" s="6" t="s">
        <v>29</v>
      </c>
      <c r="K212" s="6" t="str">
        <f>CONCATENATE("221")</f>
        <v>221</v>
      </c>
      <c r="L212" s="6" t="str">
        <f>CONCATENATE("8 8.1 5e")</f>
        <v>8 8.1 5e</v>
      </c>
      <c r="M212" s="6" t="str">
        <f>CONCATENATE("VLRGLI45R49F501I")</f>
        <v>VLRGLI45R49F501I</v>
      </c>
      <c r="N212" s="6" t="s">
        <v>312</v>
      </c>
      <c r="O212" s="6" t="s">
        <v>165</v>
      </c>
      <c r="P212" s="7">
        <v>43173</v>
      </c>
      <c r="Q212" s="6" t="s">
        <v>30</v>
      </c>
      <c r="R212" s="6" t="s">
        <v>31</v>
      </c>
      <c r="S212" s="6" t="s">
        <v>32</v>
      </c>
      <c r="T212" s="8">
        <v>5279.74</v>
      </c>
      <c r="U212" s="8">
        <v>2276.62</v>
      </c>
      <c r="V212" s="8">
        <v>2102.39</v>
      </c>
      <c r="W212" s="6">
        <v>0</v>
      </c>
      <c r="X212" s="6">
        <v>900.73</v>
      </c>
    </row>
    <row r="213" spans="1:24" ht="24.75" x14ac:dyDescent="0.25">
      <c r="A213" s="6" t="s">
        <v>25</v>
      </c>
      <c r="B213" s="6" t="s">
        <v>26</v>
      </c>
      <c r="C213" s="6" t="s">
        <v>48</v>
      </c>
      <c r="D213" s="6" t="s">
        <v>52</v>
      </c>
      <c r="E213" s="6" t="s">
        <v>33</v>
      </c>
      <c r="F213" s="6" t="s">
        <v>83</v>
      </c>
      <c r="G213" s="6">
        <v>2017</v>
      </c>
      <c r="H213" s="6" t="str">
        <f>CONCATENATE("74780073909")</f>
        <v>74780073909</v>
      </c>
      <c r="I213" s="6" t="s">
        <v>28</v>
      </c>
      <c r="J213" s="6" t="s">
        <v>29</v>
      </c>
      <c r="K213" s="6" t="str">
        <f>CONCATENATE("221")</f>
        <v>221</v>
      </c>
      <c r="L213" s="6" t="str">
        <f>CONCATENATE("8 8.1 5e")</f>
        <v>8 8.1 5e</v>
      </c>
      <c r="M213" s="6" t="str">
        <f>CONCATENATE("SLNGNN53S42G920T")</f>
        <v>SLNGNN53S42G920T</v>
      </c>
      <c r="N213" s="6" t="s">
        <v>313</v>
      </c>
      <c r="O213" s="6" t="s">
        <v>165</v>
      </c>
      <c r="P213" s="7">
        <v>43173</v>
      </c>
      <c r="Q213" s="6" t="s">
        <v>30</v>
      </c>
      <c r="R213" s="6" t="s">
        <v>31</v>
      </c>
      <c r="S213" s="6" t="s">
        <v>32</v>
      </c>
      <c r="T213" s="8">
        <v>2543.5500000000002</v>
      </c>
      <c r="U213" s="8">
        <v>1096.78</v>
      </c>
      <c r="V213" s="8">
        <v>1012.84</v>
      </c>
      <c r="W213" s="6">
        <v>0</v>
      </c>
      <c r="X213" s="6">
        <v>433.93</v>
      </c>
    </row>
    <row r="214" spans="1:24" ht="24.75" x14ac:dyDescent="0.25">
      <c r="A214" s="6" t="s">
        <v>25</v>
      </c>
      <c r="B214" s="6" t="s">
        <v>26</v>
      </c>
      <c r="C214" s="6" t="s">
        <v>48</v>
      </c>
      <c r="D214" s="6" t="s">
        <v>52</v>
      </c>
      <c r="E214" s="6" t="s">
        <v>42</v>
      </c>
      <c r="F214" s="6" t="s">
        <v>151</v>
      </c>
      <c r="G214" s="6">
        <v>2017</v>
      </c>
      <c r="H214" s="6" t="str">
        <f>CONCATENATE("74780031618")</f>
        <v>74780031618</v>
      </c>
      <c r="I214" s="6" t="s">
        <v>28</v>
      </c>
      <c r="J214" s="6" t="s">
        <v>29</v>
      </c>
      <c r="K214" s="6" t="str">
        <f>CONCATENATE("221")</f>
        <v>221</v>
      </c>
      <c r="L214" s="6" t="str">
        <f>CONCATENATE("8 8.1 5e")</f>
        <v>8 8.1 5e</v>
      </c>
      <c r="M214" s="6" t="str">
        <f>CONCATENATE("02323730420")</f>
        <v>02323730420</v>
      </c>
      <c r="N214" s="6" t="s">
        <v>314</v>
      </c>
      <c r="O214" s="6" t="s">
        <v>165</v>
      </c>
      <c r="P214" s="7">
        <v>43173</v>
      </c>
      <c r="Q214" s="6" t="s">
        <v>30</v>
      </c>
      <c r="R214" s="6" t="s">
        <v>31</v>
      </c>
      <c r="S214" s="6" t="s">
        <v>32</v>
      </c>
      <c r="T214" s="6">
        <v>371.25</v>
      </c>
      <c r="U214" s="6">
        <v>160.08000000000001</v>
      </c>
      <c r="V214" s="6">
        <v>147.83000000000001</v>
      </c>
      <c r="W214" s="6">
        <v>0</v>
      </c>
      <c r="X214" s="6">
        <v>63.34</v>
      </c>
    </row>
    <row r="215" spans="1:24" ht="24.75" x14ac:dyDescent="0.25">
      <c r="A215" s="6" t="s">
        <v>25</v>
      </c>
      <c r="B215" s="6" t="s">
        <v>26</v>
      </c>
      <c r="C215" s="6" t="s">
        <v>48</v>
      </c>
      <c r="D215" s="6" t="s">
        <v>52</v>
      </c>
      <c r="E215" s="6" t="s">
        <v>42</v>
      </c>
      <c r="F215" s="6" t="s">
        <v>151</v>
      </c>
      <c r="G215" s="6">
        <v>2017</v>
      </c>
      <c r="H215" s="6" t="str">
        <f>CONCATENATE("74780031642")</f>
        <v>74780031642</v>
      </c>
      <c r="I215" s="6" t="s">
        <v>28</v>
      </c>
      <c r="J215" s="6" t="s">
        <v>29</v>
      </c>
      <c r="K215" s="6" t="str">
        <f>CONCATENATE("221")</f>
        <v>221</v>
      </c>
      <c r="L215" s="6" t="str">
        <f>CONCATENATE("8 8.1 5e")</f>
        <v>8 8.1 5e</v>
      </c>
      <c r="M215" s="6" t="str">
        <f>CONCATENATE("02323730420")</f>
        <v>02323730420</v>
      </c>
      <c r="N215" s="6" t="s">
        <v>314</v>
      </c>
      <c r="O215" s="6" t="s">
        <v>165</v>
      </c>
      <c r="P215" s="7">
        <v>43173</v>
      </c>
      <c r="Q215" s="6" t="s">
        <v>30</v>
      </c>
      <c r="R215" s="6" t="s">
        <v>31</v>
      </c>
      <c r="S215" s="6" t="s">
        <v>32</v>
      </c>
      <c r="T215" s="6">
        <v>179.29</v>
      </c>
      <c r="U215" s="6">
        <v>77.31</v>
      </c>
      <c r="V215" s="6">
        <v>71.39</v>
      </c>
      <c r="W215" s="6">
        <v>0</v>
      </c>
      <c r="X215" s="6">
        <v>30.59</v>
      </c>
    </row>
    <row r="216" spans="1:24" ht="24.75" x14ac:dyDescent="0.25">
      <c r="A216" s="6" t="s">
        <v>25</v>
      </c>
      <c r="B216" s="6" t="s">
        <v>26</v>
      </c>
      <c r="C216" s="6" t="s">
        <v>48</v>
      </c>
      <c r="D216" s="6" t="s">
        <v>52</v>
      </c>
      <c r="E216" s="6" t="s">
        <v>38</v>
      </c>
      <c r="F216" s="6" t="s">
        <v>62</v>
      </c>
      <c r="G216" s="6">
        <v>2017</v>
      </c>
      <c r="H216" s="6" t="str">
        <f>CONCATENATE("74780038019")</f>
        <v>74780038019</v>
      </c>
      <c r="I216" s="6" t="s">
        <v>28</v>
      </c>
      <c r="J216" s="6" t="s">
        <v>29</v>
      </c>
      <c r="K216" s="6" t="str">
        <f>CONCATENATE("221")</f>
        <v>221</v>
      </c>
      <c r="L216" s="6" t="str">
        <f>CONCATENATE("8 8.1 5e")</f>
        <v>8 8.1 5e</v>
      </c>
      <c r="M216" s="6" t="str">
        <f>CONCATENATE("DRSRLL62S64A462C")</f>
        <v>DRSRLL62S64A462C</v>
      </c>
      <c r="N216" s="6" t="s">
        <v>315</v>
      </c>
      <c r="O216" s="6" t="s">
        <v>165</v>
      </c>
      <c r="P216" s="7">
        <v>43173</v>
      </c>
      <c r="Q216" s="6" t="s">
        <v>30</v>
      </c>
      <c r="R216" s="6" t="s">
        <v>31</v>
      </c>
      <c r="S216" s="6" t="s">
        <v>32</v>
      </c>
      <c r="T216" s="6">
        <v>126.77</v>
      </c>
      <c r="U216" s="6">
        <v>54.66</v>
      </c>
      <c r="V216" s="6">
        <v>50.48</v>
      </c>
      <c r="W216" s="6">
        <v>0</v>
      </c>
      <c r="X216" s="6">
        <v>21.63</v>
      </c>
    </row>
    <row r="217" spans="1:24" ht="24.75" x14ac:dyDescent="0.25">
      <c r="A217" s="6" t="s">
        <v>25</v>
      </c>
      <c r="B217" s="6" t="s">
        <v>26</v>
      </c>
      <c r="C217" s="6" t="s">
        <v>48</v>
      </c>
      <c r="D217" s="6" t="s">
        <v>52</v>
      </c>
      <c r="E217" s="6" t="s">
        <v>34</v>
      </c>
      <c r="F217" s="6" t="s">
        <v>294</v>
      </c>
      <c r="G217" s="6">
        <v>2017</v>
      </c>
      <c r="H217" s="6" t="str">
        <f>CONCATENATE("74780060518")</f>
        <v>74780060518</v>
      </c>
      <c r="I217" s="6" t="s">
        <v>28</v>
      </c>
      <c r="J217" s="6" t="s">
        <v>29</v>
      </c>
      <c r="K217" s="6" t="str">
        <f>CONCATENATE("221")</f>
        <v>221</v>
      </c>
      <c r="L217" s="6" t="str">
        <f>CONCATENATE("8 8.1 5e")</f>
        <v>8 8.1 5e</v>
      </c>
      <c r="M217" s="6" t="str">
        <f>CONCATENATE("VCCPPL62H28G516G")</f>
        <v>VCCPPL62H28G516G</v>
      </c>
      <c r="N217" s="6" t="s">
        <v>316</v>
      </c>
      <c r="O217" s="6" t="s">
        <v>165</v>
      </c>
      <c r="P217" s="7">
        <v>43173</v>
      </c>
      <c r="Q217" s="6" t="s">
        <v>30</v>
      </c>
      <c r="R217" s="6" t="s">
        <v>31</v>
      </c>
      <c r="S217" s="6" t="s">
        <v>32</v>
      </c>
      <c r="T217" s="6">
        <v>318.74</v>
      </c>
      <c r="U217" s="6">
        <v>137.44</v>
      </c>
      <c r="V217" s="6">
        <v>126.92</v>
      </c>
      <c r="W217" s="6">
        <v>0</v>
      </c>
      <c r="X217" s="6">
        <v>54.38</v>
      </c>
    </row>
    <row r="218" spans="1:24" ht="24.75" x14ac:dyDescent="0.25">
      <c r="A218" s="6" t="s">
        <v>25</v>
      </c>
      <c r="B218" s="6" t="s">
        <v>26</v>
      </c>
      <c r="C218" s="6" t="s">
        <v>48</v>
      </c>
      <c r="D218" s="6" t="s">
        <v>49</v>
      </c>
      <c r="E218" s="6" t="s">
        <v>27</v>
      </c>
      <c r="F218" s="6" t="s">
        <v>254</v>
      </c>
      <c r="G218" s="6">
        <v>2017</v>
      </c>
      <c r="H218" s="6" t="str">
        <f>CONCATENATE("74780007642")</f>
        <v>74780007642</v>
      </c>
      <c r="I218" s="6" t="s">
        <v>28</v>
      </c>
      <c r="J218" s="6" t="s">
        <v>29</v>
      </c>
      <c r="K218" s="6" t="str">
        <f>CONCATENATE("221")</f>
        <v>221</v>
      </c>
      <c r="L218" s="6" t="str">
        <f>CONCATENATE("8 8.1 5e")</f>
        <v>8 8.1 5e</v>
      </c>
      <c r="M218" s="6" t="str">
        <f>CONCATENATE("PTTGPP61B65I932C")</f>
        <v>PTTGPP61B65I932C</v>
      </c>
      <c r="N218" s="6" t="s">
        <v>317</v>
      </c>
      <c r="O218" s="6" t="s">
        <v>165</v>
      </c>
      <c r="P218" s="7">
        <v>43173</v>
      </c>
      <c r="Q218" s="6" t="s">
        <v>30</v>
      </c>
      <c r="R218" s="6" t="s">
        <v>31</v>
      </c>
      <c r="S218" s="6" t="s">
        <v>32</v>
      </c>
      <c r="T218" s="6">
        <v>217.32</v>
      </c>
      <c r="U218" s="6">
        <v>93.71</v>
      </c>
      <c r="V218" s="6">
        <v>86.54</v>
      </c>
      <c r="W218" s="6">
        <v>0</v>
      </c>
      <c r="X218" s="6">
        <v>37.07</v>
      </c>
    </row>
    <row r="219" spans="1:24" ht="24.75" x14ac:dyDescent="0.25">
      <c r="A219" s="6" t="s">
        <v>25</v>
      </c>
      <c r="B219" s="6" t="s">
        <v>26</v>
      </c>
      <c r="C219" s="6" t="s">
        <v>48</v>
      </c>
      <c r="D219" s="6" t="s">
        <v>52</v>
      </c>
      <c r="E219" s="6" t="s">
        <v>33</v>
      </c>
      <c r="F219" s="6" t="s">
        <v>83</v>
      </c>
      <c r="G219" s="6">
        <v>2017</v>
      </c>
      <c r="H219" s="6" t="str">
        <f>CONCATENATE("74780009747")</f>
        <v>74780009747</v>
      </c>
      <c r="I219" s="6" t="s">
        <v>28</v>
      </c>
      <c r="J219" s="6" t="s">
        <v>29</v>
      </c>
      <c r="K219" s="6" t="str">
        <f>CONCATENATE("221")</f>
        <v>221</v>
      </c>
      <c r="L219" s="6" t="str">
        <f>CONCATENATE("8 8.1 5e")</f>
        <v>8 8.1 5e</v>
      </c>
      <c r="M219" s="6" t="str">
        <f>CONCATENATE("NVNCDM71T30H501I")</f>
        <v>NVNCDM71T30H501I</v>
      </c>
      <c r="N219" s="6" t="s">
        <v>318</v>
      </c>
      <c r="O219" s="6" t="s">
        <v>165</v>
      </c>
      <c r="P219" s="7">
        <v>43173</v>
      </c>
      <c r="Q219" s="6" t="s">
        <v>30</v>
      </c>
      <c r="R219" s="6" t="s">
        <v>31</v>
      </c>
      <c r="S219" s="6" t="s">
        <v>32</v>
      </c>
      <c r="T219" s="8">
        <v>2704.47</v>
      </c>
      <c r="U219" s="8">
        <v>1166.17</v>
      </c>
      <c r="V219" s="8">
        <v>1076.92</v>
      </c>
      <c r="W219" s="6">
        <v>0</v>
      </c>
      <c r="X219" s="6">
        <v>461.38</v>
      </c>
    </row>
    <row r="220" spans="1:24" ht="24.75" x14ac:dyDescent="0.25">
      <c r="A220" s="6" t="s">
        <v>25</v>
      </c>
      <c r="B220" s="6" t="s">
        <v>26</v>
      </c>
      <c r="C220" s="6" t="s">
        <v>48</v>
      </c>
      <c r="D220" s="6" t="s">
        <v>49</v>
      </c>
      <c r="E220" s="6" t="s">
        <v>38</v>
      </c>
      <c r="F220" s="6" t="s">
        <v>140</v>
      </c>
      <c r="G220" s="6">
        <v>2017</v>
      </c>
      <c r="H220" s="6" t="str">
        <f>CONCATENATE("74780037391")</f>
        <v>74780037391</v>
      </c>
      <c r="I220" s="6" t="s">
        <v>28</v>
      </c>
      <c r="J220" s="6" t="s">
        <v>29</v>
      </c>
      <c r="K220" s="6" t="str">
        <f>CONCATENATE("221")</f>
        <v>221</v>
      </c>
      <c r="L220" s="6" t="str">
        <f>CONCATENATE("8 8.1 5e")</f>
        <v>8 8.1 5e</v>
      </c>
      <c r="M220" s="6" t="str">
        <f>CONCATENATE("PLTFST70C28E388P")</f>
        <v>PLTFST70C28E388P</v>
      </c>
      <c r="N220" s="6" t="s">
        <v>319</v>
      </c>
      <c r="O220" s="6" t="s">
        <v>165</v>
      </c>
      <c r="P220" s="7">
        <v>43173</v>
      </c>
      <c r="Q220" s="6" t="s">
        <v>30</v>
      </c>
      <c r="R220" s="6" t="s">
        <v>31</v>
      </c>
      <c r="S220" s="6" t="s">
        <v>32</v>
      </c>
      <c r="T220" s="6">
        <v>627.9</v>
      </c>
      <c r="U220" s="6">
        <v>270.75</v>
      </c>
      <c r="V220" s="6">
        <v>250.03</v>
      </c>
      <c r="W220" s="6">
        <v>0</v>
      </c>
      <c r="X220" s="6">
        <v>107.12</v>
      </c>
    </row>
    <row r="221" spans="1:24" ht="24.75" x14ac:dyDescent="0.25">
      <c r="A221" s="6" t="s">
        <v>25</v>
      </c>
      <c r="B221" s="6" t="s">
        <v>26</v>
      </c>
      <c r="C221" s="6" t="s">
        <v>48</v>
      </c>
      <c r="D221" s="6" t="s">
        <v>49</v>
      </c>
      <c r="E221" s="6" t="s">
        <v>39</v>
      </c>
      <c r="F221" s="6" t="s">
        <v>242</v>
      </c>
      <c r="G221" s="6">
        <v>2017</v>
      </c>
      <c r="H221" s="6" t="str">
        <f>CONCATENATE("74780022880")</f>
        <v>74780022880</v>
      </c>
      <c r="I221" s="6" t="s">
        <v>28</v>
      </c>
      <c r="J221" s="6" t="s">
        <v>29</v>
      </c>
      <c r="K221" s="6" t="str">
        <f>CONCATENATE("221")</f>
        <v>221</v>
      </c>
      <c r="L221" s="6" t="str">
        <f>CONCATENATE("8 8.1 5e")</f>
        <v>8 8.1 5e</v>
      </c>
      <c r="M221" s="6" t="str">
        <f>CONCATENATE("RDNVNI46D63A271X")</f>
        <v>RDNVNI46D63A271X</v>
      </c>
      <c r="N221" s="6" t="s">
        <v>320</v>
      </c>
      <c r="O221" s="6" t="s">
        <v>165</v>
      </c>
      <c r="P221" s="7">
        <v>43173</v>
      </c>
      <c r="Q221" s="6" t="s">
        <v>30</v>
      </c>
      <c r="R221" s="6" t="s">
        <v>31</v>
      </c>
      <c r="S221" s="6" t="s">
        <v>32</v>
      </c>
      <c r="T221" s="8">
        <v>1132.8</v>
      </c>
      <c r="U221" s="6">
        <v>488.46</v>
      </c>
      <c r="V221" s="6">
        <v>451.08</v>
      </c>
      <c r="W221" s="6">
        <v>0</v>
      </c>
      <c r="X221" s="6">
        <v>193.26</v>
      </c>
    </row>
    <row r="222" spans="1:24" ht="24.75" x14ac:dyDescent="0.25">
      <c r="A222" s="6" t="s">
        <v>25</v>
      </c>
      <c r="B222" s="6" t="s">
        <v>26</v>
      </c>
      <c r="C222" s="6" t="s">
        <v>48</v>
      </c>
      <c r="D222" s="6" t="s">
        <v>49</v>
      </c>
      <c r="E222" s="6" t="s">
        <v>33</v>
      </c>
      <c r="F222" s="6" t="s">
        <v>114</v>
      </c>
      <c r="G222" s="6">
        <v>2017</v>
      </c>
      <c r="H222" s="6" t="str">
        <f>CONCATENATE("74780061516")</f>
        <v>74780061516</v>
      </c>
      <c r="I222" s="6" t="s">
        <v>28</v>
      </c>
      <c r="J222" s="6" t="s">
        <v>29</v>
      </c>
      <c r="K222" s="6" t="str">
        <f>CONCATENATE("221")</f>
        <v>221</v>
      </c>
      <c r="L222" s="6" t="str">
        <f>CONCATENATE("8 8.1 5e")</f>
        <v>8 8.1 5e</v>
      </c>
      <c r="M222" s="6" t="str">
        <f>CONCATENATE("RMNSLL67A60A271L")</f>
        <v>RMNSLL67A60A271L</v>
      </c>
      <c r="N222" s="6" t="s">
        <v>321</v>
      </c>
      <c r="O222" s="6" t="s">
        <v>165</v>
      </c>
      <c r="P222" s="7">
        <v>43173</v>
      </c>
      <c r="Q222" s="6" t="s">
        <v>30</v>
      </c>
      <c r="R222" s="6" t="s">
        <v>31</v>
      </c>
      <c r="S222" s="6" t="s">
        <v>32</v>
      </c>
      <c r="T222" s="6">
        <v>271.64999999999998</v>
      </c>
      <c r="U222" s="6">
        <v>117.14</v>
      </c>
      <c r="V222" s="6">
        <v>108.17</v>
      </c>
      <c r="W222" s="6">
        <v>0</v>
      </c>
      <c r="X222" s="6">
        <v>46.34</v>
      </c>
    </row>
    <row r="223" spans="1:24" ht="24.75" x14ac:dyDescent="0.25">
      <c r="A223" s="6" t="s">
        <v>25</v>
      </c>
      <c r="B223" s="6" t="s">
        <v>26</v>
      </c>
      <c r="C223" s="6" t="s">
        <v>48</v>
      </c>
      <c r="D223" s="6" t="s">
        <v>52</v>
      </c>
      <c r="E223" s="6" t="s">
        <v>38</v>
      </c>
      <c r="F223" s="6" t="s">
        <v>56</v>
      </c>
      <c r="G223" s="6">
        <v>2017</v>
      </c>
      <c r="H223" s="6" t="str">
        <f>CONCATENATE("74780002197")</f>
        <v>74780002197</v>
      </c>
      <c r="I223" s="6" t="s">
        <v>28</v>
      </c>
      <c r="J223" s="6" t="s">
        <v>29</v>
      </c>
      <c r="K223" s="6" t="str">
        <f>CONCATENATE("221")</f>
        <v>221</v>
      </c>
      <c r="L223" s="6" t="str">
        <f>CONCATENATE("8 8.1 5e")</f>
        <v>8 8.1 5e</v>
      </c>
      <c r="M223" s="6" t="str">
        <f>CONCATENATE("SPNFNC56E03C321Q")</f>
        <v>SPNFNC56E03C321Q</v>
      </c>
      <c r="N223" s="6" t="s">
        <v>322</v>
      </c>
      <c r="O223" s="6" t="s">
        <v>165</v>
      </c>
      <c r="P223" s="7">
        <v>43173</v>
      </c>
      <c r="Q223" s="6" t="s">
        <v>30</v>
      </c>
      <c r="R223" s="6" t="s">
        <v>31</v>
      </c>
      <c r="S223" s="6" t="s">
        <v>32</v>
      </c>
      <c r="T223" s="8">
        <v>2713.6</v>
      </c>
      <c r="U223" s="8">
        <v>1170.0999999999999</v>
      </c>
      <c r="V223" s="8">
        <v>1080.56</v>
      </c>
      <c r="W223" s="6">
        <v>0</v>
      </c>
      <c r="X223" s="6">
        <v>462.94</v>
      </c>
    </row>
    <row r="224" spans="1:24" ht="24.75" x14ac:dyDescent="0.25">
      <c r="A224" s="6" t="s">
        <v>25</v>
      </c>
      <c r="B224" s="6" t="s">
        <v>26</v>
      </c>
      <c r="C224" s="6" t="s">
        <v>48</v>
      </c>
      <c r="D224" s="6" t="s">
        <v>49</v>
      </c>
      <c r="E224" s="6" t="s">
        <v>34</v>
      </c>
      <c r="F224" s="6" t="s">
        <v>302</v>
      </c>
      <c r="G224" s="6">
        <v>2017</v>
      </c>
      <c r="H224" s="6" t="str">
        <f>CONCATENATE("74780051210")</f>
        <v>74780051210</v>
      </c>
      <c r="I224" s="6" t="s">
        <v>28</v>
      </c>
      <c r="J224" s="6" t="s">
        <v>29</v>
      </c>
      <c r="K224" s="6" t="str">
        <f>CONCATENATE("221")</f>
        <v>221</v>
      </c>
      <c r="L224" s="6" t="str">
        <f>CONCATENATE("8 8.1 5e")</f>
        <v>8 8.1 5e</v>
      </c>
      <c r="M224" s="6" t="str">
        <f>CONCATENATE("RTLDMR54T59H979A")</f>
        <v>RTLDMR54T59H979A</v>
      </c>
      <c r="N224" s="6" t="s">
        <v>323</v>
      </c>
      <c r="O224" s="6" t="s">
        <v>165</v>
      </c>
      <c r="P224" s="7">
        <v>43173</v>
      </c>
      <c r="Q224" s="6" t="s">
        <v>30</v>
      </c>
      <c r="R224" s="6" t="s">
        <v>31</v>
      </c>
      <c r="S224" s="6" t="s">
        <v>32</v>
      </c>
      <c r="T224" s="8">
        <v>2643.2</v>
      </c>
      <c r="U224" s="8">
        <v>1139.75</v>
      </c>
      <c r="V224" s="8">
        <v>1052.52</v>
      </c>
      <c r="W224" s="6">
        <v>0</v>
      </c>
      <c r="X224" s="6">
        <v>450.93</v>
      </c>
    </row>
    <row r="225" spans="1:24" ht="24.75" x14ac:dyDescent="0.25">
      <c r="A225" s="6" t="s">
        <v>25</v>
      </c>
      <c r="B225" s="6" t="s">
        <v>26</v>
      </c>
      <c r="C225" s="6" t="s">
        <v>48</v>
      </c>
      <c r="D225" s="6" t="s">
        <v>49</v>
      </c>
      <c r="E225" s="6" t="s">
        <v>27</v>
      </c>
      <c r="F225" s="6" t="s">
        <v>324</v>
      </c>
      <c r="G225" s="6">
        <v>2017</v>
      </c>
      <c r="H225" s="6" t="str">
        <f>CONCATENATE("74780005778")</f>
        <v>74780005778</v>
      </c>
      <c r="I225" s="6" t="s">
        <v>28</v>
      </c>
      <c r="J225" s="6" t="s">
        <v>29</v>
      </c>
      <c r="K225" s="6" t="str">
        <f>CONCATENATE("221")</f>
        <v>221</v>
      </c>
      <c r="L225" s="6" t="str">
        <f>CONCATENATE("8 8.1 5e")</f>
        <v>8 8.1 5e</v>
      </c>
      <c r="M225" s="6" t="str">
        <f>CONCATENATE("SGRPRZ51R58F453Q")</f>
        <v>SGRPRZ51R58F453Q</v>
      </c>
      <c r="N225" s="6" t="s">
        <v>325</v>
      </c>
      <c r="O225" s="6" t="s">
        <v>165</v>
      </c>
      <c r="P225" s="7">
        <v>43173</v>
      </c>
      <c r="Q225" s="6" t="s">
        <v>30</v>
      </c>
      <c r="R225" s="6" t="s">
        <v>31</v>
      </c>
      <c r="S225" s="6" t="s">
        <v>32</v>
      </c>
      <c r="T225" s="6">
        <v>166.61</v>
      </c>
      <c r="U225" s="6">
        <v>71.84</v>
      </c>
      <c r="V225" s="6">
        <v>66.34</v>
      </c>
      <c r="W225" s="6">
        <v>0</v>
      </c>
      <c r="X225" s="6">
        <v>28.43</v>
      </c>
    </row>
    <row r="226" spans="1:24" ht="24.75" x14ac:dyDescent="0.25">
      <c r="A226" s="6" t="s">
        <v>25</v>
      </c>
      <c r="B226" s="6" t="s">
        <v>26</v>
      </c>
      <c r="C226" s="6" t="s">
        <v>48</v>
      </c>
      <c r="D226" s="6" t="s">
        <v>49</v>
      </c>
      <c r="E226" s="6" t="s">
        <v>27</v>
      </c>
      <c r="F226" s="6" t="s">
        <v>326</v>
      </c>
      <c r="G226" s="6">
        <v>2017</v>
      </c>
      <c r="H226" s="6" t="str">
        <f>CONCATENATE("74780041278")</f>
        <v>74780041278</v>
      </c>
      <c r="I226" s="6" t="s">
        <v>28</v>
      </c>
      <c r="J226" s="6" t="s">
        <v>29</v>
      </c>
      <c r="K226" s="6" t="str">
        <f>CONCATENATE("221")</f>
        <v>221</v>
      </c>
      <c r="L226" s="6" t="str">
        <f>CONCATENATE("8 8.1 5e")</f>
        <v>8 8.1 5e</v>
      </c>
      <c r="M226" s="6" t="str">
        <f>CONCATENATE("SNSSDR32L31D597H")</f>
        <v>SNSSDR32L31D597H</v>
      </c>
      <c r="N226" s="6" t="s">
        <v>327</v>
      </c>
      <c r="O226" s="6" t="s">
        <v>165</v>
      </c>
      <c r="P226" s="7">
        <v>43173</v>
      </c>
      <c r="Q226" s="6" t="s">
        <v>30</v>
      </c>
      <c r="R226" s="6" t="s">
        <v>31</v>
      </c>
      <c r="S226" s="6" t="s">
        <v>32</v>
      </c>
      <c r="T226" s="6">
        <v>148.5</v>
      </c>
      <c r="U226" s="6">
        <v>64.03</v>
      </c>
      <c r="V226" s="6">
        <v>59.13</v>
      </c>
      <c r="W226" s="6">
        <v>0</v>
      </c>
      <c r="X226" s="6">
        <v>25.34</v>
      </c>
    </row>
    <row r="227" spans="1:24" ht="24.75" x14ac:dyDescent="0.25">
      <c r="A227" s="6" t="s">
        <v>25</v>
      </c>
      <c r="B227" s="6" t="s">
        <v>26</v>
      </c>
      <c r="C227" s="6" t="s">
        <v>48</v>
      </c>
      <c r="D227" s="6" t="s">
        <v>52</v>
      </c>
      <c r="E227" s="6" t="s">
        <v>34</v>
      </c>
      <c r="F227" s="6" t="s">
        <v>235</v>
      </c>
      <c r="G227" s="6">
        <v>2017</v>
      </c>
      <c r="H227" s="6" t="str">
        <f>CONCATENATE("74780025099")</f>
        <v>74780025099</v>
      </c>
      <c r="I227" s="6" t="s">
        <v>28</v>
      </c>
      <c r="J227" s="6" t="s">
        <v>29</v>
      </c>
      <c r="K227" s="6" t="str">
        <f>CONCATENATE("221")</f>
        <v>221</v>
      </c>
      <c r="L227" s="6" t="str">
        <f>CONCATENATE("8 8.1 5e")</f>
        <v>8 8.1 5e</v>
      </c>
      <c r="M227" s="6" t="str">
        <f>CONCATENATE("STRMRS62S41H321W")</f>
        <v>STRMRS62S41H321W</v>
      </c>
      <c r="N227" s="6" t="s">
        <v>328</v>
      </c>
      <c r="O227" s="6" t="s">
        <v>165</v>
      </c>
      <c r="P227" s="7">
        <v>43173</v>
      </c>
      <c r="Q227" s="6" t="s">
        <v>30</v>
      </c>
      <c r="R227" s="6" t="s">
        <v>31</v>
      </c>
      <c r="S227" s="6" t="s">
        <v>32</v>
      </c>
      <c r="T227" s="6">
        <v>417.06</v>
      </c>
      <c r="U227" s="6">
        <v>179.84</v>
      </c>
      <c r="V227" s="6">
        <v>166.07</v>
      </c>
      <c r="W227" s="6">
        <v>0</v>
      </c>
      <c r="X227" s="6">
        <v>71.150000000000006</v>
      </c>
    </row>
    <row r="228" spans="1:24" ht="24.75" x14ac:dyDescent="0.25">
      <c r="A228" s="6" t="s">
        <v>25</v>
      </c>
      <c r="B228" s="6" t="s">
        <v>26</v>
      </c>
      <c r="C228" s="6" t="s">
        <v>48</v>
      </c>
      <c r="D228" s="6" t="s">
        <v>52</v>
      </c>
      <c r="E228" s="6" t="s">
        <v>34</v>
      </c>
      <c r="F228" s="6" t="s">
        <v>235</v>
      </c>
      <c r="G228" s="6">
        <v>2017</v>
      </c>
      <c r="H228" s="6" t="str">
        <f>CONCATENATE("74780032525")</f>
        <v>74780032525</v>
      </c>
      <c r="I228" s="6" t="s">
        <v>28</v>
      </c>
      <c r="J228" s="6" t="s">
        <v>29</v>
      </c>
      <c r="K228" s="6" t="str">
        <f>CONCATENATE("221")</f>
        <v>221</v>
      </c>
      <c r="L228" s="6" t="str">
        <f>CONCATENATE("8 8.1 5e")</f>
        <v>8 8.1 5e</v>
      </c>
      <c r="M228" s="6" t="str">
        <f>CONCATENATE("VGNPRZ61C49H321Q")</f>
        <v>VGNPRZ61C49H321Q</v>
      </c>
      <c r="N228" s="6" t="s">
        <v>329</v>
      </c>
      <c r="O228" s="6" t="s">
        <v>165</v>
      </c>
      <c r="P228" s="7">
        <v>43173</v>
      </c>
      <c r="Q228" s="6" t="s">
        <v>30</v>
      </c>
      <c r="R228" s="6" t="s">
        <v>31</v>
      </c>
      <c r="S228" s="6" t="s">
        <v>32</v>
      </c>
      <c r="T228" s="8">
        <v>1446.34</v>
      </c>
      <c r="U228" s="6">
        <v>623.66</v>
      </c>
      <c r="V228" s="6">
        <v>575.92999999999995</v>
      </c>
      <c r="W228" s="6">
        <v>0</v>
      </c>
      <c r="X228" s="6">
        <v>246.75</v>
      </c>
    </row>
    <row r="229" spans="1:24" ht="24.75" x14ac:dyDescent="0.25">
      <c r="A229" s="6" t="s">
        <v>25</v>
      </c>
      <c r="B229" s="6" t="s">
        <v>26</v>
      </c>
      <c r="C229" s="6" t="s">
        <v>48</v>
      </c>
      <c r="D229" s="6" t="s">
        <v>52</v>
      </c>
      <c r="E229" s="6" t="s">
        <v>34</v>
      </c>
      <c r="F229" s="6" t="s">
        <v>235</v>
      </c>
      <c r="G229" s="6">
        <v>2017</v>
      </c>
      <c r="H229" s="6" t="str">
        <f>CONCATENATE("74780025255")</f>
        <v>74780025255</v>
      </c>
      <c r="I229" s="6" t="s">
        <v>28</v>
      </c>
      <c r="J229" s="6" t="s">
        <v>29</v>
      </c>
      <c r="K229" s="6" t="str">
        <f>CONCATENATE("221")</f>
        <v>221</v>
      </c>
      <c r="L229" s="6" t="str">
        <f>CONCATENATE("8 8.1 5e")</f>
        <v>8 8.1 5e</v>
      </c>
      <c r="M229" s="6" t="str">
        <f>CONCATENATE("VLLBNR57C43H321L")</f>
        <v>VLLBNR57C43H321L</v>
      </c>
      <c r="N229" s="6" t="s">
        <v>330</v>
      </c>
      <c r="O229" s="6" t="s">
        <v>165</v>
      </c>
      <c r="P229" s="7">
        <v>43173</v>
      </c>
      <c r="Q229" s="6" t="s">
        <v>30</v>
      </c>
      <c r="R229" s="6" t="s">
        <v>31</v>
      </c>
      <c r="S229" s="6" t="s">
        <v>32</v>
      </c>
      <c r="T229" s="6">
        <v>632.5</v>
      </c>
      <c r="U229" s="6">
        <v>272.73</v>
      </c>
      <c r="V229" s="6">
        <v>251.86</v>
      </c>
      <c r="W229" s="6">
        <v>0</v>
      </c>
      <c r="X229" s="6">
        <v>107.91</v>
      </c>
    </row>
    <row r="230" spans="1:24" ht="24.75" x14ac:dyDescent="0.25">
      <c r="A230" s="6" t="s">
        <v>25</v>
      </c>
      <c r="B230" s="6" t="s">
        <v>26</v>
      </c>
      <c r="C230" s="6" t="s">
        <v>48</v>
      </c>
      <c r="D230" s="6" t="s">
        <v>52</v>
      </c>
      <c r="E230" s="6" t="s">
        <v>34</v>
      </c>
      <c r="F230" s="6" t="s">
        <v>235</v>
      </c>
      <c r="G230" s="6">
        <v>2017</v>
      </c>
      <c r="H230" s="6" t="str">
        <f>CONCATENATE("74780025263")</f>
        <v>74780025263</v>
      </c>
      <c r="I230" s="6" t="s">
        <v>28</v>
      </c>
      <c r="J230" s="6" t="s">
        <v>29</v>
      </c>
      <c r="K230" s="6" t="str">
        <f>CONCATENATE("221")</f>
        <v>221</v>
      </c>
      <c r="L230" s="6" t="str">
        <f>CONCATENATE("8 8.1 5e")</f>
        <v>8 8.1 5e</v>
      </c>
      <c r="M230" s="6" t="str">
        <f>CONCATENATE("VCCVCN44C02H321R")</f>
        <v>VCCVCN44C02H321R</v>
      </c>
      <c r="N230" s="6" t="s">
        <v>331</v>
      </c>
      <c r="O230" s="6" t="s">
        <v>165</v>
      </c>
      <c r="P230" s="7">
        <v>43173</v>
      </c>
      <c r="Q230" s="6" t="s">
        <v>30</v>
      </c>
      <c r="R230" s="6" t="s">
        <v>31</v>
      </c>
      <c r="S230" s="6" t="s">
        <v>32</v>
      </c>
      <c r="T230" s="6">
        <v>706.51</v>
      </c>
      <c r="U230" s="6">
        <v>304.64999999999998</v>
      </c>
      <c r="V230" s="6">
        <v>281.33</v>
      </c>
      <c r="W230" s="6">
        <v>0</v>
      </c>
      <c r="X230" s="6">
        <v>120.53</v>
      </c>
    </row>
    <row r="231" spans="1:24" ht="24.75" x14ac:dyDescent="0.25">
      <c r="A231" s="6" t="s">
        <v>25</v>
      </c>
      <c r="B231" s="6" t="s">
        <v>26</v>
      </c>
      <c r="C231" s="6" t="s">
        <v>48</v>
      </c>
      <c r="D231" s="6" t="s">
        <v>52</v>
      </c>
      <c r="E231" s="6" t="s">
        <v>38</v>
      </c>
      <c r="F231" s="6" t="s">
        <v>56</v>
      </c>
      <c r="G231" s="6">
        <v>2017</v>
      </c>
      <c r="H231" s="6" t="str">
        <f>CONCATENATE("74780025750")</f>
        <v>74780025750</v>
      </c>
      <c r="I231" s="6" t="s">
        <v>28</v>
      </c>
      <c r="J231" s="6" t="s">
        <v>29</v>
      </c>
      <c r="K231" s="6" t="str">
        <f>CONCATENATE("221")</f>
        <v>221</v>
      </c>
      <c r="L231" s="6" t="str">
        <f>CONCATENATE("8 8.1 5e")</f>
        <v>8 8.1 5e</v>
      </c>
      <c r="M231" s="6" t="str">
        <f>CONCATENATE("ZPPDNC38R71A335P")</f>
        <v>ZPPDNC38R71A335P</v>
      </c>
      <c r="N231" s="6" t="s">
        <v>332</v>
      </c>
      <c r="O231" s="6" t="s">
        <v>165</v>
      </c>
      <c r="P231" s="7">
        <v>43173</v>
      </c>
      <c r="Q231" s="6" t="s">
        <v>30</v>
      </c>
      <c r="R231" s="6" t="s">
        <v>31</v>
      </c>
      <c r="S231" s="6" t="s">
        <v>32</v>
      </c>
      <c r="T231" s="6">
        <v>170.23</v>
      </c>
      <c r="U231" s="6">
        <v>73.400000000000006</v>
      </c>
      <c r="V231" s="6">
        <v>67.790000000000006</v>
      </c>
      <c r="W231" s="6">
        <v>0</v>
      </c>
      <c r="X231" s="6">
        <v>29.04</v>
      </c>
    </row>
    <row r="232" spans="1:24" ht="24.75" x14ac:dyDescent="0.25">
      <c r="A232" s="6" t="s">
        <v>25</v>
      </c>
      <c r="B232" s="6" t="s">
        <v>26</v>
      </c>
      <c r="C232" s="6" t="s">
        <v>48</v>
      </c>
      <c r="D232" s="6" t="s">
        <v>52</v>
      </c>
      <c r="E232" s="6" t="s">
        <v>38</v>
      </c>
      <c r="F232" s="6" t="s">
        <v>56</v>
      </c>
      <c r="G232" s="6">
        <v>2017</v>
      </c>
      <c r="H232" s="6" t="str">
        <f>CONCATENATE("74780021288")</f>
        <v>74780021288</v>
      </c>
      <c r="I232" s="6" t="s">
        <v>28</v>
      </c>
      <c r="J232" s="6" t="s">
        <v>29</v>
      </c>
      <c r="K232" s="6" t="str">
        <f>CONCATENATE("221")</f>
        <v>221</v>
      </c>
      <c r="L232" s="6" t="str">
        <f>CONCATENATE("8 8.1 5e")</f>
        <v>8 8.1 5e</v>
      </c>
      <c r="M232" s="6" t="str">
        <f>CONCATENATE("FLCMTA31C05G005X")</f>
        <v>FLCMTA31C05G005X</v>
      </c>
      <c r="N232" s="6" t="s">
        <v>333</v>
      </c>
      <c r="O232" s="6" t="s">
        <v>165</v>
      </c>
      <c r="P232" s="7">
        <v>43173</v>
      </c>
      <c r="Q232" s="6" t="s">
        <v>30</v>
      </c>
      <c r="R232" s="6" t="s">
        <v>31</v>
      </c>
      <c r="S232" s="6" t="s">
        <v>32</v>
      </c>
      <c r="T232" s="6">
        <v>546.04</v>
      </c>
      <c r="U232" s="6">
        <v>235.45</v>
      </c>
      <c r="V232" s="6">
        <v>217.43</v>
      </c>
      <c r="W232" s="6">
        <v>0</v>
      </c>
      <c r="X232" s="6">
        <v>93.16</v>
      </c>
    </row>
    <row r="233" spans="1:24" ht="24.75" x14ac:dyDescent="0.25">
      <c r="A233" s="6" t="s">
        <v>25</v>
      </c>
      <c r="B233" s="6" t="s">
        <v>26</v>
      </c>
      <c r="C233" s="6" t="s">
        <v>48</v>
      </c>
      <c r="D233" s="6" t="s">
        <v>52</v>
      </c>
      <c r="E233" s="6" t="s">
        <v>38</v>
      </c>
      <c r="F233" s="6" t="s">
        <v>56</v>
      </c>
      <c r="G233" s="6">
        <v>2017</v>
      </c>
      <c r="H233" s="6" t="str">
        <f>CONCATENATE("74780016114")</f>
        <v>74780016114</v>
      </c>
      <c r="I233" s="6" t="s">
        <v>28</v>
      </c>
      <c r="J233" s="6" t="s">
        <v>29</v>
      </c>
      <c r="K233" s="6" t="str">
        <f>CONCATENATE("221")</f>
        <v>221</v>
      </c>
      <c r="L233" s="6" t="str">
        <f>CONCATENATE("8 8.1 5e")</f>
        <v>8 8.1 5e</v>
      </c>
      <c r="M233" s="6" t="str">
        <f>CONCATENATE("FLCMRZ89C30H769G")</f>
        <v>FLCMRZ89C30H769G</v>
      </c>
      <c r="N233" s="6" t="s">
        <v>334</v>
      </c>
      <c r="O233" s="6" t="s">
        <v>165</v>
      </c>
      <c r="P233" s="7">
        <v>43173</v>
      </c>
      <c r="Q233" s="6" t="s">
        <v>30</v>
      </c>
      <c r="R233" s="6" t="s">
        <v>31</v>
      </c>
      <c r="S233" s="6" t="s">
        <v>32</v>
      </c>
      <c r="T233" s="6">
        <v>166.44</v>
      </c>
      <c r="U233" s="6">
        <v>71.77</v>
      </c>
      <c r="V233" s="6">
        <v>66.28</v>
      </c>
      <c r="W233" s="6">
        <v>0</v>
      </c>
      <c r="X233" s="6">
        <v>28.39</v>
      </c>
    </row>
    <row r="234" spans="1:24" ht="24.75" x14ac:dyDescent="0.25">
      <c r="A234" s="6" t="s">
        <v>25</v>
      </c>
      <c r="B234" s="6" t="s">
        <v>26</v>
      </c>
      <c r="C234" s="6" t="s">
        <v>48</v>
      </c>
      <c r="D234" s="6" t="s">
        <v>52</v>
      </c>
      <c r="E234" s="6" t="s">
        <v>38</v>
      </c>
      <c r="F234" s="6" t="s">
        <v>56</v>
      </c>
      <c r="G234" s="6">
        <v>2017</v>
      </c>
      <c r="H234" s="6" t="str">
        <f>CONCATENATE("74780002205")</f>
        <v>74780002205</v>
      </c>
      <c r="I234" s="6" t="s">
        <v>28</v>
      </c>
      <c r="J234" s="6" t="s">
        <v>29</v>
      </c>
      <c r="K234" s="6" t="str">
        <f>CONCATENATE("221")</f>
        <v>221</v>
      </c>
      <c r="L234" s="6" t="str">
        <f>CONCATENATE("8 8.1 5e")</f>
        <v>8 8.1 5e</v>
      </c>
      <c r="M234" s="6" t="str">
        <f>CONCATENATE("SPNFNC56E03C321Q")</f>
        <v>SPNFNC56E03C321Q</v>
      </c>
      <c r="N234" s="6" t="s">
        <v>322</v>
      </c>
      <c r="O234" s="6" t="s">
        <v>165</v>
      </c>
      <c r="P234" s="7">
        <v>43173</v>
      </c>
      <c r="Q234" s="6" t="s">
        <v>30</v>
      </c>
      <c r="R234" s="6" t="s">
        <v>31</v>
      </c>
      <c r="S234" s="6" t="s">
        <v>32</v>
      </c>
      <c r="T234" s="8">
        <v>5506.17</v>
      </c>
      <c r="U234" s="8">
        <v>2374.2600000000002</v>
      </c>
      <c r="V234" s="8">
        <v>2192.56</v>
      </c>
      <c r="W234" s="6">
        <v>0</v>
      </c>
      <c r="X234" s="6">
        <v>939.35</v>
      </c>
    </row>
    <row r="235" spans="1:24" ht="24.75" x14ac:dyDescent="0.25">
      <c r="A235" s="6" t="s">
        <v>25</v>
      </c>
      <c r="B235" s="6" t="s">
        <v>26</v>
      </c>
      <c r="C235" s="6" t="s">
        <v>48</v>
      </c>
      <c r="D235" s="6" t="s">
        <v>52</v>
      </c>
      <c r="E235" s="6" t="s">
        <v>33</v>
      </c>
      <c r="F235" s="6" t="s">
        <v>83</v>
      </c>
      <c r="G235" s="6">
        <v>2017</v>
      </c>
      <c r="H235" s="6" t="str">
        <f>CONCATENATE("74780009622")</f>
        <v>74780009622</v>
      </c>
      <c r="I235" s="6" t="s">
        <v>28</v>
      </c>
      <c r="J235" s="6" t="s">
        <v>29</v>
      </c>
      <c r="K235" s="6" t="str">
        <f>CONCATENATE("221")</f>
        <v>221</v>
      </c>
      <c r="L235" s="6" t="str">
        <f>CONCATENATE("8 8.1 5e")</f>
        <v>8 8.1 5e</v>
      </c>
      <c r="M235" s="6" t="str">
        <f>CONCATENATE("DVSFDN60E20D691P")</f>
        <v>DVSFDN60E20D691P</v>
      </c>
      <c r="N235" s="6" t="s">
        <v>335</v>
      </c>
      <c r="O235" s="6" t="s">
        <v>165</v>
      </c>
      <c r="P235" s="7">
        <v>43173</v>
      </c>
      <c r="Q235" s="6" t="s">
        <v>30</v>
      </c>
      <c r="R235" s="6" t="s">
        <v>31</v>
      </c>
      <c r="S235" s="6" t="s">
        <v>32</v>
      </c>
      <c r="T235" s="6">
        <v>92.35</v>
      </c>
      <c r="U235" s="6">
        <v>39.82</v>
      </c>
      <c r="V235" s="6">
        <v>36.770000000000003</v>
      </c>
      <c r="W235" s="6">
        <v>0</v>
      </c>
      <c r="X235" s="6">
        <v>15.76</v>
      </c>
    </row>
    <row r="236" spans="1:24" ht="24.75" x14ac:dyDescent="0.25">
      <c r="A236" s="6" t="s">
        <v>25</v>
      </c>
      <c r="B236" s="6" t="s">
        <v>26</v>
      </c>
      <c r="C236" s="6" t="s">
        <v>48</v>
      </c>
      <c r="D236" s="6" t="s">
        <v>52</v>
      </c>
      <c r="E236" s="6" t="s">
        <v>33</v>
      </c>
      <c r="F236" s="6" t="s">
        <v>83</v>
      </c>
      <c r="G236" s="6">
        <v>2017</v>
      </c>
      <c r="H236" s="6" t="str">
        <f>CONCATENATE("74780047473")</f>
        <v>74780047473</v>
      </c>
      <c r="I236" s="6" t="s">
        <v>28</v>
      </c>
      <c r="J236" s="6" t="s">
        <v>29</v>
      </c>
      <c r="K236" s="6" t="str">
        <f>CONCATENATE("221")</f>
        <v>221</v>
      </c>
      <c r="L236" s="6" t="str">
        <f>CONCATENATE("8 8.1 5e")</f>
        <v>8 8.1 5e</v>
      </c>
      <c r="M236" s="6" t="str">
        <f>CONCATENATE("CRRGNN42L31D542I")</f>
        <v>CRRGNN42L31D542I</v>
      </c>
      <c r="N236" s="6" t="s">
        <v>336</v>
      </c>
      <c r="O236" s="6" t="s">
        <v>165</v>
      </c>
      <c r="P236" s="7">
        <v>43173</v>
      </c>
      <c r="Q236" s="6" t="s">
        <v>30</v>
      </c>
      <c r="R236" s="6" t="s">
        <v>31</v>
      </c>
      <c r="S236" s="6" t="s">
        <v>32</v>
      </c>
      <c r="T236" s="6">
        <v>222.59</v>
      </c>
      <c r="U236" s="6">
        <v>95.98</v>
      </c>
      <c r="V236" s="6">
        <v>88.64</v>
      </c>
      <c r="W236" s="6">
        <v>0</v>
      </c>
      <c r="X236" s="6">
        <v>37.97</v>
      </c>
    </row>
    <row r="237" spans="1:24" ht="24.75" x14ac:dyDescent="0.25">
      <c r="A237" s="6" t="s">
        <v>25</v>
      </c>
      <c r="B237" s="6" t="s">
        <v>26</v>
      </c>
      <c r="C237" s="6" t="s">
        <v>48</v>
      </c>
      <c r="D237" s="6" t="s">
        <v>52</v>
      </c>
      <c r="E237" s="6" t="s">
        <v>34</v>
      </c>
      <c r="F237" s="6" t="s">
        <v>163</v>
      </c>
      <c r="G237" s="6">
        <v>2017</v>
      </c>
      <c r="H237" s="6" t="str">
        <f>CONCATENATE("74780024555")</f>
        <v>74780024555</v>
      </c>
      <c r="I237" s="6" t="s">
        <v>28</v>
      </c>
      <c r="J237" s="6" t="s">
        <v>29</v>
      </c>
      <c r="K237" s="6" t="str">
        <f>CONCATENATE("221")</f>
        <v>221</v>
      </c>
      <c r="L237" s="6" t="str">
        <f>CONCATENATE("8 8.1 5e")</f>
        <v>8 8.1 5e</v>
      </c>
      <c r="M237" s="6" t="str">
        <f>CONCATENATE("DNGNCL31A29G005M")</f>
        <v>DNGNCL31A29G005M</v>
      </c>
      <c r="N237" s="6" t="s">
        <v>337</v>
      </c>
      <c r="O237" s="6" t="s">
        <v>165</v>
      </c>
      <c r="P237" s="7">
        <v>43173</v>
      </c>
      <c r="Q237" s="6" t="s">
        <v>30</v>
      </c>
      <c r="R237" s="6" t="s">
        <v>31</v>
      </c>
      <c r="S237" s="6" t="s">
        <v>32</v>
      </c>
      <c r="T237" s="8">
        <v>1039.5</v>
      </c>
      <c r="U237" s="6">
        <v>448.23</v>
      </c>
      <c r="V237" s="6">
        <v>413.93</v>
      </c>
      <c r="W237" s="6">
        <v>0</v>
      </c>
      <c r="X237" s="6">
        <v>177.34</v>
      </c>
    </row>
    <row r="238" spans="1:24" ht="24.75" x14ac:dyDescent="0.25">
      <c r="A238" s="6" t="s">
        <v>25</v>
      </c>
      <c r="B238" s="6" t="s">
        <v>26</v>
      </c>
      <c r="C238" s="6" t="s">
        <v>48</v>
      </c>
      <c r="D238" s="6" t="s">
        <v>52</v>
      </c>
      <c r="E238" s="6" t="s">
        <v>38</v>
      </c>
      <c r="F238" s="6" t="s">
        <v>130</v>
      </c>
      <c r="G238" s="6">
        <v>2017</v>
      </c>
      <c r="H238" s="6" t="str">
        <f>CONCATENATE("74780024506")</f>
        <v>74780024506</v>
      </c>
      <c r="I238" s="6" t="s">
        <v>28</v>
      </c>
      <c r="J238" s="6" t="s">
        <v>29</v>
      </c>
      <c r="K238" s="6" t="str">
        <f>CONCATENATE("221")</f>
        <v>221</v>
      </c>
      <c r="L238" s="6" t="str">
        <f>CONCATENATE("8 8.1 5e")</f>
        <v>8 8.1 5e</v>
      </c>
      <c r="M238" s="6" t="str">
        <f>CONCATENATE("RPNNZE64T03B727E")</f>
        <v>RPNNZE64T03B727E</v>
      </c>
      <c r="N238" s="6" t="s">
        <v>281</v>
      </c>
      <c r="O238" s="6" t="s">
        <v>165</v>
      </c>
      <c r="P238" s="7">
        <v>43173</v>
      </c>
      <c r="Q238" s="6" t="s">
        <v>30</v>
      </c>
      <c r="R238" s="6" t="s">
        <v>31</v>
      </c>
      <c r="S238" s="6" t="s">
        <v>32</v>
      </c>
      <c r="T238" s="6">
        <v>231.8</v>
      </c>
      <c r="U238" s="6">
        <v>99.95</v>
      </c>
      <c r="V238" s="6">
        <v>92.3</v>
      </c>
      <c r="W238" s="6">
        <v>0</v>
      </c>
      <c r="X238" s="6">
        <v>39.549999999999997</v>
      </c>
    </row>
    <row r="239" spans="1:24" ht="24.75" x14ac:dyDescent="0.25">
      <c r="A239" s="6" t="s">
        <v>25</v>
      </c>
      <c r="B239" s="6" t="s">
        <v>26</v>
      </c>
      <c r="C239" s="6" t="s">
        <v>48</v>
      </c>
      <c r="D239" s="6" t="s">
        <v>52</v>
      </c>
      <c r="E239" s="6" t="s">
        <v>42</v>
      </c>
      <c r="F239" s="6" t="s">
        <v>338</v>
      </c>
      <c r="G239" s="6">
        <v>2017</v>
      </c>
      <c r="H239" s="6" t="str">
        <f>CONCATENATE("74780043563")</f>
        <v>74780043563</v>
      </c>
      <c r="I239" s="6" t="s">
        <v>28</v>
      </c>
      <c r="J239" s="6" t="s">
        <v>29</v>
      </c>
      <c r="K239" s="6" t="str">
        <f>CONCATENATE("221")</f>
        <v>221</v>
      </c>
      <c r="L239" s="6" t="str">
        <f>CONCATENATE("8 8.1 5e")</f>
        <v>8 8.1 5e</v>
      </c>
      <c r="M239" s="6" t="str">
        <f>CONCATENATE("CRZVCN39P09H769T")</f>
        <v>CRZVCN39P09H769T</v>
      </c>
      <c r="N239" s="6" t="s">
        <v>339</v>
      </c>
      <c r="O239" s="6" t="s">
        <v>165</v>
      </c>
      <c r="P239" s="7">
        <v>43173</v>
      </c>
      <c r="Q239" s="6" t="s">
        <v>30</v>
      </c>
      <c r="R239" s="6" t="s">
        <v>31</v>
      </c>
      <c r="S239" s="6" t="s">
        <v>32</v>
      </c>
      <c r="T239" s="6">
        <v>130.38999999999999</v>
      </c>
      <c r="U239" s="6">
        <v>56.22</v>
      </c>
      <c r="V239" s="6">
        <v>51.92</v>
      </c>
      <c r="W239" s="6">
        <v>0</v>
      </c>
      <c r="X239" s="6">
        <v>22.25</v>
      </c>
    </row>
    <row r="240" spans="1:24" ht="24.75" x14ac:dyDescent="0.25">
      <c r="A240" s="6" t="s">
        <v>25</v>
      </c>
      <c r="B240" s="6" t="s">
        <v>26</v>
      </c>
      <c r="C240" s="6" t="s">
        <v>48</v>
      </c>
      <c r="D240" s="6" t="s">
        <v>52</v>
      </c>
      <c r="E240" s="6" t="s">
        <v>38</v>
      </c>
      <c r="F240" s="6" t="s">
        <v>56</v>
      </c>
      <c r="G240" s="6">
        <v>2017</v>
      </c>
      <c r="H240" s="6" t="str">
        <f>CONCATENATE("74780025537")</f>
        <v>74780025537</v>
      </c>
      <c r="I240" s="6" t="s">
        <v>28</v>
      </c>
      <c r="J240" s="6" t="s">
        <v>29</v>
      </c>
      <c r="K240" s="6" t="str">
        <f>CONCATENATE("221")</f>
        <v>221</v>
      </c>
      <c r="L240" s="6" t="str">
        <f>CONCATENATE("8 8.1 5e")</f>
        <v>8 8.1 5e</v>
      </c>
      <c r="M240" s="6" t="str">
        <f>CONCATENATE("CSSGNI62A04F501K")</f>
        <v>CSSGNI62A04F501K</v>
      </c>
      <c r="N240" s="6" t="s">
        <v>340</v>
      </c>
      <c r="O240" s="6" t="s">
        <v>165</v>
      </c>
      <c r="P240" s="7">
        <v>43173</v>
      </c>
      <c r="Q240" s="6" t="s">
        <v>30</v>
      </c>
      <c r="R240" s="6" t="s">
        <v>31</v>
      </c>
      <c r="S240" s="6" t="s">
        <v>32</v>
      </c>
      <c r="T240" s="8">
        <v>2352.11</v>
      </c>
      <c r="U240" s="8">
        <v>1014.23</v>
      </c>
      <c r="V240" s="6">
        <v>936.61</v>
      </c>
      <c r="W240" s="6">
        <v>0</v>
      </c>
      <c r="X240" s="6">
        <v>401.27</v>
      </c>
    </row>
    <row r="241" spans="1:24" ht="24.75" x14ac:dyDescent="0.25">
      <c r="A241" s="6" t="s">
        <v>25</v>
      </c>
      <c r="B241" s="6" t="s">
        <v>26</v>
      </c>
      <c r="C241" s="6" t="s">
        <v>48</v>
      </c>
      <c r="D241" s="6" t="s">
        <v>52</v>
      </c>
      <c r="E241" s="6" t="s">
        <v>34</v>
      </c>
      <c r="F241" s="6" t="s">
        <v>53</v>
      </c>
      <c r="G241" s="6">
        <v>2017</v>
      </c>
      <c r="H241" s="6" t="str">
        <f>CONCATENATE("74780073966")</f>
        <v>74780073966</v>
      </c>
      <c r="I241" s="6" t="s">
        <v>28</v>
      </c>
      <c r="J241" s="6" t="s">
        <v>29</v>
      </c>
      <c r="K241" s="6" t="str">
        <f>CONCATENATE("221")</f>
        <v>221</v>
      </c>
      <c r="L241" s="6" t="str">
        <f>CONCATENATE("8 8.1 5e")</f>
        <v>8 8.1 5e</v>
      </c>
      <c r="M241" s="6" t="str">
        <f>CONCATENATE("CPRPTR53B27F516N")</f>
        <v>CPRPTR53B27F516N</v>
      </c>
      <c r="N241" s="6" t="s">
        <v>341</v>
      </c>
      <c r="O241" s="6" t="s">
        <v>165</v>
      </c>
      <c r="P241" s="7">
        <v>43173</v>
      </c>
      <c r="Q241" s="6" t="s">
        <v>30</v>
      </c>
      <c r="R241" s="6" t="s">
        <v>31</v>
      </c>
      <c r="S241" s="6" t="s">
        <v>32</v>
      </c>
      <c r="T241" s="6">
        <v>258.97000000000003</v>
      </c>
      <c r="U241" s="6">
        <v>111.67</v>
      </c>
      <c r="V241" s="6">
        <v>103.12</v>
      </c>
      <c r="W241" s="6">
        <v>0</v>
      </c>
      <c r="X241" s="6">
        <v>44.18</v>
      </c>
    </row>
    <row r="242" spans="1:24" ht="24.75" x14ac:dyDescent="0.25">
      <c r="A242" s="6" t="s">
        <v>25</v>
      </c>
      <c r="B242" s="6" t="s">
        <v>26</v>
      </c>
      <c r="C242" s="6" t="s">
        <v>48</v>
      </c>
      <c r="D242" s="6" t="s">
        <v>52</v>
      </c>
      <c r="E242" s="6" t="s">
        <v>38</v>
      </c>
      <c r="F242" s="6" t="s">
        <v>56</v>
      </c>
      <c r="G242" s="6">
        <v>2017</v>
      </c>
      <c r="H242" s="6" t="str">
        <f>CONCATENATE("74780028085")</f>
        <v>74780028085</v>
      </c>
      <c r="I242" s="6" t="s">
        <v>28</v>
      </c>
      <c r="J242" s="6" t="s">
        <v>29</v>
      </c>
      <c r="K242" s="6" t="str">
        <f>CONCATENATE("221")</f>
        <v>221</v>
      </c>
      <c r="L242" s="6" t="str">
        <f>CONCATENATE("8 8.1 5e")</f>
        <v>8 8.1 5e</v>
      </c>
      <c r="M242" s="6" t="str">
        <f>CONCATENATE("CLLGPP45D56A462B")</f>
        <v>CLLGPP45D56A462B</v>
      </c>
      <c r="N242" s="6" t="s">
        <v>342</v>
      </c>
      <c r="O242" s="6" t="s">
        <v>165</v>
      </c>
      <c r="P242" s="7">
        <v>43173</v>
      </c>
      <c r="Q242" s="6" t="s">
        <v>30</v>
      </c>
      <c r="R242" s="6" t="s">
        <v>31</v>
      </c>
      <c r="S242" s="6" t="s">
        <v>32</v>
      </c>
      <c r="T242" s="8">
        <v>3646.5</v>
      </c>
      <c r="U242" s="8">
        <v>1572.37</v>
      </c>
      <c r="V242" s="8">
        <v>1452.04</v>
      </c>
      <c r="W242" s="6">
        <v>0</v>
      </c>
      <c r="X242" s="6">
        <v>622.09</v>
      </c>
    </row>
    <row r="243" spans="1:24" ht="24.75" x14ac:dyDescent="0.25">
      <c r="A243" s="6" t="s">
        <v>25</v>
      </c>
      <c r="B243" s="6" t="s">
        <v>26</v>
      </c>
      <c r="C243" s="6" t="s">
        <v>48</v>
      </c>
      <c r="D243" s="6" t="s">
        <v>52</v>
      </c>
      <c r="E243" s="6" t="s">
        <v>38</v>
      </c>
      <c r="F243" s="6" t="s">
        <v>56</v>
      </c>
      <c r="G243" s="6">
        <v>2017</v>
      </c>
      <c r="H243" s="6" t="str">
        <f>CONCATENATE("74780012618")</f>
        <v>74780012618</v>
      </c>
      <c r="I243" s="6" t="s">
        <v>28</v>
      </c>
      <c r="J243" s="6" t="s">
        <v>29</v>
      </c>
      <c r="K243" s="6" t="str">
        <f>CONCATENATE("221")</f>
        <v>221</v>
      </c>
      <c r="L243" s="6" t="str">
        <f>CONCATENATE("8 8.1 5e")</f>
        <v>8 8.1 5e</v>
      </c>
      <c r="M243" s="6" t="str">
        <f>CONCATENATE("DBLNNE54E55A491H")</f>
        <v>DBLNNE54E55A491H</v>
      </c>
      <c r="N243" s="6" t="s">
        <v>343</v>
      </c>
      <c r="O243" s="6" t="s">
        <v>165</v>
      </c>
      <c r="P243" s="7">
        <v>43173</v>
      </c>
      <c r="Q243" s="6" t="s">
        <v>30</v>
      </c>
      <c r="R243" s="6" t="s">
        <v>31</v>
      </c>
      <c r="S243" s="6" t="s">
        <v>32</v>
      </c>
      <c r="T243" s="6">
        <v>342.59</v>
      </c>
      <c r="U243" s="6">
        <v>147.72</v>
      </c>
      <c r="V243" s="6">
        <v>136.41999999999999</v>
      </c>
      <c r="W243" s="6">
        <v>0</v>
      </c>
      <c r="X243" s="6">
        <v>58.45</v>
      </c>
    </row>
    <row r="244" spans="1:24" ht="24.75" x14ac:dyDescent="0.25">
      <c r="A244" s="6" t="s">
        <v>25</v>
      </c>
      <c r="B244" s="6" t="s">
        <v>26</v>
      </c>
      <c r="C244" s="6" t="s">
        <v>48</v>
      </c>
      <c r="D244" s="6" t="s">
        <v>52</v>
      </c>
      <c r="E244" s="6" t="s">
        <v>38</v>
      </c>
      <c r="F244" s="6" t="s">
        <v>56</v>
      </c>
      <c r="G244" s="6">
        <v>2017</v>
      </c>
      <c r="H244" s="6" t="str">
        <f>CONCATENATE("74780024092")</f>
        <v>74780024092</v>
      </c>
      <c r="I244" s="6" t="s">
        <v>28</v>
      </c>
      <c r="J244" s="6" t="s">
        <v>29</v>
      </c>
      <c r="K244" s="6" t="str">
        <f>CONCATENATE("221")</f>
        <v>221</v>
      </c>
      <c r="L244" s="6" t="str">
        <f>CONCATENATE("8 8.1 5e")</f>
        <v>8 8.1 5e</v>
      </c>
      <c r="M244" s="6" t="str">
        <f>CONCATENATE("LCDLGN37H61C321W")</f>
        <v>LCDLGN37H61C321W</v>
      </c>
      <c r="N244" s="6" t="s">
        <v>344</v>
      </c>
      <c r="O244" s="6" t="s">
        <v>165</v>
      </c>
      <c r="P244" s="7">
        <v>43173</v>
      </c>
      <c r="Q244" s="6" t="s">
        <v>30</v>
      </c>
      <c r="R244" s="6" t="s">
        <v>31</v>
      </c>
      <c r="S244" s="6" t="s">
        <v>32</v>
      </c>
      <c r="T244" s="8">
        <v>1456.24</v>
      </c>
      <c r="U244" s="6">
        <v>627.92999999999995</v>
      </c>
      <c r="V244" s="6">
        <v>579.87</v>
      </c>
      <c r="W244" s="6">
        <v>0</v>
      </c>
      <c r="X244" s="6">
        <v>248.44</v>
      </c>
    </row>
    <row r="245" spans="1:24" ht="24.75" x14ac:dyDescent="0.25">
      <c r="A245" s="6" t="s">
        <v>25</v>
      </c>
      <c r="B245" s="6" t="s">
        <v>26</v>
      </c>
      <c r="C245" s="6" t="s">
        <v>48</v>
      </c>
      <c r="D245" s="6" t="s">
        <v>52</v>
      </c>
      <c r="E245" s="6" t="s">
        <v>34</v>
      </c>
      <c r="F245" s="6" t="s">
        <v>235</v>
      </c>
      <c r="G245" s="6">
        <v>2017</v>
      </c>
      <c r="H245" s="6" t="str">
        <f>CONCATENATE("74780024845")</f>
        <v>74780024845</v>
      </c>
      <c r="I245" s="6" t="s">
        <v>28</v>
      </c>
      <c r="J245" s="6" t="s">
        <v>29</v>
      </c>
      <c r="K245" s="6" t="str">
        <f>CONCATENATE("221")</f>
        <v>221</v>
      </c>
      <c r="L245" s="6" t="str">
        <f>CONCATENATE("8 8.1 5e")</f>
        <v>8 8.1 5e</v>
      </c>
      <c r="M245" s="6" t="str">
        <f>CONCATENATE("LBRPFC36H14H321V")</f>
        <v>LBRPFC36H14H321V</v>
      </c>
      <c r="N245" s="6" t="s">
        <v>345</v>
      </c>
      <c r="O245" s="6" t="s">
        <v>165</v>
      </c>
      <c r="P245" s="7">
        <v>43173</v>
      </c>
      <c r="Q245" s="6" t="s">
        <v>30</v>
      </c>
      <c r="R245" s="6" t="s">
        <v>31</v>
      </c>
      <c r="S245" s="6" t="s">
        <v>32</v>
      </c>
      <c r="T245" s="6">
        <v>531.73</v>
      </c>
      <c r="U245" s="6">
        <v>229.28</v>
      </c>
      <c r="V245" s="6">
        <v>211.73</v>
      </c>
      <c r="W245" s="6">
        <v>0</v>
      </c>
      <c r="X245" s="6">
        <v>90.72</v>
      </c>
    </row>
    <row r="246" spans="1:24" ht="24.75" x14ac:dyDescent="0.25">
      <c r="A246" s="6" t="s">
        <v>25</v>
      </c>
      <c r="B246" s="6" t="s">
        <v>26</v>
      </c>
      <c r="C246" s="6" t="s">
        <v>48</v>
      </c>
      <c r="D246" s="6" t="s">
        <v>52</v>
      </c>
      <c r="E246" s="6" t="s">
        <v>33</v>
      </c>
      <c r="F246" s="6" t="s">
        <v>83</v>
      </c>
      <c r="G246" s="6">
        <v>2017</v>
      </c>
      <c r="H246" s="6" t="str">
        <f>CONCATENATE("74780045337")</f>
        <v>74780045337</v>
      </c>
      <c r="I246" s="6" t="s">
        <v>28</v>
      </c>
      <c r="J246" s="6" t="s">
        <v>29</v>
      </c>
      <c r="K246" s="6" t="str">
        <f>CONCATENATE("221")</f>
        <v>221</v>
      </c>
      <c r="L246" s="6" t="str">
        <f>CONCATENATE("8 8.1 5e")</f>
        <v>8 8.1 5e</v>
      </c>
      <c r="M246" s="6" t="str">
        <f>CONCATENATE("MRCCDD44C23F536L")</f>
        <v>MRCCDD44C23F536L</v>
      </c>
      <c r="N246" s="6" t="s">
        <v>346</v>
      </c>
      <c r="O246" s="6" t="s">
        <v>165</v>
      </c>
      <c r="P246" s="7">
        <v>43173</v>
      </c>
      <c r="Q246" s="6" t="s">
        <v>30</v>
      </c>
      <c r="R246" s="6" t="s">
        <v>31</v>
      </c>
      <c r="S246" s="6" t="s">
        <v>32</v>
      </c>
      <c r="T246" s="6">
        <v>153.93</v>
      </c>
      <c r="U246" s="6">
        <v>66.37</v>
      </c>
      <c r="V246" s="6">
        <v>61.29</v>
      </c>
      <c r="W246" s="6">
        <v>0</v>
      </c>
      <c r="X246" s="6">
        <v>26.27</v>
      </c>
    </row>
    <row r="247" spans="1:24" ht="24.75" x14ac:dyDescent="0.25">
      <c r="A247" s="6" t="s">
        <v>25</v>
      </c>
      <c r="B247" s="6" t="s">
        <v>26</v>
      </c>
      <c r="C247" s="6" t="s">
        <v>48</v>
      </c>
      <c r="D247" s="6" t="s">
        <v>52</v>
      </c>
      <c r="E247" s="6" t="s">
        <v>33</v>
      </c>
      <c r="F247" s="6" t="s">
        <v>83</v>
      </c>
      <c r="G247" s="6">
        <v>2017</v>
      </c>
      <c r="H247" s="6" t="str">
        <f>CONCATENATE("74780045154")</f>
        <v>74780045154</v>
      </c>
      <c r="I247" s="6" t="s">
        <v>28</v>
      </c>
      <c r="J247" s="6" t="s">
        <v>29</v>
      </c>
      <c r="K247" s="6" t="str">
        <f>CONCATENATE("221")</f>
        <v>221</v>
      </c>
      <c r="L247" s="6" t="str">
        <f>CONCATENATE("8 8.1 5e")</f>
        <v>8 8.1 5e</v>
      </c>
      <c r="M247" s="6" t="str">
        <f>CONCATENATE("PLNPRZ56C60F697D")</f>
        <v>PLNPRZ56C60F697D</v>
      </c>
      <c r="N247" s="6" t="s">
        <v>347</v>
      </c>
      <c r="O247" s="6" t="s">
        <v>165</v>
      </c>
      <c r="P247" s="7">
        <v>43173</v>
      </c>
      <c r="Q247" s="6" t="s">
        <v>30</v>
      </c>
      <c r="R247" s="6" t="s">
        <v>31</v>
      </c>
      <c r="S247" s="6" t="s">
        <v>32</v>
      </c>
      <c r="T247" s="6">
        <v>467.24</v>
      </c>
      <c r="U247" s="6">
        <v>201.47</v>
      </c>
      <c r="V247" s="6">
        <v>186.05</v>
      </c>
      <c r="W247" s="6">
        <v>0</v>
      </c>
      <c r="X247" s="6">
        <v>79.72</v>
      </c>
    </row>
    <row r="248" spans="1:24" ht="24.75" x14ac:dyDescent="0.25">
      <c r="A248" s="6" t="s">
        <v>25</v>
      </c>
      <c r="B248" s="6" t="s">
        <v>26</v>
      </c>
      <c r="C248" s="6" t="s">
        <v>48</v>
      </c>
      <c r="D248" s="6" t="s">
        <v>49</v>
      </c>
      <c r="E248" s="6" t="s">
        <v>33</v>
      </c>
      <c r="F248" s="6" t="s">
        <v>114</v>
      </c>
      <c r="G248" s="6">
        <v>2017</v>
      </c>
      <c r="H248" s="6" t="str">
        <f>CONCATENATE("74780049057")</f>
        <v>74780049057</v>
      </c>
      <c r="I248" s="6" t="s">
        <v>28</v>
      </c>
      <c r="J248" s="6" t="s">
        <v>29</v>
      </c>
      <c r="K248" s="6" t="str">
        <f>CONCATENATE("221")</f>
        <v>221</v>
      </c>
      <c r="L248" s="6" t="str">
        <f>CONCATENATE("8 8.1 5e")</f>
        <v>8 8.1 5e</v>
      </c>
      <c r="M248" s="6" t="str">
        <f>CONCATENATE("CRLRSL66D44G157F")</f>
        <v>CRLRSL66D44G157F</v>
      </c>
      <c r="N248" s="6" t="s">
        <v>348</v>
      </c>
      <c r="O248" s="6" t="s">
        <v>165</v>
      </c>
      <c r="P248" s="7">
        <v>43173</v>
      </c>
      <c r="Q248" s="6" t="s">
        <v>30</v>
      </c>
      <c r="R248" s="6" t="s">
        <v>31</v>
      </c>
      <c r="S248" s="6" t="s">
        <v>32</v>
      </c>
      <c r="T248" s="6">
        <v>496.21</v>
      </c>
      <c r="U248" s="6">
        <v>213.97</v>
      </c>
      <c r="V248" s="6">
        <v>197.59</v>
      </c>
      <c r="W248" s="6">
        <v>0</v>
      </c>
      <c r="X248" s="6">
        <v>84.65</v>
      </c>
    </row>
    <row r="249" spans="1:24" ht="24.75" x14ac:dyDescent="0.25">
      <c r="A249" s="6" t="s">
        <v>25</v>
      </c>
      <c r="B249" s="6" t="s">
        <v>26</v>
      </c>
      <c r="C249" s="6" t="s">
        <v>48</v>
      </c>
      <c r="D249" s="6" t="s">
        <v>52</v>
      </c>
      <c r="E249" s="6" t="s">
        <v>38</v>
      </c>
      <c r="F249" s="6" t="s">
        <v>130</v>
      </c>
      <c r="G249" s="6">
        <v>2017</v>
      </c>
      <c r="H249" s="6" t="str">
        <f>CONCATENATE("74780023268")</f>
        <v>74780023268</v>
      </c>
      <c r="I249" s="6" t="s">
        <v>28</v>
      </c>
      <c r="J249" s="6" t="s">
        <v>29</v>
      </c>
      <c r="K249" s="6" t="str">
        <f>CONCATENATE("221")</f>
        <v>221</v>
      </c>
      <c r="L249" s="6" t="str">
        <f>CONCATENATE("8 8.1 5e")</f>
        <v>8 8.1 5e</v>
      </c>
      <c r="M249" s="6" t="str">
        <f>CONCATENATE("SBRDLU52R08F599I")</f>
        <v>SBRDLU52R08F599I</v>
      </c>
      <c r="N249" s="6" t="s">
        <v>349</v>
      </c>
      <c r="O249" s="6" t="s">
        <v>165</v>
      </c>
      <c r="P249" s="7">
        <v>43173</v>
      </c>
      <c r="Q249" s="6" t="s">
        <v>30</v>
      </c>
      <c r="R249" s="6" t="s">
        <v>31</v>
      </c>
      <c r="S249" s="6" t="s">
        <v>32</v>
      </c>
      <c r="T249" s="6">
        <v>220.77</v>
      </c>
      <c r="U249" s="6">
        <v>95.2</v>
      </c>
      <c r="V249" s="6">
        <v>87.91</v>
      </c>
      <c r="W249" s="6">
        <v>0</v>
      </c>
      <c r="X249" s="6">
        <v>37.659999999999997</v>
      </c>
    </row>
    <row r="250" spans="1:24" ht="24.75" x14ac:dyDescent="0.25">
      <c r="A250" s="6" t="s">
        <v>25</v>
      </c>
      <c r="B250" s="6" t="s">
        <v>26</v>
      </c>
      <c r="C250" s="6" t="s">
        <v>48</v>
      </c>
      <c r="D250" s="6" t="s">
        <v>52</v>
      </c>
      <c r="E250" s="6" t="s">
        <v>34</v>
      </c>
      <c r="F250" s="6" t="s">
        <v>163</v>
      </c>
      <c r="G250" s="6">
        <v>2017</v>
      </c>
      <c r="H250" s="6" t="str">
        <f>CONCATENATE("74780023276")</f>
        <v>74780023276</v>
      </c>
      <c r="I250" s="6" t="s">
        <v>28</v>
      </c>
      <c r="J250" s="6" t="s">
        <v>29</v>
      </c>
      <c r="K250" s="6" t="str">
        <f>CONCATENATE("221")</f>
        <v>221</v>
      </c>
      <c r="L250" s="6" t="str">
        <f>CONCATENATE("8 8.1 5e")</f>
        <v>8 8.1 5e</v>
      </c>
      <c r="M250" s="6" t="str">
        <f>CONCATENATE("CLVGLL67B43G005W")</f>
        <v>CLVGLL67B43G005W</v>
      </c>
      <c r="N250" s="6" t="s">
        <v>350</v>
      </c>
      <c r="O250" s="6" t="s">
        <v>165</v>
      </c>
      <c r="P250" s="7">
        <v>43173</v>
      </c>
      <c r="Q250" s="6" t="s">
        <v>30</v>
      </c>
      <c r="R250" s="6" t="s">
        <v>31</v>
      </c>
      <c r="S250" s="6" t="s">
        <v>32</v>
      </c>
      <c r="T250" s="6">
        <v>144.80000000000001</v>
      </c>
      <c r="U250" s="6">
        <v>62.44</v>
      </c>
      <c r="V250" s="6">
        <v>57.66</v>
      </c>
      <c r="W250" s="6">
        <v>0</v>
      </c>
      <c r="X250" s="6">
        <v>24.7</v>
      </c>
    </row>
    <row r="251" spans="1:24" ht="24.75" x14ac:dyDescent="0.25">
      <c r="A251" s="6" t="s">
        <v>25</v>
      </c>
      <c r="B251" s="6" t="s">
        <v>26</v>
      </c>
      <c r="C251" s="6" t="s">
        <v>48</v>
      </c>
      <c r="D251" s="6" t="s">
        <v>49</v>
      </c>
      <c r="E251" s="6" t="s">
        <v>27</v>
      </c>
      <c r="F251" s="6" t="s">
        <v>254</v>
      </c>
      <c r="G251" s="6">
        <v>2017</v>
      </c>
      <c r="H251" s="6" t="str">
        <f>CONCATENATE("74780011289")</f>
        <v>74780011289</v>
      </c>
      <c r="I251" s="6" t="s">
        <v>28</v>
      </c>
      <c r="J251" s="6" t="s">
        <v>29</v>
      </c>
      <c r="K251" s="6" t="str">
        <f>CONCATENATE("221")</f>
        <v>221</v>
      </c>
      <c r="L251" s="6" t="str">
        <f>CONCATENATE("8 8.1 5e")</f>
        <v>8 8.1 5e</v>
      </c>
      <c r="M251" s="6" t="str">
        <f>CONCATENATE("CRZLCU47L50A895S")</f>
        <v>CRZLCU47L50A895S</v>
      </c>
      <c r="N251" s="6" t="s">
        <v>351</v>
      </c>
      <c r="O251" s="6" t="s">
        <v>165</v>
      </c>
      <c r="P251" s="7">
        <v>43173</v>
      </c>
      <c r="Q251" s="6" t="s">
        <v>30</v>
      </c>
      <c r="R251" s="6" t="s">
        <v>31</v>
      </c>
      <c r="S251" s="6" t="s">
        <v>32</v>
      </c>
      <c r="T251" s="8">
        <v>5216</v>
      </c>
      <c r="U251" s="8">
        <v>2249.14</v>
      </c>
      <c r="V251" s="8">
        <v>2077.0100000000002</v>
      </c>
      <c r="W251" s="6">
        <v>0</v>
      </c>
      <c r="X251" s="6">
        <v>889.85</v>
      </c>
    </row>
    <row r="252" spans="1:24" ht="24.75" x14ac:dyDescent="0.25">
      <c r="A252" s="6" t="s">
        <v>25</v>
      </c>
      <c r="B252" s="6" t="s">
        <v>26</v>
      </c>
      <c r="C252" s="6" t="s">
        <v>48</v>
      </c>
      <c r="D252" s="6" t="s">
        <v>49</v>
      </c>
      <c r="E252" s="6" t="s">
        <v>38</v>
      </c>
      <c r="F252" s="6" t="s">
        <v>140</v>
      </c>
      <c r="G252" s="6">
        <v>2017</v>
      </c>
      <c r="H252" s="6" t="str">
        <f>CONCATENATE("74780029182")</f>
        <v>74780029182</v>
      </c>
      <c r="I252" s="6" t="s">
        <v>28</v>
      </c>
      <c r="J252" s="6" t="s">
        <v>29</v>
      </c>
      <c r="K252" s="6" t="str">
        <f>CONCATENATE("221")</f>
        <v>221</v>
      </c>
      <c r="L252" s="6" t="str">
        <f>CONCATENATE("8 8.1 5e")</f>
        <v>8 8.1 5e</v>
      </c>
      <c r="M252" s="6" t="str">
        <f>CONCATENATE("CTRRSO61M61L353P")</f>
        <v>CTRRSO61M61L353P</v>
      </c>
      <c r="N252" s="6" t="s">
        <v>352</v>
      </c>
      <c r="O252" s="6" t="s">
        <v>165</v>
      </c>
      <c r="P252" s="7">
        <v>43173</v>
      </c>
      <c r="Q252" s="6" t="s">
        <v>30</v>
      </c>
      <c r="R252" s="6" t="s">
        <v>31</v>
      </c>
      <c r="S252" s="6" t="s">
        <v>32</v>
      </c>
      <c r="T252" s="8">
        <v>2105.6</v>
      </c>
      <c r="U252" s="6">
        <v>907.93</v>
      </c>
      <c r="V252" s="6">
        <v>838.45</v>
      </c>
      <c r="W252" s="6">
        <v>0</v>
      </c>
      <c r="X252" s="6">
        <v>359.22</v>
      </c>
    </row>
    <row r="253" spans="1:24" ht="24.75" x14ac:dyDescent="0.25">
      <c r="A253" s="6" t="s">
        <v>25</v>
      </c>
      <c r="B253" s="6" t="s">
        <v>26</v>
      </c>
      <c r="C253" s="6" t="s">
        <v>48</v>
      </c>
      <c r="D253" s="6" t="s">
        <v>52</v>
      </c>
      <c r="E253" s="6" t="s">
        <v>42</v>
      </c>
      <c r="F253" s="6" t="s">
        <v>151</v>
      </c>
      <c r="G253" s="6">
        <v>2017</v>
      </c>
      <c r="H253" s="6" t="str">
        <f>CONCATENATE("74780019423")</f>
        <v>74780019423</v>
      </c>
      <c r="I253" s="6" t="s">
        <v>28</v>
      </c>
      <c r="J253" s="6" t="s">
        <v>29</v>
      </c>
      <c r="K253" s="6" t="str">
        <f>CONCATENATE("221")</f>
        <v>221</v>
      </c>
      <c r="L253" s="6" t="str">
        <f>CONCATENATE("8 8.1 5e")</f>
        <v>8 8.1 5e</v>
      </c>
      <c r="M253" s="6" t="str">
        <f>CONCATENATE("TMSGNN57H12G516Z")</f>
        <v>TMSGNN57H12G516Z</v>
      </c>
      <c r="N253" s="6" t="s">
        <v>353</v>
      </c>
      <c r="O253" s="6" t="s">
        <v>165</v>
      </c>
      <c r="P253" s="7">
        <v>43173</v>
      </c>
      <c r="Q253" s="6" t="s">
        <v>30</v>
      </c>
      <c r="R253" s="6" t="s">
        <v>31</v>
      </c>
      <c r="S253" s="6" t="s">
        <v>32</v>
      </c>
      <c r="T253" s="8">
        <v>1325.5</v>
      </c>
      <c r="U253" s="6">
        <v>571.55999999999995</v>
      </c>
      <c r="V253" s="6">
        <v>527.80999999999995</v>
      </c>
      <c r="W253" s="6">
        <v>0</v>
      </c>
      <c r="X253" s="6">
        <v>226.13</v>
      </c>
    </row>
    <row r="254" spans="1:24" ht="24.75" x14ac:dyDescent="0.25">
      <c r="A254" s="6" t="s">
        <v>25</v>
      </c>
      <c r="B254" s="6" t="s">
        <v>26</v>
      </c>
      <c r="C254" s="6" t="s">
        <v>48</v>
      </c>
      <c r="D254" s="6" t="s">
        <v>49</v>
      </c>
      <c r="E254" s="6" t="s">
        <v>27</v>
      </c>
      <c r="F254" s="6" t="s">
        <v>254</v>
      </c>
      <c r="G254" s="6">
        <v>2017</v>
      </c>
      <c r="H254" s="6" t="str">
        <f>CONCATENATE("74780020280")</f>
        <v>74780020280</v>
      </c>
      <c r="I254" s="6" t="s">
        <v>28</v>
      </c>
      <c r="J254" s="6" t="s">
        <v>29</v>
      </c>
      <c r="K254" s="6" t="str">
        <f>CONCATENATE("221")</f>
        <v>221</v>
      </c>
      <c r="L254" s="6" t="str">
        <f>CONCATENATE("8 8.1 5e")</f>
        <v>8 8.1 5e</v>
      </c>
      <c r="M254" s="6" t="str">
        <f>CONCATENATE("CSRGLN56A13E837V")</f>
        <v>CSRGLN56A13E837V</v>
      </c>
      <c r="N254" s="6" t="s">
        <v>354</v>
      </c>
      <c r="O254" s="6" t="s">
        <v>165</v>
      </c>
      <c r="P254" s="7">
        <v>43173</v>
      </c>
      <c r="Q254" s="6" t="s">
        <v>30</v>
      </c>
      <c r="R254" s="6" t="s">
        <v>31</v>
      </c>
      <c r="S254" s="6" t="s">
        <v>32</v>
      </c>
      <c r="T254" s="6">
        <v>620.79999999999995</v>
      </c>
      <c r="U254" s="6">
        <v>267.69</v>
      </c>
      <c r="V254" s="6">
        <v>247.2</v>
      </c>
      <c r="W254" s="6">
        <v>0</v>
      </c>
      <c r="X254" s="6">
        <v>105.91</v>
      </c>
    </row>
    <row r="255" spans="1:24" ht="24.75" x14ac:dyDescent="0.25">
      <c r="A255" s="6" t="s">
        <v>25</v>
      </c>
      <c r="B255" s="6" t="s">
        <v>26</v>
      </c>
      <c r="C255" s="6" t="s">
        <v>48</v>
      </c>
      <c r="D255" s="6" t="s">
        <v>49</v>
      </c>
      <c r="E255" s="6" t="s">
        <v>42</v>
      </c>
      <c r="F255" s="6" t="s">
        <v>355</v>
      </c>
      <c r="G255" s="6">
        <v>2017</v>
      </c>
      <c r="H255" s="6" t="str">
        <f>CONCATENATE("74780041617")</f>
        <v>74780041617</v>
      </c>
      <c r="I255" s="6" t="s">
        <v>28</v>
      </c>
      <c r="J255" s="6" t="s">
        <v>29</v>
      </c>
      <c r="K255" s="6" t="str">
        <f>CONCATENATE("221")</f>
        <v>221</v>
      </c>
      <c r="L255" s="6" t="str">
        <f>CONCATENATE("8 8.1 5e")</f>
        <v>8 8.1 5e</v>
      </c>
      <c r="M255" s="6" t="str">
        <f>CONCATENATE("BSTCST73A11E388V")</f>
        <v>BSTCST73A11E388V</v>
      </c>
      <c r="N255" s="6" t="s">
        <v>356</v>
      </c>
      <c r="O255" s="6" t="s">
        <v>165</v>
      </c>
      <c r="P255" s="7">
        <v>43173</v>
      </c>
      <c r="Q255" s="6" t="s">
        <v>30</v>
      </c>
      <c r="R255" s="6" t="s">
        <v>31</v>
      </c>
      <c r="S255" s="6" t="s">
        <v>32</v>
      </c>
      <c r="T255" s="6">
        <v>618.70000000000005</v>
      </c>
      <c r="U255" s="6">
        <v>266.77999999999997</v>
      </c>
      <c r="V255" s="6">
        <v>246.37</v>
      </c>
      <c r="W255" s="6">
        <v>0</v>
      </c>
      <c r="X255" s="6">
        <v>105.55</v>
      </c>
    </row>
    <row r="256" spans="1:24" ht="24.75" x14ac:dyDescent="0.25">
      <c r="A256" s="6" t="s">
        <v>25</v>
      </c>
      <c r="B256" s="6" t="s">
        <v>26</v>
      </c>
      <c r="C256" s="6" t="s">
        <v>48</v>
      </c>
      <c r="D256" s="6" t="s">
        <v>52</v>
      </c>
      <c r="E256" s="6" t="s">
        <v>42</v>
      </c>
      <c r="F256" s="6" t="s">
        <v>151</v>
      </c>
      <c r="G256" s="6">
        <v>2017</v>
      </c>
      <c r="H256" s="6" t="str">
        <f>CONCATENATE("74780019464")</f>
        <v>74780019464</v>
      </c>
      <c r="I256" s="6" t="s">
        <v>28</v>
      </c>
      <c r="J256" s="6" t="s">
        <v>29</v>
      </c>
      <c r="K256" s="6" t="str">
        <f>CONCATENATE("221")</f>
        <v>221</v>
      </c>
      <c r="L256" s="6" t="str">
        <f>CONCATENATE("8 8.1 5e")</f>
        <v>8 8.1 5e</v>
      </c>
      <c r="M256" s="6" t="str">
        <f>CONCATENATE("SCRPRM31L31C321F")</f>
        <v>SCRPRM31L31C321F</v>
      </c>
      <c r="N256" s="6" t="s">
        <v>357</v>
      </c>
      <c r="O256" s="6" t="s">
        <v>165</v>
      </c>
      <c r="P256" s="7">
        <v>43173</v>
      </c>
      <c r="Q256" s="6" t="s">
        <v>30</v>
      </c>
      <c r="R256" s="6" t="s">
        <v>31</v>
      </c>
      <c r="S256" s="6" t="s">
        <v>32</v>
      </c>
      <c r="T256" s="8">
        <v>2022.57</v>
      </c>
      <c r="U256" s="6">
        <v>872.13</v>
      </c>
      <c r="V256" s="6">
        <v>805.39</v>
      </c>
      <c r="W256" s="6">
        <v>0</v>
      </c>
      <c r="X256" s="6">
        <v>345.05</v>
      </c>
    </row>
    <row r="257" spans="1:24" ht="24.75" x14ac:dyDescent="0.25">
      <c r="A257" s="6" t="s">
        <v>25</v>
      </c>
      <c r="B257" s="6" t="s">
        <v>26</v>
      </c>
      <c r="C257" s="6" t="s">
        <v>48</v>
      </c>
      <c r="D257" s="6" t="s">
        <v>52</v>
      </c>
      <c r="E257" s="6" t="s">
        <v>33</v>
      </c>
      <c r="F257" s="6" t="s">
        <v>83</v>
      </c>
      <c r="G257" s="6">
        <v>2017</v>
      </c>
      <c r="H257" s="6" t="str">
        <f>CONCATENATE("74780053208")</f>
        <v>74780053208</v>
      </c>
      <c r="I257" s="6" t="s">
        <v>28</v>
      </c>
      <c r="J257" s="6" t="s">
        <v>29</v>
      </c>
      <c r="K257" s="6" t="str">
        <f>CONCATENATE("221")</f>
        <v>221</v>
      </c>
      <c r="L257" s="6" t="str">
        <f>CONCATENATE("8 8.1 5e")</f>
        <v>8 8.1 5e</v>
      </c>
      <c r="M257" s="6" t="str">
        <f>CONCATENATE("DLGSML76A24H769K")</f>
        <v>DLGSML76A24H769K</v>
      </c>
      <c r="N257" s="6" t="s">
        <v>358</v>
      </c>
      <c r="O257" s="6" t="s">
        <v>165</v>
      </c>
      <c r="P257" s="7">
        <v>43173</v>
      </c>
      <c r="Q257" s="6" t="s">
        <v>30</v>
      </c>
      <c r="R257" s="6" t="s">
        <v>31</v>
      </c>
      <c r="S257" s="6" t="s">
        <v>32</v>
      </c>
      <c r="T257" s="8">
        <v>1782.29</v>
      </c>
      <c r="U257" s="6">
        <v>768.52</v>
      </c>
      <c r="V257" s="6">
        <v>709.71</v>
      </c>
      <c r="W257" s="6">
        <v>0</v>
      </c>
      <c r="X257" s="6">
        <v>304.06</v>
      </c>
    </row>
    <row r="258" spans="1:24" ht="24.75" x14ac:dyDescent="0.25">
      <c r="A258" s="6" t="s">
        <v>25</v>
      </c>
      <c r="B258" s="6" t="s">
        <v>26</v>
      </c>
      <c r="C258" s="6" t="s">
        <v>48</v>
      </c>
      <c r="D258" s="6" t="s">
        <v>52</v>
      </c>
      <c r="E258" s="6" t="s">
        <v>38</v>
      </c>
      <c r="F258" s="6" t="s">
        <v>62</v>
      </c>
      <c r="G258" s="6">
        <v>2017</v>
      </c>
      <c r="H258" s="6" t="str">
        <f>CONCATENATE("74780034570")</f>
        <v>74780034570</v>
      </c>
      <c r="I258" s="6" t="s">
        <v>28</v>
      </c>
      <c r="J258" s="6" t="s">
        <v>29</v>
      </c>
      <c r="K258" s="6" t="str">
        <f>CONCATENATE("221")</f>
        <v>221</v>
      </c>
      <c r="L258" s="6" t="str">
        <f>CONCATENATE("8 8.1 5e")</f>
        <v>8 8.1 5e</v>
      </c>
      <c r="M258" s="6" t="str">
        <f>CONCATENATE("CCRCLT53A10C321S")</f>
        <v>CCRCLT53A10C321S</v>
      </c>
      <c r="N258" s="6" t="s">
        <v>359</v>
      </c>
      <c r="O258" s="6" t="s">
        <v>165</v>
      </c>
      <c r="P258" s="7">
        <v>43173</v>
      </c>
      <c r="Q258" s="6" t="s">
        <v>30</v>
      </c>
      <c r="R258" s="6" t="s">
        <v>31</v>
      </c>
      <c r="S258" s="6" t="s">
        <v>32</v>
      </c>
      <c r="T258" s="6">
        <v>343.44</v>
      </c>
      <c r="U258" s="6">
        <v>148.09</v>
      </c>
      <c r="V258" s="6">
        <v>136.76</v>
      </c>
      <c r="W258" s="6">
        <v>0</v>
      </c>
      <c r="X258" s="6">
        <v>58.59</v>
      </c>
    </row>
    <row r="259" spans="1:24" ht="24.75" x14ac:dyDescent="0.25">
      <c r="A259" s="6" t="s">
        <v>25</v>
      </c>
      <c r="B259" s="6" t="s">
        <v>26</v>
      </c>
      <c r="C259" s="6" t="s">
        <v>48</v>
      </c>
      <c r="D259" s="6" t="s">
        <v>49</v>
      </c>
      <c r="E259" s="6" t="s">
        <v>27</v>
      </c>
      <c r="F259" s="6" t="s">
        <v>360</v>
      </c>
      <c r="G259" s="6">
        <v>2017</v>
      </c>
      <c r="H259" s="6" t="str">
        <f>CONCATENATE("74780038217")</f>
        <v>74780038217</v>
      </c>
      <c r="I259" s="6" t="s">
        <v>28</v>
      </c>
      <c r="J259" s="6" t="s">
        <v>29</v>
      </c>
      <c r="K259" s="6" t="str">
        <f>CONCATENATE("221")</f>
        <v>221</v>
      </c>
      <c r="L259" s="6" t="str">
        <f>CONCATENATE("8 8.1 5e")</f>
        <v>8 8.1 5e</v>
      </c>
      <c r="M259" s="6" t="str">
        <f>CONCATENATE("RGNTZN81R14D451O")</f>
        <v>RGNTZN81R14D451O</v>
      </c>
      <c r="N259" s="6" t="s">
        <v>361</v>
      </c>
      <c r="O259" s="6" t="s">
        <v>165</v>
      </c>
      <c r="P259" s="7">
        <v>43173</v>
      </c>
      <c r="Q259" s="6" t="s">
        <v>30</v>
      </c>
      <c r="R259" s="6" t="s">
        <v>31</v>
      </c>
      <c r="S259" s="6" t="s">
        <v>32</v>
      </c>
      <c r="T259" s="6">
        <v>923.9</v>
      </c>
      <c r="U259" s="6">
        <v>398.39</v>
      </c>
      <c r="V259" s="6">
        <v>367.9</v>
      </c>
      <c r="W259" s="6">
        <v>0</v>
      </c>
      <c r="X259" s="6">
        <v>157.61000000000001</v>
      </c>
    </row>
    <row r="260" spans="1:24" ht="24.75" x14ac:dyDescent="0.25">
      <c r="A260" s="6" t="s">
        <v>25</v>
      </c>
      <c r="B260" s="6" t="s">
        <v>26</v>
      </c>
      <c r="C260" s="6" t="s">
        <v>48</v>
      </c>
      <c r="D260" s="6" t="s">
        <v>49</v>
      </c>
      <c r="E260" s="6" t="s">
        <v>27</v>
      </c>
      <c r="F260" s="6" t="s">
        <v>254</v>
      </c>
      <c r="G260" s="6">
        <v>2017</v>
      </c>
      <c r="H260" s="6" t="str">
        <f>CONCATENATE("74780019654")</f>
        <v>74780019654</v>
      </c>
      <c r="I260" s="6" t="s">
        <v>28</v>
      </c>
      <c r="J260" s="6" t="s">
        <v>29</v>
      </c>
      <c r="K260" s="6" t="str">
        <f>CONCATENATE("221")</f>
        <v>221</v>
      </c>
      <c r="L260" s="6" t="str">
        <f>CONCATENATE("8 8.1 5e")</f>
        <v>8 8.1 5e</v>
      </c>
      <c r="M260" s="6" t="str">
        <f>CONCATENATE("MRCGLN61H16I932T")</f>
        <v>MRCGLN61H16I932T</v>
      </c>
      <c r="N260" s="6" t="s">
        <v>362</v>
      </c>
      <c r="O260" s="6" t="s">
        <v>165</v>
      </c>
      <c r="P260" s="7">
        <v>43173</v>
      </c>
      <c r="Q260" s="6" t="s">
        <v>30</v>
      </c>
      <c r="R260" s="6" t="s">
        <v>31</v>
      </c>
      <c r="S260" s="6" t="s">
        <v>32</v>
      </c>
      <c r="T260" s="8">
        <v>2688</v>
      </c>
      <c r="U260" s="8">
        <v>1159.07</v>
      </c>
      <c r="V260" s="8">
        <v>1070.3599999999999</v>
      </c>
      <c r="W260" s="6">
        <v>0</v>
      </c>
      <c r="X260" s="6">
        <v>458.57</v>
      </c>
    </row>
    <row r="261" spans="1:24" ht="24.75" x14ac:dyDescent="0.25">
      <c r="A261" s="6" t="s">
        <v>25</v>
      </c>
      <c r="B261" s="6" t="s">
        <v>26</v>
      </c>
      <c r="C261" s="6" t="s">
        <v>48</v>
      </c>
      <c r="D261" s="6" t="s">
        <v>49</v>
      </c>
      <c r="E261" s="6" t="s">
        <v>27</v>
      </c>
      <c r="F261" s="6" t="s">
        <v>360</v>
      </c>
      <c r="G261" s="6">
        <v>2017</v>
      </c>
      <c r="H261" s="6" t="str">
        <f>CONCATENATE("74780023789")</f>
        <v>74780023789</v>
      </c>
      <c r="I261" s="6" t="s">
        <v>28</v>
      </c>
      <c r="J261" s="6" t="s">
        <v>29</v>
      </c>
      <c r="K261" s="6" t="str">
        <f>CONCATENATE("221")</f>
        <v>221</v>
      </c>
      <c r="L261" s="6" t="str">
        <f>CONCATENATE("8 8.1 5e")</f>
        <v>8 8.1 5e</v>
      </c>
      <c r="M261" s="6" t="str">
        <f>CONCATENATE("MNTNRS42S41F051S")</f>
        <v>MNTNRS42S41F051S</v>
      </c>
      <c r="N261" s="6" t="s">
        <v>363</v>
      </c>
      <c r="O261" s="6" t="s">
        <v>165</v>
      </c>
      <c r="P261" s="7">
        <v>43173</v>
      </c>
      <c r="Q261" s="6" t="s">
        <v>30</v>
      </c>
      <c r="R261" s="6" t="s">
        <v>31</v>
      </c>
      <c r="S261" s="6" t="s">
        <v>32</v>
      </c>
      <c r="T261" s="8">
        <v>1048.5</v>
      </c>
      <c r="U261" s="6">
        <v>452.11</v>
      </c>
      <c r="V261" s="6">
        <v>417.51</v>
      </c>
      <c r="W261" s="6">
        <v>0</v>
      </c>
      <c r="X261" s="6">
        <v>178.88</v>
      </c>
    </row>
    <row r="262" spans="1:24" ht="24.75" x14ac:dyDescent="0.25">
      <c r="A262" s="6" t="s">
        <v>25</v>
      </c>
      <c r="B262" s="6" t="s">
        <v>26</v>
      </c>
      <c r="C262" s="6" t="s">
        <v>48</v>
      </c>
      <c r="D262" s="6" t="s">
        <v>49</v>
      </c>
      <c r="E262" s="6" t="s">
        <v>27</v>
      </c>
      <c r="F262" s="6" t="s">
        <v>254</v>
      </c>
      <c r="G262" s="6">
        <v>2017</v>
      </c>
      <c r="H262" s="6" t="str">
        <f>CONCATENATE("74780053166")</f>
        <v>74780053166</v>
      </c>
      <c r="I262" s="6" t="s">
        <v>28</v>
      </c>
      <c r="J262" s="6" t="s">
        <v>29</v>
      </c>
      <c r="K262" s="6" t="str">
        <f>CONCATENATE("221")</f>
        <v>221</v>
      </c>
      <c r="L262" s="6" t="str">
        <f>CONCATENATE("8 8.1 5e")</f>
        <v>8 8.1 5e</v>
      </c>
      <c r="M262" s="6" t="str">
        <f>CONCATENATE("MSCMVN46M41I932U")</f>
        <v>MSCMVN46M41I932U</v>
      </c>
      <c r="N262" s="6" t="s">
        <v>364</v>
      </c>
      <c r="O262" s="6" t="s">
        <v>165</v>
      </c>
      <c r="P262" s="7">
        <v>43173</v>
      </c>
      <c r="Q262" s="6" t="s">
        <v>30</v>
      </c>
      <c r="R262" s="6" t="s">
        <v>31</v>
      </c>
      <c r="S262" s="6" t="s">
        <v>32</v>
      </c>
      <c r="T262" s="8">
        <v>2164.3200000000002</v>
      </c>
      <c r="U262" s="6">
        <v>933.25</v>
      </c>
      <c r="V262" s="6">
        <v>861.83</v>
      </c>
      <c r="W262" s="6">
        <v>0</v>
      </c>
      <c r="X262" s="6">
        <v>369.24</v>
      </c>
    </row>
    <row r="263" spans="1:24" ht="24.75" x14ac:dyDescent="0.25">
      <c r="A263" s="6" t="s">
        <v>25</v>
      </c>
      <c r="B263" s="6" t="s">
        <v>26</v>
      </c>
      <c r="C263" s="6" t="s">
        <v>48</v>
      </c>
      <c r="D263" s="6" t="s">
        <v>49</v>
      </c>
      <c r="E263" s="6" t="s">
        <v>27</v>
      </c>
      <c r="F263" s="6" t="s">
        <v>254</v>
      </c>
      <c r="G263" s="6">
        <v>2017</v>
      </c>
      <c r="H263" s="6" t="str">
        <f>CONCATENATE("74780053190")</f>
        <v>74780053190</v>
      </c>
      <c r="I263" s="6" t="s">
        <v>28</v>
      </c>
      <c r="J263" s="6" t="s">
        <v>29</v>
      </c>
      <c r="K263" s="6" t="str">
        <f>CONCATENATE("221")</f>
        <v>221</v>
      </c>
      <c r="L263" s="6" t="str">
        <f>CONCATENATE("8 8.1 5e")</f>
        <v>8 8.1 5e</v>
      </c>
      <c r="M263" s="6" t="str">
        <f>CONCATENATE("MSCMRA35R70C704N")</f>
        <v>MSCMRA35R70C704N</v>
      </c>
      <c r="N263" s="6" t="s">
        <v>365</v>
      </c>
      <c r="O263" s="6" t="s">
        <v>165</v>
      </c>
      <c r="P263" s="7">
        <v>43173</v>
      </c>
      <c r="Q263" s="6" t="s">
        <v>30</v>
      </c>
      <c r="R263" s="6" t="s">
        <v>31</v>
      </c>
      <c r="S263" s="6" t="s">
        <v>32</v>
      </c>
      <c r="T263" s="8">
        <v>2278.4</v>
      </c>
      <c r="U263" s="6">
        <v>982.45</v>
      </c>
      <c r="V263" s="6">
        <v>907.26</v>
      </c>
      <c r="W263" s="6">
        <v>0</v>
      </c>
      <c r="X263" s="6">
        <v>388.69</v>
      </c>
    </row>
    <row r="264" spans="1:24" ht="24.75" x14ac:dyDescent="0.25">
      <c r="A264" s="6" t="s">
        <v>25</v>
      </c>
      <c r="B264" s="6" t="s">
        <v>26</v>
      </c>
      <c r="C264" s="6" t="s">
        <v>48</v>
      </c>
      <c r="D264" s="6" t="s">
        <v>49</v>
      </c>
      <c r="E264" s="6" t="s">
        <v>34</v>
      </c>
      <c r="F264" s="6" t="s">
        <v>366</v>
      </c>
      <c r="G264" s="6">
        <v>2017</v>
      </c>
      <c r="H264" s="6" t="str">
        <f>CONCATENATE("74780041583")</f>
        <v>74780041583</v>
      </c>
      <c r="I264" s="6" t="s">
        <v>28</v>
      </c>
      <c r="J264" s="6" t="s">
        <v>29</v>
      </c>
      <c r="K264" s="6" t="str">
        <f>CONCATENATE("221")</f>
        <v>221</v>
      </c>
      <c r="L264" s="6" t="str">
        <f>CONCATENATE("8 8.1 5e")</f>
        <v>8 8.1 5e</v>
      </c>
      <c r="M264" s="6" t="str">
        <f>CONCATENATE("NNCSMN69T64B157H")</f>
        <v>NNCSMN69T64B157H</v>
      </c>
      <c r="N264" s="6" t="s">
        <v>367</v>
      </c>
      <c r="O264" s="6" t="s">
        <v>165</v>
      </c>
      <c r="P264" s="7">
        <v>43173</v>
      </c>
      <c r="Q264" s="6" t="s">
        <v>30</v>
      </c>
      <c r="R264" s="6" t="s">
        <v>31</v>
      </c>
      <c r="S264" s="6" t="s">
        <v>32</v>
      </c>
      <c r="T264" s="6">
        <v>143.06</v>
      </c>
      <c r="U264" s="6">
        <v>61.69</v>
      </c>
      <c r="V264" s="6">
        <v>56.97</v>
      </c>
      <c r="W264" s="6">
        <v>0</v>
      </c>
      <c r="X264" s="6">
        <v>24.4</v>
      </c>
    </row>
    <row r="265" spans="1:24" ht="24.75" x14ac:dyDescent="0.25">
      <c r="A265" s="6" t="s">
        <v>25</v>
      </c>
      <c r="B265" s="6" t="s">
        <v>26</v>
      </c>
      <c r="C265" s="6" t="s">
        <v>48</v>
      </c>
      <c r="D265" s="6" t="s">
        <v>49</v>
      </c>
      <c r="E265" s="6" t="s">
        <v>34</v>
      </c>
      <c r="F265" s="6" t="s">
        <v>366</v>
      </c>
      <c r="G265" s="6">
        <v>2017</v>
      </c>
      <c r="H265" s="6" t="str">
        <f>CONCATENATE("74780041179")</f>
        <v>74780041179</v>
      </c>
      <c r="I265" s="6" t="s">
        <v>28</v>
      </c>
      <c r="J265" s="6" t="s">
        <v>29</v>
      </c>
      <c r="K265" s="6" t="str">
        <f>CONCATENATE("221")</f>
        <v>221</v>
      </c>
      <c r="L265" s="6" t="str">
        <f>CONCATENATE("8 8.1 5e")</f>
        <v>8 8.1 5e</v>
      </c>
      <c r="M265" s="6" t="str">
        <f>CONCATENATE("MNTFLV36D24F745P")</f>
        <v>MNTFLV36D24F745P</v>
      </c>
      <c r="N265" s="6" t="s">
        <v>368</v>
      </c>
      <c r="O265" s="6" t="s">
        <v>165</v>
      </c>
      <c r="P265" s="7">
        <v>43173</v>
      </c>
      <c r="Q265" s="6" t="s">
        <v>30</v>
      </c>
      <c r="R265" s="6" t="s">
        <v>31</v>
      </c>
      <c r="S265" s="6" t="s">
        <v>32</v>
      </c>
      <c r="T265" s="6">
        <v>320.54000000000002</v>
      </c>
      <c r="U265" s="6">
        <v>138.22</v>
      </c>
      <c r="V265" s="6">
        <v>127.64</v>
      </c>
      <c r="W265" s="6">
        <v>0</v>
      </c>
      <c r="X265" s="6">
        <v>54.68</v>
      </c>
    </row>
    <row r="266" spans="1:24" ht="24.75" x14ac:dyDescent="0.25">
      <c r="A266" s="6" t="s">
        <v>25</v>
      </c>
      <c r="B266" s="6" t="s">
        <v>26</v>
      </c>
      <c r="C266" s="6" t="s">
        <v>48</v>
      </c>
      <c r="D266" s="6" t="s">
        <v>49</v>
      </c>
      <c r="E266" s="6" t="s">
        <v>38</v>
      </c>
      <c r="F266" s="6" t="s">
        <v>140</v>
      </c>
      <c r="G266" s="6">
        <v>2017</v>
      </c>
      <c r="H266" s="6" t="str">
        <f>CONCATENATE("74780029406")</f>
        <v>74780029406</v>
      </c>
      <c r="I266" s="6" t="s">
        <v>28</v>
      </c>
      <c r="J266" s="6" t="s">
        <v>29</v>
      </c>
      <c r="K266" s="6" t="str">
        <f>CONCATENATE("221")</f>
        <v>221</v>
      </c>
      <c r="L266" s="6" t="str">
        <f>CONCATENATE("8 8.1 5e")</f>
        <v>8 8.1 5e</v>
      </c>
      <c r="M266" s="6" t="str">
        <f>CONCATENATE("PLTGCR53C16F453P")</f>
        <v>PLTGCR53C16F453P</v>
      </c>
      <c r="N266" s="6" t="s">
        <v>369</v>
      </c>
      <c r="O266" s="6" t="s">
        <v>165</v>
      </c>
      <c r="P266" s="7">
        <v>43173</v>
      </c>
      <c r="Q266" s="6" t="s">
        <v>30</v>
      </c>
      <c r="R266" s="6" t="s">
        <v>31</v>
      </c>
      <c r="S266" s="6" t="s">
        <v>32</v>
      </c>
      <c r="T266" s="6">
        <v>451</v>
      </c>
      <c r="U266" s="6">
        <v>194.47</v>
      </c>
      <c r="V266" s="6">
        <v>179.59</v>
      </c>
      <c r="W266" s="6">
        <v>0</v>
      </c>
      <c r="X266" s="6">
        <v>76.94</v>
      </c>
    </row>
    <row r="267" spans="1:24" ht="24.75" x14ac:dyDescent="0.25">
      <c r="A267" s="6" t="s">
        <v>25</v>
      </c>
      <c r="B267" s="6" t="s">
        <v>26</v>
      </c>
      <c r="C267" s="6" t="s">
        <v>48</v>
      </c>
      <c r="D267" s="6" t="s">
        <v>49</v>
      </c>
      <c r="E267" s="6" t="s">
        <v>34</v>
      </c>
      <c r="F267" s="6" t="s">
        <v>370</v>
      </c>
      <c r="G267" s="6">
        <v>2017</v>
      </c>
      <c r="H267" s="6" t="str">
        <f>CONCATENATE("74780055518")</f>
        <v>74780055518</v>
      </c>
      <c r="I267" s="6" t="s">
        <v>40</v>
      </c>
      <c r="J267" s="6" t="s">
        <v>29</v>
      </c>
      <c r="K267" s="6" t="str">
        <f>CONCATENATE("221")</f>
        <v>221</v>
      </c>
      <c r="L267" s="6" t="str">
        <f>CONCATENATE("8 8.1 5e")</f>
        <v>8 8.1 5e</v>
      </c>
      <c r="M267" s="6" t="str">
        <f>CONCATENATE("83005450420")</f>
        <v>83005450420</v>
      </c>
      <c r="N267" s="6" t="s">
        <v>371</v>
      </c>
      <c r="O267" s="6" t="s">
        <v>165</v>
      </c>
      <c r="P267" s="7">
        <v>43173</v>
      </c>
      <c r="Q267" s="6" t="s">
        <v>30</v>
      </c>
      <c r="R267" s="6" t="s">
        <v>31</v>
      </c>
      <c r="S267" s="6" t="s">
        <v>32</v>
      </c>
      <c r="T267" s="6">
        <v>83.31</v>
      </c>
      <c r="U267" s="6">
        <v>35.92</v>
      </c>
      <c r="V267" s="6">
        <v>33.17</v>
      </c>
      <c r="W267" s="6">
        <v>0</v>
      </c>
      <c r="X267" s="6">
        <v>14.22</v>
      </c>
    </row>
    <row r="268" spans="1:24" ht="24.75" x14ac:dyDescent="0.25">
      <c r="A268" s="6" t="s">
        <v>25</v>
      </c>
      <c r="B268" s="6" t="s">
        <v>26</v>
      </c>
      <c r="C268" s="6" t="s">
        <v>48</v>
      </c>
      <c r="D268" s="6" t="s">
        <v>49</v>
      </c>
      <c r="E268" s="6" t="s">
        <v>39</v>
      </c>
      <c r="F268" s="6" t="s">
        <v>242</v>
      </c>
      <c r="G268" s="6">
        <v>2017</v>
      </c>
      <c r="H268" s="6" t="str">
        <f>CONCATENATE("74780029463")</f>
        <v>74780029463</v>
      </c>
      <c r="I268" s="6" t="s">
        <v>40</v>
      </c>
      <c r="J268" s="6" t="s">
        <v>29</v>
      </c>
      <c r="K268" s="6" t="str">
        <f>CONCATENATE("221")</f>
        <v>221</v>
      </c>
      <c r="L268" s="6" t="str">
        <f>CONCATENATE("8 8.1 5e")</f>
        <v>8 8.1 5e</v>
      </c>
      <c r="M268" s="6" t="str">
        <f>CONCATENATE("PTTDNL74M25A271G")</f>
        <v>PTTDNL74M25A271G</v>
      </c>
      <c r="N268" s="6" t="s">
        <v>372</v>
      </c>
      <c r="O268" s="6" t="s">
        <v>165</v>
      </c>
      <c r="P268" s="7">
        <v>43173</v>
      </c>
      <c r="Q268" s="6" t="s">
        <v>30</v>
      </c>
      <c r="R268" s="6" t="s">
        <v>31</v>
      </c>
      <c r="S268" s="6" t="s">
        <v>32</v>
      </c>
      <c r="T268" s="6">
        <v>300.62</v>
      </c>
      <c r="U268" s="6">
        <v>129.63</v>
      </c>
      <c r="V268" s="6">
        <v>119.71</v>
      </c>
      <c r="W268" s="6">
        <v>0</v>
      </c>
      <c r="X268" s="6">
        <v>51.28</v>
      </c>
    </row>
    <row r="269" spans="1:24" ht="24.75" x14ac:dyDescent="0.25">
      <c r="A269" s="6" t="s">
        <v>25</v>
      </c>
      <c r="B269" s="6" t="s">
        <v>26</v>
      </c>
      <c r="C269" s="6" t="s">
        <v>48</v>
      </c>
      <c r="D269" s="6" t="s">
        <v>49</v>
      </c>
      <c r="E269" s="6" t="s">
        <v>33</v>
      </c>
      <c r="F269" s="6" t="s">
        <v>114</v>
      </c>
      <c r="G269" s="6">
        <v>2017</v>
      </c>
      <c r="H269" s="6" t="str">
        <f>CONCATENATE("74780061474")</f>
        <v>74780061474</v>
      </c>
      <c r="I269" s="6" t="s">
        <v>28</v>
      </c>
      <c r="J269" s="6" t="s">
        <v>29</v>
      </c>
      <c r="K269" s="6" t="str">
        <f>CONCATENATE("221")</f>
        <v>221</v>
      </c>
      <c r="L269" s="6" t="str">
        <f>CONCATENATE("8 8.1 5e")</f>
        <v>8 8.1 5e</v>
      </c>
      <c r="M269" s="6" t="str">
        <f>CONCATENATE("PGNCST68R64A271Q")</f>
        <v>PGNCST68R64A271Q</v>
      </c>
      <c r="N269" s="6" t="s">
        <v>373</v>
      </c>
      <c r="O269" s="6" t="s">
        <v>165</v>
      </c>
      <c r="P269" s="7">
        <v>43173</v>
      </c>
      <c r="Q269" s="6" t="s">
        <v>30</v>
      </c>
      <c r="R269" s="6" t="s">
        <v>31</v>
      </c>
      <c r="S269" s="6" t="s">
        <v>32</v>
      </c>
      <c r="T269" s="8">
        <v>1248</v>
      </c>
      <c r="U269" s="6">
        <v>538.14</v>
      </c>
      <c r="V269" s="6">
        <v>496.95</v>
      </c>
      <c r="W269" s="6">
        <v>0</v>
      </c>
      <c r="X269" s="6">
        <v>212.91</v>
      </c>
    </row>
    <row r="270" spans="1:24" ht="24.75" x14ac:dyDescent="0.25">
      <c r="A270" s="6" t="s">
        <v>25</v>
      </c>
      <c r="B270" s="6" t="s">
        <v>26</v>
      </c>
      <c r="C270" s="6" t="s">
        <v>48</v>
      </c>
      <c r="D270" s="6" t="s">
        <v>49</v>
      </c>
      <c r="E270" s="6" t="s">
        <v>38</v>
      </c>
      <c r="F270" s="6" t="s">
        <v>140</v>
      </c>
      <c r="G270" s="6">
        <v>2017</v>
      </c>
      <c r="H270" s="6" t="str">
        <f>CONCATENATE("74780037425")</f>
        <v>74780037425</v>
      </c>
      <c r="I270" s="6" t="s">
        <v>28</v>
      </c>
      <c r="J270" s="6" t="s">
        <v>29</v>
      </c>
      <c r="K270" s="6" t="str">
        <f>CONCATENATE("221")</f>
        <v>221</v>
      </c>
      <c r="L270" s="6" t="str">
        <f>CONCATENATE("8 8.1 5e")</f>
        <v>8 8.1 5e</v>
      </c>
      <c r="M270" s="6" t="str">
        <f>CONCATENATE("PLTFST70C28E388P")</f>
        <v>PLTFST70C28E388P</v>
      </c>
      <c r="N270" s="6" t="s">
        <v>319</v>
      </c>
      <c r="O270" s="6" t="s">
        <v>165</v>
      </c>
      <c r="P270" s="7">
        <v>43173</v>
      </c>
      <c r="Q270" s="6" t="s">
        <v>30</v>
      </c>
      <c r="R270" s="6" t="s">
        <v>31</v>
      </c>
      <c r="S270" s="6" t="s">
        <v>32</v>
      </c>
      <c r="T270" s="6">
        <v>627.9</v>
      </c>
      <c r="U270" s="6">
        <v>270.75</v>
      </c>
      <c r="V270" s="6">
        <v>250.03</v>
      </c>
      <c r="W270" s="6">
        <v>0</v>
      </c>
      <c r="X270" s="6">
        <v>107.12</v>
      </c>
    </row>
    <row r="271" spans="1:24" ht="24.75" x14ac:dyDescent="0.25">
      <c r="A271" s="6" t="s">
        <v>25</v>
      </c>
      <c r="B271" s="6" t="s">
        <v>26</v>
      </c>
      <c r="C271" s="6" t="s">
        <v>48</v>
      </c>
      <c r="D271" s="6" t="s">
        <v>52</v>
      </c>
      <c r="E271" s="6" t="s">
        <v>38</v>
      </c>
      <c r="F271" s="6" t="s">
        <v>56</v>
      </c>
      <c r="G271" s="6">
        <v>2017</v>
      </c>
      <c r="H271" s="6" t="str">
        <f>CONCATENATE("74780004318")</f>
        <v>74780004318</v>
      </c>
      <c r="I271" s="6" t="s">
        <v>28</v>
      </c>
      <c r="J271" s="6" t="s">
        <v>29</v>
      </c>
      <c r="K271" s="6" t="str">
        <f>CONCATENATE("221")</f>
        <v>221</v>
      </c>
      <c r="L271" s="6" t="str">
        <f>CONCATENATE("8 8.1 5e")</f>
        <v>8 8.1 5e</v>
      </c>
      <c r="M271" s="6" t="str">
        <f>CONCATENATE("TRNDRN65B19A335K")</f>
        <v>TRNDRN65B19A335K</v>
      </c>
      <c r="N271" s="6" t="s">
        <v>374</v>
      </c>
      <c r="O271" s="6" t="s">
        <v>165</v>
      </c>
      <c r="P271" s="7">
        <v>43173</v>
      </c>
      <c r="Q271" s="6" t="s">
        <v>30</v>
      </c>
      <c r="R271" s="6" t="s">
        <v>31</v>
      </c>
      <c r="S271" s="6" t="s">
        <v>32</v>
      </c>
      <c r="T271" s="6">
        <v>240.86</v>
      </c>
      <c r="U271" s="6">
        <v>103.86</v>
      </c>
      <c r="V271" s="6">
        <v>95.91</v>
      </c>
      <c r="W271" s="6">
        <v>0</v>
      </c>
      <c r="X271" s="6">
        <v>41.09</v>
      </c>
    </row>
    <row r="272" spans="1:24" ht="24.75" x14ac:dyDescent="0.25">
      <c r="A272" s="6" t="s">
        <v>25</v>
      </c>
      <c r="B272" s="6" t="s">
        <v>26</v>
      </c>
      <c r="C272" s="6" t="s">
        <v>48</v>
      </c>
      <c r="D272" s="6" t="s">
        <v>52</v>
      </c>
      <c r="E272" s="6" t="s">
        <v>33</v>
      </c>
      <c r="F272" s="6" t="s">
        <v>83</v>
      </c>
      <c r="G272" s="6">
        <v>2017</v>
      </c>
      <c r="H272" s="6" t="str">
        <f>CONCATENATE("74780009770")</f>
        <v>74780009770</v>
      </c>
      <c r="I272" s="6" t="s">
        <v>28</v>
      </c>
      <c r="J272" s="6" t="s">
        <v>29</v>
      </c>
      <c r="K272" s="6" t="str">
        <f>CONCATENATE("221")</f>
        <v>221</v>
      </c>
      <c r="L272" s="6" t="str">
        <f>CONCATENATE("8 8.1 5e")</f>
        <v>8 8.1 5e</v>
      </c>
      <c r="M272" s="6" t="str">
        <f>CONCATENATE("00700420441")</f>
        <v>00700420441</v>
      </c>
      <c r="N272" s="6" t="s">
        <v>375</v>
      </c>
      <c r="O272" s="6" t="s">
        <v>165</v>
      </c>
      <c r="P272" s="7">
        <v>43173</v>
      </c>
      <c r="Q272" s="6" t="s">
        <v>30</v>
      </c>
      <c r="R272" s="6" t="s">
        <v>31</v>
      </c>
      <c r="S272" s="6" t="s">
        <v>32</v>
      </c>
      <c r="T272" s="8">
        <v>8178</v>
      </c>
      <c r="U272" s="8">
        <v>3526.35</v>
      </c>
      <c r="V272" s="8">
        <v>3256.48</v>
      </c>
      <c r="W272" s="6">
        <v>0</v>
      </c>
      <c r="X272" s="8">
        <v>1395.17</v>
      </c>
    </row>
    <row r="273" spans="1:24" ht="24.75" x14ac:dyDescent="0.25">
      <c r="A273" s="6" t="s">
        <v>25</v>
      </c>
      <c r="B273" s="6" t="s">
        <v>26</v>
      </c>
      <c r="C273" s="6" t="s">
        <v>48</v>
      </c>
      <c r="D273" s="6" t="s">
        <v>52</v>
      </c>
      <c r="E273" s="6" t="s">
        <v>34</v>
      </c>
      <c r="F273" s="6" t="s">
        <v>235</v>
      </c>
      <c r="G273" s="6">
        <v>2017</v>
      </c>
      <c r="H273" s="6" t="str">
        <f>CONCATENATE("74780025107")</f>
        <v>74780025107</v>
      </c>
      <c r="I273" s="6" t="s">
        <v>28</v>
      </c>
      <c r="J273" s="6" t="s">
        <v>29</v>
      </c>
      <c r="K273" s="6" t="str">
        <f>CONCATENATE("221")</f>
        <v>221</v>
      </c>
      <c r="L273" s="6" t="str">
        <f>CONCATENATE("8 8.1 5e")</f>
        <v>8 8.1 5e</v>
      </c>
      <c r="M273" s="6" t="str">
        <f>CONCATENATE("TMSCLD64T62H321D")</f>
        <v>TMSCLD64T62H321D</v>
      </c>
      <c r="N273" s="6" t="s">
        <v>376</v>
      </c>
      <c r="O273" s="6" t="s">
        <v>165</v>
      </c>
      <c r="P273" s="7">
        <v>43173</v>
      </c>
      <c r="Q273" s="6" t="s">
        <v>30</v>
      </c>
      <c r="R273" s="6" t="s">
        <v>31</v>
      </c>
      <c r="S273" s="6" t="s">
        <v>32</v>
      </c>
      <c r="T273" s="6">
        <v>139.44</v>
      </c>
      <c r="U273" s="6">
        <v>60.13</v>
      </c>
      <c r="V273" s="6">
        <v>55.53</v>
      </c>
      <c r="W273" s="6">
        <v>0</v>
      </c>
      <c r="X273" s="6">
        <v>23.78</v>
      </c>
    </row>
    <row r="274" spans="1:24" ht="24.75" x14ac:dyDescent="0.25">
      <c r="A274" s="6" t="s">
        <v>25</v>
      </c>
      <c r="B274" s="6" t="s">
        <v>26</v>
      </c>
      <c r="C274" s="6" t="s">
        <v>48</v>
      </c>
      <c r="D274" s="6" t="s">
        <v>52</v>
      </c>
      <c r="E274" s="6" t="s">
        <v>33</v>
      </c>
      <c r="F274" s="6" t="s">
        <v>83</v>
      </c>
      <c r="G274" s="6">
        <v>2017</v>
      </c>
      <c r="H274" s="6" t="str">
        <f>CONCATENATE("74780009606")</f>
        <v>74780009606</v>
      </c>
      <c r="I274" s="6" t="s">
        <v>28</v>
      </c>
      <c r="J274" s="6" t="s">
        <v>29</v>
      </c>
      <c r="K274" s="6" t="str">
        <f>CONCATENATE("221")</f>
        <v>221</v>
      </c>
      <c r="L274" s="6" t="str">
        <f>CONCATENATE("8 8.1 5e")</f>
        <v>8 8.1 5e</v>
      </c>
      <c r="M274" s="6" t="str">
        <f>CONCATENATE("TSOCTN28B04A044E")</f>
        <v>TSOCTN28B04A044E</v>
      </c>
      <c r="N274" s="6" t="s">
        <v>377</v>
      </c>
      <c r="O274" s="6" t="s">
        <v>165</v>
      </c>
      <c r="P274" s="7">
        <v>43173</v>
      </c>
      <c r="Q274" s="6" t="s">
        <v>30</v>
      </c>
      <c r="R274" s="6" t="s">
        <v>31</v>
      </c>
      <c r="S274" s="6" t="s">
        <v>32</v>
      </c>
      <c r="T274" s="6">
        <v>105.04</v>
      </c>
      <c r="U274" s="6">
        <v>45.29</v>
      </c>
      <c r="V274" s="6">
        <v>41.83</v>
      </c>
      <c r="W274" s="6">
        <v>0</v>
      </c>
      <c r="X274" s="6">
        <v>17.920000000000002</v>
      </c>
    </row>
    <row r="275" spans="1:24" ht="24.75" x14ac:dyDescent="0.25">
      <c r="A275" s="6" t="s">
        <v>25</v>
      </c>
      <c r="B275" s="6" t="s">
        <v>26</v>
      </c>
      <c r="C275" s="6" t="s">
        <v>48</v>
      </c>
      <c r="D275" s="6" t="s">
        <v>52</v>
      </c>
      <c r="E275" s="6" t="s">
        <v>34</v>
      </c>
      <c r="F275" s="6" t="s">
        <v>235</v>
      </c>
      <c r="G275" s="6">
        <v>2017</v>
      </c>
      <c r="H275" s="6" t="str">
        <f>CONCATENATE("74780025180")</f>
        <v>74780025180</v>
      </c>
      <c r="I275" s="6" t="s">
        <v>28</v>
      </c>
      <c r="J275" s="6" t="s">
        <v>29</v>
      </c>
      <c r="K275" s="6" t="str">
        <f>CONCATENATE("221")</f>
        <v>221</v>
      </c>
      <c r="L275" s="6" t="str">
        <f>CONCATENATE("8 8.1 5e")</f>
        <v>8 8.1 5e</v>
      </c>
      <c r="M275" s="6" t="str">
        <f>CONCATENATE("VGNDRA37P01H321C")</f>
        <v>VGNDRA37P01H321C</v>
      </c>
      <c r="N275" s="6" t="s">
        <v>378</v>
      </c>
      <c r="O275" s="6" t="s">
        <v>165</v>
      </c>
      <c r="P275" s="7">
        <v>43173</v>
      </c>
      <c r="Q275" s="6" t="s">
        <v>30</v>
      </c>
      <c r="R275" s="6" t="s">
        <v>31</v>
      </c>
      <c r="S275" s="6" t="s">
        <v>32</v>
      </c>
      <c r="T275" s="6">
        <v>696.62</v>
      </c>
      <c r="U275" s="6">
        <v>300.38</v>
      </c>
      <c r="V275" s="6">
        <v>277.39</v>
      </c>
      <c r="W275" s="6">
        <v>0</v>
      </c>
      <c r="X275" s="6">
        <v>118.85</v>
      </c>
    </row>
    <row r="276" spans="1:24" ht="24.75" x14ac:dyDescent="0.25">
      <c r="A276" s="6" t="s">
        <v>25</v>
      </c>
      <c r="B276" s="6" t="s">
        <v>26</v>
      </c>
      <c r="C276" s="6" t="s">
        <v>48</v>
      </c>
      <c r="D276" s="6" t="s">
        <v>52</v>
      </c>
      <c r="E276" s="6" t="s">
        <v>33</v>
      </c>
      <c r="F276" s="6" t="s">
        <v>83</v>
      </c>
      <c r="G276" s="6">
        <v>2017</v>
      </c>
      <c r="H276" s="6" t="str">
        <f>CONCATENATE("74780009580")</f>
        <v>74780009580</v>
      </c>
      <c r="I276" s="6" t="s">
        <v>28</v>
      </c>
      <c r="J276" s="6" t="s">
        <v>29</v>
      </c>
      <c r="K276" s="6" t="str">
        <f>CONCATENATE("221")</f>
        <v>221</v>
      </c>
      <c r="L276" s="6" t="str">
        <f>CONCATENATE("8 8.1 5e")</f>
        <v>8 8.1 5e</v>
      </c>
      <c r="M276" s="6" t="str">
        <f>CONCATENATE("VNRMRA39C55D691N")</f>
        <v>VNRMRA39C55D691N</v>
      </c>
      <c r="N276" s="6" t="s">
        <v>379</v>
      </c>
      <c r="O276" s="6" t="s">
        <v>165</v>
      </c>
      <c r="P276" s="7">
        <v>43173</v>
      </c>
      <c r="Q276" s="6" t="s">
        <v>30</v>
      </c>
      <c r="R276" s="6" t="s">
        <v>31</v>
      </c>
      <c r="S276" s="6" t="s">
        <v>32</v>
      </c>
      <c r="T276" s="6">
        <v>152.12</v>
      </c>
      <c r="U276" s="6">
        <v>65.59</v>
      </c>
      <c r="V276" s="6">
        <v>60.57</v>
      </c>
      <c r="W276" s="6">
        <v>0</v>
      </c>
      <c r="X276" s="6">
        <v>25.96</v>
      </c>
    </row>
    <row r="277" spans="1:24" ht="24.75" x14ac:dyDescent="0.25">
      <c r="A277" s="6" t="s">
        <v>25</v>
      </c>
      <c r="B277" s="6" t="s">
        <v>26</v>
      </c>
      <c r="C277" s="6" t="s">
        <v>48</v>
      </c>
      <c r="D277" s="6" t="s">
        <v>52</v>
      </c>
      <c r="E277" s="6" t="s">
        <v>38</v>
      </c>
      <c r="F277" s="6" t="s">
        <v>56</v>
      </c>
      <c r="G277" s="6">
        <v>2017</v>
      </c>
      <c r="H277" s="6" t="str">
        <f>CONCATENATE("74780012428")</f>
        <v>74780012428</v>
      </c>
      <c r="I277" s="6" t="s">
        <v>28</v>
      </c>
      <c r="J277" s="6" t="s">
        <v>29</v>
      </c>
      <c r="K277" s="6" t="str">
        <f>CONCATENATE("221")</f>
        <v>221</v>
      </c>
      <c r="L277" s="6" t="str">
        <f>CONCATENATE("8 8.1 5e")</f>
        <v>8 8.1 5e</v>
      </c>
      <c r="M277" s="6" t="str">
        <f>CONCATENATE("VLLRTI43A48C321H")</f>
        <v>VLLRTI43A48C321H</v>
      </c>
      <c r="N277" s="6" t="s">
        <v>380</v>
      </c>
      <c r="O277" s="6" t="s">
        <v>165</v>
      </c>
      <c r="P277" s="7">
        <v>43173</v>
      </c>
      <c r="Q277" s="6" t="s">
        <v>30</v>
      </c>
      <c r="R277" s="6" t="s">
        <v>31</v>
      </c>
      <c r="S277" s="6" t="s">
        <v>32</v>
      </c>
      <c r="T277" s="6">
        <v>124.96</v>
      </c>
      <c r="U277" s="6">
        <v>53.88</v>
      </c>
      <c r="V277" s="6">
        <v>49.76</v>
      </c>
      <c r="W277" s="6">
        <v>0</v>
      </c>
      <c r="X277" s="6">
        <v>21.32</v>
      </c>
    </row>
    <row r="278" spans="1:24" ht="24.75" x14ac:dyDescent="0.25">
      <c r="A278" s="6" t="s">
        <v>25</v>
      </c>
      <c r="B278" s="6" t="s">
        <v>26</v>
      </c>
      <c r="C278" s="6" t="s">
        <v>48</v>
      </c>
      <c r="D278" s="6" t="s">
        <v>52</v>
      </c>
      <c r="E278" s="6" t="s">
        <v>38</v>
      </c>
      <c r="F278" s="6" t="s">
        <v>56</v>
      </c>
      <c r="G278" s="6">
        <v>2017</v>
      </c>
      <c r="H278" s="6" t="str">
        <f>CONCATENATE("74780025735")</f>
        <v>74780025735</v>
      </c>
      <c r="I278" s="6" t="s">
        <v>28</v>
      </c>
      <c r="J278" s="6" t="s">
        <v>29</v>
      </c>
      <c r="K278" s="6" t="str">
        <f>CONCATENATE("221")</f>
        <v>221</v>
      </c>
      <c r="L278" s="6" t="str">
        <f>CONCATENATE("8 8.1 5e")</f>
        <v>8 8.1 5e</v>
      </c>
      <c r="M278" s="6" t="str">
        <f>CONCATENATE("VLLSTG55S41C321E")</f>
        <v>VLLSTG55S41C321E</v>
      </c>
      <c r="N278" s="6" t="s">
        <v>381</v>
      </c>
      <c r="O278" s="6" t="s">
        <v>165</v>
      </c>
      <c r="P278" s="7">
        <v>43173</v>
      </c>
      <c r="Q278" s="6" t="s">
        <v>30</v>
      </c>
      <c r="R278" s="6" t="s">
        <v>31</v>
      </c>
      <c r="S278" s="6" t="s">
        <v>32</v>
      </c>
      <c r="T278" s="6">
        <v>177.15</v>
      </c>
      <c r="U278" s="6">
        <v>76.39</v>
      </c>
      <c r="V278" s="6">
        <v>70.540000000000006</v>
      </c>
      <c r="W278" s="6">
        <v>0</v>
      </c>
      <c r="X278" s="6">
        <v>30.22</v>
      </c>
    </row>
    <row r="279" spans="1:24" ht="24.75" x14ac:dyDescent="0.25">
      <c r="A279" s="6" t="s">
        <v>25</v>
      </c>
      <c r="B279" s="6" t="s">
        <v>26</v>
      </c>
      <c r="C279" s="6" t="s">
        <v>48</v>
      </c>
      <c r="D279" s="6" t="s">
        <v>58</v>
      </c>
      <c r="E279" s="6" t="s">
        <v>34</v>
      </c>
      <c r="F279" s="6" t="s">
        <v>81</v>
      </c>
      <c r="G279" s="6">
        <v>2017</v>
      </c>
      <c r="H279" s="6" t="str">
        <f>CONCATENATE("74770161458")</f>
        <v>74770161458</v>
      </c>
      <c r="I279" s="6" t="s">
        <v>28</v>
      </c>
      <c r="J279" s="6" t="s">
        <v>29</v>
      </c>
      <c r="K279" s="6" t="str">
        <f>CONCATENATE("214")</f>
        <v>214</v>
      </c>
      <c r="L279" s="6" t="str">
        <f>CONCATENATE("10 10.1 4a")</f>
        <v>10 10.1 4a</v>
      </c>
      <c r="M279" s="6" t="str">
        <f>CONCATENATE("00984410415")</f>
        <v>00984410415</v>
      </c>
      <c r="N279" s="6" t="s">
        <v>157</v>
      </c>
      <c r="O279" s="6" t="s">
        <v>382</v>
      </c>
      <c r="P279" s="7">
        <v>43167</v>
      </c>
      <c r="Q279" s="6" t="s">
        <v>30</v>
      </c>
      <c r="R279" s="6" t="s">
        <v>31</v>
      </c>
      <c r="S279" s="6" t="s">
        <v>32</v>
      </c>
      <c r="T279" s="8">
        <v>3150</v>
      </c>
      <c r="U279" s="8">
        <v>1358.28</v>
      </c>
      <c r="V279" s="8">
        <v>1254.33</v>
      </c>
      <c r="W279" s="6">
        <v>0</v>
      </c>
      <c r="X279" s="6">
        <v>537.39</v>
      </c>
    </row>
    <row r="280" spans="1:24" ht="24.75" x14ac:dyDescent="0.25">
      <c r="A280" s="6" t="s">
        <v>25</v>
      </c>
      <c r="B280" s="6" t="s">
        <v>26</v>
      </c>
      <c r="C280" s="6" t="s">
        <v>48</v>
      </c>
      <c r="D280" s="6" t="s">
        <v>58</v>
      </c>
      <c r="E280" s="6" t="s">
        <v>34</v>
      </c>
      <c r="F280" s="6" t="s">
        <v>81</v>
      </c>
      <c r="G280" s="6">
        <v>2017</v>
      </c>
      <c r="H280" s="6" t="str">
        <f>CONCATENATE("74770161565")</f>
        <v>74770161565</v>
      </c>
      <c r="I280" s="6" t="s">
        <v>28</v>
      </c>
      <c r="J280" s="6" t="s">
        <v>29</v>
      </c>
      <c r="K280" s="6" t="str">
        <f>CONCATENATE("214")</f>
        <v>214</v>
      </c>
      <c r="L280" s="6" t="str">
        <f>CONCATENATE("10 10.1 4a")</f>
        <v>10 10.1 4a</v>
      </c>
      <c r="M280" s="6" t="str">
        <f>CONCATENATE("00984410415")</f>
        <v>00984410415</v>
      </c>
      <c r="N280" s="6" t="s">
        <v>157</v>
      </c>
      <c r="O280" s="6" t="s">
        <v>382</v>
      </c>
      <c r="P280" s="7">
        <v>43167</v>
      </c>
      <c r="Q280" s="6" t="s">
        <v>30</v>
      </c>
      <c r="R280" s="6" t="s">
        <v>31</v>
      </c>
      <c r="S280" s="6" t="s">
        <v>32</v>
      </c>
      <c r="T280" s="8">
        <v>1050</v>
      </c>
      <c r="U280" s="6">
        <v>452.76</v>
      </c>
      <c r="V280" s="6">
        <v>418.11</v>
      </c>
      <c r="W280" s="6">
        <v>0</v>
      </c>
      <c r="X280" s="6">
        <v>179.13</v>
      </c>
    </row>
    <row r="281" spans="1:24" ht="24.75" x14ac:dyDescent="0.25">
      <c r="A281" s="6" t="s">
        <v>25</v>
      </c>
      <c r="B281" s="6" t="s">
        <v>26</v>
      </c>
      <c r="C281" s="6" t="s">
        <v>48</v>
      </c>
      <c r="D281" s="6" t="s">
        <v>58</v>
      </c>
      <c r="E281" s="6" t="s">
        <v>34</v>
      </c>
      <c r="F281" s="6" t="s">
        <v>81</v>
      </c>
      <c r="G281" s="6">
        <v>2017</v>
      </c>
      <c r="H281" s="6" t="str">
        <f>CONCATENATE("74770179906")</f>
        <v>74770179906</v>
      </c>
      <c r="I281" s="6" t="s">
        <v>28</v>
      </c>
      <c r="J281" s="6" t="s">
        <v>29</v>
      </c>
      <c r="K281" s="6" t="str">
        <f>CONCATENATE("214")</f>
        <v>214</v>
      </c>
      <c r="L281" s="6" t="str">
        <f>CONCATENATE("10 10.1 4a")</f>
        <v>10 10.1 4a</v>
      </c>
      <c r="M281" s="6" t="str">
        <f>CONCATENATE("00984410415")</f>
        <v>00984410415</v>
      </c>
      <c r="N281" s="6" t="s">
        <v>157</v>
      </c>
      <c r="O281" s="6" t="s">
        <v>382</v>
      </c>
      <c r="P281" s="7">
        <v>43167</v>
      </c>
      <c r="Q281" s="6" t="s">
        <v>30</v>
      </c>
      <c r="R281" s="6" t="s">
        <v>31</v>
      </c>
      <c r="S281" s="6" t="s">
        <v>32</v>
      </c>
      <c r="T281" s="6">
        <v>390</v>
      </c>
      <c r="U281" s="6">
        <v>168.17</v>
      </c>
      <c r="V281" s="6">
        <v>155.30000000000001</v>
      </c>
      <c r="W281" s="6">
        <v>0</v>
      </c>
      <c r="X281" s="6">
        <v>66.53</v>
      </c>
    </row>
    <row r="282" spans="1:24" ht="24.75" x14ac:dyDescent="0.25">
      <c r="A282" s="6" t="s">
        <v>25</v>
      </c>
      <c r="B282" s="6" t="s">
        <v>26</v>
      </c>
      <c r="C282" s="6" t="s">
        <v>48</v>
      </c>
      <c r="D282" s="6" t="s">
        <v>49</v>
      </c>
      <c r="E282" s="6" t="s">
        <v>38</v>
      </c>
      <c r="F282" s="6" t="s">
        <v>383</v>
      </c>
      <c r="G282" s="6">
        <v>2017</v>
      </c>
      <c r="H282" s="6" t="str">
        <f>CONCATENATE("74780058892")</f>
        <v>74780058892</v>
      </c>
      <c r="I282" s="6" t="s">
        <v>28</v>
      </c>
      <c r="J282" s="6" t="s">
        <v>29</v>
      </c>
      <c r="K282" s="6" t="str">
        <f>CONCATENATE("221")</f>
        <v>221</v>
      </c>
      <c r="L282" s="6" t="str">
        <f>CONCATENATE("8 8.1 5e")</f>
        <v>8 8.1 5e</v>
      </c>
      <c r="M282" s="6" t="str">
        <f>CONCATENATE("NMDLCU53D50A271M")</f>
        <v>NMDLCU53D50A271M</v>
      </c>
      <c r="N282" s="6" t="s">
        <v>384</v>
      </c>
      <c r="O282" s="6" t="s">
        <v>165</v>
      </c>
      <c r="P282" s="7">
        <v>43173</v>
      </c>
      <c r="Q282" s="6" t="s">
        <v>30</v>
      </c>
      <c r="R282" s="6" t="s">
        <v>31</v>
      </c>
      <c r="S282" s="6" t="s">
        <v>32</v>
      </c>
      <c r="T282" s="6">
        <v>569.6</v>
      </c>
      <c r="U282" s="6">
        <v>245.61</v>
      </c>
      <c r="V282" s="6">
        <v>226.81</v>
      </c>
      <c r="W282" s="6">
        <v>0</v>
      </c>
      <c r="X282" s="6">
        <v>97.18</v>
      </c>
    </row>
    <row r="283" spans="1:24" ht="24.75" x14ac:dyDescent="0.25">
      <c r="A283" s="6" t="s">
        <v>25</v>
      </c>
      <c r="B283" s="6" t="s">
        <v>26</v>
      </c>
      <c r="C283" s="6" t="s">
        <v>48</v>
      </c>
      <c r="D283" s="6" t="s">
        <v>49</v>
      </c>
      <c r="E283" s="6" t="s">
        <v>34</v>
      </c>
      <c r="F283" s="6" t="s">
        <v>297</v>
      </c>
      <c r="G283" s="6">
        <v>2017</v>
      </c>
      <c r="H283" s="6" t="str">
        <f>CONCATENATE("74780065640")</f>
        <v>74780065640</v>
      </c>
      <c r="I283" s="6" t="s">
        <v>28</v>
      </c>
      <c r="J283" s="6" t="s">
        <v>29</v>
      </c>
      <c r="K283" s="6" t="str">
        <f>CONCATENATE("221")</f>
        <v>221</v>
      </c>
      <c r="L283" s="6" t="str">
        <f>CONCATENATE("8 8.1 5e")</f>
        <v>8 8.1 5e</v>
      </c>
      <c r="M283" s="6" t="str">
        <f>CONCATENATE("PLCMME40E70D451S")</f>
        <v>PLCMME40E70D451S</v>
      </c>
      <c r="N283" s="6" t="s">
        <v>385</v>
      </c>
      <c r="O283" s="6" t="s">
        <v>165</v>
      </c>
      <c r="P283" s="7">
        <v>43173</v>
      </c>
      <c r="Q283" s="6" t="s">
        <v>30</v>
      </c>
      <c r="R283" s="6" t="s">
        <v>31</v>
      </c>
      <c r="S283" s="6" t="s">
        <v>32</v>
      </c>
      <c r="T283" s="6">
        <v>112.28</v>
      </c>
      <c r="U283" s="6">
        <v>48.42</v>
      </c>
      <c r="V283" s="6">
        <v>44.71</v>
      </c>
      <c r="W283" s="6">
        <v>0</v>
      </c>
      <c r="X283" s="6">
        <v>19.149999999999999</v>
      </c>
    </row>
    <row r="284" spans="1:24" ht="24.75" x14ac:dyDescent="0.25">
      <c r="A284" s="6" t="s">
        <v>25</v>
      </c>
      <c r="B284" s="6" t="s">
        <v>26</v>
      </c>
      <c r="C284" s="6" t="s">
        <v>48</v>
      </c>
      <c r="D284" s="6" t="s">
        <v>49</v>
      </c>
      <c r="E284" s="6" t="s">
        <v>33</v>
      </c>
      <c r="F284" s="6" t="s">
        <v>114</v>
      </c>
      <c r="G284" s="6">
        <v>2017</v>
      </c>
      <c r="H284" s="6" t="str">
        <f>CONCATENATE("74780058058")</f>
        <v>74780058058</v>
      </c>
      <c r="I284" s="6" t="s">
        <v>28</v>
      </c>
      <c r="J284" s="6" t="s">
        <v>29</v>
      </c>
      <c r="K284" s="6" t="str">
        <f>CONCATENATE("221")</f>
        <v>221</v>
      </c>
      <c r="L284" s="6" t="str">
        <f>CONCATENATE("8 8.1 5e")</f>
        <v>8 8.1 5e</v>
      </c>
      <c r="M284" s="6" t="str">
        <f>CONCATENATE("PLNCTN59P21E388Y")</f>
        <v>PLNCTN59P21E388Y</v>
      </c>
      <c r="N284" s="6" t="s">
        <v>386</v>
      </c>
      <c r="O284" s="6" t="s">
        <v>165</v>
      </c>
      <c r="P284" s="7">
        <v>43173</v>
      </c>
      <c r="Q284" s="6" t="s">
        <v>30</v>
      </c>
      <c r="R284" s="6" t="s">
        <v>31</v>
      </c>
      <c r="S284" s="6" t="s">
        <v>32</v>
      </c>
      <c r="T284" s="6">
        <v>258.97000000000003</v>
      </c>
      <c r="U284" s="6">
        <v>111.67</v>
      </c>
      <c r="V284" s="6">
        <v>103.12</v>
      </c>
      <c r="W284" s="6">
        <v>0</v>
      </c>
      <c r="X284" s="6">
        <v>44.18</v>
      </c>
    </row>
    <row r="285" spans="1:24" ht="24.75" x14ac:dyDescent="0.25">
      <c r="A285" s="6" t="s">
        <v>25</v>
      </c>
      <c r="B285" s="6" t="s">
        <v>26</v>
      </c>
      <c r="C285" s="6" t="s">
        <v>48</v>
      </c>
      <c r="D285" s="6" t="s">
        <v>49</v>
      </c>
      <c r="E285" s="6" t="s">
        <v>38</v>
      </c>
      <c r="F285" s="6" t="s">
        <v>262</v>
      </c>
      <c r="G285" s="6">
        <v>2017</v>
      </c>
      <c r="H285" s="6" t="str">
        <f>CONCATENATE("74780059841")</f>
        <v>74780059841</v>
      </c>
      <c r="I285" s="6" t="s">
        <v>28</v>
      </c>
      <c r="J285" s="6" t="s">
        <v>29</v>
      </c>
      <c r="K285" s="6" t="str">
        <f>CONCATENATE("221")</f>
        <v>221</v>
      </c>
      <c r="L285" s="6" t="str">
        <f>CONCATENATE("8 8.1 5e")</f>
        <v>8 8.1 5e</v>
      </c>
      <c r="M285" s="6" t="str">
        <f>CONCATENATE("RSRNDA77B66I608L")</f>
        <v>RSRNDA77B66I608L</v>
      </c>
      <c r="N285" s="6" t="s">
        <v>387</v>
      </c>
      <c r="O285" s="6" t="s">
        <v>165</v>
      </c>
      <c r="P285" s="7">
        <v>43173</v>
      </c>
      <c r="Q285" s="6" t="s">
        <v>30</v>
      </c>
      <c r="R285" s="6" t="s">
        <v>31</v>
      </c>
      <c r="S285" s="6" t="s">
        <v>32</v>
      </c>
      <c r="T285" s="6">
        <v>139.44999999999999</v>
      </c>
      <c r="U285" s="6">
        <v>60.13</v>
      </c>
      <c r="V285" s="6">
        <v>55.53</v>
      </c>
      <c r="W285" s="6">
        <v>0</v>
      </c>
      <c r="X285" s="6">
        <v>23.79</v>
      </c>
    </row>
    <row r="286" spans="1:24" ht="24.75" x14ac:dyDescent="0.25">
      <c r="A286" s="6" t="s">
        <v>25</v>
      </c>
      <c r="B286" s="6" t="s">
        <v>26</v>
      </c>
      <c r="C286" s="6" t="s">
        <v>48</v>
      </c>
      <c r="D286" s="6" t="s">
        <v>52</v>
      </c>
      <c r="E286" s="6" t="s">
        <v>38</v>
      </c>
      <c r="F286" s="6" t="s">
        <v>62</v>
      </c>
      <c r="G286" s="6">
        <v>2017</v>
      </c>
      <c r="H286" s="6" t="str">
        <f>CONCATENATE("74780028689")</f>
        <v>74780028689</v>
      </c>
      <c r="I286" s="6" t="s">
        <v>28</v>
      </c>
      <c r="J286" s="6" t="s">
        <v>29</v>
      </c>
      <c r="K286" s="6" t="str">
        <f>CONCATENATE("221")</f>
        <v>221</v>
      </c>
      <c r="L286" s="6" t="str">
        <f>CONCATENATE("8 8.1 5e")</f>
        <v>8 8.1 5e</v>
      </c>
      <c r="M286" s="6" t="str">
        <f>CONCATENATE("ZNTNDR91D10M089E")</f>
        <v>ZNTNDR91D10M089E</v>
      </c>
      <c r="N286" s="6" t="s">
        <v>388</v>
      </c>
      <c r="O286" s="6" t="s">
        <v>165</v>
      </c>
      <c r="P286" s="7">
        <v>43173</v>
      </c>
      <c r="Q286" s="6" t="s">
        <v>30</v>
      </c>
      <c r="R286" s="6" t="s">
        <v>31</v>
      </c>
      <c r="S286" s="6" t="s">
        <v>32</v>
      </c>
      <c r="T286" s="6">
        <v>119.52</v>
      </c>
      <c r="U286" s="6">
        <v>51.54</v>
      </c>
      <c r="V286" s="6">
        <v>47.59</v>
      </c>
      <c r="W286" s="6">
        <v>0</v>
      </c>
      <c r="X286" s="6">
        <v>20.39</v>
      </c>
    </row>
    <row r="287" spans="1:24" ht="24.75" x14ac:dyDescent="0.25">
      <c r="A287" s="6" t="s">
        <v>25</v>
      </c>
      <c r="B287" s="6" t="s">
        <v>26</v>
      </c>
      <c r="C287" s="6" t="s">
        <v>48</v>
      </c>
      <c r="D287" s="6" t="s">
        <v>52</v>
      </c>
      <c r="E287" s="6" t="s">
        <v>34</v>
      </c>
      <c r="F287" s="6" t="s">
        <v>233</v>
      </c>
      <c r="G287" s="6">
        <v>2017</v>
      </c>
      <c r="H287" s="6" t="str">
        <f>CONCATENATE("74780061441")</f>
        <v>74780061441</v>
      </c>
      <c r="I287" s="6" t="s">
        <v>28</v>
      </c>
      <c r="J287" s="6" t="s">
        <v>29</v>
      </c>
      <c r="K287" s="6" t="str">
        <f>CONCATENATE("221")</f>
        <v>221</v>
      </c>
      <c r="L287" s="6" t="str">
        <f>CONCATENATE("8 8.1 5e")</f>
        <v>8 8.1 5e</v>
      </c>
      <c r="M287" s="6" t="str">
        <f>CONCATENATE("MDAFNC38R21C321H")</f>
        <v>MDAFNC38R21C321H</v>
      </c>
      <c r="N287" s="6" t="s">
        <v>389</v>
      </c>
      <c r="O287" s="6" t="s">
        <v>165</v>
      </c>
      <c r="P287" s="7">
        <v>43173</v>
      </c>
      <c r="Q287" s="6" t="s">
        <v>30</v>
      </c>
      <c r="R287" s="6" t="s">
        <v>31</v>
      </c>
      <c r="S287" s="6" t="s">
        <v>32</v>
      </c>
      <c r="T287" s="6">
        <v>411.09</v>
      </c>
      <c r="U287" s="6">
        <v>177.26</v>
      </c>
      <c r="V287" s="6">
        <v>163.69999999999999</v>
      </c>
      <c r="W287" s="6">
        <v>0</v>
      </c>
      <c r="X287" s="6">
        <v>70.13</v>
      </c>
    </row>
    <row r="288" spans="1:24" ht="24.75" x14ac:dyDescent="0.25">
      <c r="A288" s="6" t="s">
        <v>25</v>
      </c>
      <c r="B288" s="6" t="s">
        <v>26</v>
      </c>
      <c r="C288" s="6" t="s">
        <v>48</v>
      </c>
      <c r="D288" s="6" t="s">
        <v>52</v>
      </c>
      <c r="E288" s="6" t="s">
        <v>34</v>
      </c>
      <c r="F288" s="6" t="s">
        <v>53</v>
      </c>
      <c r="G288" s="6">
        <v>2017</v>
      </c>
      <c r="H288" s="6" t="str">
        <f>CONCATENATE("74780074444")</f>
        <v>74780074444</v>
      </c>
      <c r="I288" s="6" t="s">
        <v>28</v>
      </c>
      <c r="J288" s="6" t="s">
        <v>29</v>
      </c>
      <c r="K288" s="6" t="str">
        <f>CONCATENATE("221")</f>
        <v>221</v>
      </c>
      <c r="L288" s="6" t="str">
        <f>CONCATENATE("8 8.1 5e")</f>
        <v>8 8.1 5e</v>
      </c>
      <c r="M288" s="6" t="str">
        <f>CONCATENATE("CSCGZL54P43A044J")</f>
        <v>CSCGZL54P43A044J</v>
      </c>
      <c r="N288" s="6" t="s">
        <v>390</v>
      </c>
      <c r="O288" s="6" t="s">
        <v>165</v>
      </c>
      <c r="P288" s="7">
        <v>43173</v>
      </c>
      <c r="Q288" s="6" t="s">
        <v>30</v>
      </c>
      <c r="R288" s="6" t="s">
        <v>31</v>
      </c>
      <c r="S288" s="6" t="s">
        <v>32</v>
      </c>
      <c r="T288" s="6">
        <v>463.18</v>
      </c>
      <c r="U288" s="6">
        <v>199.72</v>
      </c>
      <c r="V288" s="6">
        <v>184.44</v>
      </c>
      <c r="W288" s="6">
        <v>0</v>
      </c>
      <c r="X288" s="6">
        <v>79.02</v>
      </c>
    </row>
    <row r="289" spans="1:24" ht="24.75" x14ac:dyDescent="0.25">
      <c r="A289" s="6" t="s">
        <v>25</v>
      </c>
      <c r="B289" s="6" t="s">
        <v>26</v>
      </c>
      <c r="C289" s="6" t="s">
        <v>48</v>
      </c>
      <c r="D289" s="6" t="s">
        <v>52</v>
      </c>
      <c r="E289" s="6" t="s">
        <v>34</v>
      </c>
      <c r="F289" s="6" t="s">
        <v>235</v>
      </c>
      <c r="G289" s="6">
        <v>2017</v>
      </c>
      <c r="H289" s="6" t="str">
        <f>CONCATENATE("74780023623")</f>
        <v>74780023623</v>
      </c>
      <c r="I289" s="6" t="s">
        <v>28</v>
      </c>
      <c r="J289" s="6" t="s">
        <v>29</v>
      </c>
      <c r="K289" s="6" t="str">
        <f>CONCATENATE("221")</f>
        <v>221</v>
      </c>
      <c r="L289" s="6" t="str">
        <f>CONCATENATE("8 8.1 5e")</f>
        <v>8 8.1 5e</v>
      </c>
      <c r="M289" s="6" t="str">
        <f>CONCATENATE("RCLFND33E28C321P")</f>
        <v>RCLFND33E28C321P</v>
      </c>
      <c r="N289" s="6" t="s">
        <v>391</v>
      </c>
      <c r="O289" s="6" t="s">
        <v>165</v>
      </c>
      <c r="P289" s="7">
        <v>43173</v>
      </c>
      <c r="Q289" s="6" t="s">
        <v>30</v>
      </c>
      <c r="R289" s="6" t="s">
        <v>31</v>
      </c>
      <c r="S289" s="6" t="s">
        <v>32</v>
      </c>
      <c r="T289" s="6">
        <v>330.57</v>
      </c>
      <c r="U289" s="6">
        <v>142.54</v>
      </c>
      <c r="V289" s="6">
        <v>131.63</v>
      </c>
      <c r="W289" s="6">
        <v>0</v>
      </c>
      <c r="X289" s="6">
        <v>56.4</v>
      </c>
    </row>
    <row r="290" spans="1:24" ht="24.75" x14ac:dyDescent="0.25">
      <c r="A290" s="6" t="s">
        <v>25</v>
      </c>
      <c r="B290" s="6" t="s">
        <v>26</v>
      </c>
      <c r="C290" s="6" t="s">
        <v>48</v>
      </c>
      <c r="D290" s="6" t="s">
        <v>52</v>
      </c>
      <c r="E290" s="6" t="s">
        <v>38</v>
      </c>
      <c r="F290" s="6" t="s">
        <v>130</v>
      </c>
      <c r="G290" s="6">
        <v>2017</v>
      </c>
      <c r="H290" s="6" t="str">
        <f>CONCATENATE("74780023532")</f>
        <v>74780023532</v>
      </c>
      <c r="I290" s="6" t="s">
        <v>28</v>
      </c>
      <c r="J290" s="6" t="s">
        <v>29</v>
      </c>
      <c r="K290" s="6" t="str">
        <f>CONCATENATE("221")</f>
        <v>221</v>
      </c>
      <c r="L290" s="6" t="str">
        <f>CONCATENATE("8 8.1 5e")</f>
        <v>8 8.1 5e</v>
      </c>
      <c r="M290" s="6" t="str">
        <f>CONCATENATE("MTRMTR44M59D691Q")</f>
        <v>MTRMTR44M59D691Q</v>
      </c>
      <c r="N290" s="6" t="s">
        <v>392</v>
      </c>
      <c r="O290" s="6" t="s">
        <v>165</v>
      </c>
      <c r="P290" s="7">
        <v>43173</v>
      </c>
      <c r="Q290" s="6" t="s">
        <v>30</v>
      </c>
      <c r="R290" s="6" t="s">
        <v>31</v>
      </c>
      <c r="S290" s="6" t="s">
        <v>32</v>
      </c>
      <c r="T290" s="6">
        <v>207.62</v>
      </c>
      <c r="U290" s="6">
        <v>89.53</v>
      </c>
      <c r="V290" s="6">
        <v>82.67</v>
      </c>
      <c r="W290" s="6">
        <v>0</v>
      </c>
      <c r="X290" s="6">
        <v>35.42</v>
      </c>
    </row>
    <row r="291" spans="1:24" ht="24.75" x14ac:dyDescent="0.25">
      <c r="A291" s="6" t="s">
        <v>25</v>
      </c>
      <c r="B291" s="6" t="s">
        <v>26</v>
      </c>
      <c r="C291" s="6" t="s">
        <v>48</v>
      </c>
      <c r="D291" s="6" t="s">
        <v>49</v>
      </c>
      <c r="E291" s="6" t="s">
        <v>34</v>
      </c>
      <c r="F291" s="6" t="s">
        <v>297</v>
      </c>
      <c r="G291" s="6">
        <v>2017</v>
      </c>
      <c r="H291" s="6" t="str">
        <f>CONCATENATE("74780064056")</f>
        <v>74780064056</v>
      </c>
      <c r="I291" s="6" t="s">
        <v>28</v>
      </c>
      <c r="J291" s="6" t="s">
        <v>29</v>
      </c>
      <c r="K291" s="6" t="str">
        <f>CONCATENATE("221")</f>
        <v>221</v>
      </c>
      <c r="L291" s="6" t="str">
        <f>CONCATENATE("8 8.1 5e")</f>
        <v>8 8.1 5e</v>
      </c>
      <c r="M291" s="6" t="str">
        <f>CONCATENATE("FRIVNI46T58D451M")</f>
        <v>FRIVNI46T58D451M</v>
      </c>
      <c r="N291" s="6" t="s">
        <v>393</v>
      </c>
      <c r="O291" s="6" t="s">
        <v>165</v>
      </c>
      <c r="P291" s="7">
        <v>43173</v>
      </c>
      <c r="Q291" s="6" t="s">
        <v>30</v>
      </c>
      <c r="R291" s="6" t="s">
        <v>31</v>
      </c>
      <c r="S291" s="6" t="s">
        <v>32</v>
      </c>
      <c r="T291" s="6">
        <v>264</v>
      </c>
      <c r="U291" s="6">
        <v>113.84</v>
      </c>
      <c r="V291" s="6">
        <v>105.12</v>
      </c>
      <c r="W291" s="6">
        <v>0</v>
      </c>
      <c r="X291" s="6">
        <v>45.04</v>
      </c>
    </row>
    <row r="292" spans="1:24" ht="24.75" x14ac:dyDescent="0.25">
      <c r="A292" s="6" t="s">
        <v>25</v>
      </c>
      <c r="B292" s="6" t="s">
        <v>26</v>
      </c>
      <c r="C292" s="6" t="s">
        <v>48</v>
      </c>
      <c r="D292" s="6" t="s">
        <v>52</v>
      </c>
      <c r="E292" s="6" t="s">
        <v>34</v>
      </c>
      <c r="F292" s="6" t="s">
        <v>68</v>
      </c>
      <c r="G292" s="6">
        <v>2017</v>
      </c>
      <c r="H292" s="6" t="str">
        <f>CONCATENATE("74780061078")</f>
        <v>74780061078</v>
      </c>
      <c r="I292" s="6" t="s">
        <v>28</v>
      </c>
      <c r="J292" s="6" t="s">
        <v>29</v>
      </c>
      <c r="K292" s="6" t="str">
        <f>CONCATENATE("221")</f>
        <v>221</v>
      </c>
      <c r="L292" s="6" t="str">
        <f>CONCATENATE("8 8.1 5e")</f>
        <v>8 8.1 5e</v>
      </c>
      <c r="M292" s="6" t="str">
        <f>CONCATENATE("GLNGRG71D23G920A")</f>
        <v>GLNGRG71D23G920A</v>
      </c>
      <c r="N292" s="6" t="s">
        <v>394</v>
      </c>
      <c r="O292" s="6" t="s">
        <v>395</v>
      </c>
      <c r="P292" s="7">
        <v>43173</v>
      </c>
      <c r="Q292" s="6" t="s">
        <v>30</v>
      </c>
      <c r="R292" s="6" t="s">
        <v>31</v>
      </c>
      <c r="S292" s="6" t="s">
        <v>32</v>
      </c>
      <c r="T292" s="6">
        <v>210.07</v>
      </c>
      <c r="U292" s="6">
        <v>90.58</v>
      </c>
      <c r="V292" s="6">
        <v>83.65</v>
      </c>
      <c r="W292" s="6">
        <v>0</v>
      </c>
      <c r="X292" s="6">
        <v>35.840000000000003</v>
      </c>
    </row>
    <row r="293" spans="1:24" ht="24.75" x14ac:dyDescent="0.25">
      <c r="A293" s="6" t="s">
        <v>25</v>
      </c>
      <c r="B293" s="6" t="s">
        <v>26</v>
      </c>
      <c r="C293" s="6" t="s">
        <v>48</v>
      </c>
      <c r="D293" s="6" t="s">
        <v>52</v>
      </c>
      <c r="E293" s="6" t="s">
        <v>34</v>
      </c>
      <c r="F293" s="6" t="s">
        <v>294</v>
      </c>
      <c r="G293" s="6">
        <v>2017</v>
      </c>
      <c r="H293" s="6" t="str">
        <f>CONCATENATE("74780060567")</f>
        <v>74780060567</v>
      </c>
      <c r="I293" s="6" t="s">
        <v>28</v>
      </c>
      <c r="J293" s="6" t="s">
        <v>29</v>
      </c>
      <c r="K293" s="6" t="str">
        <f>CONCATENATE("221")</f>
        <v>221</v>
      </c>
      <c r="L293" s="6" t="str">
        <f>CONCATENATE("8 8.1 5e")</f>
        <v>8 8.1 5e</v>
      </c>
      <c r="M293" s="6" t="str">
        <f>CONCATENATE("GLLGPP43P11F653Y")</f>
        <v>GLLGPP43P11F653Y</v>
      </c>
      <c r="N293" s="6" t="s">
        <v>396</v>
      </c>
      <c r="O293" s="6" t="s">
        <v>395</v>
      </c>
      <c r="P293" s="7">
        <v>43173</v>
      </c>
      <c r="Q293" s="6" t="s">
        <v>30</v>
      </c>
      <c r="R293" s="6" t="s">
        <v>31</v>
      </c>
      <c r="S293" s="6" t="s">
        <v>32</v>
      </c>
      <c r="T293" s="6">
        <v>302.85000000000002</v>
      </c>
      <c r="U293" s="6">
        <v>130.59</v>
      </c>
      <c r="V293" s="6">
        <v>120.59</v>
      </c>
      <c r="W293" s="6">
        <v>0</v>
      </c>
      <c r="X293" s="6">
        <v>51.67</v>
      </c>
    </row>
    <row r="294" spans="1:24" ht="24.75" x14ac:dyDescent="0.25">
      <c r="A294" s="6" t="s">
        <v>25</v>
      </c>
      <c r="B294" s="6" t="s">
        <v>26</v>
      </c>
      <c r="C294" s="6" t="s">
        <v>48</v>
      </c>
      <c r="D294" s="6" t="s">
        <v>52</v>
      </c>
      <c r="E294" s="6" t="s">
        <v>33</v>
      </c>
      <c r="F294" s="6" t="s">
        <v>83</v>
      </c>
      <c r="G294" s="6">
        <v>2017</v>
      </c>
      <c r="H294" s="6" t="str">
        <f>CONCATENATE("74780045436")</f>
        <v>74780045436</v>
      </c>
      <c r="I294" s="6" t="s">
        <v>28</v>
      </c>
      <c r="J294" s="6" t="s">
        <v>29</v>
      </c>
      <c r="K294" s="6" t="str">
        <f>CONCATENATE("221")</f>
        <v>221</v>
      </c>
      <c r="L294" s="6" t="str">
        <f>CONCATENATE("8 8.1 5e")</f>
        <v>8 8.1 5e</v>
      </c>
      <c r="M294" s="6" t="str">
        <f>CONCATENATE("GLLRRT56H06D542U")</f>
        <v>GLLRRT56H06D542U</v>
      </c>
      <c r="N294" s="6" t="s">
        <v>397</v>
      </c>
      <c r="O294" s="6" t="s">
        <v>395</v>
      </c>
      <c r="P294" s="7">
        <v>43173</v>
      </c>
      <c r="Q294" s="6" t="s">
        <v>30</v>
      </c>
      <c r="R294" s="6" t="s">
        <v>31</v>
      </c>
      <c r="S294" s="6" t="s">
        <v>32</v>
      </c>
      <c r="T294" s="6">
        <v>211.89</v>
      </c>
      <c r="U294" s="6">
        <v>91.37</v>
      </c>
      <c r="V294" s="6">
        <v>84.37</v>
      </c>
      <c r="W294" s="6">
        <v>0</v>
      </c>
      <c r="X294" s="6">
        <v>36.15</v>
      </c>
    </row>
    <row r="295" spans="1:24" ht="24.75" x14ac:dyDescent="0.25">
      <c r="A295" s="6" t="s">
        <v>25</v>
      </c>
      <c r="B295" s="6" t="s">
        <v>26</v>
      </c>
      <c r="C295" s="6" t="s">
        <v>48</v>
      </c>
      <c r="D295" s="6" t="s">
        <v>52</v>
      </c>
      <c r="E295" s="6" t="s">
        <v>34</v>
      </c>
      <c r="F295" s="6" t="s">
        <v>294</v>
      </c>
      <c r="G295" s="6">
        <v>2017</v>
      </c>
      <c r="H295" s="6" t="str">
        <f>CONCATENATE("74780058843")</f>
        <v>74780058843</v>
      </c>
      <c r="I295" s="6" t="s">
        <v>28</v>
      </c>
      <c r="J295" s="6" t="s">
        <v>29</v>
      </c>
      <c r="K295" s="6" t="str">
        <f>CONCATENATE("221")</f>
        <v>221</v>
      </c>
      <c r="L295" s="6" t="str">
        <f>CONCATENATE("8 8.1 5e")</f>
        <v>8 8.1 5e</v>
      </c>
      <c r="M295" s="6" t="str">
        <f>CONCATENATE("GNKRGR55R70Z112O")</f>
        <v>GNKRGR55R70Z112O</v>
      </c>
      <c r="N295" s="6" t="s">
        <v>398</v>
      </c>
      <c r="O295" s="6" t="s">
        <v>395</v>
      </c>
      <c r="P295" s="7">
        <v>43173</v>
      </c>
      <c r="Q295" s="6" t="s">
        <v>30</v>
      </c>
      <c r="R295" s="6" t="s">
        <v>31</v>
      </c>
      <c r="S295" s="6" t="s">
        <v>32</v>
      </c>
      <c r="T295" s="6">
        <v>181.1</v>
      </c>
      <c r="U295" s="6">
        <v>78.09</v>
      </c>
      <c r="V295" s="6">
        <v>72.11</v>
      </c>
      <c r="W295" s="6">
        <v>0</v>
      </c>
      <c r="X295" s="6">
        <v>30.9</v>
      </c>
    </row>
    <row r="296" spans="1:24" ht="24.75" x14ac:dyDescent="0.25">
      <c r="A296" s="6" t="s">
        <v>25</v>
      </c>
      <c r="B296" s="6" t="s">
        <v>26</v>
      </c>
      <c r="C296" s="6" t="s">
        <v>48</v>
      </c>
      <c r="D296" s="6" t="s">
        <v>52</v>
      </c>
      <c r="E296" s="6" t="s">
        <v>34</v>
      </c>
      <c r="F296" s="6" t="s">
        <v>233</v>
      </c>
      <c r="G296" s="6">
        <v>2017</v>
      </c>
      <c r="H296" s="6" t="str">
        <f>CONCATENATE("74780057704")</f>
        <v>74780057704</v>
      </c>
      <c r="I296" s="6" t="s">
        <v>28</v>
      </c>
      <c r="J296" s="6" t="s">
        <v>29</v>
      </c>
      <c r="K296" s="6" t="str">
        <f>CONCATENATE("221")</f>
        <v>221</v>
      </c>
      <c r="L296" s="6" t="str">
        <f>CONCATENATE("8 8.1 5e")</f>
        <v>8 8.1 5e</v>
      </c>
      <c r="M296" s="6" t="str">
        <f>CONCATENATE("GRLGPP50H11C935A")</f>
        <v>GRLGPP50H11C935A</v>
      </c>
      <c r="N296" s="6" t="s">
        <v>399</v>
      </c>
      <c r="O296" s="6" t="s">
        <v>395</v>
      </c>
      <c r="P296" s="7">
        <v>43173</v>
      </c>
      <c r="Q296" s="6" t="s">
        <v>30</v>
      </c>
      <c r="R296" s="6" t="s">
        <v>31</v>
      </c>
      <c r="S296" s="6" t="s">
        <v>32</v>
      </c>
      <c r="T296" s="6">
        <v>655.91</v>
      </c>
      <c r="U296" s="6">
        <v>282.83</v>
      </c>
      <c r="V296" s="6">
        <v>261.18</v>
      </c>
      <c r="W296" s="6">
        <v>0</v>
      </c>
      <c r="X296" s="6">
        <v>111.9</v>
      </c>
    </row>
    <row r="297" spans="1:24" ht="24.75" x14ac:dyDescent="0.25">
      <c r="A297" s="6" t="s">
        <v>25</v>
      </c>
      <c r="B297" s="6" t="s">
        <v>26</v>
      </c>
      <c r="C297" s="6" t="s">
        <v>48</v>
      </c>
      <c r="D297" s="6" t="s">
        <v>52</v>
      </c>
      <c r="E297" s="6" t="s">
        <v>38</v>
      </c>
      <c r="F297" s="6" t="s">
        <v>56</v>
      </c>
      <c r="G297" s="6">
        <v>2017</v>
      </c>
      <c r="H297" s="6" t="str">
        <f>CONCATENATE("74780010760")</f>
        <v>74780010760</v>
      </c>
      <c r="I297" s="6" t="s">
        <v>28</v>
      </c>
      <c r="J297" s="6" t="s">
        <v>29</v>
      </c>
      <c r="K297" s="6" t="str">
        <f>CONCATENATE("221")</f>
        <v>221</v>
      </c>
      <c r="L297" s="6" t="str">
        <f>CONCATENATE("8 8.1 5e")</f>
        <v>8 8.1 5e</v>
      </c>
      <c r="M297" s="6" t="str">
        <f>CONCATENATE("CLVGRL63C59H321M")</f>
        <v>CLVGRL63C59H321M</v>
      </c>
      <c r="N297" s="6" t="s">
        <v>400</v>
      </c>
      <c r="O297" s="6" t="s">
        <v>395</v>
      </c>
      <c r="P297" s="7">
        <v>43173</v>
      </c>
      <c r="Q297" s="6" t="s">
        <v>30</v>
      </c>
      <c r="R297" s="6" t="s">
        <v>31</v>
      </c>
      <c r="S297" s="6" t="s">
        <v>32</v>
      </c>
      <c r="T297" s="6">
        <v>483.16</v>
      </c>
      <c r="U297" s="6">
        <v>208.34</v>
      </c>
      <c r="V297" s="6">
        <v>192.39</v>
      </c>
      <c r="W297" s="6">
        <v>0</v>
      </c>
      <c r="X297" s="6">
        <v>82.43</v>
      </c>
    </row>
    <row r="298" spans="1:24" ht="24.75" x14ac:dyDescent="0.25">
      <c r="A298" s="6" t="s">
        <v>25</v>
      </c>
      <c r="B298" s="6" t="s">
        <v>26</v>
      </c>
      <c r="C298" s="6" t="s">
        <v>48</v>
      </c>
      <c r="D298" s="6" t="s">
        <v>52</v>
      </c>
      <c r="E298" s="6" t="s">
        <v>34</v>
      </c>
      <c r="F298" s="6" t="s">
        <v>294</v>
      </c>
      <c r="G298" s="6">
        <v>2017</v>
      </c>
      <c r="H298" s="6" t="str">
        <f>CONCATENATE("74780057738")</f>
        <v>74780057738</v>
      </c>
      <c r="I298" s="6" t="s">
        <v>28</v>
      </c>
      <c r="J298" s="6" t="s">
        <v>29</v>
      </c>
      <c r="K298" s="6" t="str">
        <f>CONCATENATE("221")</f>
        <v>221</v>
      </c>
      <c r="L298" s="6" t="str">
        <f>CONCATENATE("8 8.1 5e")</f>
        <v>8 8.1 5e</v>
      </c>
      <c r="M298" s="6" t="str">
        <f>CONCATENATE("CRDLRT77R05I470H")</f>
        <v>CRDLRT77R05I470H</v>
      </c>
      <c r="N298" s="6" t="s">
        <v>401</v>
      </c>
      <c r="O298" s="6" t="s">
        <v>395</v>
      </c>
      <c r="P298" s="7">
        <v>43173</v>
      </c>
      <c r="Q298" s="6" t="s">
        <v>30</v>
      </c>
      <c r="R298" s="6" t="s">
        <v>31</v>
      </c>
      <c r="S298" s="6" t="s">
        <v>32</v>
      </c>
      <c r="T298" s="8">
        <v>2303.92</v>
      </c>
      <c r="U298" s="6">
        <v>993.45</v>
      </c>
      <c r="V298" s="6">
        <v>917.42</v>
      </c>
      <c r="W298" s="6">
        <v>0</v>
      </c>
      <c r="X298" s="6">
        <v>393.05</v>
      </c>
    </row>
    <row r="299" spans="1:24" ht="24.75" x14ac:dyDescent="0.25">
      <c r="A299" s="6" t="s">
        <v>25</v>
      </c>
      <c r="B299" s="6" t="s">
        <v>26</v>
      </c>
      <c r="C299" s="6" t="s">
        <v>48</v>
      </c>
      <c r="D299" s="6" t="s">
        <v>52</v>
      </c>
      <c r="E299" s="6" t="s">
        <v>33</v>
      </c>
      <c r="F299" s="6" t="s">
        <v>83</v>
      </c>
      <c r="G299" s="6">
        <v>2017</v>
      </c>
      <c r="H299" s="6" t="str">
        <f>CONCATENATE("74780067539")</f>
        <v>74780067539</v>
      </c>
      <c r="I299" s="6" t="s">
        <v>28</v>
      </c>
      <c r="J299" s="6" t="s">
        <v>29</v>
      </c>
      <c r="K299" s="6" t="str">
        <f>CONCATENATE("221")</f>
        <v>221</v>
      </c>
      <c r="L299" s="6" t="str">
        <f>CONCATENATE("8 8.1 5e")</f>
        <v>8 8.1 5e</v>
      </c>
      <c r="M299" s="6" t="str">
        <f>CONCATENATE("CTRNNA47D51D477Z")</f>
        <v>CTRNNA47D51D477Z</v>
      </c>
      <c r="N299" s="6" t="s">
        <v>402</v>
      </c>
      <c r="O299" s="6" t="s">
        <v>395</v>
      </c>
      <c r="P299" s="7">
        <v>43173</v>
      </c>
      <c r="Q299" s="6" t="s">
        <v>30</v>
      </c>
      <c r="R299" s="6" t="s">
        <v>31</v>
      </c>
      <c r="S299" s="6" t="s">
        <v>32</v>
      </c>
      <c r="T299" s="8">
        <v>2580.83</v>
      </c>
      <c r="U299" s="8">
        <v>1112.8499999999999</v>
      </c>
      <c r="V299" s="8">
        <v>1027.69</v>
      </c>
      <c r="W299" s="6">
        <v>0</v>
      </c>
      <c r="X299" s="6">
        <v>440.29</v>
      </c>
    </row>
    <row r="300" spans="1:24" ht="24.75" x14ac:dyDescent="0.25">
      <c r="A300" s="6" t="s">
        <v>25</v>
      </c>
      <c r="B300" s="6" t="s">
        <v>26</v>
      </c>
      <c r="C300" s="6" t="s">
        <v>48</v>
      </c>
      <c r="D300" s="6" t="s">
        <v>52</v>
      </c>
      <c r="E300" s="6" t="s">
        <v>34</v>
      </c>
      <c r="F300" s="6" t="s">
        <v>294</v>
      </c>
      <c r="G300" s="6">
        <v>2017</v>
      </c>
      <c r="H300" s="6" t="str">
        <f>CONCATENATE("74780061185")</f>
        <v>74780061185</v>
      </c>
      <c r="I300" s="6" t="s">
        <v>28</v>
      </c>
      <c r="J300" s="6" t="s">
        <v>29</v>
      </c>
      <c r="K300" s="6" t="str">
        <f>CONCATENATE("221")</f>
        <v>221</v>
      </c>
      <c r="L300" s="6" t="str">
        <f>CONCATENATE("8 8.1 5e")</f>
        <v>8 8.1 5e</v>
      </c>
      <c r="M300" s="6" t="str">
        <f>CONCATENATE("CNDLCU85P08D542C")</f>
        <v>CNDLCU85P08D542C</v>
      </c>
      <c r="N300" s="6" t="s">
        <v>403</v>
      </c>
      <c r="O300" s="6" t="s">
        <v>395</v>
      </c>
      <c r="P300" s="7">
        <v>43173</v>
      </c>
      <c r="Q300" s="6" t="s">
        <v>30</v>
      </c>
      <c r="R300" s="6" t="s">
        <v>31</v>
      </c>
      <c r="S300" s="6" t="s">
        <v>32</v>
      </c>
      <c r="T300" s="6">
        <v>397.1</v>
      </c>
      <c r="U300" s="6">
        <v>171.23</v>
      </c>
      <c r="V300" s="6">
        <v>158.13</v>
      </c>
      <c r="W300" s="6">
        <v>0</v>
      </c>
      <c r="X300" s="6">
        <v>67.739999999999995</v>
      </c>
    </row>
    <row r="301" spans="1:24" ht="24.75" x14ac:dyDescent="0.25">
      <c r="A301" s="6" t="s">
        <v>25</v>
      </c>
      <c r="B301" s="6" t="s">
        <v>26</v>
      </c>
      <c r="C301" s="6" t="s">
        <v>48</v>
      </c>
      <c r="D301" s="6" t="s">
        <v>52</v>
      </c>
      <c r="E301" s="6" t="s">
        <v>33</v>
      </c>
      <c r="F301" s="6" t="s">
        <v>83</v>
      </c>
      <c r="G301" s="6">
        <v>2017</v>
      </c>
      <c r="H301" s="6" t="str">
        <f>CONCATENATE("74780067372")</f>
        <v>74780067372</v>
      </c>
      <c r="I301" s="6" t="s">
        <v>28</v>
      </c>
      <c r="J301" s="6" t="s">
        <v>29</v>
      </c>
      <c r="K301" s="6" t="str">
        <f>CONCATENATE("221")</f>
        <v>221</v>
      </c>
      <c r="L301" s="6" t="str">
        <f>CONCATENATE("8 8.1 5e")</f>
        <v>8 8.1 5e</v>
      </c>
      <c r="M301" s="6" t="str">
        <f>CONCATENATE("BRBGNN49M03F697P")</f>
        <v>BRBGNN49M03F697P</v>
      </c>
      <c r="N301" s="6" t="s">
        <v>404</v>
      </c>
      <c r="O301" s="6" t="s">
        <v>395</v>
      </c>
      <c r="P301" s="7">
        <v>43173</v>
      </c>
      <c r="Q301" s="6" t="s">
        <v>30</v>
      </c>
      <c r="R301" s="6" t="s">
        <v>31</v>
      </c>
      <c r="S301" s="6" t="s">
        <v>32</v>
      </c>
      <c r="T301" s="6">
        <v>535.52</v>
      </c>
      <c r="U301" s="6">
        <v>230.92</v>
      </c>
      <c r="V301" s="6">
        <v>213.24</v>
      </c>
      <c r="W301" s="6">
        <v>0</v>
      </c>
      <c r="X301" s="6">
        <v>91.36</v>
      </c>
    </row>
    <row r="302" spans="1:24" ht="24.75" x14ac:dyDescent="0.25">
      <c r="A302" s="6" t="s">
        <v>25</v>
      </c>
      <c r="B302" s="6" t="s">
        <v>26</v>
      </c>
      <c r="C302" s="6" t="s">
        <v>48</v>
      </c>
      <c r="D302" s="6" t="s">
        <v>52</v>
      </c>
      <c r="E302" s="6" t="s">
        <v>34</v>
      </c>
      <c r="F302" s="6" t="s">
        <v>233</v>
      </c>
      <c r="G302" s="6">
        <v>2017</v>
      </c>
      <c r="H302" s="6" t="str">
        <f>CONCATENATE("74780056623")</f>
        <v>74780056623</v>
      </c>
      <c r="I302" s="6" t="s">
        <v>28</v>
      </c>
      <c r="J302" s="6" t="s">
        <v>29</v>
      </c>
      <c r="K302" s="6" t="str">
        <f>CONCATENATE("221")</f>
        <v>221</v>
      </c>
      <c r="L302" s="6" t="str">
        <f>CONCATENATE("8 8.1 5e")</f>
        <v>8 8.1 5e</v>
      </c>
      <c r="M302" s="6" t="str">
        <f>CONCATENATE("BLLVLN54E48I774N")</f>
        <v>BLLVLN54E48I774N</v>
      </c>
      <c r="N302" s="6" t="s">
        <v>405</v>
      </c>
      <c r="O302" s="6" t="s">
        <v>395</v>
      </c>
      <c r="P302" s="7">
        <v>43173</v>
      </c>
      <c r="Q302" s="6" t="s">
        <v>30</v>
      </c>
      <c r="R302" s="6" t="s">
        <v>31</v>
      </c>
      <c r="S302" s="6" t="s">
        <v>32</v>
      </c>
      <c r="T302" s="6">
        <v>128.80000000000001</v>
      </c>
      <c r="U302" s="6">
        <v>55.54</v>
      </c>
      <c r="V302" s="6">
        <v>51.29</v>
      </c>
      <c r="W302" s="6">
        <v>0</v>
      </c>
      <c r="X302" s="6">
        <v>21.97</v>
      </c>
    </row>
    <row r="303" spans="1:24" ht="24.75" x14ac:dyDescent="0.25">
      <c r="A303" s="6" t="s">
        <v>25</v>
      </c>
      <c r="B303" s="6" t="s">
        <v>26</v>
      </c>
      <c r="C303" s="6" t="s">
        <v>48</v>
      </c>
      <c r="D303" s="6" t="s">
        <v>52</v>
      </c>
      <c r="E303" s="6" t="s">
        <v>39</v>
      </c>
      <c r="F303" s="6" t="s">
        <v>111</v>
      </c>
      <c r="G303" s="6">
        <v>2017</v>
      </c>
      <c r="H303" s="6" t="str">
        <f>CONCATENATE("74780010539")</f>
        <v>74780010539</v>
      </c>
      <c r="I303" s="6" t="s">
        <v>28</v>
      </c>
      <c r="J303" s="6" t="s">
        <v>29</v>
      </c>
      <c r="K303" s="6" t="str">
        <f>CONCATENATE("221")</f>
        <v>221</v>
      </c>
      <c r="L303" s="6" t="str">
        <f>CONCATENATE("8 8.1 5e")</f>
        <v>8 8.1 5e</v>
      </c>
      <c r="M303" s="6" t="str">
        <f>CONCATENATE("BSCRNT42B53F626J")</f>
        <v>BSCRNT42B53F626J</v>
      </c>
      <c r="N303" s="6" t="s">
        <v>406</v>
      </c>
      <c r="O303" s="6" t="s">
        <v>395</v>
      </c>
      <c r="P303" s="7">
        <v>43173</v>
      </c>
      <c r="Q303" s="6" t="s">
        <v>30</v>
      </c>
      <c r="R303" s="6" t="s">
        <v>31</v>
      </c>
      <c r="S303" s="6" t="s">
        <v>32</v>
      </c>
      <c r="T303" s="8">
        <v>1787.5</v>
      </c>
      <c r="U303" s="6">
        <v>770.77</v>
      </c>
      <c r="V303" s="6">
        <v>711.78</v>
      </c>
      <c r="W303" s="6">
        <v>0</v>
      </c>
      <c r="X303" s="6">
        <v>304.95</v>
      </c>
    </row>
    <row r="304" spans="1:24" ht="24.75" x14ac:dyDescent="0.25">
      <c r="A304" s="6" t="s">
        <v>25</v>
      </c>
      <c r="B304" s="6" t="s">
        <v>26</v>
      </c>
      <c r="C304" s="6" t="s">
        <v>48</v>
      </c>
      <c r="D304" s="6" t="s">
        <v>52</v>
      </c>
      <c r="E304" s="6" t="s">
        <v>34</v>
      </c>
      <c r="F304" s="6" t="s">
        <v>53</v>
      </c>
      <c r="G304" s="6">
        <v>2017</v>
      </c>
      <c r="H304" s="6" t="str">
        <f>CONCATENATE("74780074519")</f>
        <v>74780074519</v>
      </c>
      <c r="I304" s="6" t="s">
        <v>28</v>
      </c>
      <c r="J304" s="6" t="s">
        <v>29</v>
      </c>
      <c r="K304" s="6" t="str">
        <f>CONCATENATE("221")</f>
        <v>221</v>
      </c>
      <c r="L304" s="6" t="str">
        <f>CONCATENATE("8 8.1 5e")</f>
        <v>8 8.1 5e</v>
      </c>
      <c r="M304" s="6" t="str">
        <f>CONCATENATE("SPCMNC68C52A462U")</f>
        <v>SPCMNC68C52A462U</v>
      </c>
      <c r="N304" s="6" t="s">
        <v>407</v>
      </c>
      <c r="O304" s="6" t="s">
        <v>395</v>
      </c>
      <c r="P304" s="7">
        <v>43173</v>
      </c>
      <c r="Q304" s="6" t="s">
        <v>30</v>
      </c>
      <c r="R304" s="6" t="s">
        <v>31</v>
      </c>
      <c r="S304" s="6" t="s">
        <v>32</v>
      </c>
      <c r="T304" s="6">
        <v>103.22</v>
      </c>
      <c r="U304" s="6">
        <v>44.51</v>
      </c>
      <c r="V304" s="6">
        <v>41.1</v>
      </c>
      <c r="W304" s="6">
        <v>0</v>
      </c>
      <c r="X304" s="6">
        <v>17.61</v>
      </c>
    </row>
    <row r="305" spans="1:24" ht="24.75" x14ac:dyDescent="0.25">
      <c r="A305" s="6" t="s">
        <v>25</v>
      </c>
      <c r="B305" s="6" t="s">
        <v>26</v>
      </c>
      <c r="C305" s="6" t="s">
        <v>48</v>
      </c>
      <c r="D305" s="6" t="s">
        <v>52</v>
      </c>
      <c r="E305" s="6" t="s">
        <v>38</v>
      </c>
      <c r="F305" s="6" t="s">
        <v>130</v>
      </c>
      <c r="G305" s="6">
        <v>2017</v>
      </c>
      <c r="H305" s="6" t="str">
        <f>CONCATENATE("74780023649")</f>
        <v>74780023649</v>
      </c>
      <c r="I305" s="6" t="s">
        <v>28</v>
      </c>
      <c r="J305" s="6" t="s">
        <v>29</v>
      </c>
      <c r="K305" s="6" t="str">
        <f>CONCATENATE("221")</f>
        <v>221</v>
      </c>
      <c r="L305" s="6" t="str">
        <f>CONCATENATE("8 8.1 5e")</f>
        <v>8 8.1 5e</v>
      </c>
      <c r="M305" s="6" t="str">
        <f>CONCATENATE("TMSZEI35T09G516G")</f>
        <v>TMSZEI35T09G516G</v>
      </c>
      <c r="N305" s="6" t="s">
        <v>408</v>
      </c>
      <c r="O305" s="6" t="s">
        <v>395</v>
      </c>
      <c r="P305" s="7">
        <v>43173</v>
      </c>
      <c r="Q305" s="6" t="s">
        <v>30</v>
      </c>
      <c r="R305" s="6" t="s">
        <v>31</v>
      </c>
      <c r="S305" s="6" t="s">
        <v>32</v>
      </c>
      <c r="T305" s="8">
        <v>1655.5</v>
      </c>
      <c r="U305" s="6">
        <v>713.85</v>
      </c>
      <c r="V305" s="6">
        <v>659.22</v>
      </c>
      <c r="W305" s="6">
        <v>0</v>
      </c>
      <c r="X305" s="6">
        <v>282.43</v>
      </c>
    </row>
    <row r="306" spans="1:24" ht="24.75" x14ac:dyDescent="0.25">
      <c r="A306" s="6" t="s">
        <v>25</v>
      </c>
      <c r="B306" s="6" t="s">
        <v>26</v>
      </c>
      <c r="C306" s="6" t="s">
        <v>48</v>
      </c>
      <c r="D306" s="6" t="s">
        <v>52</v>
      </c>
      <c r="E306" s="6" t="s">
        <v>34</v>
      </c>
      <c r="F306" s="6" t="s">
        <v>294</v>
      </c>
      <c r="G306" s="6">
        <v>2017</v>
      </c>
      <c r="H306" s="6" t="str">
        <f>CONCATENATE("74780057662")</f>
        <v>74780057662</v>
      </c>
      <c r="I306" s="6" t="s">
        <v>28</v>
      </c>
      <c r="J306" s="6" t="s">
        <v>29</v>
      </c>
      <c r="K306" s="6" t="str">
        <f>CONCATENATE("221")</f>
        <v>221</v>
      </c>
      <c r="L306" s="6" t="str">
        <f>CONCATENATE("8 8.1 5e")</f>
        <v>8 8.1 5e</v>
      </c>
      <c r="M306" s="6" t="str">
        <f>CONCATENATE("TTOGZN45P07G873D")</f>
        <v>TTOGZN45P07G873D</v>
      </c>
      <c r="N306" s="6" t="s">
        <v>409</v>
      </c>
      <c r="O306" s="6" t="s">
        <v>395</v>
      </c>
      <c r="P306" s="7">
        <v>43173</v>
      </c>
      <c r="Q306" s="6" t="s">
        <v>30</v>
      </c>
      <c r="R306" s="6" t="s">
        <v>31</v>
      </c>
      <c r="S306" s="6" t="s">
        <v>32</v>
      </c>
      <c r="T306" s="6">
        <v>144.88</v>
      </c>
      <c r="U306" s="6">
        <v>62.47</v>
      </c>
      <c r="V306" s="6">
        <v>57.69</v>
      </c>
      <c r="W306" s="6">
        <v>0</v>
      </c>
      <c r="X306" s="6">
        <v>24.72</v>
      </c>
    </row>
    <row r="307" spans="1:24" ht="24.75" x14ac:dyDescent="0.25">
      <c r="A307" s="6" t="s">
        <v>25</v>
      </c>
      <c r="B307" s="6" t="s">
        <v>26</v>
      </c>
      <c r="C307" s="6" t="s">
        <v>48</v>
      </c>
      <c r="D307" s="6" t="s">
        <v>52</v>
      </c>
      <c r="E307" s="6" t="s">
        <v>33</v>
      </c>
      <c r="F307" s="6" t="s">
        <v>83</v>
      </c>
      <c r="G307" s="6">
        <v>2017</v>
      </c>
      <c r="H307" s="6" t="str">
        <f>CONCATENATE("74780045428")</f>
        <v>74780045428</v>
      </c>
      <c r="I307" s="6" t="s">
        <v>28</v>
      </c>
      <c r="J307" s="6" t="s">
        <v>29</v>
      </c>
      <c r="K307" s="6" t="str">
        <f>CONCATENATE("221")</f>
        <v>221</v>
      </c>
      <c r="L307" s="6" t="str">
        <f>CONCATENATE("8 8.1 5e")</f>
        <v>8 8.1 5e</v>
      </c>
      <c r="M307" s="6" t="str">
        <f>CONCATENATE("ZLLNRC45P48I324X")</f>
        <v>ZLLNRC45P48I324X</v>
      </c>
      <c r="N307" s="6" t="s">
        <v>410</v>
      </c>
      <c r="O307" s="6" t="s">
        <v>395</v>
      </c>
      <c r="P307" s="7">
        <v>43173</v>
      </c>
      <c r="Q307" s="6" t="s">
        <v>30</v>
      </c>
      <c r="R307" s="6" t="s">
        <v>31</v>
      </c>
      <c r="S307" s="6" t="s">
        <v>32</v>
      </c>
      <c r="T307" s="6">
        <v>92.36</v>
      </c>
      <c r="U307" s="6">
        <v>39.83</v>
      </c>
      <c r="V307" s="6">
        <v>36.78</v>
      </c>
      <c r="W307" s="6">
        <v>0</v>
      </c>
      <c r="X307" s="6">
        <v>15.75</v>
      </c>
    </row>
    <row r="308" spans="1:24" ht="24.75" x14ac:dyDescent="0.25">
      <c r="A308" s="6" t="s">
        <v>25</v>
      </c>
      <c r="B308" s="6" t="s">
        <v>26</v>
      </c>
      <c r="C308" s="6" t="s">
        <v>48</v>
      </c>
      <c r="D308" s="6" t="s">
        <v>52</v>
      </c>
      <c r="E308" s="6" t="s">
        <v>34</v>
      </c>
      <c r="F308" s="6" t="s">
        <v>68</v>
      </c>
      <c r="G308" s="6">
        <v>2017</v>
      </c>
      <c r="H308" s="6" t="str">
        <f>CONCATENATE("74780058405")</f>
        <v>74780058405</v>
      </c>
      <c r="I308" s="6" t="s">
        <v>28</v>
      </c>
      <c r="J308" s="6" t="s">
        <v>29</v>
      </c>
      <c r="K308" s="6" t="str">
        <f>CONCATENATE("221")</f>
        <v>221</v>
      </c>
      <c r="L308" s="6" t="str">
        <f>CONCATENATE("8 8.1 5e")</f>
        <v>8 8.1 5e</v>
      </c>
      <c r="M308" s="6" t="str">
        <f>CONCATENATE("MRCLGU60A26F697J")</f>
        <v>MRCLGU60A26F697J</v>
      </c>
      <c r="N308" s="6" t="s">
        <v>411</v>
      </c>
      <c r="O308" s="6" t="s">
        <v>395</v>
      </c>
      <c r="P308" s="7">
        <v>43173</v>
      </c>
      <c r="Q308" s="6" t="s">
        <v>30</v>
      </c>
      <c r="R308" s="6" t="s">
        <v>31</v>
      </c>
      <c r="S308" s="6" t="s">
        <v>32</v>
      </c>
      <c r="T308" s="6">
        <v>159.37</v>
      </c>
      <c r="U308" s="6">
        <v>68.72</v>
      </c>
      <c r="V308" s="6">
        <v>63.46</v>
      </c>
      <c r="W308" s="6">
        <v>0</v>
      </c>
      <c r="X308" s="6">
        <v>27.19</v>
      </c>
    </row>
    <row r="309" spans="1:24" ht="24.75" x14ac:dyDescent="0.25">
      <c r="A309" s="6" t="s">
        <v>25</v>
      </c>
      <c r="B309" s="6" t="s">
        <v>26</v>
      </c>
      <c r="C309" s="6" t="s">
        <v>48</v>
      </c>
      <c r="D309" s="6" t="s">
        <v>52</v>
      </c>
      <c r="E309" s="6" t="s">
        <v>38</v>
      </c>
      <c r="F309" s="6" t="s">
        <v>56</v>
      </c>
      <c r="G309" s="6">
        <v>2017</v>
      </c>
      <c r="H309" s="6" t="str">
        <f>CONCATENATE("74780001967")</f>
        <v>74780001967</v>
      </c>
      <c r="I309" s="6" t="s">
        <v>28</v>
      </c>
      <c r="J309" s="6" t="s">
        <v>29</v>
      </c>
      <c r="K309" s="6" t="str">
        <f>CONCATENATE("221")</f>
        <v>221</v>
      </c>
      <c r="L309" s="6" t="str">
        <f>CONCATENATE("8 8.1 5e")</f>
        <v>8 8.1 5e</v>
      </c>
      <c r="M309" s="6" t="str">
        <f>CONCATENATE("MRNNZR53L28H321J")</f>
        <v>MRNNZR53L28H321J</v>
      </c>
      <c r="N309" s="6" t="s">
        <v>412</v>
      </c>
      <c r="O309" s="6" t="s">
        <v>395</v>
      </c>
      <c r="P309" s="7">
        <v>43173</v>
      </c>
      <c r="Q309" s="6" t="s">
        <v>30</v>
      </c>
      <c r="R309" s="6" t="s">
        <v>31</v>
      </c>
      <c r="S309" s="6" t="s">
        <v>32</v>
      </c>
      <c r="T309" s="6">
        <v>443.57</v>
      </c>
      <c r="U309" s="6">
        <v>191.27</v>
      </c>
      <c r="V309" s="6">
        <v>176.63</v>
      </c>
      <c r="W309" s="6">
        <v>0</v>
      </c>
      <c r="X309" s="6">
        <v>75.67</v>
      </c>
    </row>
    <row r="310" spans="1:24" ht="24.75" x14ac:dyDescent="0.25">
      <c r="A310" s="6" t="s">
        <v>25</v>
      </c>
      <c r="B310" s="6" t="s">
        <v>26</v>
      </c>
      <c r="C310" s="6" t="s">
        <v>48</v>
      </c>
      <c r="D310" s="6" t="s">
        <v>52</v>
      </c>
      <c r="E310" s="6" t="s">
        <v>34</v>
      </c>
      <c r="F310" s="6" t="s">
        <v>68</v>
      </c>
      <c r="G310" s="6">
        <v>2017</v>
      </c>
      <c r="H310" s="6" t="str">
        <f>CONCATENATE("74780060260")</f>
        <v>74780060260</v>
      </c>
      <c r="I310" s="6" t="s">
        <v>28</v>
      </c>
      <c r="J310" s="6" t="s">
        <v>29</v>
      </c>
      <c r="K310" s="6" t="str">
        <f>CONCATENATE("221")</f>
        <v>221</v>
      </c>
      <c r="L310" s="6" t="str">
        <f>CONCATENATE("8 8.1 5e")</f>
        <v>8 8.1 5e</v>
      </c>
      <c r="M310" s="6" t="str">
        <f>CONCATENATE("MGNRSL38S55F493D")</f>
        <v>MGNRSL38S55F493D</v>
      </c>
      <c r="N310" s="6" t="s">
        <v>413</v>
      </c>
      <c r="O310" s="6" t="s">
        <v>395</v>
      </c>
      <c r="P310" s="7">
        <v>43173</v>
      </c>
      <c r="Q310" s="6" t="s">
        <v>30</v>
      </c>
      <c r="R310" s="6" t="s">
        <v>31</v>
      </c>
      <c r="S310" s="6" t="s">
        <v>32</v>
      </c>
      <c r="T310" s="8">
        <v>1262.22</v>
      </c>
      <c r="U310" s="6">
        <v>544.27</v>
      </c>
      <c r="V310" s="6">
        <v>502.62</v>
      </c>
      <c r="W310" s="6">
        <v>0</v>
      </c>
      <c r="X310" s="6">
        <v>215.33</v>
      </c>
    </row>
    <row r="311" spans="1:24" ht="24.75" x14ac:dyDescent="0.25">
      <c r="A311" s="6" t="s">
        <v>25</v>
      </c>
      <c r="B311" s="6" t="s">
        <v>26</v>
      </c>
      <c r="C311" s="6" t="s">
        <v>48</v>
      </c>
      <c r="D311" s="6" t="s">
        <v>52</v>
      </c>
      <c r="E311" s="6" t="s">
        <v>34</v>
      </c>
      <c r="F311" s="6" t="s">
        <v>68</v>
      </c>
      <c r="G311" s="6">
        <v>2017</v>
      </c>
      <c r="H311" s="6" t="str">
        <f>CONCATENATE("74780060419")</f>
        <v>74780060419</v>
      </c>
      <c r="I311" s="6" t="s">
        <v>28</v>
      </c>
      <c r="J311" s="6" t="s">
        <v>29</v>
      </c>
      <c r="K311" s="6" t="str">
        <f>CONCATENATE("221")</f>
        <v>221</v>
      </c>
      <c r="L311" s="6" t="str">
        <f>CONCATENATE("8 8.1 5e")</f>
        <v>8 8.1 5e</v>
      </c>
      <c r="M311" s="6" t="str">
        <f>CONCATENATE("MGNRSL38S55F493D")</f>
        <v>MGNRSL38S55F493D</v>
      </c>
      <c r="N311" s="6" t="s">
        <v>413</v>
      </c>
      <c r="O311" s="6" t="s">
        <v>395</v>
      </c>
      <c r="P311" s="7">
        <v>43173</v>
      </c>
      <c r="Q311" s="6" t="s">
        <v>30</v>
      </c>
      <c r="R311" s="6" t="s">
        <v>31</v>
      </c>
      <c r="S311" s="6" t="s">
        <v>32</v>
      </c>
      <c r="T311" s="8">
        <v>1243.92</v>
      </c>
      <c r="U311" s="6">
        <v>536.38</v>
      </c>
      <c r="V311" s="6">
        <v>495.33</v>
      </c>
      <c r="W311" s="6">
        <v>0</v>
      </c>
      <c r="X311" s="6">
        <v>212.21</v>
      </c>
    </row>
    <row r="312" spans="1:24" x14ac:dyDescent="0.25">
      <c r="A312" s="6" t="s">
        <v>25</v>
      </c>
      <c r="B312" s="6" t="s">
        <v>26</v>
      </c>
      <c r="C312" s="6" t="s">
        <v>48</v>
      </c>
      <c r="D312" s="6" t="s">
        <v>159</v>
      </c>
      <c r="E312" s="6" t="s">
        <v>33</v>
      </c>
      <c r="F312" s="6" t="s">
        <v>183</v>
      </c>
      <c r="G312" s="6">
        <v>2017</v>
      </c>
      <c r="H312" s="6" t="str">
        <f>CONCATENATE("74780057696")</f>
        <v>74780057696</v>
      </c>
      <c r="I312" s="6" t="s">
        <v>28</v>
      </c>
      <c r="J312" s="6" t="s">
        <v>29</v>
      </c>
      <c r="K312" s="6" t="str">
        <f>CONCATENATE("221")</f>
        <v>221</v>
      </c>
      <c r="L312" s="6" t="str">
        <f>CONCATENATE("8 8.1 5e")</f>
        <v>8 8.1 5e</v>
      </c>
      <c r="M312" s="6" t="str">
        <f>CONCATENATE("ZMPFNC33A16A334H")</f>
        <v>ZMPFNC33A16A334H</v>
      </c>
      <c r="N312" s="6" t="s">
        <v>414</v>
      </c>
      <c r="O312" s="6" t="s">
        <v>395</v>
      </c>
      <c r="P312" s="7">
        <v>43173</v>
      </c>
      <c r="Q312" s="6" t="s">
        <v>30</v>
      </c>
      <c r="R312" s="6" t="s">
        <v>31</v>
      </c>
      <c r="S312" s="6" t="s">
        <v>32</v>
      </c>
      <c r="T312" s="6">
        <v>418.11</v>
      </c>
      <c r="U312" s="6">
        <v>180.29</v>
      </c>
      <c r="V312" s="6">
        <v>166.49</v>
      </c>
      <c r="W312" s="6">
        <v>0</v>
      </c>
      <c r="X312" s="6">
        <v>71.33</v>
      </c>
    </row>
    <row r="313" spans="1:24" ht="24.75" x14ac:dyDescent="0.25">
      <c r="A313" s="6" t="s">
        <v>25</v>
      </c>
      <c r="B313" s="6" t="s">
        <v>26</v>
      </c>
      <c r="C313" s="6" t="s">
        <v>48</v>
      </c>
      <c r="D313" s="6" t="s">
        <v>52</v>
      </c>
      <c r="E313" s="6" t="s">
        <v>34</v>
      </c>
      <c r="F313" s="6" t="s">
        <v>233</v>
      </c>
      <c r="G313" s="6">
        <v>2017</v>
      </c>
      <c r="H313" s="6" t="str">
        <f>CONCATENATE("74780056920")</f>
        <v>74780056920</v>
      </c>
      <c r="I313" s="6" t="s">
        <v>28</v>
      </c>
      <c r="J313" s="6" t="s">
        <v>29</v>
      </c>
      <c r="K313" s="6" t="str">
        <f>CONCATENATE("221")</f>
        <v>221</v>
      </c>
      <c r="L313" s="6" t="str">
        <f>CONCATENATE("8 8.1 5e")</f>
        <v>8 8.1 5e</v>
      </c>
      <c r="M313" s="6" t="str">
        <f>CONCATENATE("MLNPTR36D04F493Y")</f>
        <v>MLNPTR36D04F493Y</v>
      </c>
      <c r="N313" s="6" t="s">
        <v>415</v>
      </c>
      <c r="O313" s="6" t="s">
        <v>165</v>
      </c>
      <c r="P313" s="7">
        <v>43173</v>
      </c>
      <c r="Q313" s="6" t="s">
        <v>30</v>
      </c>
      <c r="R313" s="6" t="s">
        <v>31</v>
      </c>
      <c r="S313" s="6" t="s">
        <v>32</v>
      </c>
      <c r="T313" s="6">
        <v>118</v>
      </c>
      <c r="U313" s="6">
        <v>50.88</v>
      </c>
      <c r="V313" s="6">
        <v>46.99</v>
      </c>
      <c r="W313" s="6">
        <v>0</v>
      </c>
      <c r="X313" s="6">
        <v>20.13</v>
      </c>
    </row>
    <row r="314" spans="1:24" x14ac:dyDescent="0.25">
      <c r="A314" s="6" t="s">
        <v>25</v>
      </c>
      <c r="B314" s="6" t="s">
        <v>26</v>
      </c>
      <c r="C314" s="6" t="s">
        <v>48</v>
      </c>
      <c r="D314" s="6" t="s">
        <v>159</v>
      </c>
      <c r="E314" s="6" t="s">
        <v>34</v>
      </c>
      <c r="F314" s="6" t="s">
        <v>170</v>
      </c>
      <c r="G314" s="6">
        <v>2017</v>
      </c>
      <c r="H314" s="6" t="str">
        <f>CONCATENATE("74780072000")</f>
        <v>74780072000</v>
      </c>
      <c r="I314" s="6" t="s">
        <v>28</v>
      </c>
      <c r="J314" s="6" t="s">
        <v>29</v>
      </c>
      <c r="K314" s="6" t="str">
        <f>CONCATENATE("221")</f>
        <v>221</v>
      </c>
      <c r="L314" s="6" t="str">
        <f>CONCATENATE("8 8.1 5e")</f>
        <v>8 8.1 5e</v>
      </c>
      <c r="M314" s="6" t="str">
        <f>CONCATENATE("SRBMCD69D60Z129F")</f>
        <v>SRBMCD69D60Z129F</v>
      </c>
      <c r="N314" s="6" t="s">
        <v>416</v>
      </c>
      <c r="O314" s="6" t="s">
        <v>395</v>
      </c>
      <c r="P314" s="7">
        <v>43173</v>
      </c>
      <c r="Q314" s="6" t="s">
        <v>30</v>
      </c>
      <c r="R314" s="6" t="s">
        <v>31</v>
      </c>
      <c r="S314" s="6" t="s">
        <v>32</v>
      </c>
      <c r="T314" s="6">
        <v>90.5</v>
      </c>
      <c r="U314" s="6">
        <v>39.020000000000003</v>
      </c>
      <c r="V314" s="6">
        <v>36.04</v>
      </c>
      <c r="W314" s="6">
        <v>0</v>
      </c>
      <c r="X314" s="6">
        <v>15.44</v>
      </c>
    </row>
    <row r="315" spans="1:24" x14ac:dyDescent="0.25">
      <c r="A315" s="6" t="s">
        <v>25</v>
      </c>
      <c r="B315" s="6" t="s">
        <v>26</v>
      </c>
      <c r="C315" s="6" t="s">
        <v>48</v>
      </c>
      <c r="D315" s="6" t="s">
        <v>159</v>
      </c>
      <c r="E315" s="6" t="s">
        <v>33</v>
      </c>
      <c r="F315" s="6" t="s">
        <v>183</v>
      </c>
      <c r="G315" s="6">
        <v>2017</v>
      </c>
      <c r="H315" s="6" t="str">
        <f>CONCATENATE("74780056748")</f>
        <v>74780056748</v>
      </c>
      <c r="I315" s="6" t="s">
        <v>28</v>
      </c>
      <c r="J315" s="6" t="s">
        <v>29</v>
      </c>
      <c r="K315" s="6" t="str">
        <f>CONCATENATE("221")</f>
        <v>221</v>
      </c>
      <c r="L315" s="6" t="str">
        <f>CONCATENATE("8 8.1 5e")</f>
        <v>8 8.1 5e</v>
      </c>
      <c r="M315" s="6" t="str">
        <f>CONCATENATE("RGNMNL81H08I156F")</f>
        <v>RGNMNL81H08I156F</v>
      </c>
      <c r="N315" s="6" t="s">
        <v>417</v>
      </c>
      <c r="O315" s="6" t="s">
        <v>395</v>
      </c>
      <c r="P315" s="7">
        <v>43173</v>
      </c>
      <c r="Q315" s="6" t="s">
        <v>30</v>
      </c>
      <c r="R315" s="6" t="s">
        <v>31</v>
      </c>
      <c r="S315" s="6" t="s">
        <v>32</v>
      </c>
      <c r="T315" s="8">
        <v>2070</v>
      </c>
      <c r="U315" s="6">
        <v>892.58</v>
      </c>
      <c r="V315" s="6">
        <v>824.27</v>
      </c>
      <c r="W315" s="6">
        <v>0</v>
      </c>
      <c r="X315" s="6">
        <v>353.15</v>
      </c>
    </row>
    <row r="316" spans="1:24" x14ac:dyDescent="0.25">
      <c r="A316" s="6" t="s">
        <v>25</v>
      </c>
      <c r="B316" s="6" t="s">
        <v>26</v>
      </c>
      <c r="C316" s="6" t="s">
        <v>48</v>
      </c>
      <c r="D316" s="6" t="s">
        <v>159</v>
      </c>
      <c r="E316" s="6" t="s">
        <v>34</v>
      </c>
      <c r="F316" s="6" t="s">
        <v>160</v>
      </c>
      <c r="G316" s="6">
        <v>2017</v>
      </c>
      <c r="H316" s="6" t="str">
        <f>CONCATENATE("74780068941")</f>
        <v>74780068941</v>
      </c>
      <c r="I316" s="6" t="s">
        <v>28</v>
      </c>
      <c r="J316" s="6" t="s">
        <v>29</v>
      </c>
      <c r="K316" s="6" t="str">
        <f>CONCATENATE("221")</f>
        <v>221</v>
      </c>
      <c r="L316" s="6" t="str">
        <f>CONCATENATE("8 8.1 5e")</f>
        <v>8 8.1 5e</v>
      </c>
      <c r="M316" s="6" t="str">
        <f>CONCATENATE("RMGNLN36H42A252P")</f>
        <v>RMGNLN36H42A252P</v>
      </c>
      <c r="N316" s="6" t="s">
        <v>418</v>
      </c>
      <c r="O316" s="6" t="s">
        <v>395</v>
      </c>
      <c r="P316" s="7">
        <v>43173</v>
      </c>
      <c r="Q316" s="6" t="s">
        <v>30</v>
      </c>
      <c r="R316" s="6" t="s">
        <v>31</v>
      </c>
      <c r="S316" s="6" t="s">
        <v>32</v>
      </c>
      <c r="T316" s="6">
        <v>584.22</v>
      </c>
      <c r="U316" s="6">
        <v>251.92</v>
      </c>
      <c r="V316" s="6">
        <v>232.64</v>
      </c>
      <c r="W316" s="6">
        <v>0</v>
      </c>
      <c r="X316" s="6">
        <v>99.66</v>
      </c>
    </row>
    <row r="317" spans="1:24" x14ac:dyDescent="0.25">
      <c r="A317" s="6" t="s">
        <v>25</v>
      </c>
      <c r="B317" s="6" t="s">
        <v>26</v>
      </c>
      <c r="C317" s="6" t="s">
        <v>48</v>
      </c>
      <c r="D317" s="6" t="s">
        <v>159</v>
      </c>
      <c r="E317" s="6" t="s">
        <v>27</v>
      </c>
      <c r="F317" s="6" t="s">
        <v>181</v>
      </c>
      <c r="G317" s="6">
        <v>2017</v>
      </c>
      <c r="H317" s="6" t="str">
        <f>CONCATENATE("74780035874")</f>
        <v>74780035874</v>
      </c>
      <c r="I317" s="6" t="s">
        <v>28</v>
      </c>
      <c r="J317" s="6" t="s">
        <v>29</v>
      </c>
      <c r="K317" s="6" t="str">
        <f>CONCATENATE("221")</f>
        <v>221</v>
      </c>
      <c r="L317" s="6" t="str">
        <f>CONCATENATE("8 8.1 5e")</f>
        <v>8 8.1 5e</v>
      </c>
      <c r="M317" s="6" t="str">
        <f>CONCATENATE("PSSNDR68T07L191O")</f>
        <v>PSSNDR68T07L191O</v>
      </c>
      <c r="N317" s="6" t="s">
        <v>419</v>
      </c>
      <c r="O317" s="6" t="s">
        <v>395</v>
      </c>
      <c r="P317" s="7">
        <v>43173</v>
      </c>
      <c r="Q317" s="6" t="s">
        <v>30</v>
      </c>
      <c r="R317" s="6" t="s">
        <v>31</v>
      </c>
      <c r="S317" s="6" t="s">
        <v>32</v>
      </c>
      <c r="T317" s="8">
        <v>3705.2</v>
      </c>
      <c r="U317" s="8">
        <v>1597.68</v>
      </c>
      <c r="V317" s="8">
        <v>1475.41</v>
      </c>
      <c r="W317" s="6">
        <v>0</v>
      </c>
      <c r="X317" s="6">
        <v>632.11</v>
      </c>
    </row>
    <row r="318" spans="1:24" x14ac:dyDescent="0.25">
      <c r="A318" s="6" t="s">
        <v>25</v>
      </c>
      <c r="B318" s="6" t="s">
        <v>26</v>
      </c>
      <c r="C318" s="6" t="s">
        <v>48</v>
      </c>
      <c r="D318" s="6" t="s">
        <v>159</v>
      </c>
      <c r="E318" s="6" t="s">
        <v>34</v>
      </c>
      <c r="F318" s="6" t="s">
        <v>166</v>
      </c>
      <c r="G318" s="6">
        <v>2017</v>
      </c>
      <c r="H318" s="6" t="str">
        <f>CONCATENATE("74780064940")</f>
        <v>74780064940</v>
      </c>
      <c r="I318" s="6" t="s">
        <v>28</v>
      </c>
      <c r="J318" s="6" t="s">
        <v>29</v>
      </c>
      <c r="K318" s="6" t="str">
        <f>CONCATENATE("221")</f>
        <v>221</v>
      </c>
      <c r="L318" s="6" t="str">
        <f>CONCATENATE("8 8.1 5e")</f>
        <v>8 8.1 5e</v>
      </c>
      <c r="M318" s="6" t="str">
        <f>CONCATENATE("PLCGTN31M28C704X")</f>
        <v>PLCGTN31M28C704X</v>
      </c>
      <c r="N318" s="6" t="s">
        <v>420</v>
      </c>
      <c r="O318" s="6" t="s">
        <v>395</v>
      </c>
      <c r="P318" s="7">
        <v>43173</v>
      </c>
      <c r="Q318" s="6" t="s">
        <v>30</v>
      </c>
      <c r="R318" s="6" t="s">
        <v>31</v>
      </c>
      <c r="S318" s="6" t="s">
        <v>32</v>
      </c>
      <c r="T318" s="8">
        <v>1173.5999999999999</v>
      </c>
      <c r="U318" s="6">
        <v>506.06</v>
      </c>
      <c r="V318" s="6">
        <v>467.33</v>
      </c>
      <c r="W318" s="6">
        <v>0</v>
      </c>
      <c r="X318" s="6">
        <v>200.21</v>
      </c>
    </row>
    <row r="319" spans="1:24" ht="24.75" x14ac:dyDescent="0.25">
      <c r="A319" s="6" t="s">
        <v>25</v>
      </c>
      <c r="B319" s="6" t="s">
        <v>26</v>
      </c>
      <c r="C319" s="6" t="s">
        <v>48</v>
      </c>
      <c r="D319" s="6" t="s">
        <v>52</v>
      </c>
      <c r="E319" s="6" t="s">
        <v>27</v>
      </c>
      <c r="F319" s="6" t="s">
        <v>421</v>
      </c>
      <c r="G319" s="6">
        <v>2017</v>
      </c>
      <c r="H319" s="6" t="str">
        <f>CONCATENATE("74780041740")</f>
        <v>74780041740</v>
      </c>
      <c r="I319" s="6" t="s">
        <v>28</v>
      </c>
      <c r="J319" s="6" t="s">
        <v>29</v>
      </c>
      <c r="K319" s="6" t="str">
        <f>CONCATENATE("221")</f>
        <v>221</v>
      </c>
      <c r="L319" s="6" t="str">
        <f>CONCATENATE("8 8.1 5e")</f>
        <v>8 8.1 5e</v>
      </c>
      <c r="M319" s="6" t="str">
        <f>CONCATENATE("BSTGZN38C03D542W")</f>
        <v>BSTGZN38C03D542W</v>
      </c>
      <c r="N319" s="6" t="s">
        <v>422</v>
      </c>
      <c r="O319" s="6" t="s">
        <v>395</v>
      </c>
      <c r="P319" s="7">
        <v>43173</v>
      </c>
      <c r="Q319" s="6" t="s">
        <v>30</v>
      </c>
      <c r="R319" s="6" t="s">
        <v>31</v>
      </c>
      <c r="S319" s="6" t="s">
        <v>32</v>
      </c>
      <c r="T319" s="6">
        <v>393.3</v>
      </c>
      <c r="U319" s="6">
        <v>169.59</v>
      </c>
      <c r="V319" s="6">
        <v>156.61000000000001</v>
      </c>
      <c r="W319" s="6">
        <v>0</v>
      </c>
      <c r="X319" s="6">
        <v>67.099999999999994</v>
      </c>
    </row>
    <row r="320" spans="1:24" ht="24.75" x14ac:dyDescent="0.25">
      <c r="A320" s="6" t="s">
        <v>25</v>
      </c>
      <c r="B320" s="6" t="s">
        <v>26</v>
      </c>
      <c r="C320" s="6" t="s">
        <v>48</v>
      </c>
      <c r="D320" s="6" t="s">
        <v>52</v>
      </c>
      <c r="E320" s="6" t="s">
        <v>34</v>
      </c>
      <c r="F320" s="6" t="s">
        <v>68</v>
      </c>
      <c r="G320" s="6">
        <v>2017</v>
      </c>
      <c r="H320" s="6" t="str">
        <f>CONCATENATE("74780060724")</f>
        <v>74780060724</v>
      </c>
      <c r="I320" s="6" t="s">
        <v>28</v>
      </c>
      <c r="J320" s="6" t="s">
        <v>29</v>
      </c>
      <c r="K320" s="6" t="str">
        <f>CONCATENATE("221")</f>
        <v>221</v>
      </c>
      <c r="L320" s="6" t="str">
        <f>CONCATENATE("8 8.1 5e")</f>
        <v>8 8.1 5e</v>
      </c>
      <c r="M320" s="6" t="str">
        <f>CONCATENATE("02058790441")</f>
        <v>02058790441</v>
      </c>
      <c r="N320" s="6" t="s">
        <v>423</v>
      </c>
      <c r="O320" s="6" t="s">
        <v>395</v>
      </c>
      <c r="P320" s="7">
        <v>43173</v>
      </c>
      <c r="Q320" s="6" t="s">
        <v>30</v>
      </c>
      <c r="R320" s="6" t="s">
        <v>31</v>
      </c>
      <c r="S320" s="6" t="s">
        <v>32</v>
      </c>
      <c r="T320" s="6">
        <v>485.35</v>
      </c>
      <c r="U320" s="6">
        <v>209.28</v>
      </c>
      <c r="V320" s="6">
        <v>193.27</v>
      </c>
      <c r="W320" s="6">
        <v>0</v>
      </c>
      <c r="X320" s="6">
        <v>82.8</v>
      </c>
    </row>
    <row r="321" spans="1:24" x14ac:dyDescent="0.25">
      <c r="A321" s="6" t="s">
        <v>25</v>
      </c>
      <c r="B321" s="6" t="s">
        <v>26</v>
      </c>
      <c r="C321" s="6" t="s">
        <v>48</v>
      </c>
      <c r="D321" s="6" t="s">
        <v>159</v>
      </c>
      <c r="E321" s="6" t="s">
        <v>39</v>
      </c>
      <c r="F321" s="6" t="s">
        <v>191</v>
      </c>
      <c r="G321" s="6">
        <v>2017</v>
      </c>
      <c r="H321" s="6" t="str">
        <f>CONCATENATE("74780067695")</f>
        <v>74780067695</v>
      </c>
      <c r="I321" s="6" t="s">
        <v>28</v>
      </c>
      <c r="J321" s="6" t="s">
        <v>29</v>
      </c>
      <c r="K321" s="6" t="str">
        <f>CONCATENATE("221")</f>
        <v>221</v>
      </c>
      <c r="L321" s="6" t="str">
        <f>CONCATENATE("8 8.1 5e")</f>
        <v>8 8.1 5e</v>
      </c>
      <c r="M321" s="6" t="str">
        <f>CONCATENATE("TSTRTI42A49L366F")</f>
        <v>TSTRTI42A49L366F</v>
      </c>
      <c r="N321" s="6" t="s">
        <v>424</v>
      </c>
      <c r="O321" s="6" t="s">
        <v>395</v>
      </c>
      <c r="P321" s="7">
        <v>43173</v>
      </c>
      <c r="Q321" s="6" t="s">
        <v>30</v>
      </c>
      <c r="R321" s="6" t="s">
        <v>31</v>
      </c>
      <c r="S321" s="6" t="s">
        <v>32</v>
      </c>
      <c r="T321" s="6">
        <v>377.2</v>
      </c>
      <c r="U321" s="6">
        <v>162.65</v>
      </c>
      <c r="V321" s="6">
        <v>150.19999999999999</v>
      </c>
      <c r="W321" s="6">
        <v>0</v>
      </c>
      <c r="X321" s="6">
        <v>64.349999999999994</v>
      </c>
    </row>
    <row r="322" spans="1:24" x14ac:dyDescent="0.25">
      <c r="A322" s="6" t="s">
        <v>25</v>
      </c>
      <c r="B322" s="6" t="s">
        <v>26</v>
      </c>
      <c r="C322" s="6" t="s">
        <v>48</v>
      </c>
      <c r="D322" s="6" t="s">
        <v>159</v>
      </c>
      <c r="E322" s="6" t="s">
        <v>43</v>
      </c>
      <c r="F322" s="6" t="s">
        <v>177</v>
      </c>
      <c r="G322" s="6">
        <v>2017</v>
      </c>
      <c r="H322" s="6" t="str">
        <f>CONCATENATE("74780010620")</f>
        <v>74780010620</v>
      </c>
      <c r="I322" s="6" t="s">
        <v>28</v>
      </c>
      <c r="J322" s="6" t="s">
        <v>29</v>
      </c>
      <c r="K322" s="6" t="str">
        <f>CONCATENATE("221")</f>
        <v>221</v>
      </c>
      <c r="L322" s="6" t="str">
        <f>CONCATENATE("8 8.1 5e")</f>
        <v>8 8.1 5e</v>
      </c>
      <c r="M322" s="6" t="str">
        <f>CONCATENATE("TTTSDR44L27I251N")</f>
        <v>TTTSDR44L27I251N</v>
      </c>
      <c r="N322" s="6" t="s">
        <v>425</v>
      </c>
      <c r="O322" s="6" t="s">
        <v>395</v>
      </c>
      <c r="P322" s="7">
        <v>43173</v>
      </c>
      <c r="Q322" s="6" t="s">
        <v>30</v>
      </c>
      <c r="R322" s="6" t="s">
        <v>31</v>
      </c>
      <c r="S322" s="6" t="s">
        <v>32</v>
      </c>
      <c r="T322" s="6">
        <v>237.11</v>
      </c>
      <c r="U322" s="6">
        <v>102.24</v>
      </c>
      <c r="V322" s="6">
        <v>94.42</v>
      </c>
      <c r="W322" s="6">
        <v>0</v>
      </c>
      <c r="X322" s="6">
        <v>40.450000000000003</v>
      </c>
    </row>
    <row r="323" spans="1:24" ht="24.75" x14ac:dyDescent="0.25">
      <c r="A323" s="6" t="s">
        <v>25</v>
      </c>
      <c r="B323" s="6" t="s">
        <v>26</v>
      </c>
      <c r="C323" s="6" t="s">
        <v>48</v>
      </c>
      <c r="D323" s="6" t="s">
        <v>52</v>
      </c>
      <c r="E323" s="6" t="s">
        <v>34</v>
      </c>
      <c r="F323" s="6" t="s">
        <v>68</v>
      </c>
      <c r="G323" s="6">
        <v>2017</v>
      </c>
      <c r="H323" s="6" t="str">
        <f>CONCATENATE("74780073800")</f>
        <v>74780073800</v>
      </c>
      <c r="I323" s="6" t="s">
        <v>28</v>
      </c>
      <c r="J323" s="6" t="s">
        <v>29</v>
      </c>
      <c r="K323" s="6" t="str">
        <f>CONCATENATE("221")</f>
        <v>221</v>
      </c>
      <c r="L323" s="6" t="str">
        <f>CONCATENATE("8 8.1 5e")</f>
        <v>8 8.1 5e</v>
      </c>
      <c r="M323" s="6" t="str">
        <f>CONCATENATE("MZUGDU48H25F379Z")</f>
        <v>MZUGDU48H25F379Z</v>
      </c>
      <c r="N323" s="6" t="s">
        <v>426</v>
      </c>
      <c r="O323" s="6" t="s">
        <v>395</v>
      </c>
      <c r="P323" s="7">
        <v>43173</v>
      </c>
      <c r="Q323" s="6" t="s">
        <v>30</v>
      </c>
      <c r="R323" s="6" t="s">
        <v>31</v>
      </c>
      <c r="S323" s="6" t="s">
        <v>32</v>
      </c>
      <c r="T323" s="6">
        <v>725.62</v>
      </c>
      <c r="U323" s="6">
        <v>312.89</v>
      </c>
      <c r="V323" s="6">
        <v>288.94</v>
      </c>
      <c r="W323" s="6">
        <v>0</v>
      </c>
      <c r="X323" s="6">
        <v>123.79</v>
      </c>
    </row>
    <row r="324" spans="1:24" x14ac:dyDescent="0.25">
      <c r="A324" s="6" t="s">
        <v>25</v>
      </c>
      <c r="B324" s="6" t="s">
        <v>26</v>
      </c>
      <c r="C324" s="6" t="s">
        <v>48</v>
      </c>
      <c r="D324" s="6" t="s">
        <v>159</v>
      </c>
      <c r="E324" s="6" t="s">
        <v>34</v>
      </c>
      <c r="F324" s="6" t="s">
        <v>179</v>
      </c>
      <c r="G324" s="6">
        <v>2017</v>
      </c>
      <c r="H324" s="6" t="str">
        <f>CONCATENATE("74780061110")</f>
        <v>74780061110</v>
      </c>
      <c r="I324" s="6" t="s">
        <v>28</v>
      </c>
      <c r="J324" s="6" t="s">
        <v>29</v>
      </c>
      <c r="K324" s="6" t="str">
        <f>CONCATENATE("221")</f>
        <v>221</v>
      </c>
      <c r="L324" s="6" t="str">
        <f>CONCATENATE("8 8.1 5e")</f>
        <v>8 8.1 5e</v>
      </c>
      <c r="M324" s="6" t="str">
        <f>CONCATENATE("TRRNRC53R15C770X")</f>
        <v>TRRNRC53R15C770X</v>
      </c>
      <c r="N324" s="6" t="s">
        <v>427</v>
      </c>
      <c r="O324" s="6" t="s">
        <v>395</v>
      </c>
      <c r="P324" s="7">
        <v>43173</v>
      </c>
      <c r="Q324" s="6" t="s">
        <v>30</v>
      </c>
      <c r="R324" s="6" t="s">
        <v>31</v>
      </c>
      <c r="S324" s="6" t="s">
        <v>32</v>
      </c>
      <c r="T324" s="6">
        <v>362</v>
      </c>
      <c r="U324" s="6">
        <v>156.09</v>
      </c>
      <c r="V324" s="6">
        <v>144.15</v>
      </c>
      <c r="W324" s="6">
        <v>0</v>
      </c>
      <c r="X324" s="6">
        <v>61.76</v>
      </c>
    </row>
    <row r="325" spans="1:24" x14ac:dyDescent="0.25">
      <c r="A325" s="6" t="s">
        <v>25</v>
      </c>
      <c r="B325" s="6" t="s">
        <v>26</v>
      </c>
      <c r="C325" s="6" t="s">
        <v>48</v>
      </c>
      <c r="D325" s="6" t="s">
        <v>159</v>
      </c>
      <c r="E325" s="6" t="s">
        <v>34</v>
      </c>
      <c r="F325" s="6" t="s">
        <v>160</v>
      </c>
      <c r="G325" s="6">
        <v>2017</v>
      </c>
      <c r="H325" s="6" t="str">
        <f>CONCATENATE("74780069204")</f>
        <v>74780069204</v>
      </c>
      <c r="I325" s="6" t="s">
        <v>28</v>
      </c>
      <c r="J325" s="6" t="s">
        <v>29</v>
      </c>
      <c r="K325" s="6" t="str">
        <f>CONCATENATE("221")</f>
        <v>221</v>
      </c>
      <c r="L325" s="6" t="str">
        <f>CONCATENATE("8 8.1 5e")</f>
        <v>8 8.1 5e</v>
      </c>
      <c r="M325" s="6" t="str">
        <f>CONCATENATE("TRNNNL61E57D542L")</f>
        <v>TRNNNL61E57D542L</v>
      </c>
      <c r="N325" s="6" t="s">
        <v>428</v>
      </c>
      <c r="O325" s="6" t="s">
        <v>395</v>
      </c>
      <c r="P325" s="7">
        <v>43173</v>
      </c>
      <c r="Q325" s="6" t="s">
        <v>30</v>
      </c>
      <c r="R325" s="6" t="s">
        <v>31</v>
      </c>
      <c r="S325" s="6" t="s">
        <v>32</v>
      </c>
      <c r="T325" s="6">
        <v>533.95000000000005</v>
      </c>
      <c r="U325" s="6">
        <v>230.24</v>
      </c>
      <c r="V325" s="6">
        <v>212.62</v>
      </c>
      <c r="W325" s="6">
        <v>0</v>
      </c>
      <c r="X325" s="6">
        <v>91.09</v>
      </c>
    </row>
    <row r="326" spans="1:24" x14ac:dyDescent="0.25">
      <c r="A326" s="6" t="s">
        <v>25</v>
      </c>
      <c r="B326" s="6" t="s">
        <v>26</v>
      </c>
      <c r="C326" s="6" t="s">
        <v>48</v>
      </c>
      <c r="D326" s="6" t="s">
        <v>159</v>
      </c>
      <c r="E326" s="6" t="s">
        <v>34</v>
      </c>
      <c r="F326" s="6" t="s">
        <v>198</v>
      </c>
      <c r="G326" s="6">
        <v>2017</v>
      </c>
      <c r="H326" s="6" t="str">
        <f>CONCATENATE("74780058942")</f>
        <v>74780058942</v>
      </c>
      <c r="I326" s="6" t="s">
        <v>28</v>
      </c>
      <c r="J326" s="6" t="s">
        <v>29</v>
      </c>
      <c r="K326" s="6" t="str">
        <f>CONCATENATE("221")</f>
        <v>221</v>
      </c>
      <c r="L326" s="6" t="str">
        <f>CONCATENATE("8 8.1 5e")</f>
        <v>8 8.1 5e</v>
      </c>
      <c r="M326" s="6" t="str">
        <f>CONCATENATE("08638460587")</f>
        <v>08638460587</v>
      </c>
      <c r="N326" s="6" t="s">
        <v>429</v>
      </c>
      <c r="O326" s="6" t="s">
        <v>395</v>
      </c>
      <c r="P326" s="7">
        <v>43173</v>
      </c>
      <c r="Q326" s="6" t="s">
        <v>30</v>
      </c>
      <c r="R326" s="6" t="s">
        <v>31</v>
      </c>
      <c r="S326" s="6" t="s">
        <v>32</v>
      </c>
      <c r="T326" s="6">
        <v>222.63</v>
      </c>
      <c r="U326" s="6">
        <v>96</v>
      </c>
      <c r="V326" s="6">
        <v>88.65</v>
      </c>
      <c r="W326" s="6">
        <v>0</v>
      </c>
      <c r="X326" s="6">
        <v>37.979999999999997</v>
      </c>
    </row>
    <row r="327" spans="1:24" x14ac:dyDescent="0.25">
      <c r="A327" s="6" t="s">
        <v>25</v>
      </c>
      <c r="B327" s="6" t="s">
        <v>26</v>
      </c>
      <c r="C327" s="6" t="s">
        <v>48</v>
      </c>
      <c r="D327" s="6" t="s">
        <v>159</v>
      </c>
      <c r="E327" s="6" t="s">
        <v>27</v>
      </c>
      <c r="F327" s="6" t="s">
        <v>181</v>
      </c>
      <c r="G327" s="6">
        <v>2017</v>
      </c>
      <c r="H327" s="6" t="str">
        <f>CONCATENATE("74780056383")</f>
        <v>74780056383</v>
      </c>
      <c r="I327" s="6" t="s">
        <v>28</v>
      </c>
      <c r="J327" s="6" t="s">
        <v>29</v>
      </c>
      <c r="K327" s="6" t="str">
        <f>CONCATENATE("221")</f>
        <v>221</v>
      </c>
      <c r="L327" s="6" t="str">
        <f>CONCATENATE("8 8.1 5e")</f>
        <v>8 8.1 5e</v>
      </c>
      <c r="M327" s="6" t="str">
        <f>CONCATENATE("VLNCLL52D12F454K")</f>
        <v>VLNCLL52D12F454K</v>
      </c>
      <c r="N327" s="6" t="s">
        <v>430</v>
      </c>
      <c r="O327" s="6" t="s">
        <v>395</v>
      </c>
      <c r="P327" s="7">
        <v>43173</v>
      </c>
      <c r="Q327" s="6" t="s">
        <v>30</v>
      </c>
      <c r="R327" s="6" t="s">
        <v>31</v>
      </c>
      <c r="S327" s="6" t="s">
        <v>32</v>
      </c>
      <c r="T327" s="6">
        <v>247.97</v>
      </c>
      <c r="U327" s="6">
        <v>106.92</v>
      </c>
      <c r="V327" s="6">
        <v>98.74</v>
      </c>
      <c r="W327" s="6">
        <v>0</v>
      </c>
      <c r="X327" s="6">
        <v>42.31</v>
      </c>
    </row>
    <row r="328" spans="1:24" x14ac:dyDescent="0.25">
      <c r="A328" s="6" t="s">
        <v>25</v>
      </c>
      <c r="B328" s="6" t="s">
        <v>26</v>
      </c>
      <c r="C328" s="6" t="s">
        <v>48</v>
      </c>
      <c r="D328" s="6" t="s">
        <v>159</v>
      </c>
      <c r="E328" s="6" t="s">
        <v>34</v>
      </c>
      <c r="F328" s="6" t="s">
        <v>198</v>
      </c>
      <c r="G328" s="6">
        <v>2017</v>
      </c>
      <c r="H328" s="6" t="str">
        <f>CONCATENATE("74780059023")</f>
        <v>74780059023</v>
      </c>
      <c r="I328" s="6" t="s">
        <v>28</v>
      </c>
      <c r="J328" s="6" t="s">
        <v>29</v>
      </c>
      <c r="K328" s="6" t="str">
        <f>CONCATENATE("221")</f>
        <v>221</v>
      </c>
      <c r="L328" s="6" t="str">
        <f>CONCATENATE("8 8.1 5e")</f>
        <v>8 8.1 5e</v>
      </c>
      <c r="M328" s="6" t="str">
        <f>CONCATENATE("VSSFST73L16L366Z")</f>
        <v>VSSFST73L16L366Z</v>
      </c>
      <c r="N328" s="6" t="s">
        <v>431</v>
      </c>
      <c r="O328" s="6" t="s">
        <v>395</v>
      </c>
      <c r="P328" s="7">
        <v>43173</v>
      </c>
      <c r="Q328" s="6" t="s">
        <v>30</v>
      </c>
      <c r="R328" s="6" t="s">
        <v>31</v>
      </c>
      <c r="S328" s="6" t="s">
        <v>32</v>
      </c>
      <c r="T328" s="6">
        <v>696.9</v>
      </c>
      <c r="U328" s="6">
        <v>300.5</v>
      </c>
      <c r="V328" s="6">
        <v>277.51</v>
      </c>
      <c r="W328" s="6">
        <v>0</v>
      </c>
      <c r="X328" s="6">
        <v>118.89</v>
      </c>
    </row>
    <row r="329" spans="1:24" x14ac:dyDescent="0.25">
      <c r="A329" s="6" t="s">
        <v>25</v>
      </c>
      <c r="B329" s="6" t="s">
        <v>26</v>
      </c>
      <c r="C329" s="6" t="s">
        <v>48</v>
      </c>
      <c r="D329" s="6" t="s">
        <v>159</v>
      </c>
      <c r="E329" s="6" t="s">
        <v>34</v>
      </c>
      <c r="F329" s="6" t="s">
        <v>170</v>
      </c>
      <c r="G329" s="6">
        <v>2017</v>
      </c>
      <c r="H329" s="6" t="str">
        <f>CONCATENATE("74780071853")</f>
        <v>74780071853</v>
      </c>
      <c r="I329" s="6" t="s">
        <v>28</v>
      </c>
      <c r="J329" s="6" t="s">
        <v>29</v>
      </c>
      <c r="K329" s="6" t="str">
        <f>CONCATENATE("221")</f>
        <v>221</v>
      </c>
      <c r="L329" s="6" t="str">
        <f>CONCATENATE("8 8.1 5e")</f>
        <v>8 8.1 5e</v>
      </c>
      <c r="M329" s="6" t="str">
        <f>CONCATENATE("VTIGRL49E08E783Z")</f>
        <v>VTIGRL49E08E783Z</v>
      </c>
      <c r="N329" s="6" t="s">
        <v>432</v>
      </c>
      <c r="O329" s="6" t="s">
        <v>395</v>
      </c>
      <c r="P329" s="7">
        <v>43173</v>
      </c>
      <c r="Q329" s="6" t="s">
        <v>30</v>
      </c>
      <c r="R329" s="6" t="s">
        <v>31</v>
      </c>
      <c r="S329" s="6" t="s">
        <v>32</v>
      </c>
      <c r="T329" s="6">
        <v>380.1</v>
      </c>
      <c r="U329" s="6">
        <v>163.9</v>
      </c>
      <c r="V329" s="6">
        <v>151.36000000000001</v>
      </c>
      <c r="W329" s="6">
        <v>0</v>
      </c>
      <c r="X329" s="6">
        <v>64.84</v>
      </c>
    </row>
    <row r="330" spans="1:24" ht="24.75" x14ac:dyDescent="0.25">
      <c r="A330" s="6" t="s">
        <v>25</v>
      </c>
      <c r="B330" s="6" t="s">
        <v>26</v>
      </c>
      <c r="C330" s="6" t="s">
        <v>48</v>
      </c>
      <c r="D330" s="6" t="s">
        <v>52</v>
      </c>
      <c r="E330" s="6" t="s">
        <v>34</v>
      </c>
      <c r="F330" s="6" t="s">
        <v>233</v>
      </c>
      <c r="G330" s="6">
        <v>2017</v>
      </c>
      <c r="H330" s="6" t="str">
        <f>CONCATENATE("74780056888")</f>
        <v>74780056888</v>
      </c>
      <c r="I330" s="6" t="s">
        <v>28</v>
      </c>
      <c r="J330" s="6" t="s">
        <v>29</v>
      </c>
      <c r="K330" s="6" t="str">
        <f>CONCATENATE("221")</f>
        <v>221</v>
      </c>
      <c r="L330" s="6" t="str">
        <f>CONCATENATE("8 8.1 5e")</f>
        <v>8 8.1 5e</v>
      </c>
      <c r="M330" s="6" t="str">
        <f>CONCATENATE("GRSMLS37L43A252S")</f>
        <v>GRSMLS37L43A252S</v>
      </c>
      <c r="N330" s="6" t="s">
        <v>433</v>
      </c>
      <c r="O330" s="6" t="s">
        <v>395</v>
      </c>
      <c r="P330" s="7">
        <v>43173</v>
      </c>
      <c r="Q330" s="6" t="s">
        <v>30</v>
      </c>
      <c r="R330" s="6" t="s">
        <v>31</v>
      </c>
      <c r="S330" s="6" t="s">
        <v>32</v>
      </c>
      <c r="T330" s="6">
        <v>307.08</v>
      </c>
      <c r="U330" s="6">
        <v>132.41</v>
      </c>
      <c r="V330" s="6">
        <v>122.28</v>
      </c>
      <c r="W330" s="6">
        <v>0</v>
      </c>
      <c r="X330" s="6">
        <v>52.39</v>
      </c>
    </row>
    <row r="331" spans="1:24" ht="24.75" x14ac:dyDescent="0.25">
      <c r="A331" s="6" t="s">
        <v>25</v>
      </c>
      <c r="B331" s="6" t="s">
        <v>26</v>
      </c>
      <c r="C331" s="6" t="s">
        <v>48</v>
      </c>
      <c r="D331" s="6" t="s">
        <v>52</v>
      </c>
      <c r="E331" s="6" t="s">
        <v>34</v>
      </c>
      <c r="F331" s="6" t="s">
        <v>233</v>
      </c>
      <c r="G331" s="6">
        <v>2017</v>
      </c>
      <c r="H331" s="6" t="str">
        <f>CONCATENATE("74780061029")</f>
        <v>74780061029</v>
      </c>
      <c r="I331" s="6" t="s">
        <v>28</v>
      </c>
      <c r="J331" s="6" t="s">
        <v>29</v>
      </c>
      <c r="K331" s="6" t="str">
        <f>CONCATENATE("221")</f>
        <v>221</v>
      </c>
      <c r="L331" s="6" t="str">
        <f>CONCATENATE("8 8.1 5e")</f>
        <v>8 8.1 5e</v>
      </c>
      <c r="M331" s="6" t="str">
        <f>CONCATENATE("MGNGNI42M55F493Z")</f>
        <v>MGNGNI42M55F493Z</v>
      </c>
      <c r="N331" s="6" t="s">
        <v>434</v>
      </c>
      <c r="O331" s="6" t="s">
        <v>395</v>
      </c>
      <c r="P331" s="7">
        <v>43173</v>
      </c>
      <c r="Q331" s="6" t="s">
        <v>30</v>
      </c>
      <c r="R331" s="6" t="s">
        <v>31</v>
      </c>
      <c r="S331" s="6" t="s">
        <v>32</v>
      </c>
      <c r="T331" s="6">
        <v>278.89</v>
      </c>
      <c r="U331" s="6">
        <v>120.26</v>
      </c>
      <c r="V331" s="6">
        <v>111.05</v>
      </c>
      <c r="W331" s="6">
        <v>0</v>
      </c>
      <c r="X331" s="6">
        <v>47.58</v>
      </c>
    </row>
    <row r="332" spans="1:24" ht="24.75" x14ac:dyDescent="0.25">
      <c r="A332" s="6" t="s">
        <v>25</v>
      </c>
      <c r="B332" s="6" t="s">
        <v>26</v>
      </c>
      <c r="C332" s="6" t="s">
        <v>48</v>
      </c>
      <c r="D332" s="6" t="s">
        <v>52</v>
      </c>
      <c r="E332" s="6" t="s">
        <v>34</v>
      </c>
      <c r="F332" s="6" t="s">
        <v>294</v>
      </c>
      <c r="G332" s="6">
        <v>2017</v>
      </c>
      <c r="H332" s="6" t="str">
        <f>CONCATENATE("74780060856")</f>
        <v>74780060856</v>
      </c>
      <c r="I332" s="6" t="s">
        <v>28</v>
      </c>
      <c r="J332" s="6" t="s">
        <v>29</v>
      </c>
      <c r="K332" s="6" t="str">
        <f>CONCATENATE("221")</f>
        <v>221</v>
      </c>
      <c r="L332" s="6" t="str">
        <f>CONCATENATE("8 8.1 5e")</f>
        <v>8 8.1 5e</v>
      </c>
      <c r="M332" s="6" t="str">
        <f>CONCATENATE("MRNNNA49A71D542J")</f>
        <v>MRNNNA49A71D542J</v>
      </c>
      <c r="N332" s="6" t="s">
        <v>435</v>
      </c>
      <c r="O332" s="6" t="s">
        <v>395</v>
      </c>
      <c r="P332" s="7">
        <v>43173</v>
      </c>
      <c r="Q332" s="6" t="s">
        <v>30</v>
      </c>
      <c r="R332" s="6" t="s">
        <v>31</v>
      </c>
      <c r="S332" s="6" t="s">
        <v>32</v>
      </c>
      <c r="T332" s="8">
        <v>2428.8000000000002</v>
      </c>
      <c r="U332" s="8">
        <v>1047.3</v>
      </c>
      <c r="V332" s="6">
        <v>967.15</v>
      </c>
      <c r="W332" s="6">
        <v>0</v>
      </c>
      <c r="X332" s="6">
        <v>414.35</v>
      </c>
    </row>
    <row r="333" spans="1:24" ht="24.75" x14ac:dyDescent="0.25">
      <c r="A333" s="6" t="s">
        <v>25</v>
      </c>
      <c r="B333" s="6" t="s">
        <v>26</v>
      </c>
      <c r="C333" s="6" t="s">
        <v>48</v>
      </c>
      <c r="D333" s="6" t="s">
        <v>52</v>
      </c>
      <c r="E333" s="6" t="s">
        <v>34</v>
      </c>
      <c r="F333" s="6" t="s">
        <v>294</v>
      </c>
      <c r="G333" s="6">
        <v>2017</v>
      </c>
      <c r="H333" s="6" t="str">
        <f>CONCATENATE("74780058272")</f>
        <v>74780058272</v>
      </c>
      <c r="I333" s="6" t="s">
        <v>28</v>
      </c>
      <c r="J333" s="6" t="s">
        <v>29</v>
      </c>
      <c r="K333" s="6" t="str">
        <f>CONCATENATE("221")</f>
        <v>221</v>
      </c>
      <c r="L333" s="6" t="str">
        <f>CONCATENATE("8 8.1 5e")</f>
        <v>8 8.1 5e</v>
      </c>
      <c r="M333" s="6" t="str">
        <f>CONCATENATE("MRZLRT50C28I324F")</f>
        <v>MRZLRT50C28I324F</v>
      </c>
      <c r="N333" s="6" t="s">
        <v>436</v>
      </c>
      <c r="O333" s="6" t="s">
        <v>395</v>
      </c>
      <c r="P333" s="7">
        <v>43173</v>
      </c>
      <c r="Q333" s="6" t="s">
        <v>30</v>
      </c>
      <c r="R333" s="6" t="s">
        <v>31</v>
      </c>
      <c r="S333" s="6" t="s">
        <v>32</v>
      </c>
      <c r="T333" s="6">
        <v>114.09</v>
      </c>
      <c r="U333" s="6">
        <v>49.2</v>
      </c>
      <c r="V333" s="6">
        <v>45.43</v>
      </c>
      <c r="W333" s="6">
        <v>0</v>
      </c>
      <c r="X333" s="6">
        <v>19.46</v>
      </c>
    </row>
    <row r="334" spans="1:24" ht="24.75" x14ac:dyDescent="0.25">
      <c r="A334" s="6" t="s">
        <v>25</v>
      </c>
      <c r="B334" s="6" t="s">
        <v>26</v>
      </c>
      <c r="C334" s="6" t="s">
        <v>48</v>
      </c>
      <c r="D334" s="6" t="s">
        <v>52</v>
      </c>
      <c r="E334" s="6" t="s">
        <v>34</v>
      </c>
      <c r="F334" s="6" t="s">
        <v>294</v>
      </c>
      <c r="G334" s="6">
        <v>2017</v>
      </c>
      <c r="H334" s="6" t="str">
        <f>CONCATENATE("74780057795")</f>
        <v>74780057795</v>
      </c>
      <c r="I334" s="6" t="s">
        <v>28</v>
      </c>
      <c r="J334" s="6" t="s">
        <v>29</v>
      </c>
      <c r="K334" s="6" t="str">
        <f>CONCATENATE("221")</f>
        <v>221</v>
      </c>
      <c r="L334" s="6" t="str">
        <f>CONCATENATE("8 8.1 5e")</f>
        <v>8 8.1 5e</v>
      </c>
      <c r="M334" s="6" t="str">
        <f>CONCATENATE("MRZMRC65S16A252N")</f>
        <v>MRZMRC65S16A252N</v>
      </c>
      <c r="N334" s="6" t="s">
        <v>437</v>
      </c>
      <c r="O334" s="6" t="s">
        <v>395</v>
      </c>
      <c r="P334" s="7">
        <v>43173</v>
      </c>
      <c r="Q334" s="6" t="s">
        <v>30</v>
      </c>
      <c r="R334" s="6" t="s">
        <v>31</v>
      </c>
      <c r="S334" s="6" t="s">
        <v>32</v>
      </c>
      <c r="T334" s="6">
        <v>208.27</v>
      </c>
      <c r="U334" s="6">
        <v>89.81</v>
      </c>
      <c r="V334" s="6">
        <v>82.93</v>
      </c>
      <c r="W334" s="6">
        <v>0</v>
      </c>
      <c r="X334" s="6">
        <v>35.53</v>
      </c>
    </row>
    <row r="335" spans="1:24" ht="24.75" x14ac:dyDescent="0.25">
      <c r="A335" s="6" t="s">
        <v>25</v>
      </c>
      <c r="B335" s="6" t="s">
        <v>26</v>
      </c>
      <c r="C335" s="6" t="s">
        <v>48</v>
      </c>
      <c r="D335" s="6" t="s">
        <v>52</v>
      </c>
      <c r="E335" s="6" t="s">
        <v>33</v>
      </c>
      <c r="F335" s="6" t="s">
        <v>83</v>
      </c>
      <c r="G335" s="6">
        <v>2017</v>
      </c>
      <c r="H335" s="6" t="str">
        <f>CONCATENATE("74780009739")</f>
        <v>74780009739</v>
      </c>
      <c r="I335" s="6" t="s">
        <v>28</v>
      </c>
      <c r="J335" s="6" t="s">
        <v>29</v>
      </c>
      <c r="K335" s="6" t="str">
        <f>CONCATENATE("221")</f>
        <v>221</v>
      </c>
      <c r="L335" s="6" t="str">
        <f>CONCATENATE("8 8.1 5e")</f>
        <v>8 8.1 5e</v>
      </c>
      <c r="M335" s="6" t="str">
        <f>CONCATENATE("MTTGPP60R22A462V")</f>
        <v>MTTGPP60R22A462V</v>
      </c>
      <c r="N335" s="6" t="s">
        <v>438</v>
      </c>
      <c r="O335" s="6" t="s">
        <v>395</v>
      </c>
      <c r="P335" s="7">
        <v>43173</v>
      </c>
      <c r="Q335" s="6" t="s">
        <v>30</v>
      </c>
      <c r="R335" s="6" t="s">
        <v>31</v>
      </c>
      <c r="S335" s="6" t="s">
        <v>32</v>
      </c>
      <c r="T335" s="8">
        <v>1101.5999999999999</v>
      </c>
      <c r="U335" s="6">
        <v>475.01</v>
      </c>
      <c r="V335" s="6">
        <v>438.66</v>
      </c>
      <c r="W335" s="6">
        <v>0</v>
      </c>
      <c r="X335" s="6">
        <v>187.93</v>
      </c>
    </row>
    <row r="336" spans="1:24" ht="24.75" x14ac:dyDescent="0.25">
      <c r="A336" s="6" t="s">
        <v>25</v>
      </c>
      <c r="B336" s="6" t="s">
        <v>26</v>
      </c>
      <c r="C336" s="6" t="s">
        <v>48</v>
      </c>
      <c r="D336" s="6" t="s">
        <v>52</v>
      </c>
      <c r="E336" s="6" t="s">
        <v>34</v>
      </c>
      <c r="F336" s="6" t="s">
        <v>233</v>
      </c>
      <c r="G336" s="6">
        <v>2017</v>
      </c>
      <c r="H336" s="6" t="str">
        <f>CONCATENATE("74780057654")</f>
        <v>74780057654</v>
      </c>
      <c r="I336" s="6" t="s">
        <v>28</v>
      </c>
      <c r="J336" s="6" t="s">
        <v>29</v>
      </c>
      <c r="K336" s="6" t="str">
        <f>CONCATENATE("221")</f>
        <v>221</v>
      </c>
      <c r="L336" s="6" t="str">
        <f>CONCATENATE("8 8.1 5e")</f>
        <v>8 8.1 5e</v>
      </c>
      <c r="M336" s="6" t="str">
        <f>CONCATENATE("MRCRTI40A61F493V")</f>
        <v>MRCRTI40A61F493V</v>
      </c>
      <c r="N336" s="6" t="s">
        <v>439</v>
      </c>
      <c r="O336" s="6" t="s">
        <v>395</v>
      </c>
      <c r="P336" s="7">
        <v>43173</v>
      </c>
      <c r="Q336" s="6" t="s">
        <v>30</v>
      </c>
      <c r="R336" s="6" t="s">
        <v>31</v>
      </c>
      <c r="S336" s="6" t="s">
        <v>32</v>
      </c>
      <c r="T336" s="6">
        <v>179.29</v>
      </c>
      <c r="U336" s="6">
        <v>77.31</v>
      </c>
      <c r="V336" s="6">
        <v>71.39</v>
      </c>
      <c r="W336" s="6">
        <v>0</v>
      </c>
      <c r="X336" s="6">
        <v>30.59</v>
      </c>
    </row>
    <row r="337" spans="1:24" ht="24.75" x14ac:dyDescent="0.25">
      <c r="A337" s="6" t="s">
        <v>25</v>
      </c>
      <c r="B337" s="6" t="s">
        <v>26</v>
      </c>
      <c r="C337" s="6" t="s">
        <v>48</v>
      </c>
      <c r="D337" s="6" t="s">
        <v>58</v>
      </c>
      <c r="E337" s="6" t="s">
        <v>34</v>
      </c>
      <c r="F337" s="6" t="s">
        <v>145</v>
      </c>
      <c r="G337" s="6">
        <v>2017</v>
      </c>
      <c r="H337" s="6" t="str">
        <f>CONCATENATE("74780071283")</f>
        <v>74780071283</v>
      </c>
      <c r="I337" s="6" t="s">
        <v>28</v>
      </c>
      <c r="J337" s="6" t="s">
        <v>29</v>
      </c>
      <c r="K337" s="6" t="str">
        <f>CONCATENATE("221")</f>
        <v>221</v>
      </c>
      <c r="L337" s="6" t="str">
        <f>CONCATENATE("8 8.1 5e")</f>
        <v>8 8.1 5e</v>
      </c>
      <c r="M337" s="6" t="str">
        <f>CONCATENATE("BNCGFR43B19H886H")</f>
        <v>BNCGFR43B19H886H</v>
      </c>
      <c r="N337" s="6" t="s">
        <v>440</v>
      </c>
      <c r="O337" s="6" t="s">
        <v>395</v>
      </c>
      <c r="P337" s="7">
        <v>43173</v>
      </c>
      <c r="Q337" s="6" t="s">
        <v>30</v>
      </c>
      <c r="R337" s="6" t="s">
        <v>31</v>
      </c>
      <c r="S337" s="6" t="s">
        <v>32</v>
      </c>
      <c r="T337" s="8">
        <v>1003.33</v>
      </c>
      <c r="U337" s="6">
        <v>432.64</v>
      </c>
      <c r="V337" s="6">
        <v>399.53</v>
      </c>
      <c r="W337" s="6">
        <v>0</v>
      </c>
      <c r="X337" s="6">
        <v>171.16</v>
      </c>
    </row>
    <row r="338" spans="1:24" ht="24.75" x14ac:dyDescent="0.25">
      <c r="A338" s="6" t="s">
        <v>25</v>
      </c>
      <c r="B338" s="6" t="s">
        <v>26</v>
      </c>
      <c r="C338" s="6" t="s">
        <v>48</v>
      </c>
      <c r="D338" s="6" t="s">
        <v>52</v>
      </c>
      <c r="E338" s="6" t="s">
        <v>33</v>
      </c>
      <c r="F338" s="6" t="s">
        <v>83</v>
      </c>
      <c r="G338" s="6">
        <v>2017</v>
      </c>
      <c r="H338" s="6" t="str">
        <f>CONCATENATE("74780045485")</f>
        <v>74780045485</v>
      </c>
      <c r="I338" s="6" t="s">
        <v>28</v>
      </c>
      <c r="J338" s="6" t="s">
        <v>29</v>
      </c>
      <c r="K338" s="6" t="str">
        <f>CONCATENATE("221")</f>
        <v>221</v>
      </c>
      <c r="L338" s="6" t="str">
        <f>CONCATENATE("8 8.1 5e")</f>
        <v>8 8.1 5e</v>
      </c>
      <c r="M338" s="6" t="str">
        <f>CONCATENATE("00840380448")</f>
        <v>00840380448</v>
      </c>
      <c r="N338" s="6" t="s">
        <v>441</v>
      </c>
      <c r="O338" s="6" t="s">
        <v>395</v>
      </c>
      <c r="P338" s="7">
        <v>43173</v>
      </c>
      <c r="Q338" s="6" t="s">
        <v>30</v>
      </c>
      <c r="R338" s="6" t="s">
        <v>31</v>
      </c>
      <c r="S338" s="6" t="s">
        <v>32</v>
      </c>
      <c r="T338" s="8">
        <v>1606.35</v>
      </c>
      <c r="U338" s="6">
        <v>692.66</v>
      </c>
      <c r="V338" s="6">
        <v>639.65</v>
      </c>
      <c r="W338" s="6">
        <v>0</v>
      </c>
      <c r="X338" s="6">
        <v>274.04000000000002</v>
      </c>
    </row>
    <row r="339" spans="1:24" ht="24.75" x14ac:dyDescent="0.25">
      <c r="A339" s="6" t="s">
        <v>25</v>
      </c>
      <c r="B339" s="6" t="s">
        <v>26</v>
      </c>
      <c r="C339" s="6" t="s">
        <v>48</v>
      </c>
      <c r="D339" s="6" t="s">
        <v>52</v>
      </c>
      <c r="E339" s="6" t="s">
        <v>34</v>
      </c>
      <c r="F339" s="6" t="s">
        <v>233</v>
      </c>
      <c r="G339" s="6">
        <v>2017</v>
      </c>
      <c r="H339" s="6" t="str">
        <f>CONCATENATE("74780057670")</f>
        <v>74780057670</v>
      </c>
      <c r="I339" s="6" t="s">
        <v>28</v>
      </c>
      <c r="J339" s="6" t="s">
        <v>29</v>
      </c>
      <c r="K339" s="6" t="str">
        <f>CONCATENATE("221")</f>
        <v>221</v>
      </c>
      <c r="L339" s="6" t="str">
        <f>CONCATENATE("8 8.1 5e")</f>
        <v>8 8.1 5e</v>
      </c>
      <c r="M339" s="6" t="str">
        <f>CONCATENATE("MRCNNT46R65F493I")</f>
        <v>MRCNNT46R65F493I</v>
      </c>
      <c r="N339" s="6" t="s">
        <v>442</v>
      </c>
      <c r="O339" s="6" t="s">
        <v>395</v>
      </c>
      <c r="P339" s="7">
        <v>43173</v>
      </c>
      <c r="Q339" s="6" t="s">
        <v>30</v>
      </c>
      <c r="R339" s="6" t="s">
        <v>31</v>
      </c>
      <c r="S339" s="6" t="s">
        <v>32</v>
      </c>
      <c r="T339" s="6">
        <v>179.29</v>
      </c>
      <c r="U339" s="6">
        <v>77.31</v>
      </c>
      <c r="V339" s="6">
        <v>71.39</v>
      </c>
      <c r="W339" s="6">
        <v>0</v>
      </c>
      <c r="X339" s="6">
        <v>30.59</v>
      </c>
    </row>
    <row r="340" spans="1:24" ht="24.75" x14ac:dyDescent="0.25">
      <c r="A340" s="6" t="s">
        <v>25</v>
      </c>
      <c r="B340" s="6" t="s">
        <v>26</v>
      </c>
      <c r="C340" s="6" t="s">
        <v>48</v>
      </c>
      <c r="D340" s="6" t="s">
        <v>52</v>
      </c>
      <c r="E340" s="6" t="s">
        <v>33</v>
      </c>
      <c r="F340" s="6" t="s">
        <v>83</v>
      </c>
      <c r="G340" s="6">
        <v>2017</v>
      </c>
      <c r="H340" s="6" t="str">
        <f>CONCATENATE("74780067687")</f>
        <v>74780067687</v>
      </c>
      <c r="I340" s="6" t="s">
        <v>28</v>
      </c>
      <c r="J340" s="6" t="s">
        <v>29</v>
      </c>
      <c r="K340" s="6" t="str">
        <f>CONCATENATE("221")</f>
        <v>221</v>
      </c>
      <c r="L340" s="6" t="str">
        <f>CONCATENATE("8 8.1 5e")</f>
        <v>8 8.1 5e</v>
      </c>
      <c r="M340" s="6" t="str">
        <f>CONCATENATE("MRCMRS49P54F697D")</f>
        <v>MRCMRS49P54F697D</v>
      </c>
      <c r="N340" s="6" t="s">
        <v>443</v>
      </c>
      <c r="O340" s="6" t="s">
        <v>395</v>
      </c>
      <c r="P340" s="7">
        <v>43173</v>
      </c>
      <c r="Q340" s="6" t="s">
        <v>30</v>
      </c>
      <c r="R340" s="6" t="s">
        <v>31</v>
      </c>
      <c r="S340" s="6" t="s">
        <v>32</v>
      </c>
      <c r="T340" s="6">
        <v>900</v>
      </c>
      <c r="U340" s="6">
        <v>388.08</v>
      </c>
      <c r="V340" s="6">
        <v>358.38</v>
      </c>
      <c r="W340" s="6">
        <v>0</v>
      </c>
      <c r="X340" s="6">
        <v>153.54</v>
      </c>
    </row>
    <row r="341" spans="1:24" ht="24.75" x14ac:dyDescent="0.25">
      <c r="A341" s="6" t="s">
        <v>25</v>
      </c>
      <c r="B341" s="6" t="s">
        <v>26</v>
      </c>
      <c r="C341" s="6" t="s">
        <v>48</v>
      </c>
      <c r="D341" s="6" t="s">
        <v>52</v>
      </c>
      <c r="E341" s="6" t="s">
        <v>34</v>
      </c>
      <c r="F341" s="6" t="s">
        <v>233</v>
      </c>
      <c r="G341" s="6">
        <v>2017</v>
      </c>
      <c r="H341" s="6" t="str">
        <f>CONCATENATE("74780056912")</f>
        <v>74780056912</v>
      </c>
      <c r="I341" s="6" t="s">
        <v>28</v>
      </c>
      <c r="J341" s="6" t="s">
        <v>29</v>
      </c>
      <c r="K341" s="6" t="str">
        <f>CONCATENATE("221")</f>
        <v>221</v>
      </c>
      <c r="L341" s="6" t="str">
        <f>CONCATENATE("8 8.1 5e")</f>
        <v>8 8.1 5e</v>
      </c>
      <c r="M341" s="6" t="str">
        <f>CONCATENATE("MRZDNC23H22F509Y")</f>
        <v>MRZDNC23H22F509Y</v>
      </c>
      <c r="N341" s="6" t="s">
        <v>444</v>
      </c>
      <c r="O341" s="6" t="s">
        <v>395</v>
      </c>
      <c r="P341" s="7">
        <v>43173</v>
      </c>
      <c r="Q341" s="6" t="s">
        <v>30</v>
      </c>
      <c r="R341" s="6" t="s">
        <v>31</v>
      </c>
      <c r="S341" s="6" t="s">
        <v>32</v>
      </c>
      <c r="T341" s="6">
        <v>528.85</v>
      </c>
      <c r="U341" s="6">
        <v>228.04</v>
      </c>
      <c r="V341" s="6">
        <v>210.59</v>
      </c>
      <c r="W341" s="6">
        <v>0</v>
      </c>
      <c r="X341" s="6">
        <v>90.22</v>
      </c>
    </row>
    <row r="342" spans="1:24" x14ac:dyDescent="0.25">
      <c r="A342" s="6" t="s">
        <v>25</v>
      </c>
      <c r="B342" s="6" t="s">
        <v>26</v>
      </c>
      <c r="C342" s="6" t="s">
        <v>48</v>
      </c>
      <c r="D342" s="6" t="s">
        <v>159</v>
      </c>
      <c r="E342" s="6" t="s">
        <v>43</v>
      </c>
      <c r="F342" s="6" t="s">
        <v>177</v>
      </c>
      <c r="G342" s="6">
        <v>2017</v>
      </c>
      <c r="H342" s="6" t="str">
        <f>CONCATENATE("74780002213")</f>
        <v>74780002213</v>
      </c>
      <c r="I342" s="6" t="s">
        <v>28</v>
      </c>
      <c r="J342" s="6" t="s">
        <v>29</v>
      </c>
      <c r="K342" s="6" t="str">
        <f>CONCATENATE("221")</f>
        <v>221</v>
      </c>
      <c r="L342" s="6" t="str">
        <f>CONCATENATE("8 8.1 5e")</f>
        <v>8 8.1 5e</v>
      </c>
      <c r="M342" s="6" t="str">
        <f>CONCATENATE("TRTMLL56E50L366P")</f>
        <v>TRTMLL56E50L366P</v>
      </c>
      <c r="N342" s="6" t="s">
        <v>445</v>
      </c>
      <c r="O342" s="6" t="s">
        <v>395</v>
      </c>
      <c r="P342" s="7">
        <v>43173</v>
      </c>
      <c r="Q342" s="6" t="s">
        <v>30</v>
      </c>
      <c r="R342" s="6" t="s">
        <v>31</v>
      </c>
      <c r="S342" s="6" t="s">
        <v>32</v>
      </c>
      <c r="T342" s="6">
        <v>351.14</v>
      </c>
      <c r="U342" s="6">
        <v>151.41</v>
      </c>
      <c r="V342" s="6">
        <v>139.82</v>
      </c>
      <c r="W342" s="6">
        <v>0</v>
      </c>
      <c r="X342" s="6">
        <v>59.91</v>
      </c>
    </row>
    <row r="343" spans="1:24" x14ac:dyDescent="0.25">
      <c r="A343" s="6" t="s">
        <v>25</v>
      </c>
      <c r="B343" s="6" t="s">
        <v>26</v>
      </c>
      <c r="C343" s="6" t="s">
        <v>48</v>
      </c>
      <c r="D343" s="6" t="s">
        <v>159</v>
      </c>
      <c r="E343" s="6" t="s">
        <v>34</v>
      </c>
      <c r="F343" s="6" t="s">
        <v>170</v>
      </c>
      <c r="G343" s="6">
        <v>2017</v>
      </c>
      <c r="H343" s="6" t="str">
        <f>CONCATENATE("74780072190")</f>
        <v>74780072190</v>
      </c>
      <c r="I343" s="6" t="s">
        <v>28</v>
      </c>
      <c r="J343" s="6" t="s">
        <v>29</v>
      </c>
      <c r="K343" s="6" t="str">
        <f>CONCATENATE("221")</f>
        <v>221</v>
      </c>
      <c r="L343" s="6" t="str">
        <f>CONCATENATE("8 8.1 5e")</f>
        <v>8 8.1 5e</v>
      </c>
      <c r="M343" s="6" t="str">
        <f>CONCATENATE("01767750431")</f>
        <v>01767750431</v>
      </c>
      <c r="N343" s="6" t="s">
        <v>446</v>
      </c>
      <c r="O343" s="6" t="s">
        <v>395</v>
      </c>
      <c r="P343" s="7">
        <v>43173</v>
      </c>
      <c r="Q343" s="6" t="s">
        <v>30</v>
      </c>
      <c r="R343" s="6" t="s">
        <v>31</v>
      </c>
      <c r="S343" s="6" t="s">
        <v>32</v>
      </c>
      <c r="T343" s="6">
        <v>796.5</v>
      </c>
      <c r="U343" s="6">
        <v>343.45</v>
      </c>
      <c r="V343" s="6">
        <v>317.17</v>
      </c>
      <c r="W343" s="6">
        <v>0</v>
      </c>
      <c r="X343" s="6">
        <v>135.88</v>
      </c>
    </row>
    <row r="344" spans="1:24" ht="24.75" x14ac:dyDescent="0.25">
      <c r="A344" s="6" t="s">
        <v>25</v>
      </c>
      <c r="B344" s="6" t="s">
        <v>26</v>
      </c>
      <c r="C344" s="6" t="s">
        <v>48</v>
      </c>
      <c r="D344" s="6" t="s">
        <v>52</v>
      </c>
      <c r="E344" s="6" t="s">
        <v>33</v>
      </c>
      <c r="F344" s="6" t="s">
        <v>83</v>
      </c>
      <c r="G344" s="6">
        <v>2017</v>
      </c>
      <c r="H344" s="6" t="str">
        <f>CONCATENATE("74780045105")</f>
        <v>74780045105</v>
      </c>
      <c r="I344" s="6" t="s">
        <v>28</v>
      </c>
      <c r="J344" s="6" t="s">
        <v>29</v>
      </c>
      <c r="K344" s="6" t="str">
        <f>CONCATENATE("221")</f>
        <v>221</v>
      </c>
      <c r="L344" s="6" t="str">
        <f>CONCATENATE("8 8.1 5e")</f>
        <v>8 8.1 5e</v>
      </c>
      <c r="M344" s="6" t="str">
        <f>CONCATENATE("NTLDLA37R60H223W")</f>
        <v>NTLDLA37R60H223W</v>
      </c>
      <c r="N344" s="6" t="s">
        <v>447</v>
      </c>
      <c r="O344" s="6" t="s">
        <v>395</v>
      </c>
      <c r="P344" s="7">
        <v>43173</v>
      </c>
      <c r="Q344" s="6" t="s">
        <v>30</v>
      </c>
      <c r="R344" s="6" t="s">
        <v>31</v>
      </c>
      <c r="S344" s="6" t="s">
        <v>32</v>
      </c>
      <c r="T344" s="6">
        <v>310.66000000000003</v>
      </c>
      <c r="U344" s="6">
        <v>133.96</v>
      </c>
      <c r="V344" s="6">
        <v>123.7</v>
      </c>
      <c r="W344" s="6">
        <v>0</v>
      </c>
      <c r="X344" s="6">
        <v>53</v>
      </c>
    </row>
    <row r="345" spans="1:24" ht="24.75" x14ac:dyDescent="0.25">
      <c r="A345" s="6" t="s">
        <v>25</v>
      </c>
      <c r="B345" s="6" t="s">
        <v>26</v>
      </c>
      <c r="C345" s="6" t="s">
        <v>48</v>
      </c>
      <c r="D345" s="6" t="s">
        <v>52</v>
      </c>
      <c r="E345" s="6" t="s">
        <v>34</v>
      </c>
      <c r="F345" s="6" t="s">
        <v>53</v>
      </c>
      <c r="G345" s="6">
        <v>2017</v>
      </c>
      <c r="H345" s="6" t="str">
        <f>CONCATENATE("74780074451")</f>
        <v>74780074451</v>
      </c>
      <c r="I345" s="6" t="s">
        <v>28</v>
      </c>
      <c r="J345" s="6" t="s">
        <v>29</v>
      </c>
      <c r="K345" s="6" t="str">
        <f>CONCATENATE("221")</f>
        <v>221</v>
      </c>
      <c r="L345" s="6" t="str">
        <f>CONCATENATE("8 8.1 5e")</f>
        <v>8 8.1 5e</v>
      </c>
      <c r="M345" s="6" t="str">
        <f>CONCATENATE("LVRCST76L13H769W")</f>
        <v>LVRCST76L13H769W</v>
      </c>
      <c r="N345" s="6" t="s">
        <v>448</v>
      </c>
      <c r="O345" s="6" t="s">
        <v>395</v>
      </c>
      <c r="P345" s="7">
        <v>43173</v>
      </c>
      <c r="Q345" s="6" t="s">
        <v>30</v>
      </c>
      <c r="R345" s="6" t="s">
        <v>31</v>
      </c>
      <c r="S345" s="6" t="s">
        <v>32</v>
      </c>
      <c r="T345" s="6">
        <v>319.69</v>
      </c>
      <c r="U345" s="6">
        <v>137.85</v>
      </c>
      <c r="V345" s="6">
        <v>127.3</v>
      </c>
      <c r="W345" s="6">
        <v>0</v>
      </c>
      <c r="X345" s="6">
        <v>54.54</v>
      </c>
    </row>
    <row r="346" spans="1:24" ht="24.75" x14ac:dyDescent="0.25">
      <c r="A346" s="6" t="s">
        <v>25</v>
      </c>
      <c r="B346" s="6" t="s">
        <v>26</v>
      </c>
      <c r="C346" s="6" t="s">
        <v>48</v>
      </c>
      <c r="D346" s="6" t="s">
        <v>52</v>
      </c>
      <c r="E346" s="6" t="s">
        <v>34</v>
      </c>
      <c r="F346" s="6" t="s">
        <v>294</v>
      </c>
      <c r="G346" s="6">
        <v>2017</v>
      </c>
      <c r="H346" s="6" t="str">
        <f>CONCATENATE("74780061052")</f>
        <v>74780061052</v>
      </c>
      <c r="I346" s="6" t="s">
        <v>28</v>
      </c>
      <c r="J346" s="6" t="s">
        <v>29</v>
      </c>
      <c r="K346" s="6" t="str">
        <f>CONCATENATE("221")</f>
        <v>221</v>
      </c>
      <c r="L346" s="6" t="str">
        <f>CONCATENATE("8 8.1 5e")</f>
        <v>8 8.1 5e</v>
      </c>
      <c r="M346" s="6" t="str">
        <f>CONCATENATE("RTNCRS75P16D542L")</f>
        <v>RTNCRS75P16D542L</v>
      </c>
      <c r="N346" s="6" t="s">
        <v>449</v>
      </c>
      <c r="O346" s="6" t="s">
        <v>395</v>
      </c>
      <c r="P346" s="7">
        <v>43173</v>
      </c>
      <c r="Q346" s="6" t="s">
        <v>30</v>
      </c>
      <c r="R346" s="6" t="s">
        <v>31</v>
      </c>
      <c r="S346" s="6" t="s">
        <v>32</v>
      </c>
      <c r="T346" s="6">
        <v>416.53</v>
      </c>
      <c r="U346" s="6">
        <v>179.61</v>
      </c>
      <c r="V346" s="6">
        <v>165.86</v>
      </c>
      <c r="W346" s="6">
        <v>0</v>
      </c>
      <c r="X346" s="6">
        <v>71.06</v>
      </c>
    </row>
    <row r="347" spans="1:24" ht="24.75" x14ac:dyDescent="0.25">
      <c r="A347" s="6" t="s">
        <v>25</v>
      </c>
      <c r="B347" s="6" t="s">
        <v>26</v>
      </c>
      <c r="C347" s="6" t="s">
        <v>48</v>
      </c>
      <c r="D347" s="6" t="s">
        <v>52</v>
      </c>
      <c r="E347" s="6" t="s">
        <v>34</v>
      </c>
      <c r="F347" s="6" t="s">
        <v>294</v>
      </c>
      <c r="G347" s="6">
        <v>2017</v>
      </c>
      <c r="H347" s="6" t="str">
        <f>CONCATENATE("74780056946")</f>
        <v>74780056946</v>
      </c>
      <c r="I347" s="6" t="s">
        <v>28</v>
      </c>
      <c r="J347" s="6" t="s">
        <v>29</v>
      </c>
      <c r="K347" s="6" t="str">
        <f>CONCATENATE("221")</f>
        <v>221</v>
      </c>
      <c r="L347" s="6" t="str">
        <f>CONCATENATE("8 8.1 5e")</f>
        <v>8 8.1 5e</v>
      </c>
      <c r="M347" s="6" t="str">
        <f>CONCATENATE("PCCDNI26L18F697S")</f>
        <v>PCCDNI26L18F697S</v>
      </c>
      <c r="N347" s="6" t="s">
        <v>450</v>
      </c>
      <c r="O347" s="6" t="s">
        <v>395</v>
      </c>
      <c r="P347" s="7">
        <v>43173</v>
      </c>
      <c r="Q347" s="6" t="s">
        <v>30</v>
      </c>
      <c r="R347" s="6" t="s">
        <v>31</v>
      </c>
      <c r="S347" s="6" t="s">
        <v>32</v>
      </c>
      <c r="T347" s="6">
        <v>257.13</v>
      </c>
      <c r="U347" s="6">
        <v>110.87</v>
      </c>
      <c r="V347" s="6">
        <v>102.39</v>
      </c>
      <c r="W347" s="6">
        <v>0</v>
      </c>
      <c r="X347" s="6">
        <v>43.87</v>
      </c>
    </row>
    <row r="348" spans="1:24" ht="24.75" x14ac:dyDescent="0.25">
      <c r="A348" s="6" t="s">
        <v>25</v>
      </c>
      <c r="B348" s="6" t="s">
        <v>26</v>
      </c>
      <c r="C348" s="6" t="s">
        <v>48</v>
      </c>
      <c r="D348" s="6" t="s">
        <v>52</v>
      </c>
      <c r="E348" s="6" t="s">
        <v>34</v>
      </c>
      <c r="F348" s="6" t="s">
        <v>294</v>
      </c>
      <c r="G348" s="6">
        <v>2017</v>
      </c>
      <c r="H348" s="6" t="str">
        <f>CONCATENATE("74780060666")</f>
        <v>74780060666</v>
      </c>
      <c r="I348" s="6" t="s">
        <v>28</v>
      </c>
      <c r="J348" s="6" t="s">
        <v>29</v>
      </c>
      <c r="K348" s="6" t="str">
        <f>CONCATENATE("221")</f>
        <v>221</v>
      </c>
      <c r="L348" s="6" t="str">
        <f>CONCATENATE("8 8.1 5e")</f>
        <v>8 8.1 5e</v>
      </c>
      <c r="M348" s="6" t="str">
        <f>CONCATENATE("PNNFBL56D47I324V")</f>
        <v>PNNFBL56D47I324V</v>
      </c>
      <c r="N348" s="6" t="s">
        <v>451</v>
      </c>
      <c r="O348" s="6" t="s">
        <v>395</v>
      </c>
      <c r="P348" s="7">
        <v>43173</v>
      </c>
      <c r="Q348" s="6" t="s">
        <v>30</v>
      </c>
      <c r="R348" s="6" t="s">
        <v>31</v>
      </c>
      <c r="S348" s="6" t="s">
        <v>32</v>
      </c>
      <c r="T348" s="8">
        <v>3810.87</v>
      </c>
      <c r="U348" s="8">
        <v>1643.25</v>
      </c>
      <c r="V348" s="8">
        <v>1517.49</v>
      </c>
      <c r="W348" s="6">
        <v>0</v>
      </c>
      <c r="X348" s="6">
        <v>650.13</v>
      </c>
    </row>
    <row r="349" spans="1:24" ht="24.75" x14ac:dyDescent="0.25">
      <c r="A349" s="6" t="s">
        <v>25</v>
      </c>
      <c r="B349" s="6" t="s">
        <v>26</v>
      </c>
      <c r="C349" s="6" t="s">
        <v>48</v>
      </c>
      <c r="D349" s="6" t="s">
        <v>52</v>
      </c>
      <c r="E349" s="6" t="s">
        <v>34</v>
      </c>
      <c r="F349" s="6" t="s">
        <v>233</v>
      </c>
      <c r="G349" s="6">
        <v>2017</v>
      </c>
      <c r="H349" s="6" t="str">
        <f>CONCATENATE("74780064262")</f>
        <v>74780064262</v>
      </c>
      <c r="I349" s="6" t="s">
        <v>28</v>
      </c>
      <c r="J349" s="6" t="s">
        <v>29</v>
      </c>
      <c r="K349" s="6" t="str">
        <f>CONCATENATE("221")</f>
        <v>221</v>
      </c>
      <c r="L349" s="6" t="str">
        <f>CONCATENATE("8 8.1 5e")</f>
        <v>8 8.1 5e</v>
      </c>
      <c r="M349" s="6" t="str">
        <f>CONCATENATE("PTRRLF50B24I315F")</f>
        <v>PTRRLF50B24I315F</v>
      </c>
      <c r="N349" s="6" t="s">
        <v>452</v>
      </c>
      <c r="O349" s="6" t="s">
        <v>395</v>
      </c>
      <c r="P349" s="7">
        <v>43173</v>
      </c>
      <c r="Q349" s="6" t="s">
        <v>30</v>
      </c>
      <c r="R349" s="6" t="s">
        <v>31</v>
      </c>
      <c r="S349" s="6" t="s">
        <v>32</v>
      </c>
      <c r="T349" s="6">
        <v>532.74</v>
      </c>
      <c r="U349" s="6">
        <v>229.72</v>
      </c>
      <c r="V349" s="6">
        <v>212.14</v>
      </c>
      <c r="W349" s="6">
        <v>0</v>
      </c>
      <c r="X349" s="6">
        <v>90.88</v>
      </c>
    </row>
    <row r="350" spans="1:24" ht="24.75" x14ac:dyDescent="0.25">
      <c r="A350" s="6" t="s">
        <v>25</v>
      </c>
      <c r="B350" s="6" t="s">
        <v>26</v>
      </c>
      <c r="C350" s="6" t="s">
        <v>48</v>
      </c>
      <c r="D350" s="6" t="s">
        <v>52</v>
      </c>
      <c r="E350" s="6" t="s">
        <v>34</v>
      </c>
      <c r="F350" s="6" t="s">
        <v>233</v>
      </c>
      <c r="G350" s="6">
        <v>2017</v>
      </c>
      <c r="H350" s="6" t="str">
        <f>CONCATENATE("74780064346")</f>
        <v>74780064346</v>
      </c>
      <c r="I350" s="6" t="s">
        <v>28</v>
      </c>
      <c r="J350" s="6" t="s">
        <v>29</v>
      </c>
      <c r="K350" s="6" t="str">
        <f>CONCATENATE("221")</f>
        <v>221</v>
      </c>
      <c r="L350" s="6" t="str">
        <f>CONCATENATE("8 8.1 5e")</f>
        <v>8 8.1 5e</v>
      </c>
      <c r="M350" s="6" t="str">
        <f>CONCATENATE("PTRRLF50B24I315F")</f>
        <v>PTRRLF50B24I315F</v>
      </c>
      <c r="N350" s="6" t="s">
        <v>452</v>
      </c>
      <c r="O350" s="6" t="s">
        <v>395</v>
      </c>
      <c r="P350" s="7">
        <v>43173</v>
      </c>
      <c r="Q350" s="6" t="s">
        <v>30</v>
      </c>
      <c r="R350" s="6" t="s">
        <v>31</v>
      </c>
      <c r="S350" s="6" t="s">
        <v>32</v>
      </c>
      <c r="T350" s="6">
        <v>483.87</v>
      </c>
      <c r="U350" s="6">
        <v>208.64</v>
      </c>
      <c r="V350" s="6">
        <v>192.68</v>
      </c>
      <c r="W350" s="6">
        <v>0</v>
      </c>
      <c r="X350" s="6">
        <v>82.55</v>
      </c>
    </row>
    <row r="351" spans="1:24" ht="24.75" x14ac:dyDescent="0.25">
      <c r="A351" s="6" t="s">
        <v>25</v>
      </c>
      <c r="B351" s="6" t="s">
        <v>26</v>
      </c>
      <c r="C351" s="6" t="s">
        <v>48</v>
      </c>
      <c r="D351" s="6" t="s">
        <v>52</v>
      </c>
      <c r="E351" s="6" t="s">
        <v>34</v>
      </c>
      <c r="F351" s="6" t="s">
        <v>68</v>
      </c>
      <c r="G351" s="6">
        <v>2017</v>
      </c>
      <c r="H351" s="6" t="str">
        <f>CONCATENATE("74780058033")</f>
        <v>74780058033</v>
      </c>
      <c r="I351" s="6" t="s">
        <v>28</v>
      </c>
      <c r="J351" s="6" t="s">
        <v>29</v>
      </c>
      <c r="K351" s="6" t="str">
        <f>CONCATENATE("221")</f>
        <v>221</v>
      </c>
      <c r="L351" s="6" t="str">
        <f>CONCATENATE("8 8.1 5e")</f>
        <v>8 8.1 5e</v>
      </c>
      <c r="M351" s="6" t="str">
        <f>CONCATENATE("PMPSVN54R69C070S")</f>
        <v>PMPSVN54R69C070S</v>
      </c>
      <c r="N351" s="6" t="s">
        <v>453</v>
      </c>
      <c r="O351" s="6" t="s">
        <v>395</v>
      </c>
      <c r="P351" s="7">
        <v>43173</v>
      </c>
      <c r="Q351" s="6" t="s">
        <v>30</v>
      </c>
      <c r="R351" s="6" t="s">
        <v>31</v>
      </c>
      <c r="S351" s="6" t="s">
        <v>32</v>
      </c>
      <c r="T351" s="8">
        <v>2124.25</v>
      </c>
      <c r="U351" s="6">
        <v>915.98</v>
      </c>
      <c r="V351" s="6">
        <v>845.88</v>
      </c>
      <c r="W351" s="6">
        <v>0</v>
      </c>
      <c r="X351" s="6">
        <v>362.39</v>
      </c>
    </row>
    <row r="352" spans="1:24" ht="24.75" x14ac:dyDescent="0.25">
      <c r="A352" s="6" t="s">
        <v>25</v>
      </c>
      <c r="B352" s="6" t="s">
        <v>26</v>
      </c>
      <c r="C352" s="6" t="s">
        <v>48</v>
      </c>
      <c r="D352" s="6" t="s">
        <v>52</v>
      </c>
      <c r="E352" s="6" t="s">
        <v>34</v>
      </c>
      <c r="F352" s="6" t="s">
        <v>233</v>
      </c>
      <c r="G352" s="6">
        <v>2017</v>
      </c>
      <c r="H352" s="6" t="str">
        <f>CONCATENATE("74780063736")</f>
        <v>74780063736</v>
      </c>
      <c r="I352" s="6" t="s">
        <v>28</v>
      </c>
      <c r="J352" s="6" t="s">
        <v>29</v>
      </c>
      <c r="K352" s="6" t="str">
        <f>CONCATENATE("221")</f>
        <v>221</v>
      </c>
      <c r="L352" s="6" t="str">
        <f>CONCATENATE("8 8.1 5e")</f>
        <v>8 8.1 5e</v>
      </c>
      <c r="M352" s="6" t="str">
        <f>CONCATENATE("PLCLCN60M52G516W")</f>
        <v>PLCLCN60M52G516W</v>
      </c>
      <c r="N352" s="6" t="s">
        <v>454</v>
      </c>
      <c r="O352" s="6" t="s">
        <v>395</v>
      </c>
      <c r="P352" s="7">
        <v>43173</v>
      </c>
      <c r="Q352" s="6" t="s">
        <v>30</v>
      </c>
      <c r="R352" s="6" t="s">
        <v>31</v>
      </c>
      <c r="S352" s="6" t="s">
        <v>32</v>
      </c>
      <c r="T352" s="6">
        <v>428.88</v>
      </c>
      <c r="U352" s="6">
        <v>184.93</v>
      </c>
      <c r="V352" s="6">
        <v>170.78</v>
      </c>
      <c r="W352" s="6">
        <v>0</v>
      </c>
      <c r="X352" s="6">
        <v>73.17</v>
      </c>
    </row>
    <row r="353" spans="1:24" ht="24.75" x14ac:dyDescent="0.25">
      <c r="A353" s="6" t="s">
        <v>25</v>
      </c>
      <c r="B353" s="6" t="s">
        <v>26</v>
      </c>
      <c r="C353" s="6" t="s">
        <v>48</v>
      </c>
      <c r="D353" s="6" t="s">
        <v>52</v>
      </c>
      <c r="E353" s="6" t="s">
        <v>34</v>
      </c>
      <c r="F353" s="6" t="s">
        <v>68</v>
      </c>
      <c r="G353" s="6">
        <v>2017</v>
      </c>
      <c r="H353" s="6" t="str">
        <f>CONCATENATE("74780058546")</f>
        <v>74780058546</v>
      </c>
      <c r="I353" s="6" t="s">
        <v>28</v>
      </c>
      <c r="J353" s="6" t="s">
        <v>29</v>
      </c>
      <c r="K353" s="6" t="str">
        <f>CONCATENATE("221")</f>
        <v>221</v>
      </c>
      <c r="L353" s="6" t="str">
        <f>CONCATENATE("8 8.1 5e")</f>
        <v>8 8.1 5e</v>
      </c>
      <c r="M353" s="6" t="str">
        <f>CONCATENATE("RCCRNT54R64F697B")</f>
        <v>RCCRNT54R64F697B</v>
      </c>
      <c r="N353" s="6" t="s">
        <v>455</v>
      </c>
      <c r="O353" s="6" t="s">
        <v>395</v>
      </c>
      <c r="P353" s="7">
        <v>43173</v>
      </c>
      <c r="Q353" s="6" t="s">
        <v>30</v>
      </c>
      <c r="R353" s="6" t="s">
        <v>31</v>
      </c>
      <c r="S353" s="6" t="s">
        <v>32</v>
      </c>
      <c r="T353" s="8">
        <v>1040.05</v>
      </c>
      <c r="U353" s="6">
        <v>448.47</v>
      </c>
      <c r="V353" s="6">
        <v>414.15</v>
      </c>
      <c r="W353" s="6">
        <v>0</v>
      </c>
      <c r="X353" s="6">
        <v>177.43</v>
      </c>
    </row>
    <row r="354" spans="1:24" ht="24.75" x14ac:dyDescent="0.25">
      <c r="A354" s="6" t="s">
        <v>25</v>
      </c>
      <c r="B354" s="6" t="s">
        <v>26</v>
      </c>
      <c r="C354" s="6" t="s">
        <v>48</v>
      </c>
      <c r="D354" s="6" t="s">
        <v>52</v>
      </c>
      <c r="E354" s="6" t="s">
        <v>34</v>
      </c>
      <c r="F354" s="6" t="s">
        <v>68</v>
      </c>
      <c r="G354" s="6">
        <v>2017</v>
      </c>
      <c r="H354" s="6" t="str">
        <f>CONCATENATE("74780058496")</f>
        <v>74780058496</v>
      </c>
      <c r="I354" s="6" t="s">
        <v>28</v>
      </c>
      <c r="J354" s="6" t="s">
        <v>29</v>
      </c>
      <c r="K354" s="6" t="str">
        <f>CONCATENATE("221")</f>
        <v>221</v>
      </c>
      <c r="L354" s="6" t="str">
        <f>CONCATENATE("8 8.1 5e")</f>
        <v>8 8.1 5e</v>
      </c>
      <c r="M354" s="6" t="str">
        <f>CONCATENATE("RSSRSO47P57F626D")</f>
        <v>RSSRSO47P57F626D</v>
      </c>
      <c r="N354" s="6" t="s">
        <v>456</v>
      </c>
      <c r="O354" s="6" t="s">
        <v>395</v>
      </c>
      <c r="P354" s="7">
        <v>43173</v>
      </c>
      <c r="Q354" s="6" t="s">
        <v>30</v>
      </c>
      <c r="R354" s="6" t="s">
        <v>31</v>
      </c>
      <c r="S354" s="6" t="s">
        <v>32</v>
      </c>
      <c r="T354" s="6">
        <v>249.92</v>
      </c>
      <c r="U354" s="6">
        <v>107.77</v>
      </c>
      <c r="V354" s="6">
        <v>99.52</v>
      </c>
      <c r="W354" s="6">
        <v>0</v>
      </c>
      <c r="X354" s="6">
        <v>42.63</v>
      </c>
    </row>
    <row r="355" spans="1:24" ht="24.75" x14ac:dyDescent="0.25">
      <c r="A355" s="6" t="s">
        <v>25</v>
      </c>
      <c r="B355" s="6" t="s">
        <v>26</v>
      </c>
      <c r="C355" s="6" t="s">
        <v>48</v>
      </c>
      <c r="D355" s="6" t="s">
        <v>52</v>
      </c>
      <c r="E355" s="6" t="s">
        <v>33</v>
      </c>
      <c r="F355" s="6" t="s">
        <v>83</v>
      </c>
      <c r="G355" s="6">
        <v>2017</v>
      </c>
      <c r="H355" s="6" t="str">
        <f>CONCATENATE("74780074048")</f>
        <v>74780074048</v>
      </c>
      <c r="I355" s="6" t="s">
        <v>28</v>
      </c>
      <c r="J355" s="6" t="s">
        <v>29</v>
      </c>
      <c r="K355" s="6" t="str">
        <f>CONCATENATE("221")</f>
        <v>221</v>
      </c>
      <c r="L355" s="6" t="str">
        <f>CONCATENATE("8 8.1 5e")</f>
        <v>8 8.1 5e</v>
      </c>
      <c r="M355" s="6" t="str">
        <f>CONCATENATE("LGAMRZ47P02G920G")</f>
        <v>LGAMRZ47P02G920G</v>
      </c>
      <c r="N355" s="6" t="s">
        <v>457</v>
      </c>
      <c r="O355" s="6" t="s">
        <v>395</v>
      </c>
      <c r="P355" s="7">
        <v>43173</v>
      </c>
      <c r="Q355" s="6" t="s">
        <v>30</v>
      </c>
      <c r="R355" s="6" t="s">
        <v>31</v>
      </c>
      <c r="S355" s="6" t="s">
        <v>32</v>
      </c>
      <c r="T355" s="8">
        <v>1392.37</v>
      </c>
      <c r="U355" s="6">
        <v>600.39</v>
      </c>
      <c r="V355" s="6">
        <v>554.44000000000005</v>
      </c>
      <c r="W355" s="6">
        <v>0</v>
      </c>
      <c r="X355" s="6">
        <v>237.54</v>
      </c>
    </row>
    <row r="356" spans="1:24" ht="24.75" x14ac:dyDescent="0.25">
      <c r="A356" s="6" t="s">
        <v>25</v>
      </c>
      <c r="B356" s="6" t="s">
        <v>26</v>
      </c>
      <c r="C356" s="6" t="s">
        <v>48</v>
      </c>
      <c r="D356" s="6" t="s">
        <v>52</v>
      </c>
      <c r="E356" s="6" t="s">
        <v>34</v>
      </c>
      <c r="F356" s="6" t="s">
        <v>68</v>
      </c>
      <c r="G356" s="6">
        <v>2017</v>
      </c>
      <c r="H356" s="6" t="str">
        <f>CONCATENATE("74780058868")</f>
        <v>74780058868</v>
      </c>
      <c r="I356" s="6" t="s">
        <v>28</v>
      </c>
      <c r="J356" s="6" t="s">
        <v>29</v>
      </c>
      <c r="K356" s="6" t="str">
        <f>CONCATENATE("221")</f>
        <v>221</v>
      </c>
      <c r="L356" s="6" t="str">
        <f>CONCATENATE("8 8.1 5e")</f>
        <v>8 8.1 5e</v>
      </c>
      <c r="M356" s="6" t="str">
        <f>CONCATENATE("LVRLVR38C13F021D")</f>
        <v>LVRLVR38C13F021D</v>
      </c>
      <c r="N356" s="6" t="s">
        <v>458</v>
      </c>
      <c r="O356" s="6" t="s">
        <v>395</v>
      </c>
      <c r="P356" s="7">
        <v>43173</v>
      </c>
      <c r="Q356" s="6" t="s">
        <v>30</v>
      </c>
      <c r="R356" s="6" t="s">
        <v>31</v>
      </c>
      <c r="S356" s="6" t="s">
        <v>32</v>
      </c>
      <c r="T356" s="6">
        <v>253.06</v>
      </c>
      <c r="U356" s="6">
        <v>109.12</v>
      </c>
      <c r="V356" s="6">
        <v>100.77</v>
      </c>
      <c r="W356" s="6">
        <v>0</v>
      </c>
      <c r="X356" s="6">
        <v>43.17</v>
      </c>
    </row>
    <row r="357" spans="1:24" x14ac:dyDescent="0.25">
      <c r="A357" s="6" t="s">
        <v>25</v>
      </c>
      <c r="B357" s="6" t="s">
        <v>26</v>
      </c>
      <c r="C357" s="6" t="s">
        <v>48</v>
      </c>
      <c r="D357" s="6" t="s">
        <v>159</v>
      </c>
      <c r="E357" s="6" t="s">
        <v>34</v>
      </c>
      <c r="F357" s="6" t="s">
        <v>166</v>
      </c>
      <c r="G357" s="6">
        <v>2017</v>
      </c>
      <c r="H357" s="6" t="str">
        <f>CONCATENATE("74780065764")</f>
        <v>74780065764</v>
      </c>
      <c r="I357" s="6" t="s">
        <v>28</v>
      </c>
      <c r="J357" s="6" t="s">
        <v>29</v>
      </c>
      <c r="K357" s="6" t="str">
        <f>CONCATENATE("221")</f>
        <v>221</v>
      </c>
      <c r="L357" s="6" t="str">
        <f>CONCATENATE("8 8.1 5e")</f>
        <v>8 8.1 5e</v>
      </c>
      <c r="M357" s="6" t="str">
        <f>CONCATENATE("01523900437")</f>
        <v>01523900437</v>
      </c>
      <c r="N357" s="6" t="s">
        <v>459</v>
      </c>
      <c r="O357" s="6" t="s">
        <v>395</v>
      </c>
      <c r="P357" s="7">
        <v>43173</v>
      </c>
      <c r="Q357" s="6" t="s">
        <v>30</v>
      </c>
      <c r="R357" s="6" t="s">
        <v>31</v>
      </c>
      <c r="S357" s="6" t="s">
        <v>32</v>
      </c>
      <c r="T357" s="6">
        <v>894.52</v>
      </c>
      <c r="U357" s="6">
        <v>385.72</v>
      </c>
      <c r="V357" s="6">
        <v>356.2</v>
      </c>
      <c r="W357" s="6">
        <v>0</v>
      </c>
      <c r="X357" s="6">
        <v>152.6</v>
      </c>
    </row>
    <row r="358" spans="1:24" ht="24.75" x14ac:dyDescent="0.25">
      <c r="A358" s="6" t="s">
        <v>25</v>
      </c>
      <c r="B358" s="6" t="s">
        <v>26</v>
      </c>
      <c r="C358" s="6" t="s">
        <v>48</v>
      </c>
      <c r="D358" s="6" t="s">
        <v>159</v>
      </c>
      <c r="E358" s="6" t="s">
        <v>34</v>
      </c>
      <c r="F358" s="6" t="s">
        <v>198</v>
      </c>
      <c r="G358" s="6">
        <v>2017</v>
      </c>
      <c r="H358" s="6" t="str">
        <f>CONCATENATE("74780058751")</f>
        <v>74780058751</v>
      </c>
      <c r="I358" s="6" t="s">
        <v>28</v>
      </c>
      <c r="J358" s="6" t="s">
        <v>29</v>
      </c>
      <c r="K358" s="6" t="str">
        <f>CONCATENATE("221")</f>
        <v>221</v>
      </c>
      <c r="L358" s="6" t="str">
        <f>CONCATENATE("8 8.1 5e")</f>
        <v>8 8.1 5e</v>
      </c>
      <c r="M358" s="6" t="str">
        <f>CONCATENATE("01222480434")</f>
        <v>01222480434</v>
      </c>
      <c r="N358" s="6" t="s">
        <v>460</v>
      </c>
      <c r="O358" s="6" t="s">
        <v>395</v>
      </c>
      <c r="P358" s="7">
        <v>43173</v>
      </c>
      <c r="Q358" s="6" t="s">
        <v>30</v>
      </c>
      <c r="R358" s="6" t="s">
        <v>31</v>
      </c>
      <c r="S358" s="6" t="s">
        <v>32</v>
      </c>
      <c r="T358" s="6">
        <v>90.5</v>
      </c>
      <c r="U358" s="6">
        <v>39.020000000000003</v>
      </c>
      <c r="V358" s="6">
        <v>36.04</v>
      </c>
      <c r="W358" s="6">
        <v>0</v>
      </c>
      <c r="X358" s="6">
        <v>15.44</v>
      </c>
    </row>
    <row r="359" spans="1:24" ht="24.75" x14ac:dyDescent="0.25">
      <c r="A359" s="6" t="s">
        <v>25</v>
      </c>
      <c r="B359" s="6" t="s">
        <v>26</v>
      </c>
      <c r="C359" s="6" t="s">
        <v>48</v>
      </c>
      <c r="D359" s="6" t="s">
        <v>52</v>
      </c>
      <c r="E359" s="6" t="s">
        <v>34</v>
      </c>
      <c r="F359" s="6" t="s">
        <v>294</v>
      </c>
      <c r="G359" s="6">
        <v>2017</v>
      </c>
      <c r="H359" s="6" t="str">
        <f>CONCATENATE("74780057647")</f>
        <v>74780057647</v>
      </c>
      <c r="I359" s="6" t="s">
        <v>28</v>
      </c>
      <c r="J359" s="6" t="s">
        <v>29</v>
      </c>
      <c r="K359" s="6" t="str">
        <f>CONCATENATE("221")</f>
        <v>221</v>
      </c>
      <c r="L359" s="6" t="str">
        <f>CONCATENATE("8 8.1 5e")</f>
        <v>8 8.1 5e</v>
      </c>
      <c r="M359" s="6" t="str">
        <f>CONCATENATE("FGNDCE78S18D542D")</f>
        <v>FGNDCE78S18D542D</v>
      </c>
      <c r="N359" s="6" t="s">
        <v>461</v>
      </c>
      <c r="O359" s="6" t="s">
        <v>395</v>
      </c>
      <c r="P359" s="7">
        <v>43173</v>
      </c>
      <c r="Q359" s="6" t="s">
        <v>30</v>
      </c>
      <c r="R359" s="6" t="s">
        <v>31</v>
      </c>
      <c r="S359" s="6" t="s">
        <v>32</v>
      </c>
      <c r="T359" s="8">
        <v>1800</v>
      </c>
      <c r="U359" s="6">
        <v>776.16</v>
      </c>
      <c r="V359" s="6">
        <v>716.76</v>
      </c>
      <c r="W359" s="6">
        <v>0</v>
      </c>
      <c r="X359" s="6">
        <v>307.08</v>
      </c>
    </row>
    <row r="360" spans="1:24" ht="24.75" x14ac:dyDescent="0.25">
      <c r="A360" s="6" t="s">
        <v>25</v>
      </c>
      <c r="B360" s="6" t="s">
        <v>26</v>
      </c>
      <c r="C360" s="6" t="s">
        <v>48</v>
      </c>
      <c r="D360" s="6" t="s">
        <v>52</v>
      </c>
      <c r="E360" s="6" t="s">
        <v>34</v>
      </c>
      <c r="F360" s="6" t="s">
        <v>68</v>
      </c>
      <c r="G360" s="6">
        <v>2017</v>
      </c>
      <c r="H360" s="6" t="str">
        <f>CONCATENATE("74780058371")</f>
        <v>74780058371</v>
      </c>
      <c r="I360" s="6" t="s">
        <v>28</v>
      </c>
      <c r="J360" s="6" t="s">
        <v>29</v>
      </c>
      <c r="K360" s="6" t="str">
        <f>CONCATENATE("221")</f>
        <v>221</v>
      </c>
      <c r="L360" s="6" t="str">
        <f>CONCATENATE("8 8.1 5e")</f>
        <v>8 8.1 5e</v>
      </c>
      <c r="M360" s="6" t="str">
        <f>CONCATENATE("FGNDLE34M21F021L")</f>
        <v>FGNDLE34M21F021L</v>
      </c>
      <c r="N360" s="6" t="s">
        <v>462</v>
      </c>
      <c r="O360" s="6" t="s">
        <v>395</v>
      </c>
      <c r="P360" s="7">
        <v>43173</v>
      </c>
      <c r="Q360" s="6" t="s">
        <v>30</v>
      </c>
      <c r="R360" s="6" t="s">
        <v>31</v>
      </c>
      <c r="S360" s="6" t="s">
        <v>32</v>
      </c>
      <c r="T360" s="6">
        <v>162.63</v>
      </c>
      <c r="U360" s="6">
        <v>70.13</v>
      </c>
      <c r="V360" s="6">
        <v>64.760000000000005</v>
      </c>
      <c r="W360" s="6">
        <v>0</v>
      </c>
      <c r="X360" s="6">
        <v>27.74</v>
      </c>
    </row>
    <row r="361" spans="1:24" ht="24.75" x14ac:dyDescent="0.25">
      <c r="A361" s="6" t="s">
        <v>25</v>
      </c>
      <c r="B361" s="6" t="s">
        <v>26</v>
      </c>
      <c r="C361" s="6" t="s">
        <v>48</v>
      </c>
      <c r="D361" s="6" t="s">
        <v>52</v>
      </c>
      <c r="E361" s="6" t="s">
        <v>33</v>
      </c>
      <c r="F361" s="6" t="s">
        <v>83</v>
      </c>
      <c r="G361" s="6">
        <v>2017</v>
      </c>
      <c r="H361" s="6" t="str">
        <f>CONCATENATE("74780067554")</f>
        <v>74780067554</v>
      </c>
      <c r="I361" s="6" t="s">
        <v>28</v>
      </c>
      <c r="J361" s="6" t="s">
        <v>29</v>
      </c>
      <c r="K361" s="6" t="str">
        <f>CONCATENATE("221")</f>
        <v>221</v>
      </c>
      <c r="L361" s="6" t="str">
        <f>CONCATENATE("8 8.1 5e")</f>
        <v>8 8.1 5e</v>
      </c>
      <c r="M361" s="6" t="str">
        <f>CONCATENATE("00349090506")</f>
        <v>00349090506</v>
      </c>
      <c r="N361" s="6" t="s">
        <v>463</v>
      </c>
      <c r="O361" s="6" t="s">
        <v>395</v>
      </c>
      <c r="P361" s="7">
        <v>43173</v>
      </c>
      <c r="Q361" s="6" t="s">
        <v>30</v>
      </c>
      <c r="R361" s="6" t="s">
        <v>31</v>
      </c>
      <c r="S361" s="6" t="s">
        <v>32</v>
      </c>
      <c r="T361" s="8">
        <v>4818.17</v>
      </c>
      <c r="U361" s="8">
        <v>2077.59</v>
      </c>
      <c r="V361" s="8">
        <v>1918.6</v>
      </c>
      <c r="W361" s="6">
        <v>0</v>
      </c>
      <c r="X361" s="6">
        <v>821.98</v>
      </c>
    </row>
    <row r="362" spans="1:24" ht="24.75" x14ac:dyDescent="0.25">
      <c r="A362" s="6" t="s">
        <v>25</v>
      </c>
      <c r="B362" s="6" t="s">
        <v>26</v>
      </c>
      <c r="C362" s="6" t="s">
        <v>48</v>
      </c>
      <c r="D362" s="6" t="s">
        <v>52</v>
      </c>
      <c r="E362" s="6" t="s">
        <v>33</v>
      </c>
      <c r="F362" s="6" t="s">
        <v>83</v>
      </c>
      <c r="G362" s="6">
        <v>2017</v>
      </c>
      <c r="H362" s="6" t="str">
        <f>CONCATENATE("74780067570")</f>
        <v>74780067570</v>
      </c>
      <c r="I362" s="6" t="s">
        <v>28</v>
      </c>
      <c r="J362" s="6" t="s">
        <v>29</v>
      </c>
      <c r="K362" s="6" t="str">
        <f>CONCATENATE("221")</f>
        <v>221</v>
      </c>
      <c r="L362" s="6" t="str">
        <f>CONCATENATE("8 8.1 5e")</f>
        <v>8 8.1 5e</v>
      </c>
      <c r="M362" s="6" t="str">
        <f>CONCATENATE("FRNMRN44P02F697U")</f>
        <v>FRNMRN44P02F697U</v>
      </c>
      <c r="N362" s="6" t="s">
        <v>464</v>
      </c>
      <c r="O362" s="6" t="s">
        <v>395</v>
      </c>
      <c r="P362" s="7">
        <v>43173</v>
      </c>
      <c r="Q362" s="6" t="s">
        <v>30</v>
      </c>
      <c r="R362" s="6" t="s">
        <v>31</v>
      </c>
      <c r="S362" s="6" t="s">
        <v>32</v>
      </c>
      <c r="T362" s="6">
        <v>186.53</v>
      </c>
      <c r="U362" s="6">
        <v>80.430000000000007</v>
      </c>
      <c r="V362" s="6">
        <v>74.28</v>
      </c>
      <c r="W362" s="6">
        <v>0</v>
      </c>
      <c r="X362" s="6">
        <v>31.82</v>
      </c>
    </row>
    <row r="363" spans="1:24" ht="24.75" x14ac:dyDescent="0.25">
      <c r="A363" s="6" t="s">
        <v>25</v>
      </c>
      <c r="B363" s="6" t="s">
        <v>26</v>
      </c>
      <c r="C363" s="6" t="s">
        <v>48</v>
      </c>
      <c r="D363" s="6" t="s">
        <v>52</v>
      </c>
      <c r="E363" s="6" t="s">
        <v>34</v>
      </c>
      <c r="F363" s="6" t="s">
        <v>68</v>
      </c>
      <c r="G363" s="6">
        <v>2017</v>
      </c>
      <c r="H363" s="6" t="str">
        <f>CONCATENATE("74780059056")</f>
        <v>74780059056</v>
      </c>
      <c r="I363" s="6" t="s">
        <v>28</v>
      </c>
      <c r="J363" s="6" t="s">
        <v>29</v>
      </c>
      <c r="K363" s="6" t="str">
        <f>CONCATENATE("221")</f>
        <v>221</v>
      </c>
      <c r="L363" s="6" t="str">
        <f>CONCATENATE("8 8.1 5e")</f>
        <v>8 8.1 5e</v>
      </c>
      <c r="M363" s="6" t="str">
        <f>CONCATENATE("DCHGDE27S30F428C")</f>
        <v>DCHGDE27S30F428C</v>
      </c>
      <c r="N363" s="6" t="s">
        <v>465</v>
      </c>
      <c r="O363" s="6" t="s">
        <v>395</v>
      </c>
      <c r="P363" s="7">
        <v>43173</v>
      </c>
      <c r="Q363" s="6" t="s">
        <v>30</v>
      </c>
      <c r="R363" s="6" t="s">
        <v>31</v>
      </c>
      <c r="S363" s="6" t="s">
        <v>32</v>
      </c>
      <c r="T363" s="6">
        <v>153.94</v>
      </c>
      <c r="U363" s="6">
        <v>66.38</v>
      </c>
      <c r="V363" s="6">
        <v>61.3</v>
      </c>
      <c r="W363" s="6">
        <v>0</v>
      </c>
      <c r="X363" s="6">
        <v>26.26</v>
      </c>
    </row>
    <row r="364" spans="1:24" ht="24.75" x14ac:dyDescent="0.25">
      <c r="A364" s="6" t="s">
        <v>25</v>
      </c>
      <c r="B364" s="6" t="s">
        <v>26</v>
      </c>
      <c r="C364" s="6" t="s">
        <v>48</v>
      </c>
      <c r="D364" s="6" t="s">
        <v>52</v>
      </c>
      <c r="E364" s="6" t="s">
        <v>38</v>
      </c>
      <c r="F364" s="6" t="s">
        <v>62</v>
      </c>
      <c r="G364" s="6">
        <v>2017</v>
      </c>
      <c r="H364" s="6" t="str">
        <f>CONCATENATE("74780034216")</f>
        <v>74780034216</v>
      </c>
      <c r="I364" s="6" t="s">
        <v>28</v>
      </c>
      <c r="J364" s="6" t="s">
        <v>29</v>
      </c>
      <c r="K364" s="6" t="str">
        <f>CONCATENATE("221")</f>
        <v>221</v>
      </c>
      <c r="L364" s="6" t="str">
        <f>CONCATENATE("8 8.1 5e")</f>
        <v>8 8.1 5e</v>
      </c>
      <c r="M364" s="6" t="str">
        <f>CONCATENATE("DZINNT41A57C779B")</f>
        <v>DZINNT41A57C779B</v>
      </c>
      <c r="N364" s="6" t="s">
        <v>466</v>
      </c>
      <c r="O364" s="6" t="s">
        <v>395</v>
      </c>
      <c r="P364" s="7">
        <v>43173</v>
      </c>
      <c r="Q364" s="6" t="s">
        <v>30</v>
      </c>
      <c r="R364" s="6" t="s">
        <v>31</v>
      </c>
      <c r="S364" s="6" t="s">
        <v>32</v>
      </c>
      <c r="T364" s="6">
        <v>695.1</v>
      </c>
      <c r="U364" s="6">
        <v>299.73</v>
      </c>
      <c r="V364" s="6">
        <v>276.79000000000002</v>
      </c>
      <c r="W364" s="6">
        <v>0</v>
      </c>
      <c r="X364" s="6">
        <v>118.58</v>
      </c>
    </row>
    <row r="365" spans="1:24" ht="24.75" x14ac:dyDescent="0.25">
      <c r="A365" s="6" t="s">
        <v>25</v>
      </c>
      <c r="B365" s="6" t="s">
        <v>26</v>
      </c>
      <c r="C365" s="6" t="s">
        <v>48</v>
      </c>
      <c r="D365" s="6" t="s">
        <v>52</v>
      </c>
      <c r="E365" s="6" t="s">
        <v>34</v>
      </c>
      <c r="F365" s="6" t="s">
        <v>294</v>
      </c>
      <c r="G365" s="6">
        <v>2017</v>
      </c>
      <c r="H365" s="6" t="str">
        <f>CONCATENATE("74780061219")</f>
        <v>74780061219</v>
      </c>
      <c r="I365" s="6" t="s">
        <v>28</v>
      </c>
      <c r="J365" s="6" t="s">
        <v>29</v>
      </c>
      <c r="K365" s="6" t="str">
        <f>CONCATENATE("221")</f>
        <v>221</v>
      </c>
      <c r="L365" s="6" t="str">
        <f>CONCATENATE("8 8.1 5e")</f>
        <v>8 8.1 5e</v>
      </c>
      <c r="M365" s="6" t="str">
        <f>CONCATENATE("GSTRLF38P27I315J")</f>
        <v>GSTRLF38P27I315J</v>
      </c>
      <c r="N365" s="6" t="s">
        <v>467</v>
      </c>
      <c r="O365" s="6" t="s">
        <v>395</v>
      </c>
      <c r="P365" s="7">
        <v>43173</v>
      </c>
      <c r="Q365" s="6" t="s">
        <v>30</v>
      </c>
      <c r="R365" s="6" t="s">
        <v>31</v>
      </c>
      <c r="S365" s="6" t="s">
        <v>32</v>
      </c>
      <c r="T365" s="8">
        <v>2491.2800000000002</v>
      </c>
      <c r="U365" s="8">
        <v>1074.24</v>
      </c>
      <c r="V365" s="6">
        <v>992.03</v>
      </c>
      <c r="W365" s="6">
        <v>0</v>
      </c>
      <c r="X365" s="6">
        <v>425.01</v>
      </c>
    </row>
    <row r="366" spans="1:24" ht="24.75" x14ac:dyDescent="0.25">
      <c r="A366" s="6" t="s">
        <v>25</v>
      </c>
      <c r="B366" s="6" t="s">
        <v>26</v>
      </c>
      <c r="C366" s="6" t="s">
        <v>48</v>
      </c>
      <c r="D366" s="6" t="s">
        <v>52</v>
      </c>
      <c r="E366" s="6" t="s">
        <v>34</v>
      </c>
      <c r="F366" s="6" t="s">
        <v>163</v>
      </c>
      <c r="G366" s="6">
        <v>2017</v>
      </c>
      <c r="H366" s="6" t="str">
        <f>CONCATENATE("74780023193")</f>
        <v>74780023193</v>
      </c>
      <c r="I366" s="6" t="s">
        <v>28</v>
      </c>
      <c r="J366" s="6" t="s">
        <v>29</v>
      </c>
      <c r="K366" s="6" t="str">
        <f>CONCATENATE("221")</f>
        <v>221</v>
      </c>
      <c r="L366" s="6" t="str">
        <f>CONCATENATE("8 8.1 5e")</f>
        <v>8 8.1 5e</v>
      </c>
      <c r="M366" s="6" t="str">
        <f>CONCATENATE("LNDMLE47E22G005S")</f>
        <v>LNDMLE47E22G005S</v>
      </c>
      <c r="N366" s="6" t="s">
        <v>468</v>
      </c>
      <c r="O366" s="6" t="s">
        <v>395</v>
      </c>
      <c r="P366" s="7">
        <v>43173</v>
      </c>
      <c r="Q366" s="6" t="s">
        <v>30</v>
      </c>
      <c r="R366" s="6" t="s">
        <v>31</v>
      </c>
      <c r="S366" s="6" t="s">
        <v>32</v>
      </c>
      <c r="T366" s="8">
        <v>3667.2</v>
      </c>
      <c r="U366" s="8">
        <v>1581.3</v>
      </c>
      <c r="V366" s="8">
        <v>1460.28</v>
      </c>
      <c r="W366" s="6">
        <v>0</v>
      </c>
      <c r="X366" s="6">
        <v>625.62</v>
      </c>
    </row>
    <row r="367" spans="1:24" ht="24.75" x14ac:dyDescent="0.25">
      <c r="A367" s="6" t="s">
        <v>25</v>
      </c>
      <c r="B367" s="6" t="s">
        <v>26</v>
      </c>
      <c r="C367" s="6" t="s">
        <v>48</v>
      </c>
      <c r="D367" s="6" t="s">
        <v>52</v>
      </c>
      <c r="E367" s="6" t="s">
        <v>34</v>
      </c>
      <c r="F367" s="6" t="s">
        <v>163</v>
      </c>
      <c r="G367" s="6">
        <v>2017</v>
      </c>
      <c r="H367" s="6" t="str">
        <f>CONCATENATE("74780023227")</f>
        <v>74780023227</v>
      </c>
      <c r="I367" s="6" t="s">
        <v>28</v>
      </c>
      <c r="J367" s="6" t="s">
        <v>29</v>
      </c>
      <c r="K367" s="6" t="str">
        <f>CONCATENATE("221")</f>
        <v>221</v>
      </c>
      <c r="L367" s="6" t="str">
        <f>CONCATENATE("8 8.1 5e")</f>
        <v>8 8.1 5e</v>
      </c>
      <c r="M367" s="6" t="str">
        <f>CONCATENATE("LNDMLE47E22G005S")</f>
        <v>LNDMLE47E22G005S</v>
      </c>
      <c r="N367" s="6" t="s">
        <v>468</v>
      </c>
      <c r="O367" s="6" t="s">
        <v>395</v>
      </c>
      <c r="P367" s="7">
        <v>43173</v>
      </c>
      <c r="Q367" s="6" t="s">
        <v>30</v>
      </c>
      <c r="R367" s="6" t="s">
        <v>31</v>
      </c>
      <c r="S367" s="6" t="s">
        <v>32</v>
      </c>
      <c r="T367" s="6">
        <v>605</v>
      </c>
      <c r="U367" s="6">
        <v>260.88</v>
      </c>
      <c r="V367" s="6">
        <v>240.91</v>
      </c>
      <c r="W367" s="6">
        <v>0</v>
      </c>
      <c r="X367" s="6">
        <v>103.21</v>
      </c>
    </row>
    <row r="368" spans="1:24" ht="24.75" x14ac:dyDescent="0.25">
      <c r="A368" s="6" t="s">
        <v>25</v>
      </c>
      <c r="B368" s="6" t="s">
        <v>26</v>
      </c>
      <c r="C368" s="6" t="s">
        <v>48</v>
      </c>
      <c r="D368" s="6" t="s">
        <v>52</v>
      </c>
      <c r="E368" s="6" t="s">
        <v>34</v>
      </c>
      <c r="F368" s="6" t="s">
        <v>294</v>
      </c>
      <c r="G368" s="6">
        <v>2017</v>
      </c>
      <c r="H368" s="6" t="str">
        <f>CONCATENATE("74780060831")</f>
        <v>74780060831</v>
      </c>
      <c r="I368" s="6" t="s">
        <v>28</v>
      </c>
      <c r="J368" s="6" t="s">
        <v>29</v>
      </c>
      <c r="K368" s="6" t="str">
        <f>CONCATENATE("221")</f>
        <v>221</v>
      </c>
      <c r="L368" s="6" t="str">
        <f>CONCATENATE("8 8.1 5e")</f>
        <v>8 8.1 5e</v>
      </c>
      <c r="M368" s="6" t="str">
        <f>CONCATENATE("NGLMLE36A63F415B")</f>
        <v>NGLMLE36A63F415B</v>
      </c>
      <c r="N368" s="6" t="s">
        <v>469</v>
      </c>
      <c r="O368" s="6" t="s">
        <v>395</v>
      </c>
      <c r="P368" s="7">
        <v>43173</v>
      </c>
      <c r="Q368" s="6" t="s">
        <v>30</v>
      </c>
      <c r="R368" s="6" t="s">
        <v>31</v>
      </c>
      <c r="S368" s="6" t="s">
        <v>32</v>
      </c>
      <c r="T368" s="8">
        <v>1387.22</v>
      </c>
      <c r="U368" s="6">
        <v>598.16999999999996</v>
      </c>
      <c r="V368" s="6">
        <v>552.39</v>
      </c>
      <c r="W368" s="6">
        <v>0</v>
      </c>
      <c r="X368" s="6">
        <v>236.66</v>
      </c>
    </row>
    <row r="369" spans="1:24" ht="24.75" x14ac:dyDescent="0.25">
      <c r="A369" s="6" t="s">
        <v>25</v>
      </c>
      <c r="B369" s="6" t="s">
        <v>26</v>
      </c>
      <c r="C369" s="6" t="s">
        <v>48</v>
      </c>
      <c r="D369" s="6" t="s">
        <v>52</v>
      </c>
      <c r="E369" s="6" t="s">
        <v>34</v>
      </c>
      <c r="F369" s="6" t="s">
        <v>68</v>
      </c>
      <c r="G369" s="6">
        <v>2017</v>
      </c>
      <c r="H369" s="6" t="str">
        <f>CONCATENATE("74780058595")</f>
        <v>74780058595</v>
      </c>
      <c r="I369" s="6" t="s">
        <v>28</v>
      </c>
      <c r="J369" s="6" t="s">
        <v>29</v>
      </c>
      <c r="K369" s="6" t="str">
        <f>CONCATENATE("221")</f>
        <v>221</v>
      </c>
      <c r="L369" s="6" t="str">
        <f>CONCATENATE("8 8.1 5e")</f>
        <v>8 8.1 5e</v>
      </c>
      <c r="M369" s="6" t="str">
        <f>CONCATENATE("NGLMRA67P46I472T")</f>
        <v>NGLMRA67P46I472T</v>
      </c>
      <c r="N369" s="6" t="s">
        <v>470</v>
      </c>
      <c r="O369" s="6" t="s">
        <v>395</v>
      </c>
      <c r="P369" s="7">
        <v>43173</v>
      </c>
      <c r="Q369" s="6" t="s">
        <v>30</v>
      </c>
      <c r="R369" s="6" t="s">
        <v>31</v>
      </c>
      <c r="S369" s="6" t="s">
        <v>32</v>
      </c>
      <c r="T369" s="8">
        <v>1191.47</v>
      </c>
      <c r="U369" s="6">
        <v>513.76</v>
      </c>
      <c r="V369" s="6">
        <v>474.44</v>
      </c>
      <c r="W369" s="6">
        <v>0</v>
      </c>
      <c r="X369" s="6">
        <v>203.27</v>
      </c>
    </row>
    <row r="370" spans="1:24" ht="24.75" x14ac:dyDescent="0.25">
      <c r="A370" s="6" t="s">
        <v>25</v>
      </c>
      <c r="B370" s="6" t="s">
        <v>26</v>
      </c>
      <c r="C370" s="6" t="s">
        <v>48</v>
      </c>
      <c r="D370" s="6" t="s">
        <v>52</v>
      </c>
      <c r="E370" s="6" t="s">
        <v>33</v>
      </c>
      <c r="F370" s="6" t="s">
        <v>83</v>
      </c>
      <c r="G370" s="6">
        <v>2017</v>
      </c>
      <c r="H370" s="6" t="str">
        <f>CONCATENATE("74780067323")</f>
        <v>74780067323</v>
      </c>
      <c r="I370" s="6" t="s">
        <v>28</v>
      </c>
      <c r="J370" s="6" t="s">
        <v>29</v>
      </c>
      <c r="K370" s="6" t="str">
        <f>CONCATENATE("221")</f>
        <v>221</v>
      </c>
      <c r="L370" s="6" t="str">
        <f>CONCATENATE("8 8.1 5e")</f>
        <v>8 8.1 5e</v>
      </c>
      <c r="M370" s="6" t="str">
        <f>CONCATENATE("NGLLDA64A12F520R")</f>
        <v>NGLLDA64A12F520R</v>
      </c>
      <c r="N370" s="6" t="s">
        <v>471</v>
      </c>
      <c r="O370" s="6" t="s">
        <v>395</v>
      </c>
      <c r="P370" s="7">
        <v>43173</v>
      </c>
      <c r="Q370" s="6" t="s">
        <v>30</v>
      </c>
      <c r="R370" s="6" t="s">
        <v>31</v>
      </c>
      <c r="S370" s="6" t="s">
        <v>32</v>
      </c>
      <c r="T370" s="6">
        <v>731.92</v>
      </c>
      <c r="U370" s="6">
        <v>315.60000000000002</v>
      </c>
      <c r="V370" s="6">
        <v>291.45</v>
      </c>
      <c r="W370" s="6">
        <v>0</v>
      </c>
      <c r="X370" s="6">
        <v>124.87</v>
      </c>
    </row>
    <row r="371" spans="1:24" ht="24.75" x14ac:dyDescent="0.25">
      <c r="A371" s="6" t="s">
        <v>25</v>
      </c>
      <c r="B371" s="6" t="s">
        <v>26</v>
      </c>
      <c r="C371" s="6" t="s">
        <v>48</v>
      </c>
      <c r="D371" s="6" t="s">
        <v>52</v>
      </c>
      <c r="E371" s="6" t="s">
        <v>34</v>
      </c>
      <c r="F371" s="6" t="s">
        <v>53</v>
      </c>
      <c r="G371" s="6">
        <v>2017</v>
      </c>
      <c r="H371" s="6" t="str">
        <f>CONCATENATE("74780073560")</f>
        <v>74780073560</v>
      </c>
      <c r="I371" s="6" t="s">
        <v>28</v>
      </c>
      <c r="J371" s="6" t="s">
        <v>29</v>
      </c>
      <c r="K371" s="6" t="str">
        <f>CONCATENATE("221")</f>
        <v>221</v>
      </c>
      <c r="L371" s="6" t="str">
        <f>CONCATENATE("8 8.1 5e")</f>
        <v>8 8.1 5e</v>
      </c>
      <c r="M371" s="6" t="str">
        <f>CONCATENATE("NGLPLA56M19C321P")</f>
        <v>NGLPLA56M19C321P</v>
      </c>
      <c r="N371" s="6" t="s">
        <v>472</v>
      </c>
      <c r="O371" s="6" t="s">
        <v>395</v>
      </c>
      <c r="P371" s="7">
        <v>43173</v>
      </c>
      <c r="Q371" s="6" t="s">
        <v>30</v>
      </c>
      <c r="R371" s="6" t="s">
        <v>31</v>
      </c>
      <c r="S371" s="6" t="s">
        <v>32</v>
      </c>
      <c r="T371" s="6">
        <v>186.53</v>
      </c>
      <c r="U371" s="6">
        <v>80.430000000000007</v>
      </c>
      <c r="V371" s="6">
        <v>74.28</v>
      </c>
      <c r="W371" s="6">
        <v>0</v>
      </c>
      <c r="X371" s="6">
        <v>31.82</v>
      </c>
    </row>
    <row r="372" spans="1:24" x14ac:dyDescent="0.25">
      <c r="A372" s="6" t="s">
        <v>25</v>
      </c>
      <c r="B372" s="6" t="s">
        <v>26</v>
      </c>
      <c r="C372" s="6" t="s">
        <v>48</v>
      </c>
      <c r="D372" s="6" t="s">
        <v>159</v>
      </c>
      <c r="E372" s="6" t="s">
        <v>34</v>
      </c>
      <c r="F372" s="6" t="s">
        <v>196</v>
      </c>
      <c r="G372" s="6">
        <v>2017</v>
      </c>
      <c r="H372" s="6" t="str">
        <f>CONCATENATE("74780061698")</f>
        <v>74780061698</v>
      </c>
      <c r="I372" s="6" t="s">
        <v>28</v>
      </c>
      <c r="J372" s="6" t="s">
        <v>29</v>
      </c>
      <c r="K372" s="6" t="str">
        <f>CONCATENATE("221")</f>
        <v>221</v>
      </c>
      <c r="L372" s="6" t="str">
        <f>CONCATENATE("8 8.1 5e")</f>
        <v>8 8.1 5e</v>
      </c>
      <c r="M372" s="6" t="str">
        <f>CONCATENATE("TSTCRM45A06B474U")</f>
        <v>TSTCRM45A06B474U</v>
      </c>
      <c r="N372" s="6" t="s">
        <v>473</v>
      </c>
      <c r="O372" s="6" t="s">
        <v>395</v>
      </c>
      <c r="P372" s="7">
        <v>43173</v>
      </c>
      <c r="Q372" s="6" t="s">
        <v>30</v>
      </c>
      <c r="R372" s="6" t="s">
        <v>31</v>
      </c>
      <c r="S372" s="6" t="s">
        <v>32</v>
      </c>
      <c r="T372" s="6">
        <v>322.18</v>
      </c>
      <c r="U372" s="6">
        <v>138.91999999999999</v>
      </c>
      <c r="V372" s="6">
        <v>128.29</v>
      </c>
      <c r="W372" s="6">
        <v>0</v>
      </c>
      <c r="X372" s="6">
        <v>54.97</v>
      </c>
    </row>
    <row r="373" spans="1:24" ht="24.75" x14ac:dyDescent="0.25">
      <c r="A373" s="6" t="s">
        <v>25</v>
      </c>
      <c r="B373" s="6" t="s">
        <v>26</v>
      </c>
      <c r="C373" s="6" t="s">
        <v>48</v>
      </c>
      <c r="D373" s="6" t="s">
        <v>58</v>
      </c>
      <c r="E373" s="6" t="s">
        <v>34</v>
      </c>
      <c r="F373" s="6" t="s">
        <v>145</v>
      </c>
      <c r="G373" s="6">
        <v>2017</v>
      </c>
      <c r="H373" s="6" t="str">
        <f>CONCATENATE("74780071382")</f>
        <v>74780071382</v>
      </c>
      <c r="I373" s="6" t="s">
        <v>28</v>
      </c>
      <c r="J373" s="6" t="s">
        <v>29</v>
      </c>
      <c r="K373" s="6" t="str">
        <f>CONCATENATE("221")</f>
        <v>221</v>
      </c>
      <c r="L373" s="6" t="str">
        <f>CONCATENATE("8 8.1 5e")</f>
        <v>8 8.1 5e</v>
      </c>
      <c r="M373" s="6" t="str">
        <f>CONCATENATE("CMPMRZ61C25D749Q")</f>
        <v>CMPMRZ61C25D749Q</v>
      </c>
      <c r="N373" s="6" t="s">
        <v>474</v>
      </c>
      <c r="O373" s="6" t="s">
        <v>395</v>
      </c>
      <c r="P373" s="7">
        <v>43173</v>
      </c>
      <c r="Q373" s="6" t="s">
        <v>30</v>
      </c>
      <c r="R373" s="6" t="s">
        <v>31</v>
      </c>
      <c r="S373" s="6" t="s">
        <v>32</v>
      </c>
      <c r="T373" s="6">
        <v>90.55</v>
      </c>
      <c r="U373" s="6">
        <v>39.049999999999997</v>
      </c>
      <c r="V373" s="6">
        <v>36.06</v>
      </c>
      <c r="W373" s="6">
        <v>0</v>
      </c>
      <c r="X373" s="6">
        <v>15.44</v>
      </c>
    </row>
    <row r="374" spans="1:24" ht="24.75" x14ac:dyDescent="0.25">
      <c r="A374" s="6" t="s">
        <v>25</v>
      </c>
      <c r="B374" s="6" t="s">
        <v>26</v>
      </c>
      <c r="C374" s="6" t="s">
        <v>48</v>
      </c>
      <c r="D374" s="6" t="s">
        <v>159</v>
      </c>
      <c r="E374" s="6" t="s">
        <v>34</v>
      </c>
      <c r="F374" s="6" t="s">
        <v>196</v>
      </c>
      <c r="G374" s="6">
        <v>2017</v>
      </c>
      <c r="H374" s="6" t="str">
        <f>CONCATENATE("74780061581")</f>
        <v>74780061581</v>
      </c>
      <c r="I374" s="6" t="s">
        <v>28</v>
      </c>
      <c r="J374" s="6" t="s">
        <v>29</v>
      </c>
      <c r="K374" s="6" t="str">
        <f>CONCATENATE("221")</f>
        <v>221</v>
      </c>
      <c r="L374" s="6" t="str">
        <f>CONCATENATE("8 8.1 5e")</f>
        <v>8 8.1 5e</v>
      </c>
      <c r="M374" s="6" t="str">
        <f>CONCATENATE("00395910433")</f>
        <v>00395910433</v>
      </c>
      <c r="N374" s="6" t="s">
        <v>475</v>
      </c>
      <c r="O374" s="6" t="s">
        <v>395</v>
      </c>
      <c r="P374" s="7">
        <v>43173</v>
      </c>
      <c r="Q374" s="6" t="s">
        <v>30</v>
      </c>
      <c r="R374" s="6" t="s">
        <v>31</v>
      </c>
      <c r="S374" s="6" t="s">
        <v>32</v>
      </c>
      <c r="T374" s="6">
        <v>561.1</v>
      </c>
      <c r="U374" s="6">
        <v>241.95</v>
      </c>
      <c r="V374" s="6">
        <v>223.43</v>
      </c>
      <c r="W374" s="6">
        <v>0</v>
      </c>
      <c r="X374" s="6">
        <v>95.72</v>
      </c>
    </row>
    <row r="375" spans="1:24" x14ac:dyDescent="0.25">
      <c r="A375" s="6" t="s">
        <v>25</v>
      </c>
      <c r="B375" s="6" t="s">
        <v>26</v>
      </c>
      <c r="C375" s="6" t="s">
        <v>48</v>
      </c>
      <c r="D375" s="6" t="s">
        <v>159</v>
      </c>
      <c r="E375" s="6" t="s">
        <v>38</v>
      </c>
      <c r="F375" s="6" t="s">
        <v>168</v>
      </c>
      <c r="G375" s="6">
        <v>2017</v>
      </c>
      <c r="H375" s="6" t="str">
        <f>CONCATENATE("74780031394")</f>
        <v>74780031394</v>
      </c>
      <c r="I375" s="6" t="s">
        <v>28</v>
      </c>
      <c r="J375" s="6" t="s">
        <v>29</v>
      </c>
      <c r="K375" s="6" t="str">
        <f>CONCATENATE("221")</f>
        <v>221</v>
      </c>
      <c r="L375" s="6" t="str">
        <f>CONCATENATE("8 8.1 5e")</f>
        <v>8 8.1 5e</v>
      </c>
      <c r="M375" s="6" t="str">
        <f>CONCATENATE("SGRCLD62R14F482T")</f>
        <v>SGRCLD62R14F482T</v>
      </c>
      <c r="N375" s="6" t="s">
        <v>476</v>
      </c>
      <c r="O375" s="6" t="s">
        <v>395</v>
      </c>
      <c r="P375" s="7">
        <v>43173</v>
      </c>
      <c r="Q375" s="6" t="s">
        <v>30</v>
      </c>
      <c r="R375" s="6" t="s">
        <v>31</v>
      </c>
      <c r="S375" s="6" t="s">
        <v>32</v>
      </c>
      <c r="T375" s="6">
        <v>311.68</v>
      </c>
      <c r="U375" s="6">
        <v>134.4</v>
      </c>
      <c r="V375" s="6">
        <v>124.11</v>
      </c>
      <c r="W375" s="6">
        <v>0</v>
      </c>
      <c r="X375" s="6">
        <v>53.17</v>
      </c>
    </row>
    <row r="376" spans="1:24" ht="24.75" x14ac:dyDescent="0.25">
      <c r="A376" s="6" t="s">
        <v>25</v>
      </c>
      <c r="B376" s="6" t="s">
        <v>26</v>
      </c>
      <c r="C376" s="6" t="s">
        <v>48</v>
      </c>
      <c r="D376" s="6" t="s">
        <v>52</v>
      </c>
      <c r="E376" s="6" t="s">
        <v>27</v>
      </c>
      <c r="F376" s="6" t="s">
        <v>73</v>
      </c>
      <c r="G376" s="6">
        <v>2017</v>
      </c>
      <c r="H376" s="6" t="str">
        <f>CONCATENATE("74780041591")</f>
        <v>74780041591</v>
      </c>
      <c r="I376" s="6" t="s">
        <v>28</v>
      </c>
      <c r="J376" s="6" t="s">
        <v>29</v>
      </c>
      <c r="K376" s="6" t="str">
        <f>CONCATENATE("221")</f>
        <v>221</v>
      </c>
      <c r="L376" s="6" t="str">
        <f>CONCATENATE("8 8.1 5e")</f>
        <v>8 8.1 5e</v>
      </c>
      <c r="M376" s="6" t="str">
        <f>CONCATENATE("FLCGCR24T28D542W")</f>
        <v>FLCGCR24T28D542W</v>
      </c>
      <c r="N376" s="6" t="s">
        <v>477</v>
      </c>
      <c r="O376" s="6" t="s">
        <v>395</v>
      </c>
      <c r="P376" s="7">
        <v>43173</v>
      </c>
      <c r="Q376" s="6" t="s">
        <v>30</v>
      </c>
      <c r="R376" s="6" t="s">
        <v>31</v>
      </c>
      <c r="S376" s="6" t="s">
        <v>32</v>
      </c>
      <c r="T376" s="6">
        <v>968.34</v>
      </c>
      <c r="U376" s="6">
        <v>417.55</v>
      </c>
      <c r="V376" s="6">
        <v>385.59</v>
      </c>
      <c r="W376" s="6">
        <v>0</v>
      </c>
      <c r="X376" s="6">
        <v>165.2</v>
      </c>
    </row>
    <row r="377" spans="1:24" ht="24.75" x14ac:dyDescent="0.25">
      <c r="A377" s="6" t="s">
        <v>25</v>
      </c>
      <c r="B377" s="6" t="s">
        <v>26</v>
      </c>
      <c r="C377" s="6" t="s">
        <v>48</v>
      </c>
      <c r="D377" s="6" t="s">
        <v>52</v>
      </c>
      <c r="E377" s="6" t="s">
        <v>33</v>
      </c>
      <c r="F377" s="6" t="s">
        <v>83</v>
      </c>
      <c r="G377" s="6">
        <v>2017</v>
      </c>
      <c r="H377" s="6" t="str">
        <f>CONCATENATE("74780045220")</f>
        <v>74780045220</v>
      </c>
      <c r="I377" s="6" t="s">
        <v>28</v>
      </c>
      <c r="J377" s="6" t="s">
        <v>29</v>
      </c>
      <c r="K377" s="6" t="str">
        <f>CONCATENATE("221")</f>
        <v>221</v>
      </c>
      <c r="L377" s="6" t="str">
        <f>CONCATENATE("8 8.1 5e")</f>
        <v>8 8.1 5e</v>
      </c>
      <c r="M377" s="6" t="str">
        <f>CONCATENATE("01990830448")</f>
        <v>01990830448</v>
      </c>
      <c r="N377" s="6" t="s">
        <v>478</v>
      </c>
      <c r="O377" s="6" t="s">
        <v>395</v>
      </c>
      <c r="P377" s="7">
        <v>43173</v>
      </c>
      <c r="Q377" s="6" t="s">
        <v>30</v>
      </c>
      <c r="R377" s="6" t="s">
        <v>31</v>
      </c>
      <c r="S377" s="6" t="s">
        <v>32</v>
      </c>
      <c r="T377" s="6">
        <v>533.74</v>
      </c>
      <c r="U377" s="6">
        <v>230.15</v>
      </c>
      <c r="V377" s="6">
        <v>212.54</v>
      </c>
      <c r="W377" s="6">
        <v>0</v>
      </c>
      <c r="X377" s="6">
        <v>91.05</v>
      </c>
    </row>
    <row r="378" spans="1:24" x14ac:dyDescent="0.25">
      <c r="A378" s="6" t="s">
        <v>25</v>
      </c>
      <c r="B378" s="6" t="s">
        <v>26</v>
      </c>
      <c r="C378" s="6" t="s">
        <v>48</v>
      </c>
      <c r="D378" s="6" t="s">
        <v>159</v>
      </c>
      <c r="E378" s="6" t="s">
        <v>27</v>
      </c>
      <c r="F378" s="6" t="s">
        <v>181</v>
      </c>
      <c r="G378" s="6">
        <v>2017</v>
      </c>
      <c r="H378" s="6" t="str">
        <f>CONCATENATE("74780056417")</f>
        <v>74780056417</v>
      </c>
      <c r="I378" s="6" t="s">
        <v>28</v>
      </c>
      <c r="J378" s="6" t="s">
        <v>29</v>
      </c>
      <c r="K378" s="6" t="str">
        <f>CONCATENATE("221")</f>
        <v>221</v>
      </c>
      <c r="L378" s="6" t="str">
        <f>CONCATENATE("8 8.1 5e")</f>
        <v>8 8.1 5e</v>
      </c>
      <c r="M378" s="6" t="str">
        <f>CONCATENATE("RBCFRC82E42E783A")</f>
        <v>RBCFRC82E42E783A</v>
      </c>
      <c r="N378" s="6" t="s">
        <v>479</v>
      </c>
      <c r="O378" s="6" t="s">
        <v>395</v>
      </c>
      <c r="P378" s="7">
        <v>43173</v>
      </c>
      <c r="Q378" s="6" t="s">
        <v>30</v>
      </c>
      <c r="R378" s="6" t="s">
        <v>31</v>
      </c>
      <c r="S378" s="6" t="s">
        <v>32</v>
      </c>
      <c r="T378" s="6">
        <v>362</v>
      </c>
      <c r="U378" s="6">
        <v>156.09</v>
      </c>
      <c r="V378" s="6">
        <v>144.15</v>
      </c>
      <c r="W378" s="6">
        <v>0</v>
      </c>
      <c r="X378" s="6">
        <v>61.76</v>
      </c>
    </row>
    <row r="379" spans="1:24" x14ac:dyDescent="0.25">
      <c r="A379" s="6" t="s">
        <v>25</v>
      </c>
      <c r="B379" s="6" t="s">
        <v>26</v>
      </c>
      <c r="C379" s="6" t="s">
        <v>48</v>
      </c>
      <c r="D379" s="6" t="s">
        <v>159</v>
      </c>
      <c r="E379" s="6" t="s">
        <v>34</v>
      </c>
      <c r="F379" s="6" t="s">
        <v>196</v>
      </c>
      <c r="G379" s="6">
        <v>2017</v>
      </c>
      <c r="H379" s="6" t="str">
        <f>CONCATENATE("74780058389")</f>
        <v>74780058389</v>
      </c>
      <c r="I379" s="6" t="s">
        <v>28</v>
      </c>
      <c r="J379" s="6" t="s">
        <v>29</v>
      </c>
      <c r="K379" s="6" t="str">
        <f>CONCATENATE("221")</f>
        <v>221</v>
      </c>
      <c r="L379" s="6" t="str">
        <f>CONCATENATE("8 8.1 5e")</f>
        <v>8 8.1 5e</v>
      </c>
      <c r="M379" s="6" t="str">
        <f>CONCATENATE("SLVPRN34B42B474L")</f>
        <v>SLVPRN34B42B474L</v>
      </c>
      <c r="N379" s="6" t="s">
        <v>480</v>
      </c>
      <c r="O379" s="6" t="s">
        <v>395</v>
      </c>
      <c r="P379" s="7">
        <v>43173</v>
      </c>
      <c r="Q379" s="6" t="s">
        <v>30</v>
      </c>
      <c r="R379" s="6" t="s">
        <v>31</v>
      </c>
      <c r="S379" s="6" t="s">
        <v>32</v>
      </c>
      <c r="T379" s="6">
        <v>95.93</v>
      </c>
      <c r="U379" s="6">
        <v>41.37</v>
      </c>
      <c r="V379" s="6">
        <v>38.200000000000003</v>
      </c>
      <c r="W379" s="6">
        <v>0</v>
      </c>
      <c r="X379" s="6">
        <v>16.36</v>
      </c>
    </row>
    <row r="380" spans="1:24" x14ac:dyDescent="0.25">
      <c r="A380" s="6" t="s">
        <v>25</v>
      </c>
      <c r="B380" s="6" t="s">
        <v>26</v>
      </c>
      <c r="C380" s="6" t="s">
        <v>48</v>
      </c>
      <c r="D380" s="6" t="s">
        <v>159</v>
      </c>
      <c r="E380" s="6" t="s">
        <v>34</v>
      </c>
      <c r="F380" s="6" t="s">
        <v>160</v>
      </c>
      <c r="G380" s="6">
        <v>2017</v>
      </c>
      <c r="H380" s="6" t="str">
        <f>CONCATENATE("74780069006")</f>
        <v>74780069006</v>
      </c>
      <c r="I380" s="6" t="s">
        <v>28</v>
      </c>
      <c r="J380" s="6" t="s">
        <v>29</v>
      </c>
      <c r="K380" s="6" t="str">
        <f>CONCATENATE("221")</f>
        <v>221</v>
      </c>
      <c r="L380" s="6" t="str">
        <f>CONCATENATE("8 8.1 5e")</f>
        <v>8 8.1 5e</v>
      </c>
      <c r="M380" s="6" t="str">
        <f>CONCATENATE("SLVGNN46E55H876G")</f>
        <v>SLVGNN46E55H876G</v>
      </c>
      <c r="N380" s="6" t="s">
        <v>481</v>
      </c>
      <c r="O380" s="6" t="s">
        <v>395</v>
      </c>
      <c r="P380" s="7">
        <v>43173</v>
      </c>
      <c r="Q380" s="6" t="s">
        <v>30</v>
      </c>
      <c r="R380" s="6" t="s">
        <v>31</v>
      </c>
      <c r="S380" s="6" t="s">
        <v>32</v>
      </c>
      <c r="T380" s="6">
        <v>249.78</v>
      </c>
      <c r="U380" s="6">
        <v>107.71</v>
      </c>
      <c r="V380" s="6">
        <v>99.46</v>
      </c>
      <c r="W380" s="6">
        <v>0</v>
      </c>
      <c r="X380" s="6">
        <v>42.61</v>
      </c>
    </row>
    <row r="381" spans="1:24" x14ac:dyDescent="0.25">
      <c r="A381" s="6" t="s">
        <v>25</v>
      </c>
      <c r="B381" s="6" t="s">
        <v>26</v>
      </c>
      <c r="C381" s="6" t="s">
        <v>48</v>
      </c>
      <c r="D381" s="6" t="s">
        <v>159</v>
      </c>
      <c r="E381" s="6" t="s">
        <v>34</v>
      </c>
      <c r="F381" s="6" t="s">
        <v>198</v>
      </c>
      <c r="G381" s="6">
        <v>2017</v>
      </c>
      <c r="H381" s="6" t="str">
        <f>CONCATENATE("74780058504")</f>
        <v>74780058504</v>
      </c>
      <c r="I381" s="6" t="s">
        <v>28</v>
      </c>
      <c r="J381" s="6" t="s">
        <v>29</v>
      </c>
      <c r="K381" s="6" t="str">
        <f>CONCATENATE("221")</f>
        <v>221</v>
      </c>
      <c r="L381" s="6" t="str">
        <f>CONCATENATE("8 8.1 5e")</f>
        <v>8 8.1 5e</v>
      </c>
      <c r="M381" s="6" t="str">
        <f>CONCATENATE("SLVSRA65P20E783R")</f>
        <v>SLVSRA65P20E783R</v>
      </c>
      <c r="N381" s="6" t="s">
        <v>482</v>
      </c>
      <c r="O381" s="6" t="s">
        <v>395</v>
      </c>
      <c r="P381" s="7">
        <v>43173</v>
      </c>
      <c r="Q381" s="6" t="s">
        <v>30</v>
      </c>
      <c r="R381" s="6" t="s">
        <v>31</v>
      </c>
      <c r="S381" s="6" t="s">
        <v>32</v>
      </c>
      <c r="T381" s="6">
        <v>280.55</v>
      </c>
      <c r="U381" s="6">
        <v>120.97</v>
      </c>
      <c r="V381" s="6">
        <v>111.72</v>
      </c>
      <c r="W381" s="6">
        <v>0</v>
      </c>
      <c r="X381" s="6">
        <v>47.86</v>
      </c>
    </row>
    <row r="382" spans="1:24" x14ac:dyDescent="0.25">
      <c r="A382" s="6" t="s">
        <v>25</v>
      </c>
      <c r="B382" s="6" t="s">
        <v>26</v>
      </c>
      <c r="C382" s="6" t="s">
        <v>48</v>
      </c>
      <c r="D382" s="6" t="s">
        <v>159</v>
      </c>
      <c r="E382" s="6" t="s">
        <v>27</v>
      </c>
      <c r="F382" s="6" t="s">
        <v>172</v>
      </c>
      <c r="G382" s="6">
        <v>2017</v>
      </c>
      <c r="H382" s="6" t="str">
        <f>CONCATENATE("74780041260")</f>
        <v>74780041260</v>
      </c>
      <c r="I382" s="6" t="s">
        <v>28</v>
      </c>
      <c r="J382" s="6" t="s">
        <v>29</v>
      </c>
      <c r="K382" s="6" t="str">
        <f>CONCATENATE("221")</f>
        <v>221</v>
      </c>
      <c r="L382" s="6" t="str">
        <f>CONCATENATE("8 8.1 5e")</f>
        <v>8 8.1 5e</v>
      </c>
      <c r="M382" s="6" t="str">
        <f>CONCATENATE("SNTMRS51M53G920V")</f>
        <v>SNTMRS51M53G920V</v>
      </c>
      <c r="N382" s="6" t="s">
        <v>483</v>
      </c>
      <c r="O382" s="6" t="s">
        <v>395</v>
      </c>
      <c r="P382" s="7">
        <v>43173</v>
      </c>
      <c r="Q382" s="6" t="s">
        <v>30</v>
      </c>
      <c r="R382" s="6" t="s">
        <v>31</v>
      </c>
      <c r="S382" s="6" t="s">
        <v>32</v>
      </c>
      <c r="T382" s="6">
        <v>865.55</v>
      </c>
      <c r="U382" s="6">
        <v>373.23</v>
      </c>
      <c r="V382" s="6">
        <v>344.66</v>
      </c>
      <c r="W382" s="6">
        <v>0</v>
      </c>
      <c r="X382" s="6">
        <v>147.66</v>
      </c>
    </row>
    <row r="383" spans="1:24" x14ac:dyDescent="0.25">
      <c r="A383" s="6" t="s">
        <v>25</v>
      </c>
      <c r="B383" s="6" t="s">
        <v>26</v>
      </c>
      <c r="C383" s="6" t="s">
        <v>48</v>
      </c>
      <c r="D383" s="6" t="s">
        <v>159</v>
      </c>
      <c r="E383" s="6" t="s">
        <v>42</v>
      </c>
      <c r="F383" s="6" t="s">
        <v>194</v>
      </c>
      <c r="G383" s="6">
        <v>2017</v>
      </c>
      <c r="H383" s="6" t="str">
        <f>CONCATENATE("74780019555")</f>
        <v>74780019555</v>
      </c>
      <c r="I383" s="6" t="s">
        <v>28</v>
      </c>
      <c r="J383" s="6" t="s">
        <v>29</v>
      </c>
      <c r="K383" s="6" t="str">
        <f>CONCATENATE("221")</f>
        <v>221</v>
      </c>
      <c r="L383" s="6" t="str">
        <f>CONCATENATE("8 8.1 5e")</f>
        <v>8 8.1 5e</v>
      </c>
      <c r="M383" s="6" t="str">
        <f>CONCATENATE("SCMSVN57P45D652L")</f>
        <v>SCMSVN57P45D652L</v>
      </c>
      <c r="N383" s="6" t="s">
        <v>484</v>
      </c>
      <c r="O383" s="6" t="s">
        <v>395</v>
      </c>
      <c r="P383" s="7">
        <v>43173</v>
      </c>
      <c r="Q383" s="6" t="s">
        <v>30</v>
      </c>
      <c r="R383" s="6" t="s">
        <v>31</v>
      </c>
      <c r="S383" s="6" t="s">
        <v>32</v>
      </c>
      <c r="T383" s="6">
        <v>861.56</v>
      </c>
      <c r="U383" s="6">
        <v>371.5</v>
      </c>
      <c r="V383" s="6">
        <v>343.07</v>
      </c>
      <c r="W383" s="6">
        <v>0</v>
      </c>
      <c r="X383" s="6">
        <v>146.99</v>
      </c>
    </row>
    <row r="384" spans="1:24" x14ac:dyDescent="0.25">
      <c r="A384" s="6" t="s">
        <v>25</v>
      </c>
      <c r="B384" s="6" t="s">
        <v>26</v>
      </c>
      <c r="C384" s="6" t="s">
        <v>48</v>
      </c>
      <c r="D384" s="6" t="s">
        <v>159</v>
      </c>
      <c r="E384" s="6" t="s">
        <v>34</v>
      </c>
      <c r="F384" s="6" t="s">
        <v>179</v>
      </c>
      <c r="G384" s="6">
        <v>2017</v>
      </c>
      <c r="H384" s="6" t="str">
        <f>CONCATENATE("74780059908")</f>
        <v>74780059908</v>
      </c>
      <c r="I384" s="6" t="s">
        <v>28</v>
      </c>
      <c r="J384" s="6" t="s">
        <v>29</v>
      </c>
      <c r="K384" s="6" t="str">
        <f>CONCATENATE("221")</f>
        <v>221</v>
      </c>
      <c r="L384" s="6" t="str">
        <f>CONCATENATE("8 8.1 5e")</f>
        <v>8 8.1 5e</v>
      </c>
      <c r="M384" s="6" t="str">
        <f>CONCATENATE("MRNFMN29L69F632I")</f>
        <v>MRNFMN29L69F632I</v>
      </c>
      <c r="N384" s="6" t="s">
        <v>485</v>
      </c>
      <c r="O384" s="6" t="s">
        <v>395</v>
      </c>
      <c r="P384" s="7">
        <v>43173</v>
      </c>
      <c r="Q384" s="6" t="s">
        <v>30</v>
      </c>
      <c r="R384" s="6" t="s">
        <v>31</v>
      </c>
      <c r="S384" s="6" t="s">
        <v>32</v>
      </c>
      <c r="T384" s="8">
        <v>1744.84</v>
      </c>
      <c r="U384" s="6">
        <v>752.38</v>
      </c>
      <c r="V384" s="6">
        <v>694.8</v>
      </c>
      <c r="W384" s="6">
        <v>0</v>
      </c>
      <c r="X384" s="6">
        <v>297.66000000000003</v>
      </c>
    </row>
    <row r="385" spans="1:24" x14ac:dyDescent="0.25">
      <c r="A385" s="6" t="s">
        <v>25</v>
      </c>
      <c r="B385" s="6" t="s">
        <v>26</v>
      </c>
      <c r="C385" s="6" t="s">
        <v>48</v>
      </c>
      <c r="D385" s="6" t="s">
        <v>159</v>
      </c>
      <c r="E385" s="6" t="s">
        <v>27</v>
      </c>
      <c r="F385" s="6" t="s">
        <v>181</v>
      </c>
      <c r="G385" s="6">
        <v>2017</v>
      </c>
      <c r="H385" s="6" t="str">
        <f>CONCATENATE("74780031758")</f>
        <v>74780031758</v>
      </c>
      <c r="I385" s="6" t="s">
        <v>28</v>
      </c>
      <c r="J385" s="6" t="s">
        <v>29</v>
      </c>
      <c r="K385" s="6" t="str">
        <f>CONCATENATE("221")</f>
        <v>221</v>
      </c>
      <c r="L385" s="6" t="str">
        <f>CONCATENATE("8 8.1 5e")</f>
        <v>8 8.1 5e</v>
      </c>
      <c r="M385" s="6" t="str">
        <f>CONCATENATE("RMNNCL39H11I286J")</f>
        <v>RMNNCL39H11I286J</v>
      </c>
      <c r="N385" s="6" t="s">
        <v>486</v>
      </c>
      <c r="O385" s="6" t="s">
        <v>395</v>
      </c>
      <c r="P385" s="7">
        <v>43173</v>
      </c>
      <c r="Q385" s="6" t="s">
        <v>30</v>
      </c>
      <c r="R385" s="6" t="s">
        <v>31</v>
      </c>
      <c r="S385" s="6" t="s">
        <v>32</v>
      </c>
      <c r="T385" s="8">
        <v>1216.93</v>
      </c>
      <c r="U385" s="6">
        <v>524.74</v>
      </c>
      <c r="V385" s="6">
        <v>484.58</v>
      </c>
      <c r="W385" s="6">
        <v>0</v>
      </c>
      <c r="X385" s="6">
        <v>207.61</v>
      </c>
    </row>
    <row r="386" spans="1:24" ht="24.75" x14ac:dyDescent="0.25">
      <c r="A386" s="6" t="s">
        <v>25</v>
      </c>
      <c r="B386" s="6" t="s">
        <v>26</v>
      </c>
      <c r="C386" s="6" t="s">
        <v>48</v>
      </c>
      <c r="D386" s="6" t="s">
        <v>58</v>
      </c>
      <c r="E386" s="6" t="s">
        <v>27</v>
      </c>
      <c r="F386" s="6" t="s">
        <v>487</v>
      </c>
      <c r="G386" s="6">
        <v>2017</v>
      </c>
      <c r="H386" s="6" t="str">
        <f>CONCATENATE("74780068065")</f>
        <v>74780068065</v>
      </c>
      <c r="I386" s="6" t="s">
        <v>28</v>
      </c>
      <c r="J386" s="6" t="s">
        <v>29</v>
      </c>
      <c r="K386" s="6" t="str">
        <f>CONCATENATE("221")</f>
        <v>221</v>
      </c>
      <c r="L386" s="6" t="str">
        <f>CONCATENATE("8 8.1 5e")</f>
        <v>8 8.1 5e</v>
      </c>
      <c r="M386" s="6" t="str">
        <f>CONCATENATE("NCAMRT45S70B846F")</f>
        <v>NCAMRT45S70B846F</v>
      </c>
      <c r="N386" s="6" t="s">
        <v>488</v>
      </c>
      <c r="O386" s="6" t="s">
        <v>395</v>
      </c>
      <c r="P386" s="7">
        <v>43173</v>
      </c>
      <c r="Q386" s="6" t="s">
        <v>30</v>
      </c>
      <c r="R386" s="6" t="s">
        <v>31</v>
      </c>
      <c r="S386" s="6" t="s">
        <v>32</v>
      </c>
      <c r="T386" s="6">
        <v>144.88</v>
      </c>
      <c r="U386" s="6">
        <v>62.47</v>
      </c>
      <c r="V386" s="6">
        <v>57.69</v>
      </c>
      <c r="W386" s="6">
        <v>0</v>
      </c>
      <c r="X386" s="6">
        <v>24.72</v>
      </c>
    </row>
    <row r="387" spans="1:24" ht="24.75" x14ac:dyDescent="0.25">
      <c r="A387" s="6" t="s">
        <v>25</v>
      </c>
      <c r="B387" s="6" t="s">
        <v>26</v>
      </c>
      <c r="C387" s="6" t="s">
        <v>48</v>
      </c>
      <c r="D387" s="6" t="s">
        <v>58</v>
      </c>
      <c r="E387" s="6" t="s">
        <v>34</v>
      </c>
      <c r="F387" s="6" t="s">
        <v>489</v>
      </c>
      <c r="G387" s="6">
        <v>2017</v>
      </c>
      <c r="H387" s="6" t="str">
        <f>CONCATENATE("74780001991")</f>
        <v>74780001991</v>
      </c>
      <c r="I387" s="6" t="s">
        <v>28</v>
      </c>
      <c r="J387" s="6" t="s">
        <v>29</v>
      </c>
      <c r="K387" s="6" t="str">
        <f>CONCATENATE("221")</f>
        <v>221</v>
      </c>
      <c r="L387" s="6" t="str">
        <f>CONCATENATE("8 8.1 5e")</f>
        <v>8 8.1 5e</v>
      </c>
      <c r="M387" s="6" t="str">
        <f>CONCATENATE("BRZRRT58A62B188P")</f>
        <v>BRZRRT58A62B188P</v>
      </c>
      <c r="N387" s="6" t="s">
        <v>490</v>
      </c>
      <c r="O387" s="6" t="s">
        <v>395</v>
      </c>
      <c r="P387" s="7">
        <v>43173</v>
      </c>
      <c r="Q387" s="6" t="s">
        <v>30</v>
      </c>
      <c r="R387" s="6" t="s">
        <v>31</v>
      </c>
      <c r="S387" s="6" t="s">
        <v>32</v>
      </c>
      <c r="T387" s="6">
        <v>275.43</v>
      </c>
      <c r="U387" s="6">
        <v>118.77</v>
      </c>
      <c r="V387" s="6">
        <v>109.68</v>
      </c>
      <c r="W387" s="6">
        <v>0</v>
      </c>
      <c r="X387" s="6">
        <v>46.98</v>
      </c>
    </row>
    <row r="388" spans="1:24" ht="24.75" x14ac:dyDescent="0.25">
      <c r="A388" s="6" t="s">
        <v>25</v>
      </c>
      <c r="B388" s="6" t="s">
        <v>26</v>
      </c>
      <c r="C388" s="6" t="s">
        <v>48</v>
      </c>
      <c r="D388" s="6" t="s">
        <v>58</v>
      </c>
      <c r="E388" s="6" t="s">
        <v>34</v>
      </c>
      <c r="F388" s="6" t="s">
        <v>145</v>
      </c>
      <c r="G388" s="6">
        <v>2017</v>
      </c>
      <c r="H388" s="6" t="str">
        <f>CONCATENATE("74780071150")</f>
        <v>74780071150</v>
      </c>
      <c r="I388" s="6" t="s">
        <v>28</v>
      </c>
      <c r="J388" s="6" t="s">
        <v>29</v>
      </c>
      <c r="K388" s="6" t="str">
        <f>CONCATENATE("221")</f>
        <v>221</v>
      </c>
      <c r="L388" s="6" t="str">
        <f>CONCATENATE("8 8.1 5e")</f>
        <v>8 8.1 5e</v>
      </c>
      <c r="M388" s="6" t="str">
        <f>CONCATENATE("BNFNNT57A56G479G")</f>
        <v>BNFNNT57A56G479G</v>
      </c>
      <c r="N388" s="6" t="s">
        <v>491</v>
      </c>
      <c r="O388" s="6" t="s">
        <v>395</v>
      </c>
      <c r="P388" s="7">
        <v>43173</v>
      </c>
      <c r="Q388" s="6" t="s">
        <v>30</v>
      </c>
      <c r="R388" s="6" t="s">
        <v>31</v>
      </c>
      <c r="S388" s="6" t="s">
        <v>32</v>
      </c>
      <c r="T388" s="6">
        <v>111.46</v>
      </c>
      <c r="U388" s="6">
        <v>48.06</v>
      </c>
      <c r="V388" s="6">
        <v>44.38</v>
      </c>
      <c r="W388" s="6">
        <v>0</v>
      </c>
      <c r="X388" s="6">
        <v>19.02</v>
      </c>
    </row>
    <row r="389" spans="1:24" x14ac:dyDescent="0.25">
      <c r="A389" s="6" t="s">
        <v>25</v>
      </c>
      <c r="B389" s="6" t="s">
        <v>26</v>
      </c>
      <c r="C389" s="6" t="s">
        <v>48</v>
      </c>
      <c r="D389" s="6" t="s">
        <v>159</v>
      </c>
      <c r="E389" s="6" t="s">
        <v>34</v>
      </c>
      <c r="F389" s="6" t="s">
        <v>179</v>
      </c>
      <c r="G389" s="6">
        <v>2017</v>
      </c>
      <c r="H389" s="6" t="str">
        <f>CONCATENATE("74780068057")</f>
        <v>74780068057</v>
      </c>
      <c r="I389" s="6" t="s">
        <v>28</v>
      </c>
      <c r="J389" s="6" t="s">
        <v>29</v>
      </c>
      <c r="K389" s="6" t="str">
        <f>CONCATENATE("221")</f>
        <v>221</v>
      </c>
      <c r="L389" s="6" t="str">
        <f>CONCATENATE("8 8.1 5e")</f>
        <v>8 8.1 5e</v>
      </c>
      <c r="M389" s="6" t="str">
        <f>CONCATENATE("CPPPRL39T50D542O")</f>
        <v>CPPPRL39T50D542O</v>
      </c>
      <c r="N389" s="6" t="s">
        <v>492</v>
      </c>
      <c r="O389" s="6" t="s">
        <v>395</v>
      </c>
      <c r="P389" s="7">
        <v>43173</v>
      </c>
      <c r="Q389" s="6" t="s">
        <v>30</v>
      </c>
      <c r="R389" s="6" t="s">
        <v>31</v>
      </c>
      <c r="S389" s="6" t="s">
        <v>32</v>
      </c>
      <c r="T389" s="8">
        <v>2970.22</v>
      </c>
      <c r="U389" s="8">
        <v>1280.76</v>
      </c>
      <c r="V389" s="8">
        <v>1182.74</v>
      </c>
      <c r="W389" s="6">
        <v>0</v>
      </c>
      <c r="X389" s="6">
        <v>506.72</v>
      </c>
    </row>
    <row r="390" spans="1:24" ht="24.75" x14ac:dyDescent="0.25">
      <c r="A390" s="6" t="s">
        <v>25</v>
      </c>
      <c r="B390" s="6" t="s">
        <v>26</v>
      </c>
      <c r="C390" s="6" t="s">
        <v>48</v>
      </c>
      <c r="D390" s="6" t="s">
        <v>58</v>
      </c>
      <c r="E390" s="6" t="s">
        <v>34</v>
      </c>
      <c r="F390" s="6" t="s">
        <v>81</v>
      </c>
      <c r="G390" s="6">
        <v>2017</v>
      </c>
      <c r="H390" s="6" t="str">
        <f>CONCATENATE("74780065723")</f>
        <v>74780065723</v>
      </c>
      <c r="I390" s="6" t="s">
        <v>28</v>
      </c>
      <c r="J390" s="6" t="s">
        <v>29</v>
      </c>
      <c r="K390" s="6" t="str">
        <f>CONCATENATE("221")</f>
        <v>221</v>
      </c>
      <c r="L390" s="6" t="str">
        <f>CONCATENATE("8 8.1 5e")</f>
        <v>8 8.1 5e</v>
      </c>
      <c r="M390" s="6" t="str">
        <f>CONCATENATE("01385210412")</f>
        <v>01385210412</v>
      </c>
      <c r="N390" s="6" t="s">
        <v>493</v>
      </c>
      <c r="O390" s="6" t="s">
        <v>395</v>
      </c>
      <c r="P390" s="7">
        <v>43173</v>
      </c>
      <c r="Q390" s="6" t="s">
        <v>30</v>
      </c>
      <c r="R390" s="6" t="s">
        <v>31</v>
      </c>
      <c r="S390" s="6" t="s">
        <v>32</v>
      </c>
      <c r="T390" s="6">
        <v>134.01</v>
      </c>
      <c r="U390" s="6">
        <v>57.79</v>
      </c>
      <c r="V390" s="6">
        <v>53.36</v>
      </c>
      <c r="W390" s="6">
        <v>0</v>
      </c>
      <c r="X390" s="6">
        <v>22.86</v>
      </c>
    </row>
    <row r="391" spans="1:24" ht="24.75" x14ac:dyDescent="0.25">
      <c r="A391" s="6" t="s">
        <v>25</v>
      </c>
      <c r="B391" s="6" t="s">
        <v>26</v>
      </c>
      <c r="C391" s="6" t="s">
        <v>48</v>
      </c>
      <c r="D391" s="6" t="s">
        <v>58</v>
      </c>
      <c r="E391" s="6" t="s">
        <v>33</v>
      </c>
      <c r="F391" s="6" t="s">
        <v>494</v>
      </c>
      <c r="G391" s="6">
        <v>2017</v>
      </c>
      <c r="H391" s="6" t="str">
        <f>CONCATENATE("74780063413")</f>
        <v>74780063413</v>
      </c>
      <c r="I391" s="6" t="s">
        <v>28</v>
      </c>
      <c r="J391" s="6" t="s">
        <v>29</v>
      </c>
      <c r="K391" s="6" t="str">
        <f>CONCATENATE("221")</f>
        <v>221</v>
      </c>
      <c r="L391" s="6" t="str">
        <f>CONCATENATE("8 8.1 5e")</f>
        <v>8 8.1 5e</v>
      </c>
      <c r="M391" s="6" t="str">
        <f>CONCATENATE("RCAVCN47S02G479W")</f>
        <v>RCAVCN47S02G479W</v>
      </c>
      <c r="N391" s="6" t="s">
        <v>495</v>
      </c>
      <c r="O391" s="6" t="s">
        <v>395</v>
      </c>
      <c r="P391" s="7">
        <v>43173</v>
      </c>
      <c r="Q391" s="6" t="s">
        <v>30</v>
      </c>
      <c r="R391" s="6" t="s">
        <v>31</v>
      </c>
      <c r="S391" s="6" t="s">
        <v>32</v>
      </c>
      <c r="T391" s="6">
        <v>181.1</v>
      </c>
      <c r="U391" s="6">
        <v>78.09</v>
      </c>
      <c r="V391" s="6">
        <v>72.11</v>
      </c>
      <c r="W391" s="6">
        <v>0</v>
      </c>
      <c r="X391" s="6">
        <v>30.9</v>
      </c>
    </row>
    <row r="392" spans="1:24" ht="24.75" x14ac:dyDescent="0.25">
      <c r="A392" s="6" t="s">
        <v>25</v>
      </c>
      <c r="B392" s="6" t="s">
        <v>26</v>
      </c>
      <c r="C392" s="6" t="s">
        <v>48</v>
      </c>
      <c r="D392" s="6" t="s">
        <v>52</v>
      </c>
      <c r="E392" s="6" t="s">
        <v>33</v>
      </c>
      <c r="F392" s="6" t="s">
        <v>83</v>
      </c>
      <c r="G392" s="6">
        <v>2017</v>
      </c>
      <c r="H392" s="6" t="str">
        <f>CONCATENATE("74780067240")</f>
        <v>74780067240</v>
      </c>
      <c r="I392" s="6" t="s">
        <v>28</v>
      </c>
      <c r="J392" s="6" t="s">
        <v>29</v>
      </c>
      <c r="K392" s="6" t="str">
        <f>CONCATENATE("221")</f>
        <v>221</v>
      </c>
      <c r="L392" s="6" t="str">
        <f>CONCATENATE("8 8.1 5e")</f>
        <v>8 8.1 5e</v>
      </c>
      <c r="M392" s="6" t="str">
        <f>CONCATENATE("NGLDNI25S10F697B")</f>
        <v>NGLDNI25S10F697B</v>
      </c>
      <c r="N392" s="6" t="s">
        <v>496</v>
      </c>
      <c r="O392" s="6" t="s">
        <v>395</v>
      </c>
      <c r="P392" s="7">
        <v>43173</v>
      </c>
      <c r="Q392" s="6" t="s">
        <v>30</v>
      </c>
      <c r="R392" s="6" t="s">
        <v>31</v>
      </c>
      <c r="S392" s="6" t="s">
        <v>32</v>
      </c>
      <c r="T392" s="8">
        <v>4120.22</v>
      </c>
      <c r="U392" s="8">
        <v>1776.64</v>
      </c>
      <c r="V392" s="8">
        <v>1640.67</v>
      </c>
      <c r="W392" s="6">
        <v>0</v>
      </c>
      <c r="X392" s="6">
        <v>702.91</v>
      </c>
    </row>
    <row r="393" spans="1:24" ht="24.75" x14ac:dyDescent="0.25">
      <c r="A393" s="6" t="s">
        <v>25</v>
      </c>
      <c r="B393" s="6" t="s">
        <v>26</v>
      </c>
      <c r="C393" s="6" t="s">
        <v>48</v>
      </c>
      <c r="D393" s="6" t="s">
        <v>58</v>
      </c>
      <c r="E393" s="6" t="s">
        <v>34</v>
      </c>
      <c r="F393" s="6" t="s">
        <v>497</v>
      </c>
      <c r="G393" s="6">
        <v>2017</v>
      </c>
      <c r="H393" s="6" t="str">
        <f>CONCATENATE("74780064171")</f>
        <v>74780064171</v>
      </c>
      <c r="I393" s="6" t="s">
        <v>28</v>
      </c>
      <c r="J393" s="6" t="s">
        <v>29</v>
      </c>
      <c r="K393" s="6" t="str">
        <f>CONCATENATE("221")</f>
        <v>221</v>
      </c>
      <c r="L393" s="6" t="str">
        <f>CONCATENATE("8 8.1 5e")</f>
        <v>8 8.1 5e</v>
      </c>
      <c r="M393" s="6" t="str">
        <f>CONCATENATE("BRLNTN36P03I670L")</f>
        <v>BRLNTN36P03I670L</v>
      </c>
      <c r="N393" s="6" t="s">
        <v>498</v>
      </c>
      <c r="O393" s="6" t="s">
        <v>395</v>
      </c>
      <c r="P393" s="7">
        <v>43173</v>
      </c>
      <c r="Q393" s="6" t="s">
        <v>30</v>
      </c>
      <c r="R393" s="6" t="s">
        <v>31</v>
      </c>
      <c r="S393" s="6" t="s">
        <v>32</v>
      </c>
      <c r="T393" s="6">
        <v>590.38</v>
      </c>
      <c r="U393" s="6">
        <v>254.57</v>
      </c>
      <c r="V393" s="6">
        <v>235.09</v>
      </c>
      <c r="W393" s="6">
        <v>0</v>
      </c>
      <c r="X393" s="6">
        <v>100.72</v>
      </c>
    </row>
    <row r="394" spans="1:24" ht="24.75" x14ac:dyDescent="0.25">
      <c r="A394" s="6" t="s">
        <v>25</v>
      </c>
      <c r="B394" s="6" t="s">
        <v>26</v>
      </c>
      <c r="C394" s="6" t="s">
        <v>48</v>
      </c>
      <c r="D394" s="6" t="s">
        <v>58</v>
      </c>
      <c r="E394" s="6" t="s">
        <v>38</v>
      </c>
      <c r="F394" s="6" t="s">
        <v>59</v>
      </c>
      <c r="G394" s="6">
        <v>2017</v>
      </c>
      <c r="H394" s="6" t="str">
        <f>CONCATENATE("74780073339")</f>
        <v>74780073339</v>
      </c>
      <c r="I394" s="6" t="s">
        <v>28</v>
      </c>
      <c r="J394" s="6" t="s">
        <v>29</v>
      </c>
      <c r="K394" s="6" t="str">
        <f>CONCATENATE("221")</f>
        <v>221</v>
      </c>
      <c r="L394" s="6" t="str">
        <f>CONCATENATE("8 8.1 5e")</f>
        <v>8 8.1 5e</v>
      </c>
      <c r="M394" s="6" t="str">
        <f>CONCATENATE("BNCGCM62D24I459P")</f>
        <v>BNCGCM62D24I459P</v>
      </c>
      <c r="N394" s="6" t="s">
        <v>499</v>
      </c>
      <c r="O394" s="6" t="s">
        <v>395</v>
      </c>
      <c r="P394" s="7">
        <v>43173</v>
      </c>
      <c r="Q394" s="6" t="s">
        <v>30</v>
      </c>
      <c r="R394" s="6" t="s">
        <v>31</v>
      </c>
      <c r="S394" s="6" t="s">
        <v>32</v>
      </c>
      <c r="T394" s="6">
        <v>152.12</v>
      </c>
      <c r="U394" s="6">
        <v>65.59</v>
      </c>
      <c r="V394" s="6">
        <v>60.57</v>
      </c>
      <c r="W394" s="6">
        <v>0</v>
      </c>
      <c r="X394" s="6">
        <v>25.96</v>
      </c>
    </row>
    <row r="395" spans="1:24" ht="24.75" x14ac:dyDescent="0.25">
      <c r="A395" s="6" t="s">
        <v>25</v>
      </c>
      <c r="B395" s="6" t="s">
        <v>26</v>
      </c>
      <c r="C395" s="6" t="s">
        <v>48</v>
      </c>
      <c r="D395" s="6" t="s">
        <v>52</v>
      </c>
      <c r="E395" s="6" t="s">
        <v>34</v>
      </c>
      <c r="F395" s="6" t="s">
        <v>233</v>
      </c>
      <c r="G395" s="6">
        <v>2017</v>
      </c>
      <c r="H395" s="6" t="str">
        <f>CONCATENATE("74780057639")</f>
        <v>74780057639</v>
      </c>
      <c r="I395" s="6" t="s">
        <v>28</v>
      </c>
      <c r="J395" s="6" t="s">
        <v>29</v>
      </c>
      <c r="K395" s="6" t="str">
        <f>CONCATENATE("221")</f>
        <v>221</v>
      </c>
      <c r="L395" s="6" t="str">
        <f>CONCATENATE("8 8.1 5e")</f>
        <v>8 8.1 5e</v>
      </c>
      <c r="M395" s="6" t="str">
        <f>CONCATENATE("SRRGZL47L59A252I")</f>
        <v>SRRGZL47L59A252I</v>
      </c>
      <c r="N395" s="6" t="s">
        <v>500</v>
      </c>
      <c r="O395" s="6" t="s">
        <v>395</v>
      </c>
      <c r="P395" s="7">
        <v>43173</v>
      </c>
      <c r="Q395" s="6" t="s">
        <v>30</v>
      </c>
      <c r="R395" s="6" t="s">
        <v>31</v>
      </c>
      <c r="S395" s="6" t="s">
        <v>32</v>
      </c>
      <c r="T395" s="6">
        <v>872.5</v>
      </c>
      <c r="U395" s="6">
        <v>376.22</v>
      </c>
      <c r="V395" s="6">
        <v>347.43</v>
      </c>
      <c r="W395" s="6">
        <v>0</v>
      </c>
      <c r="X395" s="6">
        <v>148.85</v>
      </c>
    </row>
    <row r="396" spans="1:24" ht="24.75" x14ac:dyDescent="0.25">
      <c r="A396" s="6" t="s">
        <v>25</v>
      </c>
      <c r="B396" s="6" t="s">
        <v>26</v>
      </c>
      <c r="C396" s="6" t="s">
        <v>48</v>
      </c>
      <c r="D396" s="6" t="s">
        <v>52</v>
      </c>
      <c r="E396" s="6" t="s">
        <v>34</v>
      </c>
      <c r="F396" s="6" t="s">
        <v>68</v>
      </c>
      <c r="G396" s="6">
        <v>2017</v>
      </c>
      <c r="H396" s="6" t="str">
        <f>CONCATENATE("74780058462")</f>
        <v>74780058462</v>
      </c>
      <c r="I396" s="6" t="s">
        <v>28</v>
      </c>
      <c r="J396" s="6" t="s">
        <v>29</v>
      </c>
      <c r="K396" s="6" t="str">
        <f>CONCATENATE("221")</f>
        <v>221</v>
      </c>
      <c r="L396" s="6" t="str">
        <f>CONCATENATE("8 8.1 5e")</f>
        <v>8 8.1 5e</v>
      </c>
      <c r="M396" s="6" t="str">
        <f>CONCATENATE("SCRMRS56S66F520D")</f>
        <v>SCRMRS56S66F520D</v>
      </c>
      <c r="N396" s="6" t="s">
        <v>501</v>
      </c>
      <c r="O396" s="6" t="s">
        <v>395</v>
      </c>
      <c r="P396" s="7">
        <v>43173</v>
      </c>
      <c r="Q396" s="6" t="s">
        <v>30</v>
      </c>
      <c r="R396" s="6" t="s">
        <v>31</v>
      </c>
      <c r="S396" s="6" t="s">
        <v>32</v>
      </c>
      <c r="T396" s="6">
        <v>99.6</v>
      </c>
      <c r="U396" s="6">
        <v>42.95</v>
      </c>
      <c r="V396" s="6">
        <v>39.659999999999997</v>
      </c>
      <c r="W396" s="6">
        <v>0</v>
      </c>
      <c r="X396" s="6">
        <v>16.989999999999998</v>
      </c>
    </row>
    <row r="397" spans="1:24" ht="24.75" x14ac:dyDescent="0.25">
      <c r="A397" s="6" t="s">
        <v>25</v>
      </c>
      <c r="B397" s="6" t="s">
        <v>26</v>
      </c>
      <c r="C397" s="6" t="s">
        <v>48</v>
      </c>
      <c r="D397" s="6" t="s">
        <v>52</v>
      </c>
      <c r="E397" s="6" t="s">
        <v>34</v>
      </c>
      <c r="F397" s="6" t="s">
        <v>68</v>
      </c>
      <c r="G397" s="6">
        <v>2017</v>
      </c>
      <c r="H397" s="6" t="str">
        <f>CONCATENATE("74780073628")</f>
        <v>74780073628</v>
      </c>
      <c r="I397" s="6" t="s">
        <v>28</v>
      </c>
      <c r="J397" s="6" t="s">
        <v>29</v>
      </c>
      <c r="K397" s="6" t="str">
        <f>CONCATENATE("221")</f>
        <v>221</v>
      </c>
      <c r="L397" s="6" t="str">
        <f>CONCATENATE("8 8.1 5e")</f>
        <v>8 8.1 5e</v>
      </c>
      <c r="M397" s="6" t="str">
        <f>CONCATENATE("SNTGZL27B42F520R")</f>
        <v>SNTGZL27B42F520R</v>
      </c>
      <c r="N397" s="6" t="s">
        <v>502</v>
      </c>
      <c r="O397" s="6" t="s">
        <v>395</v>
      </c>
      <c r="P397" s="7">
        <v>43173</v>
      </c>
      <c r="Q397" s="6" t="s">
        <v>30</v>
      </c>
      <c r="R397" s="6" t="s">
        <v>31</v>
      </c>
      <c r="S397" s="6" t="s">
        <v>32</v>
      </c>
      <c r="T397" s="6">
        <v>94.17</v>
      </c>
      <c r="U397" s="6">
        <v>40.61</v>
      </c>
      <c r="V397" s="6">
        <v>37.5</v>
      </c>
      <c r="W397" s="6">
        <v>0</v>
      </c>
      <c r="X397" s="6">
        <v>16.059999999999999</v>
      </c>
    </row>
    <row r="398" spans="1:24" ht="24.75" x14ac:dyDescent="0.25">
      <c r="A398" s="6" t="s">
        <v>25</v>
      </c>
      <c r="B398" s="6" t="s">
        <v>26</v>
      </c>
      <c r="C398" s="6" t="s">
        <v>48</v>
      </c>
      <c r="D398" s="6" t="s">
        <v>52</v>
      </c>
      <c r="E398" s="6" t="s">
        <v>33</v>
      </c>
      <c r="F398" s="6" t="s">
        <v>83</v>
      </c>
      <c r="G398" s="6">
        <v>2017</v>
      </c>
      <c r="H398" s="6" t="str">
        <f>CONCATENATE("74780073925")</f>
        <v>74780073925</v>
      </c>
      <c r="I398" s="6" t="s">
        <v>28</v>
      </c>
      <c r="J398" s="6" t="s">
        <v>29</v>
      </c>
      <c r="K398" s="6" t="str">
        <f>CONCATENATE("221")</f>
        <v>221</v>
      </c>
      <c r="L398" s="6" t="str">
        <f>CONCATENATE("8 8.1 5e")</f>
        <v>8 8.1 5e</v>
      </c>
      <c r="M398" s="6" t="str">
        <f>CONCATENATE("SRCPQL50C61F599I")</f>
        <v>SRCPQL50C61F599I</v>
      </c>
      <c r="N398" s="6" t="s">
        <v>503</v>
      </c>
      <c r="O398" s="6" t="s">
        <v>395</v>
      </c>
      <c r="P398" s="7">
        <v>43173</v>
      </c>
      <c r="Q398" s="6" t="s">
        <v>30</v>
      </c>
      <c r="R398" s="6" t="s">
        <v>31</v>
      </c>
      <c r="S398" s="6" t="s">
        <v>32</v>
      </c>
      <c r="T398" s="6">
        <v>456.98</v>
      </c>
      <c r="U398" s="6">
        <v>197.05</v>
      </c>
      <c r="V398" s="6">
        <v>181.97</v>
      </c>
      <c r="W398" s="6">
        <v>0</v>
      </c>
      <c r="X398" s="6">
        <v>77.959999999999994</v>
      </c>
    </row>
    <row r="399" spans="1:24" ht="24.75" x14ac:dyDescent="0.25">
      <c r="A399" s="6" t="s">
        <v>25</v>
      </c>
      <c r="B399" s="6" t="s">
        <v>26</v>
      </c>
      <c r="C399" s="6" t="s">
        <v>48</v>
      </c>
      <c r="D399" s="6" t="s">
        <v>52</v>
      </c>
      <c r="E399" s="6" t="s">
        <v>34</v>
      </c>
      <c r="F399" s="6" t="s">
        <v>294</v>
      </c>
      <c r="G399" s="6">
        <v>2017</v>
      </c>
      <c r="H399" s="6" t="str">
        <f>CONCATENATE("74780058934")</f>
        <v>74780058934</v>
      </c>
      <c r="I399" s="6" t="s">
        <v>28</v>
      </c>
      <c r="J399" s="6" t="s">
        <v>29</v>
      </c>
      <c r="K399" s="6" t="str">
        <f>CONCATENATE("221")</f>
        <v>221</v>
      </c>
      <c r="L399" s="6" t="str">
        <f>CONCATENATE("8 8.1 5e")</f>
        <v>8 8.1 5e</v>
      </c>
      <c r="M399" s="6" t="str">
        <f>CONCATENATE("SSTMLE28D05F493X")</f>
        <v>SSTMLE28D05F493X</v>
      </c>
      <c r="N399" s="6" t="s">
        <v>504</v>
      </c>
      <c r="O399" s="6" t="s">
        <v>395</v>
      </c>
      <c r="P399" s="7">
        <v>43173</v>
      </c>
      <c r="Q399" s="6" t="s">
        <v>30</v>
      </c>
      <c r="R399" s="6" t="s">
        <v>31</v>
      </c>
      <c r="S399" s="6" t="s">
        <v>32</v>
      </c>
      <c r="T399" s="6">
        <v>309.68</v>
      </c>
      <c r="U399" s="6">
        <v>133.53</v>
      </c>
      <c r="V399" s="6">
        <v>123.31</v>
      </c>
      <c r="W399" s="6">
        <v>0</v>
      </c>
      <c r="X399" s="6">
        <v>52.84</v>
      </c>
    </row>
    <row r="400" spans="1:24" ht="24.75" x14ac:dyDescent="0.25">
      <c r="A400" s="6" t="s">
        <v>25</v>
      </c>
      <c r="B400" s="6" t="s">
        <v>26</v>
      </c>
      <c r="C400" s="6" t="s">
        <v>48</v>
      </c>
      <c r="D400" s="6" t="s">
        <v>52</v>
      </c>
      <c r="E400" s="6" t="s">
        <v>27</v>
      </c>
      <c r="F400" s="6" t="s">
        <v>251</v>
      </c>
      <c r="G400" s="6">
        <v>2017</v>
      </c>
      <c r="H400" s="6" t="str">
        <f>CONCATENATE("74780007733")</f>
        <v>74780007733</v>
      </c>
      <c r="I400" s="6" t="s">
        <v>28</v>
      </c>
      <c r="J400" s="6" t="s">
        <v>29</v>
      </c>
      <c r="K400" s="6" t="str">
        <f>CONCATENATE("221")</f>
        <v>221</v>
      </c>
      <c r="L400" s="6" t="str">
        <f>CONCATENATE("8 8.1 5e")</f>
        <v>8 8.1 5e</v>
      </c>
      <c r="M400" s="6" t="str">
        <f>CONCATENATE("BRCNTN52P50C070T")</f>
        <v>BRCNTN52P50C070T</v>
      </c>
      <c r="N400" s="6" t="s">
        <v>505</v>
      </c>
      <c r="O400" s="6" t="s">
        <v>395</v>
      </c>
      <c r="P400" s="7">
        <v>43173</v>
      </c>
      <c r="Q400" s="6" t="s">
        <v>30</v>
      </c>
      <c r="R400" s="6" t="s">
        <v>31</v>
      </c>
      <c r="S400" s="6" t="s">
        <v>32</v>
      </c>
      <c r="T400" s="6">
        <v>427.39</v>
      </c>
      <c r="U400" s="6">
        <v>184.29</v>
      </c>
      <c r="V400" s="6">
        <v>170.19</v>
      </c>
      <c r="W400" s="6">
        <v>0</v>
      </c>
      <c r="X400" s="6">
        <v>72.91</v>
      </c>
    </row>
    <row r="401" spans="1:24" x14ac:dyDescent="0.25">
      <c r="A401" s="6" t="s">
        <v>25</v>
      </c>
      <c r="B401" s="6" t="s">
        <v>26</v>
      </c>
      <c r="C401" s="6" t="s">
        <v>48</v>
      </c>
      <c r="D401" s="6" t="s">
        <v>159</v>
      </c>
      <c r="E401" s="6" t="s">
        <v>27</v>
      </c>
      <c r="F401" s="6" t="s">
        <v>181</v>
      </c>
      <c r="G401" s="6">
        <v>2017</v>
      </c>
      <c r="H401" s="6" t="str">
        <f>CONCATENATE("74780016759")</f>
        <v>74780016759</v>
      </c>
      <c r="I401" s="6" t="s">
        <v>28</v>
      </c>
      <c r="J401" s="6" t="s">
        <v>29</v>
      </c>
      <c r="K401" s="6" t="str">
        <f>CONCATENATE("221")</f>
        <v>221</v>
      </c>
      <c r="L401" s="6" t="str">
        <f>CONCATENATE("8 8.1 5e")</f>
        <v>8 8.1 5e</v>
      </c>
      <c r="M401" s="6" t="str">
        <f>CONCATENATE("MNGLNI37B57I156T")</f>
        <v>MNGLNI37B57I156T</v>
      </c>
      <c r="N401" s="6" t="s">
        <v>506</v>
      </c>
      <c r="O401" s="6" t="s">
        <v>395</v>
      </c>
      <c r="P401" s="7">
        <v>43173</v>
      </c>
      <c r="Q401" s="6" t="s">
        <v>30</v>
      </c>
      <c r="R401" s="6" t="s">
        <v>31</v>
      </c>
      <c r="S401" s="6" t="s">
        <v>32</v>
      </c>
      <c r="T401" s="8">
        <v>1935.2</v>
      </c>
      <c r="U401" s="6">
        <v>834.46</v>
      </c>
      <c r="V401" s="6">
        <v>770.6</v>
      </c>
      <c r="W401" s="6">
        <v>0</v>
      </c>
      <c r="X401" s="6">
        <v>330.14</v>
      </c>
    </row>
    <row r="402" spans="1:24" x14ac:dyDescent="0.25">
      <c r="A402" s="6" t="s">
        <v>25</v>
      </c>
      <c r="B402" s="6" t="s">
        <v>26</v>
      </c>
      <c r="C402" s="6" t="s">
        <v>48</v>
      </c>
      <c r="D402" s="6" t="s">
        <v>159</v>
      </c>
      <c r="E402" s="6" t="s">
        <v>33</v>
      </c>
      <c r="F402" s="6" t="s">
        <v>183</v>
      </c>
      <c r="G402" s="6">
        <v>2017</v>
      </c>
      <c r="H402" s="6" t="str">
        <f>CONCATENATE("74780048448")</f>
        <v>74780048448</v>
      </c>
      <c r="I402" s="6" t="s">
        <v>28</v>
      </c>
      <c r="J402" s="6" t="s">
        <v>29</v>
      </c>
      <c r="K402" s="6" t="str">
        <f>CONCATENATE("221")</f>
        <v>221</v>
      </c>
      <c r="L402" s="6" t="str">
        <f>CONCATENATE("8 8.1 5e")</f>
        <v>8 8.1 5e</v>
      </c>
      <c r="M402" s="6" t="str">
        <f>CONCATENATE("01356740439")</f>
        <v>01356740439</v>
      </c>
      <c r="N402" s="6" t="s">
        <v>507</v>
      </c>
      <c r="O402" s="6" t="s">
        <v>395</v>
      </c>
      <c r="P402" s="7">
        <v>43173</v>
      </c>
      <c r="Q402" s="6" t="s">
        <v>30</v>
      </c>
      <c r="R402" s="6" t="s">
        <v>31</v>
      </c>
      <c r="S402" s="6" t="s">
        <v>32</v>
      </c>
      <c r="T402" s="8">
        <v>1668.82</v>
      </c>
      <c r="U402" s="6">
        <v>719.6</v>
      </c>
      <c r="V402" s="6">
        <v>664.52</v>
      </c>
      <c r="W402" s="6">
        <v>0</v>
      </c>
      <c r="X402" s="6">
        <v>284.7</v>
      </c>
    </row>
    <row r="403" spans="1:24" ht="24.75" x14ac:dyDescent="0.25">
      <c r="A403" s="6" t="s">
        <v>25</v>
      </c>
      <c r="B403" s="6" t="s">
        <v>26</v>
      </c>
      <c r="C403" s="6" t="s">
        <v>48</v>
      </c>
      <c r="D403" s="6" t="s">
        <v>52</v>
      </c>
      <c r="E403" s="6" t="s">
        <v>33</v>
      </c>
      <c r="F403" s="6" t="s">
        <v>83</v>
      </c>
      <c r="G403" s="6">
        <v>2017</v>
      </c>
      <c r="H403" s="6" t="str">
        <f>CONCATENATE("74780074162")</f>
        <v>74780074162</v>
      </c>
      <c r="I403" s="6" t="s">
        <v>28</v>
      </c>
      <c r="J403" s="6" t="s">
        <v>29</v>
      </c>
      <c r="K403" s="6" t="str">
        <f>CONCATENATE("221")</f>
        <v>221</v>
      </c>
      <c r="L403" s="6" t="str">
        <f>CONCATENATE("8 8.1 5e")</f>
        <v>8 8.1 5e</v>
      </c>
      <c r="M403" s="6" t="str">
        <f>CONCATENATE("NCLRND28E25G479Q")</f>
        <v>NCLRND28E25G479Q</v>
      </c>
      <c r="N403" s="6" t="s">
        <v>508</v>
      </c>
      <c r="O403" s="6" t="s">
        <v>395</v>
      </c>
      <c r="P403" s="7">
        <v>43173</v>
      </c>
      <c r="Q403" s="6" t="s">
        <v>30</v>
      </c>
      <c r="R403" s="6" t="s">
        <v>31</v>
      </c>
      <c r="S403" s="6" t="s">
        <v>32</v>
      </c>
      <c r="T403" s="6">
        <v>282.98</v>
      </c>
      <c r="U403" s="6">
        <v>122.02</v>
      </c>
      <c r="V403" s="6">
        <v>112.68</v>
      </c>
      <c r="W403" s="6">
        <v>0</v>
      </c>
      <c r="X403" s="6">
        <v>48.28</v>
      </c>
    </row>
    <row r="404" spans="1:24" ht="24.75" x14ac:dyDescent="0.25">
      <c r="A404" s="6" t="s">
        <v>25</v>
      </c>
      <c r="B404" s="6" t="s">
        <v>26</v>
      </c>
      <c r="C404" s="6" t="s">
        <v>48</v>
      </c>
      <c r="D404" s="6" t="s">
        <v>52</v>
      </c>
      <c r="E404" s="6" t="s">
        <v>34</v>
      </c>
      <c r="F404" s="6" t="s">
        <v>233</v>
      </c>
      <c r="G404" s="6">
        <v>2017</v>
      </c>
      <c r="H404" s="6" t="str">
        <f>CONCATENATE("74780056854")</f>
        <v>74780056854</v>
      </c>
      <c r="I404" s="6" t="s">
        <v>28</v>
      </c>
      <c r="J404" s="6" t="s">
        <v>29</v>
      </c>
      <c r="K404" s="6" t="str">
        <f>CONCATENATE("221")</f>
        <v>221</v>
      </c>
      <c r="L404" s="6" t="str">
        <f>CONCATENATE("8 8.1 5e")</f>
        <v>8 8.1 5e</v>
      </c>
      <c r="M404" s="6" t="str">
        <f>CONCATENATE("LTRRLB59S43A252J")</f>
        <v>LTRRLB59S43A252J</v>
      </c>
      <c r="N404" s="6" t="s">
        <v>509</v>
      </c>
      <c r="O404" s="6" t="s">
        <v>395</v>
      </c>
      <c r="P404" s="7">
        <v>43173</v>
      </c>
      <c r="Q404" s="6" t="s">
        <v>30</v>
      </c>
      <c r="R404" s="6" t="s">
        <v>31</v>
      </c>
      <c r="S404" s="6" t="s">
        <v>32</v>
      </c>
      <c r="T404" s="6">
        <v>132.19999999999999</v>
      </c>
      <c r="U404" s="6">
        <v>57</v>
      </c>
      <c r="V404" s="6">
        <v>52.64</v>
      </c>
      <c r="W404" s="6">
        <v>0</v>
      </c>
      <c r="X404" s="6">
        <v>22.56</v>
      </c>
    </row>
    <row r="405" spans="1:24" ht="24.75" x14ac:dyDescent="0.25">
      <c r="A405" s="6" t="s">
        <v>25</v>
      </c>
      <c r="B405" s="6" t="s">
        <v>26</v>
      </c>
      <c r="C405" s="6" t="s">
        <v>48</v>
      </c>
      <c r="D405" s="6" t="s">
        <v>58</v>
      </c>
      <c r="E405" s="6" t="s">
        <v>38</v>
      </c>
      <c r="F405" s="6" t="s">
        <v>510</v>
      </c>
      <c r="G405" s="6">
        <v>2017</v>
      </c>
      <c r="H405" s="6" t="str">
        <f>CONCATENATE("74780055856")</f>
        <v>74780055856</v>
      </c>
      <c r="I405" s="6" t="s">
        <v>28</v>
      </c>
      <c r="J405" s="6" t="s">
        <v>29</v>
      </c>
      <c r="K405" s="6" t="str">
        <f>CONCATENATE("221")</f>
        <v>221</v>
      </c>
      <c r="L405" s="6" t="str">
        <f>CONCATENATE("8 8.1 5e")</f>
        <v>8 8.1 5e</v>
      </c>
      <c r="M405" s="6" t="str">
        <f>CONCATENATE("CRRGRL57C64D488E")</f>
        <v>CRRGRL57C64D488E</v>
      </c>
      <c r="N405" s="6" t="s">
        <v>511</v>
      </c>
      <c r="O405" s="6" t="s">
        <v>395</v>
      </c>
      <c r="P405" s="7">
        <v>43173</v>
      </c>
      <c r="Q405" s="6" t="s">
        <v>30</v>
      </c>
      <c r="R405" s="6" t="s">
        <v>31</v>
      </c>
      <c r="S405" s="6" t="s">
        <v>32</v>
      </c>
      <c r="T405" s="6">
        <v>222.75</v>
      </c>
      <c r="U405" s="6">
        <v>96.05</v>
      </c>
      <c r="V405" s="6">
        <v>88.7</v>
      </c>
      <c r="W405" s="6">
        <v>0</v>
      </c>
      <c r="X405" s="6">
        <v>38</v>
      </c>
    </row>
    <row r="406" spans="1:24" ht="24.75" x14ac:dyDescent="0.25">
      <c r="A406" s="6" t="s">
        <v>25</v>
      </c>
      <c r="B406" s="6" t="s">
        <v>26</v>
      </c>
      <c r="C406" s="6" t="s">
        <v>48</v>
      </c>
      <c r="D406" s="6" t="s">
        <v>58</v>
      </c>
      <c r="E406" s="6" t="s">
        <v>34</v>
      </c>
      <c r="F406" s="6" t="s">
        <v>497</v>
      </c>
      <c r="G406" s="6">
        <v>2017</v>
      </c>
      <c r="H406" s="6" t="str">
        <f>CONCATENATE("74780064452")</f>
        <v>74780064452</v>
      </c>
      <c r="I406" s="6" t="s">
        <v>28</v>
      </c>
      <c r="J406" s="6" t="s">
        <v>29</v>
      </c>
      <c r="K406" s="6" t="str">
        <f>CONCATENATE("221")</f>
        <v>221</v>
      </c>
      <c r="L406" s="6" t="str">
        <f>CONCATENATE("8 8.1 5e")</f>
        <v>8 8.1 5e</v>
      </c>
      <c r="M406" s="6" t="str">
        <f>CONCATENATE("DGSLRC56A06G799E")</f>
        <v>DGSLRC56A06G799E</v>
      </c>
      <c r="N406" s="6" t="s">
        <v>512</v>
      </c>
      <c r="O406" s="6" t="s">
        <v>395</v>
      </c>
      <c r="P406" s="7">
        <v>43173</v>
      </c>
      <c r="Q406" s="6" t="s">
        <v>30</v>
      </c>
      <c r="R406" s="6" t="s">
        <v>31</v>
      </c>
      <c r="S406" s="6" t="s">
        <v>32</v>
      </c>
      <c r="T406" s="6">
        <v>181.1</v>
      </c>
      <c r="U406" s="6">
        <v>78.09</v>
      </c>
      <c r="V406" s="6">
        <v>72.11</v>
      </c>
      <c r="W406" s="6">
        <v>0</v>
      </c>
      <c r="X406" s="6">
        <v>30.9</v>
      </c>
    </row>
    <row r="407" spans="1:24" ht="24.75" x14ac:dyDescent="0.25">
      <c r="A407" s="6" t="s">
        <v>25</v>
      </c>
      <c r="B407" s="6" t="s">
        <v>26</v>
      </c>
      <c r="C407" s="6" t="s">
        <v>48</v>
      </c>
      <c r="D407" s="6" t="s">
        <v>58</v>
      </c>
      <c r="E407" s="6" t="s">
        <v>27</v>
      </c>
      <c r="F407" s="6" t="s">
        <v>513</v>
      </c>
      <c r="G407" s="6">
        <v>2017</v>
      </c>
      <c r="H407" s="6" t="str">
        <f>CONCATENATE("74780057175")</f>
        <v>74780057175</v>
      </c>
      <c r="I407" s="6" t="s">
        <v>28</v>
      </c>
      <c r="J407" s="6" t="s">
        <v>29</v>
      </c>
      <c r="K407" s="6" t="str">
        <f>CONCATENATE("221")</f>
        <v>221</v>
      </c>
      <c r="L407" s="6" t="str">
        <f>CONCATENATE("8 8.1 5e")</f>
        <v>8 8.1 5e</v>
      </c>
      <c r="M407" s="6" t="str">
        <f>CONCATENATE("SPELNS54L14D749F")</f>
        <v>SPELNS54L14D749F</v>
      </c>
      <c r="N407" s="6" t="s">
        <v>514</v>
      </c>
      <c r="O407" s="6" t="s">
        <v>395</v>
      </c>
      <c r="P407" s="7">
        <v>43173</v>
      </c>
      <c r="Q407" s="6" t="s">
        <v>30</v>
      </c>
      <c r="R407" s="6" t="s">
        <v>31</v>
      </c>
      <c r="S407" s="6" t="s">
        <v>32</v>
      </c>
      <c r="T407" s="6">
        <v>108.66</v>
      </c>
      <c r="U407" s="6">
        <v>46.85</v>
      </c>
      <c r="V407" s="6">
        <v>43.27</v>
      </c>
      <c r="W407" s="6">
        <v>0</v>
      </c>
      <c r="X407" s="6">
        <v>18.54</v>
      </c>
    </row>
    <row r="408" spans="1:24" ht="24.75" x14ac:dyDescent="0.25">
      <c r="A408" s="6" t="s">
        <v>25</v>
      </c>
      <c r="B408" s="6" t="s">
        <v>26</v>
      </c>
      <c r="C408" s="6" t="s">
        <v>48</v>
      </c>
      <c r="D408" s="6" t="s">
        <v>58</v>
      </c>
      <c r="E408" s="6" t="s">
        <v>34</v>
      </c>
      <c r="F408" s="6" t="s">
        <v>81</v>
      </c>
      <c r="G408" s="6">
        <v>2017</v>
      </c>
      <c r="H408" s="6" t="str">
        <f>CONCATENATE("74780064577")</f>
        <v>74780064577</v>
      </c>
      <c r="I408" s="6" t="s">
        <v>28</v>
      </c>
      <c r="J408" s="6" t="s">
        <v>29</v>
      </c>
      <c r="K408" s="6" t="str">
        <f>CONCATENATE("221")</f>
        <v>221</v>
      </c>
      <c r="L408" s="6" t="str">
        <f>CONCATENATE("8 8.1 5e")</f>
        <v>8 8.1 5e</v>
      </c>
      <c r="M408" s="6" t="str">
        <f>CONCATENATE("GVGPIO37E05B816P")</f>
        <v>GVGPIO37E05B816P</v>
      </c>
      <c r="N408" s="6" t="s">
        <v>515</v>
      </c>
      <c r="O408" s="6" t="s">
        <v>395</v>
      </c>
      <c r="P408" s="7">
        <v>43173</v>
      </c>
      <c r="Q408" s="6" t="s">
        <v>30</v>
      </c>
      <c r="R408" s="6" t="s">
        <v>31</v>
      </c>
      <c r="S408" s="6" t="s">
        <v>32</v>
      </c>
      <c r="T408" s="6">
        <v>90.55</v>
      </c>
      <c r="U408" s="6">
        <v>39.049999999999997</v>
      </c>
      <c r="V408" s="6">
        <v>36.06</v>
      </c>
      <c r="W408" s="6">
        <v>0</v>
      </c>
      <c r="X408" s="6">
        <v>15.44</v>
      </c>
    </row>
    <row r="409" spans="1:24" ht="24.75" x14ac:dyDescent="0.25">
      <c r="A409" s="6" t="s">
        <v>25</v>
      </c>
      <c r="B409" s="6" t="s">
        <v>26</v>
      </c>
      <c r="C409" s="6" t="s">
        <v>48</v>
      </c>
      <c r="D409" s="6" t="s">
        <v>58</v>
      </c>
      <c r="E409" s="6" t="s">
        <v>33</v>
      </c>
      <c r="F409" s="6" t="s">
        <v>494</v>
      </c>
      <c r="G409" s="6">
        <v>2017</v>
      </c>
      <c r="H409" s="6" t="str">
        <f>CONCATENATE("74780063546")</f>
        <v>74780063546</v>
      </c>
      <c r="I409" s="6" t="s">
        <v>28</v>
      </c>
      <c r="J409" s="6" t="s">
        <v>29</v>
      </c>
      <c r="K409" s="6" t="str">
        <f>CONCATENATE("221")</f>
        <v>221</v>
      </c>
      <c r="L409" s="6" t="str">
        <f>CONCATENATE("8 8.1 5e")</f>
        <v>8 8.1 5e</v>
      </c>
      <c r="M409" s="6" t="str">
        <f>CONCATENATE("GVNRNZ43D03A541F")</f>
        <v>GVNRNZ43D03A541F</v>
      </c>
      <c r="N409" s="6" t="s">
        <v>516</v>
      </c>
      <c r="O409" s="6" t="s">
        <v>395</v>
      </c>
      <c r="P409" s="7">
        <v>43173</v>
      </c>
      <c r="Q409" s="6" t="s">
        <v>30</v>
      </c>
      <c r="R409" s="6" t="s">
        <v>31</v>
      </c>
      <c r="S409" s="6" t="s">
        <v>32</v>
      </c>
      <c r="T409" s="6">
        <v>420.15</v>
      </c>
      <c r="U409" s="6">
        <v>181.17</v>
      </c>
      <c r="V409" s="6">
        <v>167.3</v>
      </c>
      <c r="W409" s="6">
        <v>0</v>
      </c>
      <c r="X409" s="6">
        <v>71.680000000000007</v>
      </c>
    </row>
    <row r="410" spans="1:24" ht="24.75" x14ac:dyDescent="0.25">
      <c r="A410" s="6" t="s">
        <v>25</v>
      </c>
      <c r="B410" s="6" t="s">
        <v>26</v>
      </c>
      <c r="C410" s="6" t="s">
        <v>48</v>
      </c>
      <c r="D410" s="6" t="s">
        <v>58</v>
      </c>
      <c r="E410" s="6" t="s">
        <v>34</v>
      </c>
      <c r="F410" s="6" t="s">
        <v>497</v>
      </c>
      <c r="G410" s="6">
        <v>2017</v>
      </c>
      <c r="H410" s="6" t="str">
        <f>CONCATENATE("74780064247")</f>
        <v>74780064247</v>
      </c>
      <c r="I410" s="6" t="s">
        <v>28</v>
      </c>
      <c r="J410" s="6" t="s">
        <v>29</v>
      </c>
      <c r="K410" s="6" t="str">
        <f>CONCATENATE("221")</f>
        <v>221</v>
      </c>
      <c r="L410" s="6" t="str">
        <f>CONCATENATE("8 8.1 5e")</f>
        <v>8 8.1 5e</v>
      </c>
      <c r="M410" s="6" t="str">
        <f>CONCATENATE("MZZNVE54L17G479T")</f>
        <v>MZZNVE54L17G479T</v>
      </c>
      <c r="N410" s="6" t="s">
        <v>517</v>
      </c>
      <c r="O410" s="6" t="s">
        <v>395</v>
      </c>
      <c r="P410" s="7">
        <v>43173</v>
      </c>
      <c r="Q410" s="6" t="s">
        <v>30</v>
      </c>
      <c r="R410" s="6" t="s">
        <v>31</v>
      </c>
      <c r="S410" s="6" t="s">
        <v>32</v>
      </c>
      <c r="T410" s="6">
        <v>173.86</v>
      </c>
      <c r="U410" s="6">
        <v>74.97</v>
      </c>
      <c r="V410" s="6">
        <v>69.23</v>
      </c>
      <c r="W410" s="6">
        <v>0</v>
      </c>
      <c r="X410" s="6">
        <v>29.66</v>
      </c>
    </row>
    <row r="411" spans="1:24" ht="24.75" x14ac:dyDescent="0.25">
      <c r="A411" s="6" t="s">
        <v>25</v>
      </c>
      <c r="B411" s="6" t="s">
        <v>26</v>
      </c>
      <c r="C411" s="6" t="s">
        <v>48</v>
      </c>
      <c r="D411" s="6" t="s">
        <v>58</v>
      </c>
      <c r="E411" s="6" t="s">
        <v>34</v>
      </c>
      <c r="F411" s="6" t="s">
        <v>497</v>
      </c>
      <c r="G411" s="6">
        <v>2017</v>
      </c>
      <c r="H411" s="6" t="str">
        <f>CONCATENATE("74780064627")</f>
        <v>74780064627</v>
      </c>
      <c r="I411" s="6" t="s">
        <v>28</v>
      </c>
      <c r="J411" s="6" t="s">
        <v>29</v>
      </c>
      <c r="K411" s="6" t="str">
        <f>CONCATENATE("221")</f>
        <v>221</v>
      </c>
      <c r="L411" s="6" t="str">
        <f>CONCATENATE("8 8.1 5e")</f>
        <v>8 8.1 5e</v>
      </c>
      <c r="M411" s="6" t="str">
        <f>CONCATENATE("MRNMRZ64R09Z133B")</f>
        <v>MRNMRZ64R09Z133B</v>
      </c>
      <c r="N411" s="6" t="s">
        <v>518</v>
      </c>
      <c r="O411" s="6" t="s">
        <v>395</v>
      </c>
      <c r="P411" s="7">
        <v>43173</v>
      </c>
      <c r="Q411" s="6" t="s">
        <v>30</v>
      </c>
      <c r="R411" s="6" t="s">
        <v>31</v>
      </c>
      <c r="S411" s="6" t="s">
        <v>32</v>
      </c>
      <c r="T411" s="8">
        <v>1495.89</v>
      </c>
      <c r="U411" s="6">
        <v>645.03</v>
      </c>
      <c r="V411" s="6">
        <v>595.66</v>
      </c>
      <c r="W411" s="6">
        <v>0</v>
      </c>
      <c r="X411" s="6">
        <v>255.2</v>
      </c>
    </row>
    <row r="412" spans="1:24" ht="24.75" x14ac:dyDescent="0.25">
      <c r="A412" s="6" t="s">
        <v>25</v>
      </c>
      <c r="B412" s="6" t="s">
        <v>26</v>
      </c>
      <c r="C412" s="6" t="s">
        <v>48</v>
      </c>
      <c r="D412" s="6" t="s">
        <v>58</v>
      </c>
      <c r="E412" s="6" t="s">
        <v>38</v>
      </c>
      <c r="F412" s="6" t="s">
        <v>134</v>
      </c>
      <c r="G412" s="6">
        <v>2017</v>
      </c>
      <c r="H412" s="6" t="str">
        <f>CONCATENATE("74780008491")</f>
        <v>74780008491</v>
      </c>
      <c r="I412" s="6" t="s">
        <v>28</v>
      </c>
      <c r="J412" s="6" t="s">
        <v>29</v>
      </c>
      <c r="K412" s="6" t="str">
        <f>CONCATENATE("221")</f>
        <v>221</v>
      </c>
      <c r="L412" s="6" t="str">
        <f>CONCATENATE("8 8.1 5e")</f>
        <v>8 8.1 5e</v>
      </c>
      <c r="M412" s="6" t="str">
        <f>CONCATENATE("RCCSVN56E06G479M")</f>
        <v>RCCSVN56E06G479M</v>
      </c>
      <c r="N412" s="6" t="s">
        <v>519</v>
      </c>
      <c r="O412" s="6" t="s">
        <v>395</v>
      </c>
      <c r="P412" s="7">
        <v>43173</v>
      </c>
      <c r="Q412" s="6" t="s">
        <v>30</v>
      </c>
      <c r="R412" s="6" t="s">
        <v>31</v>
      </c>
      <c r="S412" s="6" t="s">
        <v>32</v>
      </c>
      <c r="T412" s="8">
        <v>1276.1600000000001</v>
      </c>
      <c r="U412" s="6">
        <v>550.28</v>
      </c>
      <c r="V412" s="6">
        <v>508.17</v>
      </c>
      <c r="W412" s="6">
        <v>0</v>
      </c>
      <c r="X412" s="6">
        <v>217.71</v>
      </c>
    </row>
    <row r="413" spans="1:24" ht="24.75" x14ac:dyDescent="0.25">
      <c r="A413" s="6" t="s">
        <v>25</v>
      </c>
      <c r="B413" s="6" t="s">
        <v>26</v>
      </c>
      <c r="C413" s="6" t="s">
        <v>48</v>
      </c>
      <c r="D413" s="6" t="s">
        <v>58</v>
      </c>
      <c r="E413" s="6" t="s">
        <v>34</v>
      </c>
      <c r="F413" s="6" t="s">
        <v>520</v>
      </c>
      <c r="G413" s="6">
        <v>2017</v>
      </c>
      <c r="H413" s="6" t="str">
        <f>CONCATENATE("74780071226")</f>
        <v>74780071226</v>
      </c>
      <c r="I413" s="6" t="s">
        <v>28</v>
      </c>
      <c r="J413" s="6" t="s">
        <v>29</v>
      </c>
      <c r="K413" s="6" t="str">
        <f>CONCATENATE("221")</f>
        <v>221</v>
      </c>
      <c r="L413" s="6" t="str">
        <f>CONCATENATE("8 8.1 5e")</f>
        <v>8 8.1 5e</v>
      </c>
      <c r="M413" s="6" t="str">
        <f>CONCATENATE("PGNMCS75L24L500W")</f>
        <v>PGNMCS75L24L500W</v>
      </c>
      <c r="N413" s="6" t="s">
        <v>521</v>
      </c>
      <c r="O413" s="6" t="s">
        <v>395</v>
      </c>
      <c r="P413" s="7">
        <v>43173</v>
      </c>
      <c r="Q413" s="6" t="s">
        <v>30</v>
      </c>
      <c r="R413" s="6" t="s">
        <v>31</v>
      </c>
      <c r="S413" s="6" t="s">
        <v>32</v>
      </c>
      <c r="T413" s="8">
        <v>1286.4000000000001</v>
      </c>
      <c r="U413" s="6">
        <v>554.70000000000005</v>
      </c>
      <c r="V413" s="6">
        <v>512.24</v>
      </c>
      <c r="W413" s="6">
        <v>0</v>
      </c>
      <c r="X413" s="6">
        <v>219.46</v>
      </c>
    </row>
    <row r="414" spans="1:24" ht="24.75" x14ac:dyDescent="0.25">
      <c r="A414" s="6" t="s">
        <v>25</v>
      </c>
      <c r="B414" s="6" t="s">
        <v>26</v>
      </c>
      <c r="C414" s="6" t="s">
        <v>48</v>
      </c>
      <c r="D414" s="6" t="s">
        <v>58</v>
      </c>
      <c r="E414" s="6" t="s">
        <v>42</v>
      </c>
      <c r="F414" s="6" t="s">
        <v>522</v>
      </c>
      <c r="G414" s="6">
        <v>2017</v>
      </c>
      <c r="H414" s="6" t="str">
        <f>CONCATENATE("74780039579")</f>
        <v>74780039579</v>
      </c>
      <c r="I414" s="6" t="s">
        <v>28</v>
      </c>
      <c r="J414" s="6" t="s">
        <v>29</v>
      </c>
      <c r="K414" s="6" t="str">
        <f>CONCATENATE("221")</f>
        <v>221</v>
      </c>
      <c r="L414" s="6" t="str">
        <f>CONCATENATE("8 8.1 5e")</f>
        <v>8 8.1 5e</v>
      </c>
      <c r="M414" s="6" t="str">
        <f>CONCATENATE("TMNLDN60A55G479Y")</f>
        <v>TMNLDN60A55G479Y</v>
      </c>
      <c r="N414" s="6" t="s">
        <v>523</v>
      </c>
      <c r="O414" s="6" t="s">
        <v>395</v>
      </c>
      <c r="P414" s="7">
        <v>43173</v>
      </c>
      <c r="Q414" s="6" t="s">
        <v>30</v>
      </c>
      <c r="R414" s="6" t="s">
        <v>31</v>
      </c>
      <c r="S414" s="6" t="s">
        <v>32</v>
      </c>
      <c r="T414" s="6">
        <v>175.67</v>
      </c>
      <c r="U414" s="6">
        <v>75.75</v>
      </c>
      <c r="V414" s="6">
        <v>69.95</v>
      </c>
      <c r="W414" s="6">
        <v>0</v>
      </c>
      <c r="X414" s="6">
        <v>29.97</v>
      </c>
    </row>
    <row r="415" spans="1:24" ht="24.75" x14ac:dyDescent="0.25">
      <c r="A415" s="6" t="s">
        <v>25</v>
      </c>
      <c r="B415" s="6" t="s">
        <v>26</v>
      </c>
      <c r="C415" s="6" t="s">
        <v>48</v>
      </c>
      <c r="D415" s="6" t="s">
        <v>58</v>
      </c>
      <c r="E415" s="6" t="s">
        <v>27</v>
      </c>
      <c r="F415" s="6" t="s">
        <v>513</v>
      </c>
      <c r="G415" s="6">
        <v>2017</v>
      </c>
      <c r="H415" s="6" t="str">
        <f>CONCATENATE("74780074824")</f>
        <v>74780074824</v>
      </c>
      <c r="I415" s="6" t="s">
        <v>28</v>
      </c>
      <c r="J415" s="6" t="s">
        <v>29</v>
      </c>
      <c r="K415" s="6" t="str">
        <f>CONCATENATE("221")</f>
        <v>221</v>
      </c>
      <c r="L415" s="6" t="str">
        <f>CONCATENATE("8 8.1 5e")</f>
        <v>8 8.1 5e</v>
      </c>
      <c r="M415" s="6" t="str">
        <f>CONCATENATE("TRUTRS33E69F497W")</f>
        <v>TRUTRS33E69F497W</v>
      </c>
      <c r="N415" s="6" t="s">
        <v>524</v>
      </c>
      <c r="O415" s="6" t="s">
        <v>395</v>
      </c>
      <c r="P415" s="7">
        <v>43173</v>
      </c>
      <c r="Q415" s="6" t="s">
        <v>30</v>
      </c>
      <c r="R415" s="6" t="s">
        <v>31</v>
      </c>
      <c r="S415" s="6" t="s">
        <v>32</v>
      </c>
      <c r="T415" s="6">
        <v>99.61</v>
      </c>
      <c r="U415" s="6">
        <v>42.95</v>
      </c>
      <c r="V415" s="6">
        <v>39.659999999999997</v>
      </c>
      <c r="W415" s="6">
        <v>0</v>
      </c>
      <c r="X415" s="6">
        <v>17</v>
      </c>
    </row>
    <row r="416" spans="1:24" ht="24.75" x14ac:dyDescent="0.25">
      <c r="A416" s="6" t="s">
        <v>25</v>
      </c>
      <c r="B416" s="6" t="s">
        <v>26</v>
      </c>
      <c r="C416" s="6" t="s">
        <v>48</v>
      </c>
      <c r="D416" s="6" t="s">
        <v>58</v>
      </c>
      <c r="E416" s="6" t="s">
        <v>34</v>
      </c>
      <c r="F416" s="6" t="s">
        <v>81</v>
      </c>
      <c r="G416" s="6">
        <v>2017</v>
      </c>
      <c r="H416" s="6" t="str">
        <f>CONCATENATE("74780064973")</f>
        <v>74780064973</v>
      </c>
      <c r="I416" s="6" t="s">
        <v>28</v>
      </c>
      <c r="J416" s="6" t="s">
        <v>29</v>
      </c>
      <c r="K416" s="6" t="str">
        <f>CONCATENATE("221")</f>
        <v>221</v>
      </c>
      <c r="L416" s="6" t="str">
        <f>CONCATENATE("8 8.1 5e")</f>
        <v>8 8.1 5e</v>
      </c>
      <c r="M416" s="6" t="str">
        <f>CONCATENATE("ZFFDNC54L64G712B")</f>
        <v>ZFFDNC54L64G712B</v>
      </c>
      <c r="N416" s="6" t="s">
        <v>525</v>
      </c>
      <c r="O416" s="6" t="s">
        <v>395</v>
      </c>
      <c r="P416" s="7">
        <v>43173</v>
      </c>
      <c r="Q416" s="6" t="s">
        <v>30</v>
      </c>
      <c r="R416" s="6" t="s">
        <v>31</v>
      </c>
      <c r="S416" s="6" t="s">
        <v>32</v>
      </c>
      <c r="T416" s="6">
        <v>521.6</v>
      </c>
      <c r="U416" s="6">
        <v>224.91</v>
      </c>
      <c r="V416" s="6">
        <v>207.7</v>
      </c>
      <c r="W416" s="6">
        <v>0</v>
      </c>
      <c r="X416" s="6">
        <v>88.99</v>
      </c>
    </row>
    <row r="417" spans="1:24" ht="24.75" x14ac:dyDescent="0.25">
      <c r="A417" s="6" t="s">
        <v>25</v>
      </c>
      <c r="B417" s="6" t="s">
        <v>26</v>
      </c>
      <c r="C417" s="6" t="s">
        <v>48</v>
      </c>
      <c r="D417" s="6" t="s">
        <v>58</v>
      </c>
      <c r="E417" s="6" t="s">
        <v>33</v>
      </c>
      <c r="F417" s="6" t="s">
        <v>494</v>
      </c>
      <c r="G417" s="6">
        <v>2017</v>
      </c>
      <c r="H417" s="6" t="str">
        <f>CONCATENATE("74780063579")</f>
        <v>74780063579</v>
      </c>
      <c r="I417" s="6" t="s">
        <v>28</v>
      </c>
      <c r="J417" s="6" t="s">
        <v>29</v>
      </c>
      <c r="K417" s="6" t="str">
        <f>CONCATENATE("221")</f>
        <v>221</v>
      </c>
      <c r="L417" s="6" t="str">
        <f>CONCATENATE("8 8.1 5e")</f>
        <v>8 8.1 5e</v>
      </c>
      <c r="M417" s="6" t="str">
        <f>CONCATENATE("ZSISFN54R07G479H")</f>
        <v>ZSISFN54R07G479H</v>
      </c>
      <c r="N417" s="6" t="s">
        <v>526</v>
      </c>
      <c r="O417" s="6" t="s">
        <v>395</v>
      </c>
      <c r="P417" s="7">
        <v>43173</v>
      </c>
      <c r="Q417" s="6" t="s">
        <v>30</v>
      </c>
      <c r="R417" s="6" t="s">
        <v>31</v>
      </c>
      <c r="S417" s="6" t="s">
        <v>32</v>
      </c>
      <c r="T417" s="6">
        <v>963.45</v>
      </c>
      <c r="U417" s="6">
        <v>415.44</v>
      </c>
      <c r="V417" s="6">
        <v>383.65</v>
      </c>
      <c r="W417" s="6">
        <v>0</v>
      </c>
      <c r="X417" s="6">
        <v>164.36</v>
      </c>
    </row>
    <row r="418" spans="1:24" ht="24.75" x14ac:dyDescent="0.25">
      <c r="A418" s="6" t="s">
        <v>25</v>
      </c>
      <c r="B418" s="6" t="s">
        <v>26</v>
      </c>
      <c r="C418" s="6" t="s">
        <v>48</v>
      </c>
      <c r="D418" s="6" t="s">
        <v>58</v>
      </c>
      <c r="E418" s="6" t="s">
        <v>43</v>
      </c>
      <c r="F418" s="6" t="s">
        <v>85</v>
      </c>
      <c r="G418" s="6">
        <v>2017</v>
      </c>
      <c r="H418" s="6" t="str">
        <f>CONCATENATE("74780076837")</f>
        <v>74780076837</v>
      </c>
      <c r="I418" s="6" t="s">
        <v>28</v>
      </c>
      <c r="J418" s="6" t="s">
        <v>29</v>
      </c>
      <c r="K418" s="6" t="str">
        <f>CONCATENATE("221")</f>
        <v>221</v>
      </c>
      <c r="L418" s="6" t="str">
        <f>CONCATENATE("8 8.1 5e")</f>
        <v>8 8.1 5e</v>
      </c>
      <c r="M418" s="6" t="str">
        <f>CONCATENATE("GMBMRZ60C28L50LL")</f>
        <v>GMBMRZ60C28L50LL</v>
      </c>
      <c r="N418" s="6" t="s">
        <v>527</v>
      </c>
      <c r="O418" s="6" t="s">
        <v>395</v>
      </c>
      <c r="P418" s="7">
        <v>43173</v>
      </c>
      <c r="Q418" s="6" t="s">
        <v>30</v>
      </c>
      <c r="R418" s="6" t="s">
        <v>31</v>
      </c>
      <c r="S418" s="6" t="s">
        <v>32</v>
      </c>
      <c r="T418" s="8">
        <v>25149.32</v>
      </c>
      <c r="U418" s="8">
        <v>10844.39</v>
      </c>
      <c r="V418" s="8">
        <v>10014.459999999999</v>
      </c>
      <c r="W418" s="6">
        <v>0</v>
      </c>
      <c r="X418" s="8">
        <v>4290.47</v>
      </c>
    </row>
    <row r="419" spans="1:24" ht="24.75" x14ac:dyDescent="0.25">
      <c r="A419" s="6" t="s">
        <v>25</v>
      </c>
      <c r="B419" s="6" t="s">
        <v>26</v>
      </c>
      <c r="C419" s="6" t="s">
        <v>48</v>
      </c>
      <c r="D419" s="6" t="s">
        <v>58</v>
      </c>
      <c r="E419" s="6" t="s">
        <v>43</v>
      </c>
      <c r="F419" s="6" t="s">
        <v>85</v>
      </c>
      <c r="G419" s="6">
        <v>2017</v>
      </c>
      <c r="H419" s="6" t="str">
        <f>CONCATENATE("74780076902")</f>
        <v>74780076902</v>
      </c>
      <c r="I419" s="6" t="s">
        <v>28</v>
      </c>
      <c r="J419" s="6" t="s">
        <v>29</v>
      </c>
      <c r="K419" s="6" t="str">
        <f>CONCATENATE("221")</f>
        <v>221</v>
      </c>
      <c r="L419" s="6" t="str">
        <f>CONCATENATE("8 8.1 5e")</f>
        <v>8 8.1 5e</v>
      </c>
      <c r="M419" s="6" t="str">
        <f>CONCATENATE("GMBMRZ60C28L50LL")</f>
        <v>GMBMRZ60C28L50LL</v>
      </c>
      <c r="N419" s="6" t="s">
        <v>527</v>
      </c>
      <c r="O419" s="6" t="s">
        <v>395</v>
      </c>
      <c r="P419" s="7">
        <v>43173</v>
      </c>
      <c r="Q419" s="6" t="s">
        <v>30</v>
      </c>
      <c r="R419" s="6" t="s">
        <v>31</v>
      </c>
      <c r="S419" s="6" t="s">
        <v>32</v>
      </c>
      <c r="T419" s="8">
        <v>5396.13</v>
      </c>
      <c r="U419" s="8">
        <v>2326.81</v>
      </c>
      <c r="V419" s="8">
        <v>2148.7399999999998</v>
      </c>
      <c r="W419" s="6">
        <v>0</v>
      </c>
      <c r="X419" s="6">
        <v>920.58</v>
      </c>
    </row>
    <row r="420" spans="1:24" ht="24.75" x14ac:dyDescent="0.25">
      <c r="A420" s="6" t="s">
        <v>25</v>
      </c>
      <c r="B420" s="6" t="s">
        <v>26</v>
      </c>
      <c r="C420" s="6" t="s">
        <v>48</v>
      </c>
      <c r="D420" s="6" t="s">
        <v>58</v>
      </c>
      <c r="E420" s="6" t="s">
        <v>43</v>
      </c>
      <c r="F420" s="6" t="s">
        <v>85</v>
      </c>
      <c r="G420" s="6">
        <v>2017</v>
      </c>
      <c r="H420" s="6" t="str">
        <f>CONCATENATE("74780076878")</f>
        <v>74780076878</v>
      </c>
      <c r="I420" s="6" t="s">
        <v>28</v>
      </c>
      <c r="J420" s="6" t="s">
        <v>29</v>
      </c>
      <c r="K420" s="6" t="str">
        <f>CONCATENATE("221")</f>
        <v>221</v>
      </c>
      <c r="L420" s="6" t="str">
        <f>CONCATENATE("8 8.1 5e")</f>
        <v>8 8.1 5e</v>
      </c>
      <c r="M420" s="6" t="str">
        <f>CONCATENATE("GMBMRZ60C28L50LL")</f>
        <v>GMBMRZ60C28L50LL</v>
      </c>
      <c r="N420" s="6" t="s">
        <v>527</v>
      </c>
      <c r="O420" s="6" t="s">
        <v>395</v>
      </c>
      <c r="P420" s="7">
        <v>43173</v>
      </c>
      <c r="Q420" s="6" t="s">
        <v>30</v>
      </c>
      <c r="R420" s="6" t="s">
        <v>31</v>
      </c>
      <c r="S420" s="6" t="s">
        <v>32</v>
      </c>
      <c r="T420" s="8">
        <v>8441.11</v>
      </c>
      <c r="U420" s="8">
        <v>3639.81</v>
      </c>
      <c r="V420" s="8">
        <v>3361.25</v>
      </c>
      <c r="W420" s="6">
        <v>0</v>
      </c>
      <c r="X420" s="8">
        <v>1440.05</v>
      </c>
    </row>
    <row r="421" spans="1:24" ht="24.75" x14ac:dyDescent="0.25">
      <c r="A421" s="6" t="s">
        <v>25</v>
      </c>
      <c r="B421" s="6" t="s">
        <v>26</v>
      </c>
      <c r="C421" s="6" t="s">
        <v>48</v>
      </c>
      <c r="D421" s="6" t="s">
        <v>58</v>
      </c>
      <c r="E421" s="6" t="s">
        <v>33</v>
      </c>
      <c r="F421" s="6" t="s">
        <v>494</v>
      </c>
      <c r="G421" s="6">
        <v>2017</v>
      </c>
      <c r="H421" s="6" t="str">
        <f>CONCATENATE("74780063488")</f>
        <v>74780063488</v>
      </c>
      <c r="I421" s="6" t="s">
        <v>28</v>
      </c>
      <c r="J421" s="6" t="s">
        <v>29</v>
      </c>
      <c r="K421" s="6" t="str">
        <f>CONCATENATE("221")</f>
        <v>221</v>
      </c>
      <c r="L421" s="6" t="str">
        <f>CONCATENATE("8 8.1 5e")</f>
        <v>8 8.1 5e</v>
      </c>
      <c r="M421" s="6" t="str">
        <f>CONCATENATE("BRSNDA48A47Z103Q")</f>
        <v>BRSNDA48A47Z103Q</v>
      </c>
      <c r="N421" s="6" t="s">
        <v>528</v>
      </c>
      <c r="O421" s="6" t="s">
        <v>395</v>
      </c>
      <c r="P421" s="7">
        <v>43173</v>
      </c>
      <c r="Q421" s="6" t="s">
        <v>30</v>
      </c>
      <c r="R421" s="6" t="s">
        <v>31</v>
      </c>
      <c r="S421" s="6" t="s">
        <v>32</v>
      </c>
      <c r="T421" s="6">
        <v>864</v>
      </c>
      <c r="U421" s="6">
        <v>372.56</v>
      </c>
      <c r="V421" s="6">
        <v>344.04</v>
      </c>
      <c r="W421" s="6">
        <v>0</v>
      </c>
      <c r="X421" s="6">
        <v>147.4</v>
      </c>
    </row>
    <row r="422" spans="1:24" ht="24.75" x14ac:dyDescent="0.25">
      <c r="A422" s="6" t="s">
        <v>25</v>
      </c>
      <c r="B422" s="6" t="s">
        <v>26</v>
      </c>
      <c r="C422" s="6" t="s">
        <v>48</v>
      </c>
      <c r="D422" s="6" t="s">
        <v>58</v>
      </c>
      <c r="E422" s="6" t="s">
        <v>34</v>
      </c>
      <c r="F422" s="6" t="s">
        <v>145</v>
      </c>
      <c r="G422" s="6">
        <v>2017</v>
      </c>
      <c r="H422" s="6" t="str">
        <f>CONCATENATE("74780078262")</f>
        <v>74780078262</v>
      </c>
      <c r="I422" s="6" t="s">
        <v>28</v>
      </c>
      <c r="J422" s="6" t="s">
        <v>29</v>
      </c>
      <c r="K422" s="6" t="str">
        <f>CONCATENATE("221")</f>
        <v>221</v>
      </c>
      <c r="L422" s="6" t="str">
        <f>CONCATENATE("8 8.1 5e")</f>
        <v>8 8.1 5e</v>
      </c>
      <c r="M422" s="6" t="str">
        <f>CONCATENATE("DNNTNN51M09D749I")</f>
        <v>DNNTNN51M09D749I</v>
      </c>
      <c r="N422" s="6" t="s">
        <v>529</v>
      </c>
      <c r="O422" s="6" t="s">
        <v>395</v>
      </c>
      <c r="P422" s="7">
        <v>43173</v>
      </c>
      <c r="Q422" s="6" t="s">
        <v>30</v>
      </c>
      <c r="R422" s="6" t="s">
        <v>31</v>
      </c>
      <c r="S422" s="6" t="s">
        <v>32</v>
      </c>
      <c r="T422" s="8">
        <v>1739.44</v>
      </c>
      <c r="U422" s="6">
        <v>750.05</v>
      </c>
      <c r="V422" s="6">
        <v>692.65</v>
      </c>
      <c r="W422" s="6">
        <v>0</v>
      </c>
      <c r="X422" s="6">
        <v>296.74</v>
      </c>
    </row>
    <row r="423" spans="1:24" ht="24.75" x14ac:dyDescent="0.25">
      <c r="A423" s="6" t="s">
        <v>25</v>
      </c>
      <c r="B423" s="6" t="s">
        <v>26</v>
      </c>
      <c r="C423" s="6" t="s">
        <v>48</v>
      </c>
      <c r="D423" s="6" t="s">
        <v>58</v>
      </c>
      <c r="E423" s="6" t="s">
        <v>38</v>
      </c>
      <c r="F423" s="6" t="s">
        <v>530</v>
      </c>
      <c r="G423" s="6">
        <v>2017</v>
      </c>
      <c r="H423" s="6" t="str">
        <f>CONCATENATE("74780077686")</f>
        <v>74780077686</v>
      </c>
      <c r="I423" s="6" t="s">
        <v>28</v>
      </c>
      <c r="J423" s="6" t="s">
        <v>29</v>
      </c>
      <c r="K423" s="6" t="str">
        <f>CONCATENATE("221")</f>
        <v>221</v>
      </c>
      <c r="L423" s="6" t="str">
        <f>CONCATENATE("8 8.1 5e")</f>
        <v>8 8.1 5e</v>
      </c>
      <c r="M423" s="6" t="str">
        <f>CONCATENATE("MRCMNL74L13G479D")</f>
        <v>MRCMNL74L13G479D</v>
      </c>
      <c r="N423" s="6" t="s">
        <v>531</v>
      </c>
      <c r="O423" s="6" t="s">
        <v>395</v>
      </c>
      <c r="P423" s="7">
        <v>43173</v>
      </c>
      <c r="Q423" s="6" t="s">
        <v>30</v>
      </c>
      <c r="R423" s="6" t="s">
        <v>31</v>
      </c>
      <c r="S423" s="6" t="s">
        <v>32</v>
      </c>
      <c r="T423" s="6">
        <v>114.09</v>
      </c>
      <c r="U423" s="6">
        <v>49.2</v>
      </c>
      <c r="V423" s="6">
        <v>45.43</v>
      </c>
      <c r="W423" s="6">
        <v>0</v>
      </c>
      <c r="X423" s="6">
        <v>19.46</v>
      </c>
    </row>
    <row r="424" spans="1:24" ht="24.75" x14ac:dyDescent="0.25">
      <c r="A424" s="6" t="s">
        <v>25</v>
      </c>
      <c r="B424" s="6" t="s">
        <v>26</v>
      </c>
      <c r="C424" s="6" t="s">
        <v>48</v>
      </c>
      <c r="D424" s="6" t="s">
        <v>58</v>
      </c>
      <c r="E424" s="6" t="s">
        <v>38</v>
      </c>
      <c r="F424" s="6" t="s">
        <v>90</v>
      </c>
      <c r="G424" s="6">
        <v>2017</v>
      </c>
      <c r="H424" s="6" t="str">
        <f>CONCATENATE("74780079922")</f>
        <v>74780079922</v>
      </c>
      <c r="I424" s="6" t="s">
        <v>28</v>
      </c>
      <c r="J424" s="6" t="s">
        <v>29</v>
      </c>
      <c r="K424" s="6" t="str">
        <f>CONCATENATE("221")</f>
        <v>221</v>
      </c>
      <c r="L424" s="6" t="str">
        <f>CONCATENATE("8 8.1 5e")</f>
        <v>8 8.1 5e</v>
      </c>
      <c r="M424" s="6" t="str">
        <f>CONCATENATE("FRLGPR64L01D749Y")</f>
        <v>FRLGPR64L01D749Y</v>
      </c>
      <c r="N424" s="6" t="s">
        <v>532</v>
      </c>
      <c r="O424" s="6" t="s">
        <v>395</v>
      </c>
      <c r="P424" s="7">
        <v>43173</v>
      </c>
      <c r="Q424" s="6" t="s">
        <v>30</v>
      </c>
      <c r="R424" s="6" t="s">
        <v>31</v>
      </c>
      <c r="S424" s="6" t="s">
        <v>32</v>
      </c>
      <c r="T424" s="6">
        <v>749.45</v>
      </c>
      <c r="U424" s="6">
        <v>323.16000000000003</v>
      </c>
      <c r="V424" s="6">
        <v>298.43</v>
      </c>
      <c r="W424" s="6">
        <v>0</v>
      </c>
      <c r="X424" s="6">
        <v>127.86</v>
      </c>
    </row>
    <row r="425" spans="1:24" x14ac:dyDescent="0.25">
      <c r="A425" s="6" t="s">
        <v>25</v>
      </c>
      <c r="B425" s="6" t="s">
        <v>26</v>
      </c>
      <c r="C425" s="6" t="s">
        <v>48</v>
      </c>
      <c r="D425" s="6" t="s">
        <v>159</v>
      </c>
      <c r="E425" s="6" t="s">
        <v>34</v>
      </c>
      <c r="F425" s="6" t="s">
        <v>179</v>
      </c>
      <c r="G425" s="6">
        <v>2017</v>
      </c>
      <c r="H425" s="6" t="str">
        <f>CONCATENATE("74780068008")</f>
        <v>74780068008</v>
      </c>
      <c r="I425" s="6" t="s">
        <v>28</v>
      </c>
      <c r="J425" s="6" t="s">
        <v>29</v>
      </c>
      <c r="K425" s="6" t="str">
        <f>CONCATENATE("221")</f>
        <v>221</v>
      </c>
      <c r="L425" s="6" t="str">
        <f>CONCATENATE("8 8.1 5e")</f>
        <v>8 8.1 5e</v>
      </c>
      <c r="M425" s="6" t="str">
        <f>CONCATENATE("RMGGPP64B25D042C")</f>
        <v>RMGGPP64B25D042C</v>
      </c>
      <c r="N425" s="6" t="s">
        <v>533</v>
      </c>
      <c r="O425" s="6" t="s">
        <v>395</v>
      </c>
      <c r="P425" s="7">
        <v>43173</v>
      </c>
      <c r="Q425" s="6" t="s">
        <v>30</v>
      </c>
      <c r="R425" s="6" t="s">
        <v>31</v>
      </c>
      <c r="S425" s="6" t="s">
        <v>32</v>
      </c>
      <c r="T425" s="6">
        <v>101.36</v>
      </c>
      <c r="U425" s="6">
        <v>43.71</v>
      </c>
      <c r="V425" s="6">
        <v>40.36</v>
      </c>
      <c r="W425" s="6">
        <v>0</v>
      </c>
      <c r="X425" s="6">
        <v>17.29</v>
      </c>
    </row>
    <row r="426" spans="1:24" ht="24.75" x14ac:dyDescent="0.25">
      <c r="A426" s="6" t="s">
        <v>25</v>
      </c>
      <c r="B426" s="6" t="s">
        <v>26</v>
      </c>
      <c r="C426" s="6" t="s">
        <v>48</v>
      </c>
      <c r="D426" s="6" t="s">
        <v>52</v>
      </c>
      <c r="E426" s="6" t="s">
        <v>33</v>
      </c>
      <c r="F426" s="6" t="s">
        <v>83</v>
      </c>
      <c r="G426" s="6">
        <v>2017</v>
      </c>
      <c r="H426" s="6" t="str">
        <f>CONCATENATE("74780009648")</f>
        <v>74780009648</v>
      </c>
      <c r="I426" s="6" t="s">
        <v>28</v>
      </c>
      <c r="J426" s="6" t="s">
        <v>29</v>
      </c>
      <c r="K426" s="6" t="str">
        <f>CONCATENATE("221")</f>
        <v>221</v>
      </c>
      <c r="L426" s="6" t="str">
        <f>CONCATENATE("8 8.1 5e")</f>
        <v>8 8.1 5e</v>
      </c>
      <c r="M426" s="6" t="str">
        <f>CONCATENATE("CRCTMS75R14A462M")</f>
        <v>CRCTMS75R14A462M</v>
      </c>
      <c r="N426" s="6" t="s">
        <v>534</v>
      </c>
      <c r="O426" s="6" t="s">
        <v>395</v>
      </c>
      <c r="P426" s="7">
        <v>43173</v>
      </c>
      <c r="Q426" s="6" t="s">
        <v>30</v>
      </c>
      <c r="R426" s="6" t="s">
        <v>31</v>
      </c>
      <c r="S426" s="6" t="s">
        <v>32</v>
      </c>
      <c r="T426" s="6">
        <v>157.55000000000001</v>
      </c>
      <c r="U426" s="6">
        <v>67.94</v>
      </c>
      <c r="V426" s="6">
        <v>62.74</v>
      </c>
      <c r="W426" s="6">
        <v>0</v>
      </c>
      <c r="X426" s="6">
        <v>26.87</v>
      </c>
    </row>
    <row r="427" spans="1:24" ht="24.75" x14ac:dyDescent="0.25">
      <c r="A427" s="6" t="s">
        <v>25</v>
      </c>
      <c r="B427" s="6" t="s">
        <v>26</v>
      </c>
      <c r="C427" s="6" t="s">
        <v>48</v>
      </c>
      <c r="D427" s="6" t="s">
        <v>52</v>
      </c>
      <c r="E427" s="6" t="s">
        <v>33</v>
      </c>
      <c r="F427" s="6" t="s">
        <v>83</v>
      </c>
      <c r="G427" s="6">
        <v>2017</v>
      </c>
      <c r="H427" s="6" t="str">
        <f>CONCATENATE("74780045527")</f>
        <v>74780045527</v>
      </c>
      <c r="I427" s="6" t="s">
        <v>28</v>
      </c>
      <c r="J427" s="6" t="s">
        <v>29</v>
      </c>
      <c r="K427" s="6" t="str">
        <f>CONCATENATE("221")</f>
        <v>221</v>
      </c>
      <c r="L427" s="6" t="str">
        <f>CONCATENATE("8 8.1 5e")</f>
        <v>8 8.1 5e</v>
      </c>
      <c r="M427" s="6" t="str">
        <f>CONCATENATE("TZISDR38M25A462M")</f>
        <v>TZISDR38M25A462M</v>
      </c>
      <c r="N427" s="6" t="s">
        <v>535</v>
      </c>
      <c r="O427" s="6" t="s">
        <v>395</v>
      </c>
      <c r="P427" s="7">
        <v>43173</v>
      </c>
      <c r="Q427" s="6" t="s">
        <v>30</v>
      </c>
      <c r="R427" s="6" t="s">
        <v>31</v>
      </c>
      <c r="S427" s="6" t="s">
        <v>32</v>
      </c>
      <c r="T427" s="8">
        <v>1090.95</v>
      </c>
      <c r="U427" s="6">
        <v>470.42</v>
      </c>
      <c r="V427" s="6">
        <v>434.42</v>
      </c>
      <c r="W427" s="6">
        <v>0</v>
      </c>
      <c r="X427" s="6">
        <v>186.11</v>
      </c>
    </row>
    <row r="428" spans="1:24" ht="24.75" x14ac:dyDescent="0.25">
      <c r="A428" s="6" t="s">
        <v>25</v>
      </c>
      <c r="B428" s="6" t="s">
        <v>26</v>
      </c>
      <c r="C428" s="6" t="s">
        <v>48</v>
      </c>
      <c r="D428" s="6" t="s">
        <v>52</v>
      </c>
      <c r="E428" s="6" t="s">
        <v>34</v>
      </c>
      <c r="F428" s="6" t="s">
        <v>68</v>
      </c>
      <c r="G428" s="6">
        <v>2017</v>
      </c>
      <c r="H428" s="6" t="str">
        <f>CONCATENATE("74780073487")</f>
        <v>74780073487</v>
      </c>
      <c r="I428" s="6" t="s">
        <v>28</v>
      </c>
      <c r="J428" s="6" t="s">
        <v>29</v>
      </c>
      <c r="K428" s="6" t="str">
        <f>CONCATENATE("221")</f>
        <v>221</v>
      </c>
      <c r="L428" s="6" t="str">
        <f>CONCATENATE("8 8.1 5e")</f>
        <v>8 8.1 5e</v>
      </c>
      <c r="M428" s="6" t="str">
        <f>CONCATENATE("TRPLTR35B44F520S")</f>
        <v>TRPLTR35B44F520S</v>
      </c>
      <c r="N428" s="6" t="s">
        <v>536</v>
      </c>
      <c r="O428" s="6" t="s">
        <v>395</v>
      </c>
      <c r="P428" s="7">
        <v>43173</v>
      </c>
      <c r="Q428" s="6" t="s">
        <v>30</v>
      </c>
      <c r="R428" s="6" t="s">
        <v>31</v>
      </c>
      <c r="S428" s="6" t="s">
        <v>32</v>
      </c>
      <c r="T428" s="6">
        <v>92.31</v>
      </c>
      <c r="U428" s="6">
        <v>39.799999999999997</v>
      </c>
      <c r="V428" s="6">
        <v>36.76</v>
      </c>
      <c r="W428" s="6">
        <v>0</v>
      </c>
      <c r="X428" s="6">
        <v>15.75</v>
      </c>
    </row>
    <row r="429" spans="1:24" ht="24.75" x14ac:dyDescent="0.25">
      <c r="A429" s="6" t="s">
        <v>25</v>
      </c>
      <c r="B429" s="6" t="s">
        <v>26</v>
      </c>
      <c r="C429" s="6" t="s">
        <v>48</v>
      </c>
      <c r="D429" s="6" t="s">
        <v>52</v>
      </c>
      <c r="E429" s="6" t="s">
        <v>33</v>
      </c>
      <c r="F429" s="6" t="s">
        <v>83</v>
      </c>
      <c r="G429" s="6">
        <v>2017</v>
      </c>
      <c r="H429" s="6" t="str">
        <f>CONCATENATE("74780009713")</f>
        <v>74780009713</v>
      </c>
      <c r="I429" s="6" t="s">
        <v>28</v>
      </c>
      <c r="J429" s="6" t="s">
        <v>29</v>
      </c>
      <c r="K429" s="6" t="str">
        <f>CONCATENATE("221")</f>
        <v>221</v>
      </c>
      <c r="L429" s="6" t="str">
        <f>CONCATENATE("8 8.1 5e")</f>
        <v>8 8.1 5e</v>
      </c>
      <c r="M429" s="6" t="str">
        <f>CONCATENATE("MFFMRC89H18H769S")</f>
        <v>MFFMRC89H18H769S</v>
      </c>
      <c r="N429" s="6" t="s">
        <v>537</v>
      </c>
      <c r="O429" s="6" t="s">
        <v>395</v>
      </c>
      <c r="P429" s="7">
        <v>43173</v>
      </c>
      <c r="Q429" s="6" t="s">
        <v>30</v>
      </c>
      <c r="R429" s="6" t="s">
        <v>31</v>
      </c>
      <c r="S429" s="6" t="s">
        <v>32</v>
      </c>
      <c r="T429" s="6">
        <v>519.75</v>
      </c>
      <c r="U429" s="6">
        <v>224.12</v>
      </c>
      <c r="V429" s="6">
        <v>206.96</v>
      </c>
      <c r="W429" s="6">
        <v>0</v>
      </c>
      <c r="X429" s="6">
        <v>88.67</v>
      </c>
    </row>
    <row r="430" spans="1:24" x14ac:dyDescent="0.25">
      <c r="A430" s="6" t="s">
        <v>25</v>
      </c>
      <c r="B430" s="6" t="s">
        <v>26</v>
      </c>
      <c r="C430" s="6" t="s">
        <v>48</v>
      </c>
      <c r="D430" s="6" t="s">
        <v>159</v>
      </c>
      <c r="E430" s="6" t="s">
        <v>43</v>
      </c>
      <c r="F430" s="6" t="s">
        <v>177</v>
      </c>
      <c r="G430" s="6">
        <v>2017</v>
      </c>
      <c r="H430" s="6" t="str">
        <f>CONCATENATE("74780047382")</f>
        <v>74780047382</v>
      </c>
      <c r="I430" s="6" t="s">
        <v>28</v>
      </c>
      <c r="J430" s="6" t="s">
        <v>29</v>
      </c>
      <c r="K430" s="6" t="str">
        <f>CONCATENATE("221")</f>
        <v>221</v>
      </c>
      <c r="L430" s="6" t="str">
        <f>CONCATENATE("8 8.1 5e")</f>
        <v>8 8.1 5e</v>
      </c>
      <c r="M430" s="6" t="str">
        <f>CONCATENATE("VLNSTL33C29A334L")</f>
        <v>VLNSTL33C29A334L</v>
      </c>
      <c r="N430" s="6" t="s">
        <v>538</v>
      </c>
      <c r="O430" s="6" t="s">
        <v>395</v>
      </c>
      <c r="P430" s="7">
        <v>43173</v>
      </c>
      <c r="Q430" s="6" t="s">
        <v>30</v>
      </c>
      <c r="R430" s="6" t="s">
        <v>31</v>
      </c>
      <c r="S430" s="6" t="s">
        <v>32</v>
      </c>
      <c r="T430" s="8">
        <v>1035</v>
      </c>
      <c r="U430" s="6">
        <v>446.29</v>
      </c>
      <c r="V430" s="6">
        <v>412.14</v>
      </c>
      <c r="W430" s="6">
        <v>0</v>
      </c>
      <c r="X430" s="6">
        <v>176.57</v>
      </c>
    </row>
    <row r="431" spans="1:24" ht="24.75" x14ac:dyDescent="0.25">
      <c r="A431" s="6" t="s">
        <v>25</v>
      </c>
      <c r="B431" s="6" t="s">
        <v>26</v>
      </c>
      <c r="C431" s="6" t="s">
        <v>48</v>
      </c>
      <c r="D431" s="6" t="s">
        <v>52</v>
      </c>
      <c r="E431" s="6" t="s">
        <v>34</v>
      </c>
      <c r="F431" s="6" t="s">
        <v>235</v>
      </c>
      <c r="G431" s="6">
        <v>2017</v>
      </c>
      <c r="H431" s="6" t="str">
        <f>CONCATENATE("74780032103")</f>
        <v>74780032103</v>
      </c>
      <c r="I431" s="6" t="s">
        <v>28</v>
      </c>
      <c r="J431" s="6" t="s">
        <v>29</v>
      </c>
      <c r="K431" s="6" t="str">
        <f>CONCATENATE("221")</f>
        <v>221</v>
      </c>
      <c r="L431" s="6" t="str">
        <f>CONCATENATE("8 8.1 5e")</f>
        <v>8 8.1 5e</v>
      </c>
      <c r="M431" s="6" t="str">
        <f>CONCATENATE("MLVGPP64S05H321T")</f>
        <v>MLVGPP64S05H321T</v>
      </c>
      <c r="N431" s="6" t="s">
        <v>539</v>
      </c>
      <c r="O431" s="6" t="s">
        <v>395</v>
      </c>
      <c r="P431" s="7">
        <v>43173</v>
      </c>
      <c r="Q431" s="6" t="s">
        <v>30</v>
      </c>
      <c r="R431" s="6" t="s">
        <v>31</v>
      </c>
      <c r="S431" s="6" t="s">
        <v>32</v>
      </c>
      <c r="T431" s="6">
        <v>434.63</v>
      </c>
      <c r="U431" s="6">
        <v>187.41</v>
      </c>
      <c r="V431" s="6">
        <v>173.07</v>
      </c>
      <c r="W431" s="6">
        <v>0</v>
      </c>
      <c r="X431" s="6">
        <v>74.150000000000006</v>
      </c>
    </row>
    <row r="432" spans="1:24" ht="24.75" x14ac:dyDescent="0.25">
      <c r="A432" s="6" t="s">
        <v>25</v>
      </c>
      <c r="B432" s="6" t="s">
        <v>26</v>
      </c>
      <c r="C432" s="6" t="s">
        <v>48</v>
      </c>
      <c r="D432" s="6" t="s">
        <v>58</v>
      </c>
      <c r="E432" s="6" t="s">
        <v>41</v>
      </c>
      <c r="F432" s="6" t="s">
        <v>540</v>
      </c>
      <c r="G432" s="6">
        <v>2017</v>
      </c>
      <c r="H432" s="6" t="str">
        <f>CONCATENATE("74780017443")</f>
        <v>74780017443</v>
      </c>
      <c r="I432" s="6" t="s">
        <v>28</v>
      </c>
      <c r="J432" s="6" t="s">
        <v>29</v>
      </c>
      <c r="K432" s="6" t="str">
        <f>CONCATENATE("221")</f>
        <v>221</v>
      </c>
      <c r="L432" s="6" t="str">
        <f>CONCATENATE("8 8.1 5e")</f>
        <v>8 8.1 5e</v>
      </c>
      <c r="M432" s="6" t="str">
        <f>CONCATENATE("CRDPVN38T26F555T")</f>
        <v>CRDPVN38T26F555T</v>
      </c>
      <c r="N432" s="6" t="s">
        <v>541</v>
      </c>
      <c r="O432" s="6" t="s">
        <v>395</v>
      </c>
      <c r="P432" s="7">
        <v>43173</v>
      </c>
      <c r="Q432" s="6" t="s">
        <v>30</v>
      </c>
      <c r="R432" s="6" t="s">
        <v>31</v>
      </c>
      <c r="S432" s="6" t="s">
        <v>32</v>
      </c>
      <c r="T432" s="6">
        <v>124.96</v>
      </c>
      <c r="U432" s="6">
        <v>53.88</v>
      </c>
      <c r="V432" s="6">
        <v>49.76</v>
      </c>
      <c r="W432" s="6">
        <v>0</v>
      </c>
      <c r="X432" s="6">
        <v>21.32</v>
      </c>
    </row>
    <row r="433" spans="1:24" x14ac:dyDescent="0.25">
      <c r="A433" s="6" t="s">
        <v>25</v>
      </c>
      <c r="B433" s="6" t="s">
        <v>26</v>
      </c>
      <c r="C433" s="6" t="s">
        <v>48</v>
      </c>
      <c r="D433" s="6" t="s">
        <v>159</v>
      </c>
      <c r="E433" s="6" t="s">
        <v>38</v>
      </c>
      <c r="F433" s="6" t="s">
        <v>168</v>
      </c>
      <c r="G433" s="6">
        <v>2017</v>
      </c>
      <c r="H433" s="6" t="str">
        <f>CONCATENATE("74780025149")</f>
        <v>74780025149</v>
      </c>
      <c r="I433" s="6" t="s">
        <v>28</v>
      </c>
      <c r="J433" s="6" t="s">
        <v>29</v>
      </c>
      <c r="K433" s="6" t="str">
        <f>CONCATENATE("221")</f>
        <v>221</v>
      </c>
      <c r="L433" s="6" t="str">
        <f>CONCATENATE("8 8.1 5e")</f>
        <v>8 8.1 5e</v>
      </c>
      <c r="M433" s="6" t="str">
        <f>CONCATENATE("STRPLA72M31B474U")</f>
        <v>STRPLA72M31B474U</v>
      </c>
      <c r="N433" s="6" t="s">
        <v>542</v>
      </c>
      <c r="O433" s="6" t="s">
        <v>395</v>
      </c>
      <c r="P433" s="7">
        <v>43173</v>
      </c>
      <c r="Q433" s="6" t="s">
        <v>30</v>
      </c>
      <c r="R433" s="6" t="s">
        <v>31</v>
      </c>
      <c r="S433" s="6" t="s">
        <v>32</v>
      </c>
      <c r="T433" s="6">
        <v>625.5</v>
      </c>
      <c r="U433" s="6">
        <v>269.72000000000003</v>
      </c>
      <c r="V433" s="6">
        <v>249.07</v>
      </c>
      <c r="W433" s="6">
        <v>0</v>
      </c>
      <c r="X433" s="6">
        <v>106.71</v>
      </c>
    </row>
    <row r="434" spans="1:24" x14ac:dyDescent="0.25">
      <c r="A434" s="6" t="s">
        <v>25</v>
      </c>
      <c r="B434" s="6" t="s">
        <v>26</v>
      </c>
      <c r="C434" s="6" t="s">
        <v>48</v>
      </c>
      <c r="D434" s="6" t="s">
        <v>159</v>
      </c>
      <c r="E434" s="6" t="s">
        <v>39</v>
      </c>
      <c r="F434" s="6" t="s">
        <v>191</v>
      </c>
      <c r="G434" s="6">
        <v>2017</v>
      </c>
      <c r="H434" s="6" t="str">
        <f>CONCATENATE("74780067711")</f>
        <v>74780067711</v>
      </c>
      <c r="I434" s="6" t="s">
        <v>28</v>
      </c>
      <c r="J434" s="6" t="s">
        <v>29</v>
      </c>
      <c r="K434" s="6" t="str">
        <f>CONCATENATE("221")</f>
        <v>221</v>
      </c>
      <c r="L434" s="6" t="str">
        <f>CONCATENATE("8 8.1 5e")</f>
        <v>8 8.1 5e</v>
      </c>
      <c r="M434" s="6" t="str">
        <f>CONCATENATE("TFFFNC50M09L366U")</f>
        <v>TFFFNC50M09L366U</v>
      </c>
      <c r="N434" s="6" t="s">
        <v>543</v>
      </c>
      <c r="O434" s="6" t="s">
        <v>395</v>
      </c>
      <c r="P434" s="7">
        <v>43173</v>
      </c>
      <c r="Q434" s="6" t="s">
        <v>30</v>
      </c>
      <c r="R434" s="6" t="s">
        <v>31</v>
      </c>
      <c r="S434" s="6" t="s">
        <v>32</v>
      </c>
      <c r="T434" s="6">
        <v>269.69</v>
      </c>
      <c r="U434" s="6">
        <v>116.29</v>
      </c>
      <c r="V434" s="6">
        <v>107.39</v>
      </c>
      <c r="W434" s="6">
        <v>0</v>
      </c>
      <c r="X434" s="6">
        <v>46.01</v>
      </c>
    </row>
    <row r="435" spans="1:24" ht="24.75" x14ac:dyDescent="0.25">
      <c r="A435" s="6" t="s">
        <v>25</v>
      </c>
      <c r="B435" s="6" t="s">
        <v>26</v>
      </c>
      <c r="C435" s="6" t="s">
        <v>48</v>
      </c>
      <c r="D435" s="6" t="s">
        <v>52</v>
      </c>
      <c r="E435" s="6" t="s">
        <v>34</v>
      </c>
      <c r="F435" s="6" t="s">
        <v>53</v>
      </c>
      <c r="G435" s="6">
        <v>2017</v>
      </c>
      <c r="H435" s="6" t="str">
        <f>CONCATENATE("74780074493")</f>
        <v>74780074493</v>
      </c>
      <c r="I435" s="6" t="s">
        <v>28</v>
      </c>
      <c r="J435" s="6" t="s">
        <v>29</v>
      </c>
      <c r="K435" s="6" t="str">
        <f>CONCATENATE("221")</f>
        <v>221</v>
      </c>
      <c r="L435" s="6" t="str">
        <f>CONCATENATE("8 8.1 5e")</f>
        <v>8 8.1 5e</v>
      </c>
      <c r="M435" s="6" t="str">
        <f>CONCATENATE("PSSGLG42S16G157M")</f>
        <v>PSSGLG42S16G157M</v>
      </c>
      <c r="N435" s="6" t="s">
        <v>544</v>
      </c>
      <c r="O435" s="6" t="s">
        <v>395</v>
      </c>
      <c r="P435" s="7">
        <v>43173</v>
      </c>
      <c r="Q435" s="6" t="s">
        <v>30</v>
      </c>
      <c r="R435" s="6" t="s">
        <v>31</v>
      </c>
      <c r="S435" s="6" t="s">
        <v>32</v>
      </c>
      <c r="T435" s="6">
        <v>295.19</v>
      </c>
      <c r="U435" s="6">
        <v>127.29</v>
      </c>
      <c r="V435" s="6">
        <v>117.54</v>
      </c>
      <c r="W435" s="6">
        <v>0</v>
      </c>
      <c r="X435" s="6">
        <v>50.36</v>
      </c>
    </row>
    <row r="436" spans="1:24" ht="24.75" x14ac:dyDescent="0.25">
      <c r="A436" s="6" t="s">
        <v>25</v>
      </c>
      <c r="B436" s="6" t="s">
        <v>26</v>
      </c>
      <c r="C436" s="6" t="s">
        <v>48</v>
      </c>
      <c r="D436" s="6" t="s">
        <v>52</v>
      </c>
      <c r="E436" s="6" t="s">
        <v>34</v>
      </c>
      <c r="F436" s="6" t="s">
        <v>68</v>
      </c>
      <c r="G436" s="6">
        <v>2017</v>
      </c>
      <c r="H436" s="6" t="str">
        <f>CONCATENATE("74780058652")</f>
        <v>74780058652</v>
      </c>
      <c r="I436" s="6" t="s">
        <v>28</v>
      </c>
      <c r="J436" s="6" t="s">
        <v>29</v>
      </c>
      <c r="K436" s="6" t="str">
        <f>CONCATENATE("221")</f>
        <v>221</v>
      </c>
      <c r="L436" s="6" t="str">
        <f>CONCATENATE("8 8.1 5e")</f>
        <v>8 8.1 5e</v>
      </c>
      <c r="M436" s="6" t="str">
        <f>CONCATENATE("00734400443")</f>
        <v>00734400443</v>
      </c>
      <c r="N436" s="6" t="s">
        <v>545</v>
      </c>
      <c r="O436" s="6" t="s">
        <v>395</v>
      </c>
      <c r="P436" s="7">
        <v>43173</v>
      </c>
      <c r="Q436" s="6" t="s">
        <v>30</v>
      </c>
      <c r="R436" s="6" t="s">
        <v>31</v>
      </c>
      <c r="S436" s="6" t="s">
        <v>32</v>
      </c>
      <c r="T436" s="6">
        <v>225.19</v>
      </c>
      <c r="U436" s="6">
        <v>97.1</v>
      </c>
      <c r="V436" s="6">
        <v>89.67</v>
      </c>
      <c r="W436" s="6">
        <v>0</v>
      </c>
      <c r="X436" s="6">
        <v>38.42</v>
      </c>
    </row>
    <row r="437" spans="1:24" ht="24.75" x14ac:dyDescent="0.25">
      <c r="A437" s="6" t="s">
        <v>25</v>
      </c>
      <c r="B437" s="6" t="s">
        <v>26</v>
      </c>
      <c r="C437" s="6" t="s">
        <v>48</v>
      </c>
      <c r="D437" s="6" t="s">
        <v>52</v>
      </c>
      <c r="E437" s="6" t="s">
        <v>27</v>
      </c>
      <c r="F437" s="6" t="s">
        <v>251</v>
      </c>
      <c r="G437" s="6">
        <v>2017</v>
      </c>
      <c r="H437" s="6" t="str">
        <f>CONCATENATE("74780006321")</f>
        <v>74780006321</v>
      </c>
      <c r="I437" s="6" t="s">
        <v>28</v>
      </c>
      <c r="J437" s="6" t="s">
        <v>29</v>
      </c>
      <c r="K437" s="6" t="str">
        <f>CONCATENATE("221")</f>
        <v>221</v>
      </c>
      <c r="L437" s="6" t="str">
        <f>CONCATENATE("8 8.1 5e")</f>
        <v>8 8.1 5e</v>
      </c>
      <c r="M437" s="6" t="str">
        <f>CONCATENATE("FGNGCR50H26F493O")</f>
        <v>FGNGCR50H26F493O</v>
      </c>
      <c r="N437" s="6" t="s">
        <v>546</v>
      </c>
      <c r="O437" s="6" t="s">
        <v>395</v>
      </c>
      <c r="P437" s="7">
        <v>43173</v>
      </c>
      <c r="Q437" s="6" t="s">
        <v>30</v>
      </c>
      <c r="R437" s="6" t="s">
        <v>31</v>
      </c>
      <c r="S437" s="6" t="s">
        <v>32</v>
      </c>
      <c r="T437" s="6">
        <v>99.47</v>
      </c>
      <c r="U437" s="6">
        <v>42.89</v>
      </c>
      <c r="V437" s="6">
        <v>39.61</v>
      </c>
      <c r="W437" s="6">
        <v>0</v>
      </c>
      <c r="X437" s="6">
        <v>16.97</v>
      </c>
    </row>
    <row r="438" spans="1:24" x14ac:dyDescent="0.25">
      <c r="A438" s="6" t="s">
        <v>25</v>
      </c>
      <c r="B438" s="6" t="s">
        <v>26</v>
      </c>
      <c r="C438" s="6" t="s">
        <v>48</v>
      </c>
      <c r="D438" s="6" t="s">
        <v>159</v>
      </c>
      <c r="E438" s="6" t="s">
        <v>34</v>
      </c>
      <c r="F438" s="6" t="s">
        <v>196</v>
      </c>
      <c r="G438" s="6">
        <v>2017</v>
      </c>
      <c r="H438" s="6" t="str">
        <f>CONCATENATE("74780058413")</f>
        <v>74780058413</v>
      </c>
      <c r="I438" s="6" t="s">
        <v>28</v>
      </c>
      <c r="J438" s="6" t="s">
        <v>29</v>
      </c>
      <c r="K438" s="6" t="str">
        <f>CONCATENATE("221")</f>
        <v>221</v>
      </c>
      <c r="L438" s="6" t="str">
        <f>CONCATENATE("8 8.1 5e")</f>
        <v>8 8.1 5e</v>
      </c>
      <c r="M438" s="6" t="str">
        <f>CONCATENATE("SLVLCU54H62I156M")</f>
        <v>SLVLCU54H62I156M</v>
      </c>
      <c r="N438" s="6" t="s">
        <v>547</v>
      </c>
      <c r="O438" s="6" t="s">
        <v>395</v>
      </c>
      <c r="P438" s="7">
        <v>43173</v>
      </c>
      <c r="Q438" s="6" t="s">
        <v>30</v>
      </c>
      <c r="R438" s="6" t="s">
        <v>31</v>
      </c>
      <c r="S438" s="6" t="s">
        <v>32</v>
      </c>
      <c r="T438" s="6">
        <v>510.42</v>
      </c>
      <c r="U438" s="6">
        <v>220.09</v>
      </c>
      <c r="V438" s="6">
        <v>203.25</v>
      </c>
      <c r="W438" s="6">
        <v>0</v>
      </c>
      <c r="X438" s="6">
        <v>87.08</v>
      </c>
    </row>
    <row r="439" spans="1:24" ht="24.75" x14ac:dyDescent="0.25">
      <c r="A439" s="6" t="s">
        <v>25</v>
      </c>
      <c r="B439" s="6" t="s">
        <v>26</v>
      </c>
      <c r="C439" s="6" t="s">
        <v>48</v>
      </c>
      <c r="D439" s="6" t="s">
        <v>58</v>
      </c>
      <c r="E439" s="6" t="s">
        <v>34</v>
      </c>
      <c r="F439" s="6" t="s">
        <v>548</v>
      </c>
      <c r="G439" s="6">
        <v>2017</v>
      </c>
      <c r="H439" s="6" t="str">
        <f>CONCATENATE("74780030701")</f>
        <v>74780030701</v>
      </c>
      <c r="I439" s="6" t="s">
        <v>28</v>
      </c>
      <c r="J439" s="6" t="s">
        <v>29</v>
      </c>
      <c r="K439" s="6" t="str">
        <f>CONCATENATE("221")</f>
        <v>221</v>
      </c>
      <c r="L439" s="6" t="str">
        <f>CONCATENATE("8 8.1 5e")</f>
        <v>8 8.1 5e</v>
      </c>
      <c r="M439" s="6" t="str">
        <f>CONCATENATE("BTTGTN61M31I201M")</f>
        <v>BTTGTN61M31I201M</v>
      </c>
      <c r="N439" s="6" t="s">
        <v>549</v>
      </c>
      <c r="O439" s="6" t="s">
        <v>395</v>
      </c>
      <c r="P439" s="7">
        <v>43173</v>
      </c>
      <c r="Q439" s="6" t="s">
        <v>30</v>
      </c>
      <c r="R439" s="6" t="s">
        <v>31</v>
      </c>
      <c r="S439" s="6" t="s">
        <v>32</v>
      </c>
      <c r="T439" s="6">
        <v>217.32</v>
      </c>
      <c r="U439" s="6">
        <v>93.71</v>
      </c>
      <c r="V439" s="6">
        <v>86.54</v>
      </c>
      <c r="W439" s="6">
        <v>0</v>
      </c>
      <c r="X439" s="6">
        <v>37.07</v>
      </c>
    </row>
    <row r="440" spans="1:24" ht="24.75" x14ac:dyDescent="0.25">
      <c r="A440" s="6" t="s">
        <v>25</v>
      </c>
      <c r="B440" s="6" t="s">
        <v>26</v>
      </c>
      <c r="C440" s="6" t="s">
        <v>48</v>
      </c>
      <c r="D440" s="6" t="s">
        <v>52</v>
      </c>
      <c r="E440" s="6" t="s">
        <v>33</v>
      </c>
      <c r="F440" s="6" t="s">
        <v>83</v>
      </c>
      <c r="G440" s="6">
        <v>2017</v>
      </c>
      <c r="H440" s="6" t="str">
        <f>CONCATENATE("74780045493")</f>
        <v>74780045493</v>
      </c>
      <c r="I440" s="6" t="s">
        <v>28</v>
      </c>
      <c r="J440" s="6" t="s">
        <v>29</v>
      </c>
      <c r="K440" s="6" t="str">
        <f>CONCATENATE("221")</f>
        <v>221</v>
      </c>
      <c r="L440" s="6" t="str">
        <f>CONCATENATE("8 8.1 5e")</f>
        <v>8 8.1 5e</v>
      </c>
      <c r="M440" s="6" t="str">
        <f>CONCATENATE("SCHSFN29R12F522Y")</f>
        <v>SCHSFN29R12F522Y</v>
      </c>
      <c r="N440" s="6" t="s">
        <v>550</v>
      </c>
      <c r="O440" s="6" t="s">
        <v>395</v>
      </c>
      <c r="P440" s="7">
        <v>43173</v>
      </c>
      <c r="Q440" s="6" t="s">
        <v>30</v>
      </c>
      <c r="R440" s="6" t="s">
        <v>31</v>
      </c>
      <c r="S440" s="6" t="s">
        <v>32</v>
      </c>
      <c r="T440" s="8">
        <v>3519.59</v>
      </c>
      <c r="U440" s="8">
        <v>1517.65</v>
      </c>
      <c r="V440" s="8">
        <v>1401.5</v>
      </c>
      <c r="W440" s="6">
        <v>0</v>
      </c>
      <c r="X440" s="6">
        <v>600.44000000000005</v>
      </c>
    </row>
    <row r="441" spans="1:24" ht="24.75" x14ac:dyDescent="0.25">
      <c r="A441" s="6" t="s">
        <v>25</v>
      </c>
      <c r="B441" s="6" t="s">
        <v>26</v>
      </c>
      <c r="C441" s="6" t="s">
        <v>48</v>
      </c>
      <c r="D441" s="6" t="s">
        <v>52</v>
      </c>
      <c r="E441" s="6" t="s">
        <v>27</v>
      </c>
      <c r="F441" s="6" t="s">
        <v>251</v>
      </c>
      <c r="G441" s="6">
        <v>2017</v>
      </c>
      <c r="H441" s="6" t="str">
        <f>CONCATENATE("74780007782")</f>
        <v>74780007782</v>
      </c>
      <c r="I441" s="6" t="s">
        <v>28</v>
      </c>
      <c r="J441" s="6" t="s">
        <v>29</v>
      </c>
      <c r="K441" s="6" t="str">
        <f>CONCATENATE("221")</f>
        <v>221</v>
      </c>
      <c r="L441" s="6" t="str">
        <f>CONCATENATE("8 8.1 5e")</f>
        <v>8 8.1 5e</v>
      </c>
      <c r="M441" s="6" t="str">
        <f>CONCATENATE("SMNGTL29S56F415T")</f>
        <v>SMNGTL29S56F415T</v>
      </c>
      <c r="N441" s="6" t="s">
        <v>551</v>
      </c>
      <c r="O441" s="6" t="s">
        <v>395</v>
      </c>
      <c r="P441" s="7">
        <v>43173</v>
      </c>
      <c r="Q441" s="6" t="s">
        <v>30</v>
      </c>
      <c r="R441" s="6" t="s">
        <v>31</v>
      </c>
      <c r="S441" s="6" t="s">
        <v>32</v>
      </c>
      <c r="T441" s="8">
        <v>1920</v>
      </c>
      <c r="U441" s="6">
        <v>827.9</v>
      </c>
      <c r="V441" s="6">
        <v>764.54</v>
      </c>
      <c r="W441" s="6">
        <v>0</v>
      </c>
      <c r="X441" s="6">
        <v>327.56</v>
      </c>
    </row>
    <row r="442" spans="1:24" x14ac:dyDescent="0.25">
      <c r="A442" s="6" t="s">
        <v>25</v>
      </c>
      <c r="B442" s="6" t="s">
        <v>26</v>
      </c>
      <c r="C442" s="6" t="s">
        <v>48</v>
      </c>
      <c r="D442" s="6" t="s">
        <v>159</v>
      </c>
      <c r="E442" s="6" t="s">
        <v>33</v>
      </c>
      <c r="F442" s="6" t="s">
        <v>183</v>
      </c>
      <c r="G442" s="6">
        <v>2017</v>
      </c>
      <c r="H442" s="6" t="str">
        <f>CONCATENATE("74780070913")</f>
        <v>74780070913</v>
      </c>
      <c r="I442" s="6" t="s">
        <v>28</v>
      </c>
      <c r="J442" s="6" t="s">
        <v>29</v>
      </c>
      <c r="K442" s="6" t="str">
        <f>CONCATENATE("221")</f>
        <v>221</v>
      </c>
      <c r="L442" s="6" t="str">
        <f>CONCATENATE("8 8.1 5e")</f>
        <v>8 8.1 5e</v>
      </c>
      <c r="M442" s="6" t="str">
        <f>CONCATENATE("MGHDRN34M61E783G")</f>
        <v>MGHDRN34M61E783G</v>
      </c>
      <c r="N442" s="6" t="s">
        <v>552</v>
      </c>
      <c r="O442" s="6" t="s">
        <v>395</v>
      </c>
      <c r="P442" s="7">
        <v>43173</v>
      </c>
      <c r="Q442" s="6" t="s">
        <v>30</v>
      </c>
      <c r="R442" s="6" t="s">
        <v>31</v>
      </c>
      <c r="S442" s="6" t="s">
        <v>32</v>
      </c>
      <c r="T442" s="6">
        <v>170.14</v>
      </c>
      <c r="U442" s="6">
        <v>73.36</v>
      </c>
      <c r="V442" s="6">
        <v>67.75</v>
      </c>
      <c r="W442" s="6">
        <v>0</v>
      </c>
      <c r="X442" s="6">
        <v>29.03</v>
      </c>
    </row>
    <row r="443" spans="1:24" ht="24.75" x14ac:dyDescent="0.25">
      <c r="A443" s="6" t="s">
        <v>25</v>
      </c>
      <c r="B443" s="6" t="s">
        <v>26</v>
      </c>
      <c r="C443" s="6" t="s">
        <v>48</v>
      </c>
      <c r="D443" s="6" t="s">
        <v>52</v>
      </c>
      <c r="E443" s="6" t="s">
        <v>38</v>
      </c>
      <c r="F443" s="6" t="s">
        <v>130</v>
      </c>
      <c r="G443" s="6">
        <v>2017</v>
      </c>
      <c r="H443" s="6" t="str">
        <f>CONCATENATE("74780023334")</f>
        <v>74780023334</v>
      </c>
      <c r="I443" s="6" t="s">
        <v>28</v>
      </c>
      <c r="J443" s="6" t="s">
        <v>29</v>
      </c>
      <c r="K443" s="6" t="str">
        <f>CONCATENATE("221")</f>
        <v>221</v>
      </c>
      <c r="L443" s="6" t="str">
        <f>CONCATENATE("8 8.1 5e")</f>
        <v>8 8.1 5e</v>
      </c>
      <c r="M443" s="6" t="str">
        <f>CONCATENATE("KNDHMT55B28Z112G")</f>
        <v>KNDHMT55B28Z112G</v>
      </c>
      <c r="N443" s="6" t="s">
        <v>553</v>
      </c>
      <c r="O443" s="6" t="s">
        <v>395</v>
      </c>
      <c r="P443" s="7">
        <v>43173</v>
      </c>
      <c r="Q443" s="6" t="s">
        <v>30</v>
      </c>
      <c r="R443" s="6" t="s">
        <v>31</v>
      </c>
      <c r="S443" s="6" t="s">
        <v>32</v>
      </c>
      <c r="T443" s="6">
        <v>420.15</v>
      </c>
      <c r="U443" s="6">
        <v>181.17</v>
      </c>
      <c r="V443" s="6">
        <v>167.3</v>
      </c>
      <c r="W443" s="6">
        <v>0</v>
      </c>
      <c r="X443" s="6">
        <v>71.680000000000007</v>
      </c>
    </row>
    <row r="444" spans="1:24" ht="24.75" x14ac:dyDescent="0.25">
      <c r="A444" s="6" t="s">
        <v>25</v>
      </c>
      <c r="B444" s="6" t="s">
        <v>26</v>
      </c>
      <c r="C444" s="6" t="s">
        <v>48</v>
      </c>
      <c r="D444" s="6" t="s">
        <v>58</v>
      </c>
      <c r="E444" s="6" t="s">
        <v>38</v>
      </c>
      <c r="F444" s="6" t="s">
        <v>134</v>
      </c>
      <c r="G444" s="6">
        <v>2017</v>
      </c>
      <c r="H444" s="6" t="str">
        <f>CONCATENATE("74780008475")</f>
        <v>74780008475</v>
      </c>
      <c r="I444" s="6" t="s">
        <v>28</v>
      </c>
      <c r="J444" s="6" t="s">
        <v>29</v>
      </c>
      <c r="K444" s="6" t="str">
        <f>CONCATENATE("221")</f>
        <v>221</v>
      </c>
      <c r="L444" s="6" t="str">
        <f>CONCATENATE("8 8.1 5e")</f>
        <v>8 8.1 5e</v>
      </c>
      <c r="M444" s="6" t="str">
        <f>CONCATENATE("FRTMNL54P41H501B")</f>
        <v>FRTMNL54P41H501B</v>
      </c>
      <c r="N444" s="6" t="s">
        <v>554</v>
      </c>
      <c r="O444" s="6" t="s">
        <v>395</v>
      </c>
      <c r="P444" s="7">
        <v>43173</v>
      </c>
      <c r="Q444" s="6" t="s">
        <v>30</v>
      </c>
      <c r="R444" s="6" t="s">
        <v>31</v>
      </c>
      <c r="S444" s="6" t="s">
        <v>32</v>
      </c>
      <c r="T444" s="6">
        <v>530.77</v>
      </c>
      <c r="U444" s="6">
        <v>228.87</v>
      </c>
      <c r="V444" s="6">
        <v>211.35</v>
      </c>
      <c r="W444" s="6">
        <v>0</v>
      </c>
      <c r="X444" s="6">
        <v>90.55</v>
      </c>
    </row>
    <row r="445" spans="1:24" ht="24.75" x14ac:dyDescent="0.25">
      <c r="A445" s="6" t="s">
        <v>25</v>
      </c>
      <c r="B445" s="6" t="s">
        <v>26</v>
      </c>
      <c r="C445" s="6" t="s">
        <v>48</v>
      </c>
      <c r="D445" s="6" t="s">
        <v>52</v>
      </c>
      <c r="E445" s="6" t="s">
        <v>34</v>
      </c>
      <c r="F445" s="6" t="s">
        <v>68</v>
      </c>
      <c r="G445" s="6">
        <v>2017</v>
      </c>
      <c r="H445" s="6" t="str">
        <f>CONCATENATE("74780060138")</f>
        <v>74780060138</v>
      </c>
      <c r="I445" s="6" t="s">
        <v>28</v>
      </c>
      <c r="J445" s="6" t="s">
        <v>29</v>
      </c>
      <c r="K445" s="6" t="str">
        <f>CONCATENATE("221")</f>
        <v>221</v>
      </c>
      <c r="L445" s="6" t="str">
        <f>CONCATENATE("8 8.1 5e")</f>
        <v>8 8.1 5e</v>
      </c>
      <c r="M445" s="6" t="str">
        <f>CONCATENATE("CNCPLA74M21E783P")</f>
        <v>CNCPLA74M21E783P</v>
      </c>
      <c r="N445" s="6" t="s">
        <v>555</v>
      </c>
      <c r="O445" s="6" t="s">
        <v>165</v>
      </c>
      <c r="P445" s="7">
        <v>43173</v>
      </c>
      <c r="Q445" s="6" t="s">
        <v>30</v>
      </c>
      <c r="R445" s="6" t="s">
        <v>31</v>
      </c>
      <c r="S445" s="6" t="s">
        <v>32</v>
      </c>
      <c r="T445" s="8">
        <v>5698</v>
      </c>
      <c r="U445" s="8">
        <v>2456.98</v>
      </c>
      <c r="V445" s="8">
        <v>2268.94</v>
      </c>
      <c r="W445" s="6">
        <v>0</v>
      </c>
      <c r="X445" s="6">
        <v>972.08</v>
      </c>
    </row>
    <row r="446" spans="1:24" ht="24.75" x14ac:dyDescent="0.25">
      <c r="A446" s="6" t="s">
        <v>25</v>
      </c>
      <c r="B446" s="6" t="s">
        <v>26</v>
      </c>
      <c r="C446" s="6" t="s">
        <v>48</v>
      </c>
      <c r="D446" s="6" t="s">
        <v>52</v>
      </c>
      <c r="E446" s="6" t="s">
        <v>34</v>
      </c>
      <c r="F446" s="6" t="s">
        <v>294</v>
      </c>
      <c r="G446" s="6">
        <v>2017</v>
      </c>
      <c r="H446" s="6" t="str">
        <f>CONCATENATE("74780058355")</f>
        <v>74780058355</v>
      </c>
      <c r="I446" s="6" t="s">
        <v>28</v>
      </c>
      <c r="J446" s="6" t="s">
        <v>29</v>
      </c>
      <c r="K446" s="6" t="str">
        <f>CONCATENATE("221")</f>
        <v>221</v>
      </c>
      <c r="L446" s="6" t="str">
        <f>CONCATENATE("8 8.1 5e")</f>
        <v>8 8.1 5e</v>
      </c>
      <c r="M446" s="6" t="str">
        <f>CONCATENATE("CTCFNC46C42G920L")</f>
        <v>CTCFNC46C42G920L</v>
      </c>
      <c r="N446" s="6" t="s">
        <v>556</v>
      </c>
      <c r="O446" s="6" t="s">
        <v>165</v>
      </c>
      <c r="P446" s="7">
        <v>43173</v>
      </c>
      <c r="Q446" s="6" t="s">
        <v>30</v>
      </c>
      <c r="R446" s="6" t="s">
        <v>31</v>
      </c>
      <c r="S446" s="6" t="s">
        <v>32</v>
      </c>
      <c r="T446" s="8">
        <v>6712.39</v>
      </c>
      <c r="U446" s="8">
        <v>2894.38</v>
      </c>
      <c r="V446" s="8">
        <v>2672.87</v>
      </c>
      <c r="W446" s="6">
        <v>0</v>
      </c>
      <c r="X446" s="8">
        <v>1145.1400000000001</v>
      </c>
    </row>
    <row r="447" spans="1:24" ht="24.75" x14ac:dyDescent="0.25">
      <c r="A447" s="6" t="s">
        <v>25</v>
      </c>
      <c r="B447" s="6" t="s">
        <v>26</v>
      </c>
      <c r="C447" s="6" t="s">
        <v>48</v>
      </c>
      <c r="D447" s="6" t="s">
        <v>52</v>
      </c>
      <c r="E447" s="6" t="s">
        <v>34</v>
      </c>
      <c r="F447" s="6" t="s">
        <v>233</v>
      </c>
      <c r="G447" s="6">
        <v>2017</v>
      </c>
      <c r="H447" s="6" t="str">
        <f>CONCATENATE("74780061334")</f>
        <v>74780061334</v>
      </c>
      <c r="I447" s="6" t="s">
        <v>28</v>
      </c>
      <c r="J447" s="6" t="s">
        <v>29</v>
      </c>
      <c r="K447" s="6" t="str">
        <f>CONCATENATE("221")</f>
        <v>221</v>
      </c>
      <c r="L447" s="6" t="str">
        <f>CONCATENATE("8 8.1 5e")</f>
        <v>8 8.1 5e</v>
      </c>
      <c r="M447" s="6" t="str">
        <f>CONCATENATE("CCRMRZ59A48G920G")</f>
        <v>CCRMRZ59A48G920G</v>
      </c>
      <c r="N447" s="6" t="s">
        <v>557</v>
      </c>
      <c r="O447" s="6" t="s">
        <v>165</v>
      </c>
      <c r="P447" s="7">
        <v>43173</v>
      </c>
      <c r="Q447" s="6" t="s">
        <v>30</v>
      </c>
      <c r="R447" s="6" t="s">
        <v>31</v>
      </c>
      <c r="S447" s="6" t="s">
        <v>32</v>
      </c>
      <c r="T447" s="6">
        <v>462.55</v>
      </c>
      <c r="U447" s="6">
        <v>199.45</v>
      </c>
      <c r="V447" s="6">
        <v>184.19</v>
      </c>
      <c r="W447" s="6">
        <v>0</v>
      </c>
      <c r="X447" s="6">
        <v>78.91</v>
      </c>
    </row>
    <row r="448" spans="1:24" ht="24.75" x14ac:dyDescent="0.25">
      <c r="A448" s="6" t="s">
        <v>25</v>
      </c>
      <c r="B448" s="6" t="s">
        <v>26</v>
      </c>
      <c r="C448" s="6" t="s">
        <v>48</v>
      </c>
      <c r="D448" s="6" t="s">
        <v>52</v>
      </c>
      <c r="E448" s="6" t="s">
        <v>33</v>
      </c>
      <c r="F448" s="6" t="s">
        <v>83</v>
      </c>
      <c r="G448" s="6">
        <v>2017</v>
      </c>
      <c r="H448" s="6" t="str">
        <f>CONCATENATE("74780009663")</f>
        <v>74780009663</v>
      </c>
      <c r="I448" s="6" t="s">
        <v>28</v>
      </c>
      <c r="J448" s="6" t="s">
        <v>29</v>
      </c>
      <c r="K448" s="6" t="str">
        <f>CONCATENATE("221")</f>
        <v>221</v>
      </c>
      <c r="L448" s="6" t="str">
        <f>CONCATENATE("8 8.1 5e")</f>
        <v>8 8.1 5e</v>
      </c>
      <c r="M448" s="6" t="str">
        <f>CONCATENATE("CCRLGN52T65A462S")</f>
        <v>CCRLGN52T65A462S</v>
      </c>
      <c r="N448" s="6" t="s">
        <v>558</v>
      </c>
      <c r="O448" s="6" t="s">
        <v>165</v>
      </c>
      <c r="P448" s="7">
        <v>43173</v>
      </c>
      <c r="Q448" s="6" t="s">
        <v>30</v>
      </c>
      <c r="R448" s="6" t="s">
        <v>31</v>
      </c>
      <c r="S448" s="6" t="s">
        <v>32</v>
      </c>
      <c r="T448" s="6">
        <v>132.19999999999999</v>
      </c>
      <c r="U448" s="6">
        <v>57</v>
      </c>
      <c r="V448" s="6">
        <v>52.64</v>
      </c>
      <c r="W448" s="6">
        <v>0</v>
      </c>
      <c r="X448" s="6">
        <v>22.56</v>
      </c>
    </row>
    <row r="449" spans="1:24" ht="24.75" x14ac:dyDescent="0.25">
      <c r="A449" s="6" t="s">
        <v>25</v>
      </c>
      <c r="B449" s="6" t="s">
        <v>26</v>
      </c>
      <c r="C449" s="6" t="s">
        <v>48</v>
      </c>
      <c r="D449" s="6" t="s">
        <v>52</v>
      </c>
      <c r="E449" s="6" t="s">
        <v>34</v>
      </c>
      <c r="F449" s="6" t="s">
        <v>163</v>
      </c>
      <c r="G449" s="6">
        <v>2017</v>
      </c>
      <c r="H449" s="6" t="str">
        <f>CONCATENATE("74780023094")</f>
        <v>74780023094</v>
      </c>
      <c r="I449" s="6" t="s">
        <v>28</v>
      </c>
      <c r="J449" s="6" t="s">
        <v>29</v>
      </c>
      <c r="K449" s="6" t="str">
        <f>CONCATENATE("221")</f>
        <v>221</v>
      </c>
      <c r="L449" s="6" t="str">
        <f>CONCATENATE("8 8.1 5e")</f>
        <v>8 8.1 5e</v>
      </c>
      <c r="M449" s="6" t="str">
        <f>CONCATENATE("CCRVCN29R30G005W")</f>
        <v>CCRVCN29R30G005W</v>
      </c>
      <c r="N449" s="6" t="s">
        <v>559</v>
      </c>
      <c r="O449" s="6" t="s">
        <v>165</v>
      </c>
      <c r="P449" s="7">
        <v>43173</v>
      </c>
      <c r="Q449" s="6" t="s">
        <v>30</v>
      </c>
      <c r="R449" s="6" t="s">
        <v>31</v>
      </c>
      <c r="S449" s="6" t="s">
        <v>32</v>
      </c>
      <c r="T449" s="8">
        <v>1621.98</v>
      </c>
      <c r="U449" s="6">
        <v>699.4</v>
      </c>
      <c r="V449" s="6">
        <v>645.87</v>
      </c>
      <c r="W449" s="6">
        <v>0</v>
      </c>
      <c r="X449" s="6">
        <v>276.70999999999998</v>
      </c>
    </row>
    <row r="450" spans="1:24" ht="24.75" x14ac:dyDescent="0.25">
      <c r="A450" s="6" t="s">
        <v>25</v>
      </c>
      <c r="B450" s="6" t="s">
        <v>26</v>
      </c>
      <c r="C450" s="6" t="s">
        <v>48</v>
      </c>
      <c r="D450" s="6" t="s">
        <v>52</v>
      </c>
      <c r="E450" s="6" t="s">
        <v>34</v>
      </c>
      <c r="F450" s="6" t="s">
        <v>53</v>
      </c>
      <c r="G450" s="6">
        <v>2017</v>
      </c>
      <c r="H450" s="6" t="str">
        <f>CONCATENATE("74780073180")</f>
        <v>74780073180</v>
      </c>
      <c r="I450" s="6" t="s">
        <v>28</v>
      </c>
      <c r="J450" s="6" t="s">
        <v>29</v>
      </c>
      <c r="K450" s="6" t="str">
        <f>CONCATENATE("221")</f>
        <v>221</v>
      </c>
      <c r="L450" s="6" t="str">
        <f>CONCATENATE("8 8.1 5e")</f>
        <v>8 8.1 5e</v>
      </c>
      <c r="M450" s="6" t="str">
        <f>CONCATENATE("LLVFNC41B11A335I")</f>
        <v>LLVFNC41B11A335I</v>
      </c>
      <c r="N450" s="6" t="s">
        <v>560</v>
      </c>
      <c r="O450" s="6" t="s">
        <v>165</v>
      </c>
      <c r="P450" s="7">
        <v>43173</v>
      </c>
      <c r="Q450" s="6" t="s">
        <v>30</v>
      </c>
      <c r="R450" s="6" t="s">
        <v>31</v>
      </c>
      <c r="S450" s="6" t="s">
        <v>32</v>
      </c>
      <c r="T450" s="6">
        <v>216</v>
      </c>
      <c r="U450" s="6">
        <v>93.14</v>
      </c>
      <c r="V450" s="6">
        <v>86.01</v>
      </c>
      <c r="W450" s="6">
        <v>0</v>
      </c>
      <c r="X450" s="6">
        <v>36.85</v>
      </c>
    </row>
    <row r="451" spans="1:24" ht="24.75" x14ac:dyDescent="0.25">
      <c r="A451" s="6" t="s">
        <v>25</v>
      </c>
      <c r="B451" s="6" t="s">
        <v>26</v>
      </c>
      <c r="C451" s="6" t="s">
        <v>48</v>
      </c>
      <c r="D451" s="6" t="s">
        <v>52</v>
      </c>
      <c r="E451" s="6" t="s">
        <v>38</v>
      </c>
      <c r="F451" s="6" t="s">
        <v>62</v>
      </c>
      <c r="G451" s="6">
        <v>2017</v>
      </c>
      <c r="H451" s="6" t="str">
        <f>CONCATENATE("74780037870")</f>
        <v>74780037870</v>
      </c>
      <c r="I451" s="6" t="s">
        <v>28</v>
      </c>
      <c r="J451" s="6" t="s">
        <v>29</v>
      </c>
      <c r="K451" s="6" t="str">
        <f>CONCATENATE("221")</f>
        <v>221</v>
      </c>
      <c r="L451" s="6" t="str">
        <f>CONCATENATE("8 8.1 5e")</f>
        <v>8 8.1 5e</v>
      </c>
      <c r="M451" s="6" t="str">
        <f>CONCATENATE("LLVFNC52C08A335K")</f>
        <v>LLVFNC52C08A335K</v>
      </c>
      <c r="N451" s="6" t="s">
        <v>560</v>
      </c>
      <c r="O451" s="6" t="s">
        <v>165</v>
      </c>
      <c r="P451" s="7">
        <v>43173</v>
      </c>
      <c r="Q451" s="6" t="s">
        <v>30</v>
      </c>
      <c r="R451" s="6" t="s">
        <v>31</v>
      </c>
      <c r="S451" s="6" t="s">
        <v>32</v>
      </c>
      <c r="T451" s="6">
        <v>164.8</v>
      </c>
      <c r="U451" s="6">
        <v>71.06</v>
      </c>
      <c r="V451" s="6">
        <v>65.62</v>
      </c>
      <c r="W451" s="6">
        <v>0</v>
      </c>
      <c r="X451" s="6">
        <v>28.12</v>
      </c>
    </row>
    <row r="452" spans="1:24" ht="24.75" x14ac:dyDescent="0.25">
      <c r="A452" s="6" t="s">
        <v>25</v>
      </c>
      <c r="B452" s="6" t="s">
        <v>26</v>
      </c>
      <c r="C452" s="6" t="s">
        <v>48</v>
      </c>
      <c r="D452" s="6" t="s">
        <v>52</v>
      </c>
      <c r="E452" s="6" t="s">
        <v>34</v>
      </c>
      <c r="F452" s="6" t="s">
        <v>294</v>
      </c>
      <c r="G452" s="6">
        <v>2017</v>
      </c>
      <c r="H452" s="6" t="str">
        <f>CONCATENATE("74780061243")</f>
        <v>74780061243</v>
      </c>
      <c r="I452" s="6" t="s">
        <v>28</v>
      </c>
      <c r="J452" s="6" t="s">
        <v>29</v>
      </c>
      <c r="K452" s="6" t="str">
        <f>CONCATENATE("221")</f>
        <v>221</v>
      </c>
      <c r="L452" s="6" t="str">
        <f>CONCATENATE("8 8.1 5e")</f>
        <v>8 8.1 5e</v>
      </c>
      <c r="M452" s="6" t="str">
        <f>CONCATENATE("CPPGNN57D42G873H")</f>
        <v>CPPGNN57D42G873H</v>
      </c>
      <c r="N452" s="6" t="s">
        <v>561</v>
      </c>
      <c r="O452" s="6" t="s">
        <v>165</v>
      </c>
      <c r="P452" s="7">
        <v>43173</v>
      </c>
      <c r="Q452" s="6" t="s">
        <v>30</v>
      </c>
      <c r="R452" s="6" t="s">
        <v>31</v>
      </c>
      <c r="S452" s="6" t="s">
        <v>32</v>
      </c>
      <c r="T452" s="6">
        <v>239.06</v>
      </c>
      <c r="U452" s="6">
        <v>103.08</v>
      </c>
      <c r="V452" s="6">
        <v>95.19</v>
      </c>
      <c r="W452" s="6">
        <v>0</v>
      </c>
      <c r="X452" s="6">
        <v>40.79</v>
      </c>
    </row>
    <row r="453" spans="1:24" ht="24.75" x14ac:dyDescent="0.25">
      <c r="A453" s="6" t="s">
        <v>25</v>
      </c>
      <c r="B453" s="6" t="s">
        <v>26</v>
      </c>
      <c r="C453" s="6" t="s">
        <v>48</v>
      </c>
      <c r="D453" s="6" t="s">
        <v>52</v>
      </c>
      <c r="E453" s="6" t="s">
        <v>38</v>
      </c>
      <c r="F453" s="6" t="s">
        <v>56</v>
      </c>
      <c r="G453" s="6">
        <v>2017</v>
      </c>
      <c r="H453" s="6" t="str">
        <f>CONCATENATE("74780012444")</f>
        <v>74780012444</v>
      </c>
      <c r="I453" s="6" t="s">
        <v>28</v>
      </c>
      <c r="J453" s="6" t="s">
        <v>29</v>
      </c>
      <c r="K453" s="6" t="str">
        <f>CONCATENATE("221")</f>
        <v>221</v>
      </c>
      <c r="L453" s="6" t="str">
        <f>CONCATENATE("8 8.1 5e")</f>
        <v>8 8.1 5e</v>
      </c>
      <c r="M453" s="6" t="str">
        <f>CONCATENATE("MBLDNI32R08G005G")</f>
        <v>MBLDNI32R08G005G</v>
      </c>
      <c r="N453" s="6" t="s">
        <v>562</v>
      </c>
      <c r="O453" s="6" t="s">
        <v>165</v>
      </c>
      <c r="P453" s="7">
        <v>43173</v>
      </c>
      <c r="Q453" s="6" t="s">
        <v>30</v>
      </c>
      <c r="R453" s="6" t="s">
        <v>31</v>
      </c>
      <c r="S453" s="6" t="s">
        <v>32</v>
      </c>
      <c r="T453" s="6">
        <v>342.41</v>
      </c>
      <c r="U453" s="6">
        <v>147.65</v>
      </c>
      <c r="V453" s="6">
        <v>136.35</v>
      </c>
      <c r="W453" s="6">
        <v>0</v>
      </c>
      <c r="X453" s="6">
        <v>58.41</v>
      </c>
    </row>
    <row r="454" spans="1:24" ht="24.75" x14ac:dyDescent="0.25">
      <c r="A454" s="6" t="s">
        <v>25</v>
      </c>
      <c r="B454" s="6" t="s">
        <v>26</v>
      </c>
      <c r="C454" s="6" t="s">
        <v>48</v>
      </c>
      <c r="D454" s="6" t="s">
        <v>52</v>
      </c>
      <c r="E454" s="6" t="s">
        <v>34</v>
      </c>
      <c r="F454" s="6" t="s">
        <v>53</v>
      </c>
      <c r="G454" s="6">
        <v>2017</v>
      </c>
      <c r="H454" s="6" t="str">
        <f>CONCATENATE("74780073750")</f>
        <v>74780073750</v>
      </c>
      <c r="I454" s="6" t="s">
        <v>28</v>
      </c>
      <c r="J454" s="6" t="s">
        <v>29</v>
      </c>
      <c r="K454" s="6" t="str">
        <f>CONCATENATE("221")</f>
        <v>221</v>
      </c>
      <c r="L454" s="6" t="str">
        <f>CONCATENATE("8 8.1 5e")</f>
        <v>8 8.1 5e</v>
      </c>
      <c r="M454" s="6" t="str">
        <f>CONCATENATE("RRGMDE53D24G289H")</f>
        <v>RRGMDE53D24G289H</v>
      </c>
      <c r="N454" s="6" t="s">
        <v>563</v>
      </c>
      <c r="O454" s="6" t="s">
        <v>165</v>
      </c>
      <c r="P454" s="7">
        <v>43173</v>
      </c>
      <c r="Q454" s="6" t="s">
        <v>30</v>
      </c>
      <c r="R454" s="6" t="s">
        <v>31</v>
      </c>
      <c r="S454" s="6" t="s">
        <v>32</v>
      </c>
      <c r="T454" s="6">
        <v>139.44</v>
      </c>
      <c r="U454" s="6">
        <v>60.13</v>
      </c>
      <c r="V454" s="6">
        <v>55.53</v>
      </c>
      <c r="W454" s="6">
        <v>0</v>
      </c>
      <c r="X454" s="6">
        <v>23.78</v>
      </c>
    </row>
    <row r="455" spans="1:24" ht="24.75" x14ac:dyDescent="0.25">
      <c r="A455" s="6" t="s">
        <v>25</v>
      </c>
      <c r="B455" s="6" t="s">
        <v>26</v>
      </c>
      <c r="C455" s="6" t="s">
        <v>48</v>
      </c>
      <c r="D455" s="6" t="s">
        <v>52</v>
      </c>
      <c r="E455" s="6" t="s">
        <v>33</v>
      </c>
      <c r="F455" s="6" t="s">
        <v>83</v>
      </c>
      <c r="G455" s="6">
        <v>2017</v>
      </c>
      <c r="H455" s="6" t="str">
        <f>CONCATENATE("74780067455")</f>
        <v>74780067455</v>
      </c>
      <c r="I455" s="6" t="s">
        <v>28</v>
      </c>
      <c r="J455" s="6" t="s">
        <v>29</v>
      </c>
      <c r="K455" s="6" t="str">
        <f>CONCATENATE("221")</f>
        <v>221</v>
      </c>
      <c r="L455" s="6" t="str">
        <f>CONCATENATE("8 8.1 5e")</f>
        <v>8 8.1 5e</v>
      </c>
      <c r="M455" s="6" t="str">
        <f>CONCATENATE("BNFGNG37L31I829Z")</f>
        <v>BNFGNG37L31I829Z</v>
      </c>
      <c r="N455" s="6" t="s">
        <v>564</v>
      </c>
      <c r="O455" s="6" t="s">
        <v>165</v>
      </c>
      <c r="P455" s="7">
        <v>43173</v>
      </c>
      <c r="Q455" s="6" t="s">
        <v>30</v>
      </c>
      <c r="R455" s="6" t="s">
        <v>31</v>
      </c>
      <c r="S455" s="6" t="s">
        <v>32</v>
      </c>
      <c r="T455" s="6">
        <v>148.5</v>
      </c>
      <c r="U455" s="6">
        <v>64.03</v>
      </c>
      <c r="V455" s="6">
        <v>59.13</v>
      </c>
      <c r="W455" s="6">
        <v>0</v>
      </c>
      <c r="X455" s="6">
        <v>25.34</v>
      </c>
    </row>
    <row r="456" spans="1:24" ht="24.75" x14ac:dyDescent="0.25">
      <c r="A456" s="6" t="s">
        <v>25</v>
      </c>
      <c r="B456" s="6" t="s">
        <v>26</v>
      </c>
      <c r="C456" s="6" t="s">
        <v>48</v>
      </c>
      <c r="D456" s="6" t="s">
        <v>52</v>
      </c>
      <c r="E456" s="6" t="s">
        <v>33</v>
      </c>
      <c r="F456" s="6" t="s">
        <v>83</v>
      </c>
      <c r="G456" s="6">
        <v>2017</v>
      </c>
      <c r="H456" s="6" t="str">
        <f>CONCATENATE("74780067489")</f>
        <v>74780067489</v>
      </c>
      <c r="I456" s="6" t="s">
        <v>28</v>
      </c>
      <c r="J456" s="6" t="s">
        <v>29</v>
      </c>
      <c r="K456" s="6" t="str">
        <f>CONCATENATE("221")</f>
        <v>221</v>
      </c>
      <c r="L456" s="6" t="str">
        <f>CONCATENATE("8 8.1 5e")</f>
        <v>8 8.1 5e</v>
      </c>
      <c r="M456" s="6" t="str">
        <f>CONCATENATE("BNFGNG37L31I829Z")</f>
        <v>BNFGNG37L31I829Z</v>
      </c>
      <c r="N456" s="6" t="s">
        <v>564</v>
      </c>
      <c r="O456" s="6" t="s">
        <v>165</v>
      </c>
      <c r="P456" s="7">
        <v>43173</v>
      </c>
      <c r="Q456" s="6" t="s">
        <v>30</v>
      </c>
      <c r="R456" s="6" t="s">
        <v>31</v>
      </c>
      <c r="S456" s="6" t="s">
        <v>32</v>
      </c>
      <c r="T456" s="6">
        <v>898.25</v>
      </c>
      <c r="U456" s="6">
        <v>387.33</v>
      </c>
      <c r="V456" s="6">
        <v>357.68</v>
      </c>
      <c r="W456" s="6">
        <v>0</v>
      </c>
      <c r="X456" s="6">
        <v>153.24</v>
      </c>
    </row>
    <row r="457" spans="1:24" ht="24.75" x14ac:dyDescent="0.25">
      <c r="A457" s="6" t="s">
        <v>25</v>
      </c>
      <c r="B457" s="6" t="s">
        <v>26</v>
      </c>
      <c r="C457" s="6" t="s">
        <v>48</v>
      </c>
      <c r="D457" s="6" t="s">
        <v>52</v>
      </c>
      <c r="E457" s="6" t="s">
        <v>34</v>
      </c>
      <c r="F457" s="6" t="s">
        <v>233</v>
      </c>
      <c r="G457" s="6">
        <v>2017</v>
      </c>
      <c r="H457" s="6" t="str">
        <f>CONCATENATE("74780060823")</f>
        <v>74780060823</v>
      </c>
      <c r="I457" s="6" t="s">
        <v>28</v>
      </c>
      <c r="J457" s="6" t="s">
        <v>29</v>
      </c>
      <c r="K457" s="6" t="str">
        <f>CONCATENATE("221")</f>
        <v>221</v>
      </c>
      <c r="L457" s="6" t="str">
        <f>CONCATENATE("8 8.1 5e")</f>
        <v>8 8.1 5e</v>
      </c>
      <c r="M457" s="6" t="str">
        <f>CONCATENATE("BRRFST58A05G137S")</f>
        <v>BRRFST58A05G137S</v>
      </c>
      <c r="N457" s="6" t="s">
        <v>565</v>
      </c>
      <c r="O457" s="6" t="s">
        <v>165</v>
      </c>
      <c r="P457" s="7">
        <v>43173</v>
      </c>
      <c r="Q457" s="6" t="s">
        <v>30</v>
      </c>
      <c r="R457" s="6" t="s">
        <v>31</v>
      </c>
      <c r="S457" s="6" t="s">
        <v>32</v>
      </c>
      <c r="T457" s="6">
        <v>126.77</v>
      </c>
      <c r="U457" s="6">
        <v>54.66</v>
      </c>
      <c r="V457" s="6">
        <v>50.48</v>
      </c>
      <c r="W457" s="6">
        <v>0</v>
      </c>
      <c r="X457" s="6">
        <v>21.63</v>
      </c>
    </row>
    <row r="458" spans="1:24" ht="24.75" x14ac:dyDescent="0.25">
      <c r="A458" s="6" t="s">
        <v>25</v>
      </c>
      <c r="B458" s="6" t="s">
        <v>26</v>
      </c>
      <c r="C458" s="6" t="s">
        <v>48</v>
      </c>
      <c r="D458" s="6" t="s">
        <v>52</v>
      </c>
      <c r="E458" s="6" t="s">
        <v>34</v>
      </c>
      <c r="F458" s="6" t="s">
        <v>163</v>
      </c>
      <c r="G458" s="6">
        <v>2017</v>
      </c>
      <c r="H458" s="6" t="str">
        <f>CONCATENATE("74780024639")</f>
        <v>74780024639</v>
      </c>
      <c r="I458" s="6" t="s">
        <v>28</v>
      </c>
      <c r="J458" s="6" t="s">
        <v>29</v>
      </c>
      <c r="K458" s="6" t="str">
        <f>CONCATENATE("221")</f>
        <v>221</v>
      </c>
      <c r="L458" s="6" t="str">
        <f>CONCATENATE("8 8.1 5e")</f>
        <v>8 8.1 5e</v>
      </c>
      <c r="M458" s="6" t="str">
        <f>CONCATENATE("DGCLDA64C27A462V")</f>
        <v>DGCLDA64C27A462V</v>
      </c>
      <c r="N458" s="6" t="s">
        <v>566</v>
      </c>
      <c r="O458" s="6" t="s">
        <v>165</v>
      </c>
      <c r="P458" s="7">
        <v>43173</v>
      </c>
      <c r="Q458" s="6" t="s">
        <v>30</v>
      </c>
      <c r="R458" s="6" t="s">
        <v>31</v>
      </c>
      <c r="S458" s="6" t="s">
        <v>32</v>
      </c>
      <c r="T458" s="8">
        <v>2065.06</v>
      </c>
      <c r="U458" s="6">
        <v>890.45</v>
      </c>
      <c r="V458" s="6">
        <v>822.31</v>
      </c>
      <c r="W458" s="6">
        <v>0</v>
      </c>
      <c r="X458" s="6">
        <v>352.3</v>
      </c>
    </row>
    <row r="459" spans="1:24" ht="24.75" x14ac:dyDescent="0.25">
      <c r="A459" s="6" t="s">
        <v>25</v>
      </c>
      <c r="B459" s="6" t="s">
        <v>26</v>
      </c>
      <c r="C459" s="6" t="s">
        <v>48</v>
      </c>
      <c r="D459" s="6" t="s">
        <v>52</v>
      </c>
      <c r="E459" s="6" t="s">
        <v>34</v>
      </c>
      <c r="F459" s="6" t="s">
        <v>233</v>
      </c>
      <c r="G459" s="6">
        <v>2017</v>
      </c>
      <c r="H459" s="6" t="str">
        <f>CONCATENATE("74780057720")</f>
        <v>74780057720</v>
      </c>
      <c r="I459" s="6" t="s">
        <v>28</v>
      </c>
      <c r="J459" s="6" t="s">
        <v>29</v>
      </c>
      <c r="K459" s="6" t="str">
        <f>CONCATENATE("221")</f>
        <v>221</v>
      </c>
      <c r="L459" s="6" t="str">
        <f>CONCATENATE("8 8.1 5e")</f>
        <v>8 8.1 5e</v>
      </c>
      <c r="M459" s="6" t="str">
        <f>CONCATENATE("DPLRMN42B44A252J")</f>
        <v>DPLRMN42B44A252J</v>
      </c>
      <c r="N459" s="6" t="s">
        <v>567</v>
      </c>
      <c r="O459" s="6" t="s">
        <v>165</v>
      </c>
      <c r="P459" s="7">
        <v>43173</v>
      </c>
      <c r="Q459" s="6" t="s">
        <v>30</v>
      </c>
      <c r="R459" s="6" t="s">
        <v>31</v>
      </c>
      <c r="S459" s="6" t="s">
        <v>32</v>
      </c>
      <c r="T459" s="6">
        <v>260.77999999999997</v>
      </c>
      <c r="U459" s="6">
        <v>112.45</v>
      </c>
      <c r="V459" s="6">
        <v>103.84</v>
      </c>
      <c r="W459" s="6">
        <v>0</v>
      </c>
      <c r="X459" s="6">
        <v>44.49</v>
      </c>
    </row>
    <row r="460" spans="1:24" ht="24.75" x14ac:dyDescent="0.25">
      <c r="A460" s="6" t="s">
        <v>25</v>
      </c>
      <c r="B460" s="6" t="s">
        <v>26</v>
      </c>
      <c r="C460" s="6" t="s">
        <v>48</v>
      </c>
      <c r="D460" s="6" t="s">
        <v>58</v>
      </c>
      <c r="E460" s="6" t="s">
        <v>34</v>
      </c>
      <c r="F460" s="6" t="s">
        <v>81</v>
      </c>
      <c r="G460" s="6">
        <v>2017</v>
      </c>
      <c r="H460" s="6" t="str">
        <f>CONCATENATE("74780065632")</f>
        <v>74780065632</v>
      </c>
      <c r="I460" s="6" t="s">
        <v>28</v>
      </c>
      <c r="J460" s="6" t="s">
        <v>29</v>
      </c>
      <c r="K460" s="6" t="str">
        <f>CONCATENATE("221")</f>
        <v>221</v>
      </c>
      <c r="L460" s="6" t="str">
        <f>CONCATENATE("8 8.1 5e")</f>
        <v>8 8.1 5e</v>
      </c>
      <c r="M460" s="6" t="str">
        <f>CONCATENATE("CNCGFR40M46F641Z")</f>
        <v>CNCGFR40M46F641Z</v>
      </c>
      <c r="N460" s="6" t="s">
        <v>568</v>
      </c>
      <c r="O460" s="6" t="s">
        <v>395</v>
      </c>
      <c r="P460" s="7">
        <v>43173</v>
      </c>
      <c r="Q460" s="6" t="s">
        <v>30</v>
      </c>
      <c r="R460" s="6" t="s">
        <v>31</v>
      </c>
      <c r="S460" s="6" t="s">
        <v>32</v>
      </c>
      <c r="T460" s="6">
        <v>338.53</v>
      </c>
      <c r="U460" s="6">
        <v>145.97</v>
      </c>
      <c r="V460" s="6">
        <v>134.80000000000001</v>
      </c>
      <c r="W460" s="6">
        <v>0</v>
      </c>
      <c r="X460" s="6">
        <v>57.76</v>
      </c>
    </row>
    <row r="461" spans="1:24" ht="24.75" x14ac:dyDescent="0.25">
      <c r="A461" s="6" t="s">
        <v>25</v>
      </c>
      <c r="B461" s="6" t="s">
        <v>26</v>
      </c>
      <c r="C461" s="6" t="s">
        <v>48</v>
      </c>
      <c r="D461" s="6" t="s">
        <v>52</v>
      </c>
      <c r="E461" s="6" t="s">
        <v>34</v>
      </c>
      <c r="F461" s="6" t="s">
        <v>233</v>
      </c>
      <c r="G461" s="6">
        <v>2017</v>
      </c>
      <c r="H461" s="6" t="str">
        <f>CONCATENATE("74780056730")</f>
        <v>74780056730</v>
      </c>
      <c r="I461" s="6" t="s">
        <v>28</v>
      </c>
      <c r="J461" s="6" t="s">
        <v>29</v>
      </c>
      <c r="K461" s="6" t="str">
        <f>CONCATENATE("221")</f>
        <v>221</v>
      </c>
      <c r="L461" s="6" t="str">
        <f>CONCATENATE("8 8.1 5e")</f>
        <v>8 8.1 5e</v>
      </c>
      <c r="M461" s="6" t="str">
        <f>CONCATENATE("BRNMRA29M47H876C")</f>
        <v>BRNMRA29M47H876C</v>
      </c>
      <c r="N461" s="6" t="s">
        <v>569</v>
      </c>
      <c r="O461" s="6" t="s">
        <v>395</v>
      </c>
      <c r="P461" s="7">
        <v>43173</v>
      </c>
      <c r="Q461" s="6" t="s">
        <v>30</v>
      </c>
      <c r="R461" s="6" t="s">
        <v>31</v>
      </c>
      <c r="S461" s="6" t="s">
        <v>32</v>
      </c>
      <c r="T461" s="6">
        <v>97.79</v>
      </c>
      <c r="U461" s="6">
        <v>42.17</v>
      </c>
      <c r="V461" s="6">
        <v>38.94</v>
      </c>
      <c r="W461" s="6">
        <v>0</v>
      </c>
      <c r="X461" s="6">
        <v>16.68</v>
      </c>
    </row>
    <row r="462" spans="1:24" ht="24.75" x14ac:dyDescent="0.25">
      <c r="A462" s="6" t="s">
        <v>25</v>
      </c>
      <c r="B462" s="6" t="s">
        <v>26</v>
      </c>
      <c r="C462" s="6" t="s">
        <v>48</v>
      </c>
      <c r="D462" s="6" t="s">
        <v>58</v>
      </c>
      <c r="E462" s="6" t="s">
        <v>34</v>
      </c>
      <c r="F462" s="6" t="s">
        <v>497</v>
      </c>
      <c r="G462" s="6">
        <v>2017</v>
      </c>
      <c r="H462" s="6" t="str">
        <f>CONCATENATE("74780064338")</f>
        <v>74780064338</v>
      </c>
      <c r="I462" s="6" t="s">
        <v>28</v>
      </c>
      <c r="J462" s="6" t="s">
        <v>29</v>
      </c>
      <c r="K462" s="6" t="str">
        <f>CONCATENATE("221")</f>
        <v>221</v>
      </c>
      <c r="L462" s="6" t="str">
        <f>CONCATENATE("8 8.1 5e")</f>
        <v>8 8.1 5e</v>
      </c>
      <c r="M462" s="6" t="str">
        <f>CONCATENATE("MRCMTT78L14H294Y")</f>
        <v>MRCMTT78L14H294Y</v>
      </c>
      <c r="N462" s="6" t="s">
        <v>570</v>
      </c>
      <c r="O462" s="6" t="s">
        <v>395</v>
      </c>
      <c r="P462" s="7">
        <v>43173</v>
      </c>
      <c r="Q462" s="6" t="s">
        <v>30</v>
      </c>
      <c r="R462" s="6" t="s">
        <v>31</v>
      </c>
      <c r="S462" s="6" t="s">
        <v>32</v>
      </c>
      <c r="T462" s="6">
        <v>398.42</v>
      </c>
      <c r="U462" s="6">
        <v>171.8</v>
      </c>
      <c r="V462" s="6">
        <v>158.65</v>
      </c>
      <c r="W462" s="6">
        <v>0</v>
      </c>
      <c r="X462" s="6">
        <v>67.97</v>
      </c>
    </row>
    <row r="463" spans="1:24" ht="24.75" x14ac:dyDescent="0.25">
      <c r="A463" s="6" t="s">
        <v>25</v>
      </c>
      <c r="B463" s="6" t="s">
        <v>26</v>
      </c>
      <c r="C463" s="6" t="s">
        <v>48</v>
      </c>
      <c r="D463" s="6" t="s">
        <v>58</v>
      </c>
      <c r="E463" s="6" t="s">
        <v>33</v>
      </c>
      <c r="F463" s="6" t="s">
        <v>494</v>
      </c>
      <c r="G463" s="6">
        <v>2017</v>
      </c>
      <c r="H463" s="6" t="str">
        <f>CONCATENATE("74780063520")</f>
        <v>74780063520</v>
      </c>
      <c r="I463" s="6" t="s">
        <v>28</v>
      </c>
      <c r="J463" s="6" t="s">
        <v>29</v>
      </c>
      <c r="K463" s="6" t="str">
        <f>CONCATENATE("221")</f>
        <v>221</v>
      </c>
      <c r="L463" s="6" t="str">
        <f>CONCATENATE("8 8.1 5e")</f>
        <v>8 8.1 5e</v>
      </c>
      <c r="M463" s="6" t="str">
        <f>CONCATENATE("MGHBRC43D67F347X")</f>
        <v>MGHBRC43D67F347X</v>
      </c>
      <c r="N463" s="6" t="s">
        <v>571</v>
      </c>
      <c r="O463" s="6" t="s">
        <v>395</v>
      </c>
      <c r="P463" s="7">
        <v>43173</v>
      </c>
      <c r="Q463" s="6" t="s">
        <v>30</v>
      </c>
      <c r="R463" s="6" t="s">
        <v>31</v>
      </c>
      <c r="S463" s="6" t="s">
        <v>32</v>
      </c>
      <c r="T463" s="8">
        <v>1774.08</v>
      </c>
      <c r="U463" s="6">
        <v>764.98</v>
      </c>
      <c r="V463" s="6">
        <v>706.44</v>
      </c>
      <c r="W463" s="6">
        <v>0</v>
      </c>
      <c r="X463" s="6">
        <v>302.66000000000003</v>
      </c>
    </row>
    <row r="464" spans="1:24" ht="24.75" x14ac:dyDescent="0.25">
      <c r="A464" s="6" t="s">
        <v>25</v>
      </c>
      <c r="B464" s="6" t="s">
        <v>26</v>
      </c>
      <c r="C464" s="6" t="s">
        <v>48</v>
      </c>
      <c r="D464" s="6" t="s">
        <v>58</v>
      </c>
      <c r="E464" s="6" t="s">
        <v>34</v>
      </c>
      <c r="F464" s="6" t="s">
        <v>81</v>
      </c>
      <c r="G464" s="6">
        <v>2017</v>
      </c>
      <c r="H464" s="6" t="str">
        <f>CONCATENATE("74780064874")</f>
        <v>74780064874</v>
      </c>
      <c r="I464" s="6" t="s">
        <v>28</v>
      </c>
      <c r="J464" s="6" t="s">
        <v>29</v>
      </c>
      <c r="K464" s="6" t="str">
        <f>CONCATENATE("221")</f>
        <v>221</v>
      </c>
      <c r="L464" s="6" t="str">
        <f>CONCATENATE("8 8.1 5e")</f>
        <v>8 8.1 5e</v>
      </c>
      <c r="M464" s="6" t="str">
        <f>CONCATENATE("MNTTTL31R19H501R")</f>
        <v>MNTTTL31R19H501R</v>
      </c>
      <c r="N464" s="6" t="s">
        <v>572</v>
      </c>
      <c r="O464" s="6" t="s">
        <v>395</v>
      </c>
      <c r="P464" s="7">
        <v>43173</v>
      </c>
      <c r="Q464" s="6" t="s">
        <v>30</v>
      </c>
      <c r="R464" s="6" t="s">
        <v>31</v>
      </c>
      <c r="S464" s="6" t="s">
        <v>32</v>
      </c>
      <c r="T464" s="6">
        <v>545</v>
      </c>
      <c r="U464" s="6">
        <v>235</v>
      </c>
      <c r="V464" s="6">
        <v>217.02</v>
      </c>
      <c r="W464" s="6">
        <v>0</v>
      </c>
      <c r="X464" s="6">
        <v>92.98</v>
      </c>
    </row>
    <row r="465" spans="1:24" ht="24.75" x14ac:dyDescent="0.25">
      <c r="A465" s="6" t="s">
        <v>25</v>
      </c>
      <c r="B465" s="6" t="s">
        <v>26</v>
      </c>
      <c r="C465" s="6" t="s">
        <v>48</v>
      </c>
      <c r="D465" s="6" t="s">
        <v>58</v>
      </c>
      <c r="E465" s="6" t="s">
        <v>38</v>
      </c>
      <c r="F465" s="6" t="s">
        <v>134</v>
      </c>
      <c r="G465" s="6">
        <v>2017</v>
      </c>
      <c r="H465" s="6" t="str">
        <f>CONCATENATE("74780015983")</f>
        <v>74780015983</v>
      </c>
      <c r="I465" s="6" t="s">
        <v>28</v>
      </c>
      <c r="J465" s="6" t="s">
        <v>29</v>
      </c>
      <c r="K465" s="6" t="str">
        <f>CONCATENATE("221")</f>
        <v>221</v>
      </c>
      <c r="L465" s="6" t="str">
        <f>CONCATENATE("8 8.1 5e")</f>
        <v>8 8.1 5e</v>
      </c>
      <c r="M465" s="6" t="str">
        <f>CONCATENATE("MSCSNT69T42B636X")</f>
        <v>MSCSNT69T42B636X</v>
      </c>
      <c r="N465" s="6" t="s">
        <v>573</v>
      </c>
      <c r="O465" s="6" t="s">
        <v>395</v>
      </c>
      <c r="P465" s="7">
        <v>43173</v>
      </c>
      <c r="Q465" s="6" t="s">
        <v>30</v>
      </c>
      <c r="R465" s="6" t="s">
        <v>31</v>
      </c>
      <c r="S465" s="6" t="s">
        <v>32</v>
      </c>
      <c r="T465" s="6">
        <v>354.96</v>
      </c>
      <c r="U465" s="6">
        <v>153.06</v>
      </c>
      <c r="V465" s="6">
        <v>141.35</v>
      </c>
      <c r="W465" s="6">
        <v>0</v>
      </c>
      <c r="X465" s="6">
        <v>60.55</v>
      </c>
    </row>
    <row r="466" spans="1:24" ht="24.75" x14ac:dyDescent="0.25">
      <c r="A466" s="6" t="s">
        <v>25</v>
      </c>
      <c r="B466" s="6" t="s">
        <v>26</v>
      </c>
      <c r="C466" s="6" t="s">
        <v>48</v>
      </c>
      <c r="D466" s="6" t="s">
        <v>58</v>
      </c>
      <c r="E466" s="6" t="s">
        <v>38</v>
      </c>
      <c r="F466" s="6" t="s">
        <v>90</v>
      </c>
      <c r="G466" s="6">
        <v>2017</v>
      </c>
      <c r="H466" s="6" t="str">
        <f>CONCATENATE("74780080748")</f>
        <v>74780080748</v>
      </c>
      <c r="I466" s="6" t="s">
        <v>28</v>
      </c>
      <c r="J466" s="6" t="s">
        <v>29</v>
      </c>
      <c r="K466" s="6" t="str">
        <f>CONCATENATE("221")</f>
        <v>221</v>
      </c>
      <c r="L466" s="6" t="str">
        <f>CONCATENATE("8 8.1 5e")</f>
        <v>8 8.1 5e</v>
      </c>
      <c r="M466" s="6" t="str">
        <f>CONCATENATE("CCCMSM55A24D749T")</f>
        <v>CCCMSM55A24D749T</v>
      </c>
      <c r="N466" s="6" t="s">
        <v>574</v>
      </c>
      <c r="O466" s="6" t="s">
        <v>395</v>
      </c>
      <c r="P466" s="7">
        <v>43173</v>
      </c>
      <c r="Q466" s="6" t="s">
        <v>30</v>
      </c>
      <c r="R466" s="6" t="s">
        <v>31</v>
      </c>
      <c r="S466" s="6" t="s">
        <v>32</v>
      </c>
      <c r="T466" s="6">
        <v>369.44</v>
      </c>
      <c r="U466" s="6">
        <v>159.30000000000001</v>
      </c>
      <c r="V466" s="6">
        <v>147.11000000000001</v>
      </c>
      <c r="W466" s="6">
        <v>0</v>
      </c>
      <c r="X466" s="6">
        <v>63.03</v>
      </c>
    </row>
    <row r="467" spans="1:24" ht="24.75" x14ac:dyDescent="0.25">
      <c r="A467" s="6" t="s">
        <v>25</v>
      </c>
      <c r="B467" s="6" t="s">
        <v>26</v>
      </c>
      <c r="C467" s="6" t="s">
        <v>48</v>
      </c>
      <c r="D467" s="6" t="s">
        <v>58</v>
      </c>
      <c r="E467" s="6" t="s">
        <v>38</v>
      </c>
      <c r="F467" s="6" t="s">
        <v>134</v>
      </c>
      <c r="G467" s="6">
        <v>2017</v>
      </c>
      <c r="H467" s="6" t="str">
        <f>CONCATENATE("74780008483")</f>
        <v>74780008483</v>
      </c>
      <c r="I467" s="6" t="s">
        <v>28</v>
      </c>
      <c r="J467" s="6" t="s">
        <v>29</v>
      </c>
      <c r="K467" s="6" t="str">
        <f>CONCATENATE("221")</f>
        <v>221</v>
      </c>
      <c r="L467" s="6" t="str">
        <f>CONCATENATE("8 8.1 5e")</f>
        <v>8 8.1 5e</v>
      </c>
      <c r="M467" s="6" t="str">
        <f>CONCATENATE("MNNSRG55A02H703I")</f>
        <v>MNNSRG55A02H703I</v>
      </c>
      <c r="N467" s="6" t="s">
        <v>575</v>
      </c>
      <c r="O467" s="6" t="s">
        <v>395</v>
      </c>
      <c r="P467" s="7">
        <v>43173</v>
      </c>
      <c r="Q467" s="6" t="s">
        <v>30</v>
      </c>
      <c r="R467" s="6" t="s">
        <v>31</v>
      </c>
      <c r="S467" s="6" t="s">
        <v>32</v>
      </c>
      <c r="T467" s="6">
        <v>743.49</v>
      </c>
      <c r="U467" s="6">
        <v>320.58999999999997</v>
      </c>
      <c r="V467" s="6">
        <v>296.06</v>
      </c>
      <c r="W467" s="6">
        <v>0</v>
      </c>
      <c r="X467" s="6">
        <v>126.84</v>
      </c>
    </row>
    <row r="468" spans="1:24" ht="24.75" x14ac:dyDescent="0.25">
      <c r="A468" s="6" t="s">
        <v>25</v>
      </c>
      <c r="B468" s="6" t="s">
        <v>26</v>
      </c>
      <c r="C468" s="6" t="s">
        <v>48</v>
      </c>
      <c r="D468" s="6" t="s">
        <v>52</v>
      </c>
      <c r="E468" s="6" t="s">
        <v>34</v>
      </c>
      <c r="F468" s="6" t="s">
        <v>233</v>
      </c>
      <c r="G468" s="6">
        <v>2017</v>
      </c>
      <c r="H468" s="6" t="str">
        <f>CONCATENATE("74780056805")</f>
        <v>74780056805</v>
      </c>
      <c r="I468" s="6" t="s">
        <v>28</v>
      </c>
      <c r="J468" s="6" t="s">
        <v>29</v>
      </c>
      <c r="K468" s="6" t="str">
        <f>CONCATENATE("221")</f>
        <v>221</v>
      </c>
      <c r="L468" s="6" t="str">
        <f>CONCATENATE("8 8.1 5e")</f>
        <v>8 8.1 5e</v>
      </c>
      <c r="M468" s="6" t="str">
        <f>CONCATENATE("BRTMRT35R02A252G")</f>
        <v>BRTMRT35R02A252G</v>
      </c>
      <c r="N468" s="6" t="s">
        <v>576</v>
      </c>
      <c r="O468" s="6" t="s">
        <v>165</v>
      </c>
      <c r="P468" s="7">
        <v>43173</v>
      </c>
      <c r="Q468" s="6" t="s">
        <v>30</v>
      </c>
      <c r="R468" s="6" t="s">
        <v>31</v>
      </c>
      <c r="S468" s="6" t="s">
        <v>32</v>
      </c>
      <c r="T468" s="6">
        <v>630.85</v>
      </c>
      <c r="U468" s="6">
        <v>272.02</v>
      </c>
      <c r="V468" s="6">
        <v>251.2</v>
      </c>
      <c r="W468" s="6">
        <v>0</v>
      </c>
      <c r="X468" s="6">
        <v>107.63</v>
      </c>
    </row>
  </sheetData>
  <mergeCells count="2">
    <mergeCell ref="A1:X1"/>
    <mergeCell ref="A2:X2"/>
  </mergeCells>
  <pageMargins left="0.75" right="0.75" top="1" bottom="1" header="0.5" footer="0.5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2018-04-10T09:30:02Z</dcterms:created>
  <dcterms:modified xsi:type="dcterms:W3CDTF">2018-04-10T09:31:00Z</dcterms:modified>
</cp:coreProperties>
</file>