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1535"/>
  </bookViews>
  <sheets>
    <sheet name="Dettaglio_Domande_Pagabili_AGEA" sheetId="1" r:id="rId1"/>
  </sheets>
  <calcPr calcId="145621"/>
</workbook>
</file>

<file path=xl/calcChain.xml><?xml version="1.0" encoding="utf-8"?>
<calcChain xmlns="http://schemas.openxmlformats.org/spreadsheetml/2006/main">
  <c r="M58" i="1" l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<sst xmlns="http://schemas.openxmlformats.org/spreadsheetml/2006/main" count="685" uniqueCount="111">
  <si>
    <t>Dettaglio Domande Pagabili Decreto 148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</si>
  <si>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</si>
  <si>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</si>
  <si>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</si>
  <si>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</si>
  <si>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</si>
  <si>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</si>
  <si>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</si>
  <si>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</si>
  <si>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</si>
  <si>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</si>
  <si>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</si>
  <si>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</si>
  <si>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</si>
  <si>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</si>
  <si>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</si>
  <si>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</si>
  <si>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</si>
  <si>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</si>
  <si>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</si>
  <si>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</si>
  <si>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</si>
  <si>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</si>
  <si>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</si>
  <si>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</si>
  <si>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</si>
  <si>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</si>
  <si>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</si>
  <si>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</si>
  <si>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Nuova Programmazione</t>
  </si>
  <si>
    <t>In Liquidazione</t>
  </si>
  <si>
    <t>Saldo</t>
  </si>
  <si>
    <t>Co-Finanziato</t>
  </si>
  <si>
    <t>CAA Confagricoltura srl</t>
  </si>
  <si>
    <t>CAA Copagri srl</t>
  </si>
  <si>
    <t>CAA LiberiAgricoltori srl già CAA AGCI srl</t>
  </si>
  <si>
    <t>CAA CIA srl</t>
  </si>
  <si>
    <t>CAA UNICAA srl</t>
  </si>
  <si>
    <t>CAA-CAF AGRI S.R.L.</t>
  </si>
  <si>
    <t>MARCHE</t>
  </si>
  <si>
    <t>SERV. DEC. AGRICOLTURA E ALIMENTAZIONE - ANCONA</t>
  </si>
  <si>
    <t>CAA CAF AGRI - ANCONA - 228</t>
  </si>
  <si>
    <t>DE SANTIS SUSANNA</t>
  </si>
  <si>
    <t>SERV. DEC. AGRICOLTURA E ALIM. - MACERATA</t>
  </si>
  <si>
    <t>CAA Coldiretti - MACERATA - 017</t>
  </si>
  <si>
    <t>POLIDORI FRANCO</t>
  </si>
  <si>
    <t>STRADA PAOLO</t>
  </si>
  <si>
    <t>AZ.AGRICOLA SAN BIAGIO DI VALERIANI PIETRO E C. SOC.SEMPLICE</t>
  </si>
  <si>
    <t>SERV. DEC. AGRICOLTURA E ALIMENTAZIONE - PESARO</t>
  </si>
  <si>
    <t>CAA CIA - PESARO E URBINO - 002</t>
  </si>
  <si>
    <t>MARONCELLI FRANCO</t>
  </si>
  <si>
    <t>CAA LiberiAgricoltori - PESARO E URBINO - 002</t>
  </si>
  <si>
    <t>CELESCHI CLAUDIO</t>
  </si>
  <si>
    <t>CAA CIA - ANCONA - 005</t>
  </si>
  <si>
    <t>AMICI MARIA GIUSEPPINA</t>
  </si>
  <si>
    <t>CAA Coldiretti - PESARO E URBINO - 004</t>
  </si>
  <si>
    <t>ROSSI PAOLO</t>
  </si>
  <si>
    <t>SOCIETA' AGRICOLA MAGNANI LEONARDO &amp; AGOSTINO S.S.</t>
  </si>
  <si>
    <t>CAA CIA - PESARO E URBINO - 007</t>
  </si>
  <si>
    <t>CIARIMBOLI PAOLO</t>
  </si>
  <si>
    <t>CUGURU MARIO</t>
  </si>
  <si>
    <t>VOLPI ALESSANDRA</t>
  </si>
  <si>
    <t>CAA Coldiretti - PESARO E URBINO - 013</t>
  </si>
  <si>
    <t>LISI ADALBERTO</t>
  </si>
  <si>
    <t>CAA Coldiretti - ANCONA - 005</t>
  </si>
  <si>
    <t>MALTEMPI SAMUELE</t>
  </si>
  <si>
    <t>CAA Coldiretti - PESARO E URBINO - 008</t>
  </si>
  <si>
    <t>SOCIETA' AGRICOLA MINUTELLI S.S. DI BARBIERI MASSIMO &amp; C.</t>
  </si>
  <si>
    <t>CAA UNICAA - ANCONA - 003</t>
  </si>
  <si>
    <t>ANGELINI ANDREA</t>
  </si>
  <si>
    <t>CAA Coldiretti - PESARO E URBINO - 010</t>
  </si>
  <si>
    <t>CARDELLINI GIORGIO</t>
  </si>
  <si>
    <t>DIOTALEVI MAURIZIO</t>
  </si>
  <si>
    <t>LEBBORONI FRANCESCO</t>
  </si>
  <si>
    <t>SERV. DEC. AGRICOLTURA E ALIM. -ASCOLI PICENO</t>
  </si>
  <si>
    <t>CAA LiberiAgricoltori - MACERATA - 001</t>
  </si>
  <si>
    <t>RAZZETTI &amp; MARCOZZI SOCIETA' SEMPLICE</t>
  </si>
  <si>
    <t>CAA CIA - MACERATA - 001</t>
  </si>
  <si>
    <t>FORTI SIMONE</t>
  </si>
  <si>
    <t>CAA CIA - PESARO E URBINO - 001</t>
  </si>
  <si>
    <t>MOLTEDO ANNA MADDALENA</t>
  </si>
  <si>
    <t>CAA Coldiretti - ANCONA - 006</t>
  </si>
  <si>
    <t>LUMINARI LAURETTA</t>
  </si>
  <si>
    <t>ZHOLDASPAYEVA RAIKHAN</t>
  </si>
  <si>
    <t>CAA Copagri - ASCOLI PICENO - 401</t>
  </si>
  <si>
    <t>GABRIELLI LUIGI</t>
  </si>
  <si>
    <t>CAA CIA - ANCONA - 004</t>
  </si>
  <si>
    <t>SINIGAGLIA ANNA</t>
  </si>
  <si>
    <t>CAA Coldiretti - FERMO - 001</t>
  </si>
  <si>
    <t>MANNOCCHI GABRIELE</t>
  </si>
  <si>
    <t>BASSI ELENA</t>
  </si>
  <si>
    <t>SOCIETA' AGRICOLA CASEARIA COLLE OSTRENSE S.S.</t>
  </si>
  <si>
    <t>BICCHI FRANCESCO</t>
  </si>
  <si>
    <t>DI SILVESTRO ITALO</t>
  </si>
  <si>
    <t>SBROLLINI LIDIA GABRIELLA</t>
  </si>
  <si>
    <t>PELLEGRINI MARIA TERESA</t>
  </si>
  <si>
    <t>CAA Coldiretti - ASCOLI PICENO - 025</t>
  </si>
  <si>
    <t>CORVARO LUCIANA</t>
  </si>
  <si>
    <t>SORANA DANILO</t>
  </si>
  <si>
    <t>SCHIAROLI MARIO</t>
  </si>
  <si>
    <t>CAA Coldiretti - ANCONA - 004</t>
  </si>
  <si>
    <t>PIAGGESI LUCIANO</t>
  </si>
  <si>
    <t>AMICI ROSELLA</t>
  </si>
  <si>
    <t>PORCU GIOVANNI GIACOMO</t>
  </si>
  <si>
    <t>CAA Copagri - MACERATA - 501</t>
  </si>
  <si>
    <t>MANCINELLI LUCIANA</t>
  </si>
  <si>
    <t>CAA Confagricoltura - ASCOLI PICENO - 001</t>
  </si>
  <si>
    <t>SOCIETA' AGRICOLA 'SANA FRUX' DI ANTOGNOZZI S.S.</t>
  </si>
  <si>
    <t>CAA Coldiretti - ASCOLI PICENO - 040</t>
  </si>
  <si>
    <t>LANCIOTTI AGOSTINO</t>
  </si>
  <si>
    <t>GUERRA MASSIMO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</si>
</sst>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abSelected="1" workbookViewId="0">
      <selection activeCell="F72" sqref="F72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6.425781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20.140625" style="4" customWidth="1"/>
    <col min="14" max="14" width="36.5703125" style="4" bestFit="1" customWidth="1"/>
    <col min="15" max="15" width="13.14062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26</v>
      </c>
      <c r="C4" s="6" t="s">
        <v>39</v>
      </c>
      <c r="D4" s="6" t="s">
        <v>40</v>
      </c>
      <c r="E4" s="6" t="s">
        <v>38</v>
      </c>
      <c r="F4" s="6" t="s">
        <v>41</v>
      </c>
      <c r="G4" s="6">
        <v>2017</v>
      </c>
      <c r="H4" s="6" t="str">
        <f>CONCATENATE("74210197583")</f>
        <v>74210197583</v>
      </c>
      <c r="I4" s="6" t="s">
        <v>28</v>
      </c>
      <c r="J4" s="6" t="s">
        <v>29</v>
      </c>
      <c r="K4" s="6" t="str">
        <f>CONCATENATE("")</f>
        <v/>
      </c>
      <c r="L4" s="6" t="str">
        <f>CONCATENATE("13 13.1 4a")</f>
        <v>13 13.1 4a</v>
      </c>
      <c r="M4" s="6" t="str">
        <f>CONCATENATE("DSNSNN62R70H501T")</f>
        <v>DSNSNN62R70H501T</v>
      </c>
      <c r="N4" s="6" t="s">
        <v>42</v>
      </c>
      <c r="O4" s="6"/>
      <c r="P4" s="7">
        <v>43117</v>
      </c>
      <c r="Q4" s="6" t="s">
        <v>30</v>
      </c>
      <c r="R4" s="6" t="s">
        <v>31</v>
      </c>
      <c r="S4" s="6" t="s">
        <v>32</v>
      </c>
      <c r="T4" s="8">
        <v>2703.53</v>
      </c>
      <c r="U4" s="8">
        <v>1165.76</v>
      </c>
      <c r="V4" s="8">
        <v>1076.55</v>
      </c>
      <c r="W4" s="6">
        <v>0</v>
      </c>
      <c r="X4" s="6">
        <v>461.22</v>
      </c>
    </row>
    <row r="5" spans="1:24" x14ac:dyDescent="0.25">
      <c r="A5" s="6" t="s">
        <v>25</v>
      </c>
      <c r="B5" s="6" t="s">
        <v>26</v>
      </c>
      <c r="C5" s="6" t="s">
        <v>39</v>
      </c>
      <c r="D5" s="6" t="s">
        <v>43</v>
      </c>
      <c r="E5" s="6" t="s">
        <v>27</v>
      </c>
      <c r="F5" s="6" t="s">
        <v>44</v>
      </c>
      <c r="G5" s="6">
        <v>2017</v>
      </c>
      <c r="H5" s="6" t="str">
        <f>CONCATENATE("74210032707")</f>
        <v>74210032707</v>
      </c>
      <c r="I5" s="6" t="s">
        <v>28</v>
      </c>
      <c r="J5" s="6" t="s">
        <v>29</v>
      </c>
      <c r="K5" s="6" t="str">
        <f>CONCATENATE("")</f>
        <v/>
      </c>
      <c r="L5" s="6" t="str">
        <f>CONCATENATE("13 13.1 4a")</f>
        <v>13 13.1 4a</v>
      </c>
      <c r="M5" s="6" t="str">
        <f>CONCATENATE("PLDFNC39T15I569K")</f>
        <v>PLDFNC39T15I569K</v>
      </c>
      <c r="N5" s="6" t="s">
        <v>45</v>
      </c>
      <c r="O5" s="6"/>
      <c r="P5" s="7">
        <v>43117</v>
      </c>
      <c r="Q5" s="6" t="s">
        <v>30</v>
      </c>
      <c r="R5" s="6" t="s">
        <v>31</v>
      </c>
      <c r="S5" s="6" t="s">
        <v>32</v>
      </c>
      <c r="T5" s="8">
        <v>4310.42</v>
      </c>
      <c r="U5" s="8">
        <v>1858.65</v>
      </c>
      <c r="V5" s="8">
        <v>1716.41</v>
      </c>
      <c r="W5" s="6">
        <v>0</v>
      </c>
      <c r="X5" s="6">
        <v>735.36</v>
      </c>
    </row>
    <row r="6" spans="1:24" x14ac:dyDescent="0.25">
      <c r="A6" s="6" t="s">
        <v>25</v>
      </c>
      <c r="B6" s="6" t="s">
        <v>26</v>
      </c>
      <c r="C6" s="6" t="s">
        <v>39</v>
      </c>
      <c r="D6" s="6" t="s">
        <v>43</v>
      </c>
      <c r="E6" s="6" t="s">
        <v>27</v>
      </c>
      <c r="F6" s="6" t="s">
        <v>44</v>
      </c>
      <c r="G6" s="6">
        <v>2016</v>
      </c>
      <c r="H6" s="6" t="str">
        <f>CONCATENATE("64210595266")</f>
        <v>64210595266</v>
      </c>
      <c r="I6" s="6" t="s">
        <v>28</v>
      </c>
      <c r="J6" s="6" t="s">
        <v>29</v>
      </c>
      <c r="K6" s="6" t="str">
        <f>CONCATENATE("")</f>
        <v/>
      </c>
      <c r="L6" s="6" t="str">
        <f>CONCATENATE("13 13.1 4a")</f>
        <v>13 13.1 4a</v>
      </c>
      <c r="M6" s="6" t="str">
        <f>CONCATENATE("STRPLA73L17B474W")</f>
        <v>STRPLA73L17B474W</v>
      </c>
      <c r="N6" s="6" t="s">
        <v>46</v>
      </c>
      <c r="O6" s="6"/>
      <c r="P6" s="7">
        <v>43109</v>
      </c>
      <c r="Q6" s="6" t="s">
        <v>30</v>
      </c>
      <c r="R6" s="6" t="s">
        <v>31</v>
      </c>
      <c r="S6" s="6" t="s">
        <v>32</v>
      </c>
      <c r="T6" s="6">
        <v>380.4</v>
      </c>
      <c r="U6" s="6">
        <v>164.03</v>
      </c>
      <c r="V6" s="6">
        <v>151.47999999999999</v>
      </c>
      <c r="W6" s="6">
        <v>0</v>
      </c>
      <c r="X6" s="6">
        <v>64.89</v>
      </c>
    </row>
    <row r="7" spans="1:24" x14ac:dyDescent="0.25">
      <c r="A7" s="6" t="s">
        <v>25</v>
      </c>
      <c r="B7" s="6" t="s">
        <v>26</v>
      </c>
      <c r="C7" s="6" t="s">
        <v>39</v>
      </c>
      <c r="D7" s="6" t="s">
        <v>43</v>
      </c>
      <c r="E7" s="6" t="s">
        <v>27</v>
      </c>
      <c r="F7" s="6" t="s">
        <v>44</v>
      </c>
      <c r="G7" s="6">
        <v>2017</v>
      </c>
      <c r="H7" s="6" t="str">
        <f>CONCATENATE("74210971482")</f>
        <v>74210971482</v>
      </c>
      <c r="I7" s="6" t="s">
        <v>28</v>
      </c>
      <c r="J7" s="6" t="s">
        <v>29</v>
      </c>
      <c r="K7" s="6" t="str">
        <f>CONCATENATE("")</f>
        <v/>
      </c>
      <c r="L7" s="6" t="str">
        <f>CONCATENATE("13 13.1 4a")</f>
        <v>13 13.1 4a</v>
      </c>
      <c r="M7" s="6" t="str">
        <f>CONCATENATE("STRPLA73L17B474W")</f>
        <v>STRPLA73L17B474W</v>
      </c>
      <c r="N7" s="6" t="s">
        <v>46</v>
      </c>
      <c r="O7" s="6"/>
      <c r="P7" s="7">
        <v>43117</v>
      </c>
      <c r="Q7" s="6" t="s">
        <v>30</v>
      </c>
      <c r="R7" s="6" t="s">
        <v>31</v>
      </c>
      <c r="S7" s="6" t="s">
        <v>32</v>
      </c>
      <c r="T7" s="8">
        <v>5181.05</v>
      </c>
      <c r="U7" s="8">
        <v>2234.0700000000002</v>
      </c>
      <c r="V7" s="8">
        <v>2063.09</v>
      </c>
      <c r="W7" s="6">
        <v>0</v>
      </c>
      <c r="X7" s="6">
        <v>883.89</v>
      </c>
    </row>
    <row r="8" spans="1:24" ht="24.75" x14ac:dyDescent="0.25">
      <c r="A8" s="6" t="s">
        <v>25</v>
      </c>
      <c r="B8" s="6" t="s">
        <v>26</v>
      </c>
      <c r="C8" s="6" t="s">
        <v>39</v>
      </c>
      <c r="D8" s="6" t="s">
        <v>43</v>
      </c>
      <c r="E8" s="6" t="s">
        <v>27</v>
      </c>
      <c r="F8" s="6" t="s">
        <v>44</v>
      </c>
      <c r="G8" s="6">
        <v>2017</v>
      </c>
      <c r="H8" s="6" t="str">
        <f>CONCATENATE("74210012147")</f>
        <v>74210012147</v>
      </c>
      <c r="I8" s="6" t="s">
        <v>28</v>
      </c>
      <c r="J8" s="6" t="s">
        <v>29</v>
      </c>
      <c r="K8" s="6" t="str">
        <f>CONCATENATE("")</f>
        <v/>
      </c>
      <c r="L8" s="6" t="str">
        <f>CONCATENATE("13 13.1 4a")</f>
        <v>13 13.1 4a</v>
      </c>
      <c r="M8" s="6" t="str">
        <f>CONCATENATE("01296500430")</f>
        <v>01296500430</v>
      </c>
      <c r="N8" s="6" t="s">
        <v>47</v>
      </c>
      <c r="O8" s="6"/>
      <c r="P8" s="7">
        <v>43117</v>
      </c>
      <c r="Q8" s="6" t="s">
        <v>30</v>
      </c>
      <c r="R8" s="6" t="s">
        <v>31</v>
      </c>
      <c r="S8" s="6" t="s">
        <v>32</v>
      </c>
      <c r="T8" s="6">
        <v>270.89</v>
      </c>
      <c r="U8" s="6">
        <v>116.81</v>
      </c>
      <c r="V8" s="6">
        <v>107.87</v>
      </c>
      <c r="W8" s="6">
        <v>0</v>
      </c>
      <c r="X8" s="6">
        <v>46.21</v>
      </c>
    </row>
    <row r="9" spans="1:24" ht="24.75" x14ac:dyDescent="0.25">
      <c r="A9" s="6" t="s">
        <v>25</v>
      </c>
      <c r="B9" s="6" t="s">
        <v>26</v>
      </c>
      <c r="C9" s="6" t="s">
        <v>39</v>
      </c>
      <c r="D9" s="6" t="s">
        <v>48</v>
      </c>
      <c r="E9" s="6" t="s">
        <v>36</v>
      </c>
      <c r="F9" s="6" t="s">
        <v>49</v>
      </c>
      <c r="G9" s="6">
        <v>2017</v>
      </c>
      <c r="H9" s="6" t="str">
        <f>CONCATENATE("74211077461")</f>
        <v>74211077461</v>
      </c>
      <c r="I9" s="6" t="s">
        <v>28</v>
      </c>
      <c r="J9" s="6" t="s">
        <v>29</v>
      </c>
      <c r="K9" s="6" t="str">
        <f>CONCATENATE("")</f>
        <v/>
      </c>
      <c r="L9" s="6" t="str">
        <f>CONCATENATE("13 13.1 4a")</f>
        <v>13 13.1 4a</v>
      </c>
      <c r="M9" s="6" t="str">
        <f>CONCATENATE("MRNFNC46L05I287W")</f>
        <v>MRNFNC46L05I287W</v>
      </c>
      <c r="N9" s="6" t="s">
        <v>50</v>
      </c>
      <c r="O9" s="6"/>
      <c r="P9" s="7">
        <v>43117</v>
      </c>
      <c r="Q9" s="6" t="s">
        <v>30</v>
      </c>
      <c r="R9" s="6" t="s">
        <v>31</v>
      </c>
      <c r="S9" s="6" t="s">
        <v>32</v>
      </c>
      <c r="T9" s="8">
        <v>5400</v>
      </c>
      <c r="U9" s="8">
        <v>2328.48</v>
      </c>
      <c r="V9" s="8">
        <v>2150.2800000000002</v>
      </c>
      <c r="W9" s="6">
        <v>0</v>
      </c>
      <c r="X9" s="6">
        <v>921.24</v>
      </c>
    </row>
    <row r="10" spans="1:24" ht="24.75" x14ac:dyDescent="0.25">
      <c r="A10" s="6" t="s">
        <v>25</v>
      </c>
      <c r="B10" s="6" t="s">
        <v>26</v>
      </c>
      <c r="C10" s="6" t="s">
        <v>39</v>
      </c>
      <c r="D10" s="6" t="s">
        <v>48</v>
      </c>
      <c r="E10" s="6" t="s">
        <v>35</v>
      </c>
      <c r="F10" s="6" t="s">
        <v>51</v>
      </c>
      <c r="G10" s="6">
        <v>2017</v>
      </c>
      <c r="H10" s="6" t="str">
        <f>CONCATENATE("74211076422")</f>
        <v>74211076422</v>
      </c>
      <c r="I10" s="6" t="s">
        <v>28</v>
      </c>
      <c r="J10" s="6" t="s">
        <v>29</v>
      </c>
      <c r="K10" s="6" t="str">
        <f>CONCATENATE("")</f>
        <v/>
      </c>
      <c r="L10" s="6" t="str">
        <f>CONCATENATE("13 13.1 4a")</f>
        <v>13 13.1 4a</v>
      </c>
      <c r="M10" s="6" t="str">
        <f>CONCATENATE("CLSCLD65D10I287A")</f>
        <v>CLSCLD65D10I287A</v>
      </c>
      <c r="N10" s="6" t="s">
        <v>52</v>
      </c>
      <c r="O10" s="6"/>
      <c r="P10" s="7">
        <v>43117</v>
      </c>
      <c r="Q10" s="6" t="s">
        <v>30</v>
      </c>
      <c r="R10" s="6" t="s">
        <v>31</v>
      </c>
      <c r="S10" s="6" t="s">
        <v>32</v>
      </c>
      <c r="T10" s="8">
        <v>2300.86</v>
      </c>
      <c r="U10" s="6">
        <v>992.13</v>
      </c>
      <c r="V10" s="6">
        <v>916.2</v>
      </c>
      <c r="W10" s="6">
        <v>0</v>
      </c>
      <c r="X10" s="6">
        <v>392.53</v>
      </c>
    </row>
    <row r="11" spans="1:24" x14ac:dyDescent="0.25">
      <c r="A11" s="6" t="s">
        <v>25</v>
      </c>
      <c r="B11" s="6" t="s">
        <v>26</v>
      </c>
      <c r="C11" s="6" t="s">
        <v>39</v>
      </c>
      <c r="D11" s="6" t="s">
        <v>43</v>
      </c>
      <c r="E11" s="6" t="s">
        <v>36</v>
      </c>
      <c r="F11" s="6" t="s">
        <v>53</v>
      </c>
      <c r="G11" s="6">
        <v>2017</v>
      </c>
      <c r="H11" s="6" t="str">
        <f>CONCATENATE("74210636044")</f>
        <v>74210636044</v>
      </c>
      <c r="I11" s="6" t="s">
        <v>28</v>
      </c>
      <c r="J11" s="6" t="s">
        <v>29</v>
      </c>
      <c r="K11" s="6" t="str">
        <f>CONCATENATE("")</f>
        <v/>
      </c>
      <c r="L11" s="6" t="str">
        <f>CONCATENATE("13 13.1 4a")</f>
        <v>13 13.1 4a</v>
      </c>
      <c r="M11" s="6" t="str">
        <f>CONCATENATE("MCAMGS61R55I661H")</f>
        <v>MCAMGS61R55I661H</v>
      </c>
      <c r="N11" s="6" t="s">
        <v>54</v>
      </c>
      <c r="O11" s="6"/>
      <c r="P11" s="7">
        <v>43117</v>
      </c>
      <c r="Q11" s="6" t="s">
        <v>30</v>
      </c>
      <c r="R11" s="6" t="s">
        <v>31</v>
      </c>
      <c r="S11" s="6" t="s">
        <v>32</v>
      </c>
      <c r="T11" s="8">
        <v>4397.1099999999997</v>
      </c>
      <c r="U11" s="8">
        <v>1896.03</v>
      </c>
      <c r="V11" s="8">
        <v>1750.93</v>
      </c>
      <c r="W11" s="6">
        <v>0</v>
      </c>
      <c r="X11" s="6">
        <v>750.15</v>
      </c>
    </row>
    <row r="12" spans="1:24" ht="24.75" x14ac:dyDescent="0.25">
      <c r="A12" s="6" t="s">
        <v>25</v>
      </c>
      <c r="B12" s="6" t="s">
        <v>26</v>
      </c>
      <c r="C12" s="6" t="s">
        <v>39</v>
      </c>
      <c r="D12" s="6" t="s">
        <v>48</v>
      </c>
      <c r="E12" s="6" t="s">
        <v>27</v>
      </c>
      <c r="F12" s="6" t="s">
        <v>55</v>
      </c>
      <c r="G12" s="6">
        <v>2017</v>
      </c>
      <c r="H12" s="6" t="str">
        <f>CONCATENATE("74210097940")</f>
        <v>74210097940</v>
      </c>
      <c r="I12" s="6" t="s">
        <v>28</v>
      </c>
      <c r="J12" s="6" t="s">
        <v>29</v>
      </c>
      <c r="K12" s="6" t="str">
        <f>CONCATENATE("")</f>
        <v/>
      </c>
      <c r="L12" s="6" t="str">
        <f>CONCATENATE("13 13.1 4a")</f>
        <v>13 13.1 4a</v>
      </c>
      <c r="M12" s="6" t="str">
        <f>CONCATENATE("RSSPLA63P25F524S")</f>
        <v>RSSPLA63P25F524S</v>
      </c>
      <c r="N12" s="6" t="s">
        <v>56</v>
      </c>
      <c r="O12" s="6"/>
      <c r="P12" s="7">
        <v>43117</v>
      </c>
      <c r="Q12" s="6" t="s">
        <v>30</v>
      </c>
      <c r="R12" s="6" t="s">
        <v>31</v>
      </c>
      <c r="S12" s="6" t="s">
        <v>32</v>
      </c>
      <c r="T12" s="8">
        <v>2533.44</v>
      </c>
      <c r="U12" s="8">
        <v>1092.42</v>
      </c>
      <c r="V12" s="8">
        <v>1008.82</v>
      </c>
      <c r="W12" s="6">
        <v>0</v>
      </c>
      <c r="X12" s="6">
        <v>432.2</v>
      </c>
    </row>
    <row r="13" spans="1:24" ht="24.75" x14ac:dyDescent="0.25">
      <c r="A13" s="6" t="s">
        <v>25</v>
      </c>
      <c r="B13" s="6" t="s">
        <v>26</v>
      </c>
      <c r="C13" s="6" t="s">
        <v>39</v>
      </c>
      <c r="D13" s="6" t="s">
        <v>48</v>
      </c>
      <c r="E13" s="6" t="s">
        <v>27</v>
      </c>
      <c r="F13" s="6" t="s">
        <v>55</v>
      </c>
      <c r="G13" s="6">
        <v>2017</v>
      </c>
      <c r="H13" s="6" t="str">
        <f>CONCATENATE("74210121179")</f>
        <v>74210121179</v>
      </c>
      <c r="I13" s="6" t="s">
        <v>28</v>
      </c>
      <c r="J13" s="6" t="s">
        <v>29</v>
      </c>
      <c r="K13" s="6" t="str">
        <f>CONCATENATE("")</f>
        <v/>
      </c>
      <c r="L13" s="6" t="str">
        <f>CONCATENATE("13 13.1 4a")</f>
        <v>13 13.1 4a</v>
      </c>
      <c r="M13" s="6" t="str">
        <f>CONCATENATE("01407300415")</f>
        <v>01407300415</v>
      </c>
      <c r="N13" s="6" t="s">
        <v>57</v>
      </c>
      <c r="O13" s="6"/>
      <c r="P13" s="7">
        <v>43117</v>
      </c>
      <c r="Q13" s="6" t="s">
        <v>30</v>
      </c>
      <c r="R13" s="6" t="s">
        <v>31</v>
      </c>
      <c r="S13" s="6" t="s">
        <v>32</v>
      </c>
      <c r="T13" s="8">
        <v>5238</v>
      </c>
      <c r="U13" s="8">
        <v>2258.63</v>
      </c>
      <c r="V13" s="8">
        <v>2085.77</v>
      </c>
      <c r="W13" s="6">
        <v>0</v>
      </c>
      <c r="X13" s="6">
        <v>893.6</v>
      </c>
    </row>
    <row r="14" spans="1:24" ht="24.75" x14ac:dyDescent="0.25">
      <c r="A14" s="6" t="s">
        <v>25</v>
      </c>
      <c r="B14" s="6" t="s">
        <v>26</v>
      </c>
      <c r="C14" s="6" t="s">
        <v>39</v>
      </c>
      <c r="D14" s="6" t="s">
        <v>48</v>
      </c>
      <c r="E14" s="6" t="s">
        <v>36</v>
      </c>
      <c r="F14" s="6" t="s">
        <v>58</v>
      </c>
      <c r="G14" s="6">
        <v>2017</v>
      </c>
      <c r="H14" s="6" t="str">
        <f>CONCATENATE("74210365537")</f>
        <v>74210365537</v>
      </c>
      <c r="I14" s="6" t="s">
        <v>28</v>
      </c>
      <c r="J14" s="6" t="s">
        <v>29</v>
      </c>
      <c r="K14" s="6" t="str">
        <f>CONCATENATE("")</f>
        <v/>
      </c>
      <c r="L14" s="6" t="str">
        <f>CONCATENATE("13 13.1 4a")</f>
        <v>13 13.1 4a</v>
      </c>
      <c r="M14" s="6" t="str">
        <f>CONCATENATE("CRMPLA63S27I608U")</f>
        <v>CRMPLA63S27I608U</v>
      </c>
      <c r="N14" s="6" t="s">
        <v>59</v>
      </c>
      <c r="O14" s="6"/>
      <c r="P14" s="7">
        <v>43117</v>
      </c>
      <c r="Q14" s="6" t="s">
        <v>30</v>
      </c>
      <c r="R14" s="6" t="s">
        <v>31</v>
      </c>
      <c r="S14" s="6" t="s">
        <v>32</v>
      </c>
      <c r="T14" s="8">
        <v>1313.53</v>
      </c>
      <c r="U14" s="6">
        <v>566.39</v>
      </c>
      <c r="V14" s="6">
        <v>523.04999999999995</v>
      </c>
      <c r="W14" s="6">
        <v>0</v>
      </c>
      <c r="X14" s="6">
        <v>224.09</v>
      </c>
    </row>
    <row r="15" spans="1:24" ht="24.75" x14ac:dyDescent="0.25">
      <c r="A15" s="6" t="s">
        <v>25</v>
      </c>
      <c r="B15" s="6" t="s">
        <v>26</v>
      </c>
      <c r="C15" s="6" t="s">
        <v>39</v>
      </c>
      <c r="D15" s="6" t="s">
        <v>48</v>
      </c>
      <c r="E15" s="6" t="s">
        <v>36</v>
      </c>
      <c r="F15" s="6" t="s">
        <v>49</v>
      </c>
      <c r="G15" s="6">
        <v>2017</v>
      </c>
      <c r="H15" s="6" t="str">
        <f>CONCATENATE("74210936022")</f>
        <v>74210936022</v>
      </c>
      <c r="I15" s="6" t="s">
        <v>28</v>
      </c>
      <c r="J15" s="6" t="s">
        <v>29</v>
      </c>
      <c r="K15" s="6" t="str">
        <f>CONCATENATE("")</f>
        <v/>
      </c>
      <c r="L15" s="6" t="str">
        <f>CONCATENATE("13 13.1 4a")</f>
        <v>13 13.1 4a</v>
      </c>
      <c r="M15" s="6" t="str">
        <f>CONCATENATE("CGRMRA49C14A978P")</f>
        <v>CGRMRA49C14A978P</v>
      </c>
      <c r="N15" s="6" t="s">
        <v>60</v>
      </c>
      <c r="O15" s="6"/>
      <c r="P15" s="7">
        <v>43117</v>
      </c>
      <c r="Q15" s="6" t="s">
        <v>30</v>
      </c>
      <c r="R15" s="6" t="s">
        <v>31</v>
      </c>
      <c r="S15" s="6" t="s">
        <v>32</v>
      </c>
      <c r="T15" s="8">
        <v>4391.8999999999996</v>
      </c>
      <c r="U15" s="8">
        <v>1893.79</v>
      </c>
      <c r="V15" s="8">
        <v>1748.85</v>
      </c>
      <c r="W15" s="6">
        <v>0</v>
      </c>
      <c r="X15" s="6">
        <v>749.26</v>
      </c>
    </row>
    <row r="16" spans="1:24" ht="24.75" x14ac:dyDescent="0.25">
      <c r="A16" s="6" t="s">
        <v>25</v>
      </c>
      <c r="B16" s="6" t="s">
        <v>26</v>
      </c>
      <c r="C16" s="6" t="s">
        <v>39</v>
      </c>
      <c r="D16" s="6" t="s">
        <v>48</v>
      </c>
      <c r="E16" s="6" t="s">
        <v>36</v>
      </c>
      <c r="F16" s="6" t="s">
        <v>58</v>
      </c>
      <c r="G16" s="6">
        <v>2017</v>
      </c>
      <c r="H16" s="6" t="str">
        <f>CONCATENATE("74210440488")</f>
        <v>74210440488</v>
      </c>
      <c r="I16" s="6" t="s">
        <v>28</v>
      </c>
      <c r="J16" s="6" t="s">
        <v>29</v>
      </c>
      <c r="K16" s="6" t="str">
        <f>CONCATENATE("")</f>
        <v/>
      </c>
      <c r="L16" s="6" t="str">
        <f>CONCATENATE("13 13.1 4a")</f>
        <v>13 13.1 4a</v>
      </c>
      <c r="M16" s="6" t="str">
        <f>CONCATENATE("VLPLSN82M67G999X")</f>
        <v>VLPLSN82M67G999X</v>
      </c>
      <c r="N16" s="6" t="s">
        <v>61</v>
      </c>
      <c r="O16" s="6"/>
      <c r="P16" s="7">
        <v>43117</v>
      </c>
      <c r="Q16" s="6" t="s">
        <v>30</v>
      </c>
      <c r="R16" s="6" t="s">
        <v>31</v>
      </c>
      <c r="S16" s="6" t="s">
        <v>32</v>
      </c>
      <c r="T16" s="8">
        <v>1586.33</v>
      </c>
      <c r="U16" s="6">
        <v>684.03</v>
      </c>
      <c r="V16" s="6">
        <v>631.67999999999995</v>
      </c>
      <c r="W16" s="6">
        <v>0</v>
      </c>
      <c r="X16" s="6">
        <v>270.62</v>
      </c>
    </row>
    <row r="17" spans="1:24" ht="24.75" x14ac:dyDescent="0.25">
      <c r="A17" s="6" t="s">
        <v>25</v>
      </c>
      <c r="B17" s="6" t="s">
        <v>26</v>
      </c>
      <c r="C17" s="6" t="s">
        <v>39</v>
      </c>
      <c r="D17" s="6" t="s">
        <v>48</v>
      </c>
      <c r="E17" s="6" t="s">
        <v>27</v>
      </c>
      <c r="F17" s="6" t="s">
        <v>62</v>
      </c>
      <c r="G17" s="6">
        <v>2017</v>
      </c>
      <c r="H17" s="6" t="str">
        <f>CONCATENATE("74210257528")</f>
        <v>74210257528</v>
      </c>
      <c r="I17" s="6" t="s">
        <v>28</v>
      </c>
      <c r="J17" s="6" t="s">
        <v>29</v>
      </c>
      <c r="K17" s="6" t="str">
        <f>CONCATENATE("")</f>
        <v/>
      </c>
      <c r="L17" s="6" t="str">
        <f>CONCATENATE("13 13.1 4a")</f>
        <v>13 13.1 4a</v>
      </c>
      <c r="M17" s="6" t="str">
        <f>CONCATENATE("LSIDBR67B26G479N")</f>
        <v>LSIDBR67B26G479N</v>
      </c>
      <c r="N17" s="6" t="s">
        <v>63</v>
      </c>
      <c r="O17" s="6"/>
      <c r="P17" s="7">
        <v>43117</v>
      </c>
      <c r="Q17" s="6" t="s">
        <v>30</v>
      </c>
      <c r="R17" s="6" t="s">
        <v>31</v>
      </c>
      <c r="S17" s="6" t="s">
        <v>32</v>
      </c>
      <c r="T17" s="8">
        <v>5238</v>
      </c>
      <c r="U17" s="8">
        <v>2258.63</v>
      </c>
      <c r="V17" s="8">
        <v>2085.77</v>
      </c>
      <c r="W17" s="6">
        <v>0</v>
      </c>
      <c r="X17" s="6">
        <v>893.6</v>
      </c>
    </row>
    <row r="18" spans="1:24" ht="24.75" x14ac:dyDescent="0.25">
      <c r="A18" s="6" t="s">
        <v>25</v>
      </c>
      <c r="B18" s="6" t="s">
        <v>26</v>
      </c>
      <c r="C18" s="6" t="s">
        <v>39</v>
      </c>
      <c r="D18" s="6" t="s">
        <v>40</v>
      </c>
      <c r="E18" s="6" t="s">
        <v>27</v>
      </c>
      <c r="F18" s="6" t="s">
        <v>64</v>
      </c>
      <c r="G18" s="6">
        <v>2017</v>
      </c>
      <c r="H18" s="6" t="str">
        <f>CONCATENATE("74210324930")</f>
        <v>74210324930</v>
      </c>
      <c r="I18" s="6" t="s">
        <v>28</v>
      </c>
      <c r="J18" s="6" t="s">
        <v>29</v>
      </c>
      <c r="K18" s="6" t="str">
        <f>CONCATENATE("")</f>
        <v/>
      </c>
      <c r="L18" s="6" t="str">
        <f>CONCATENATE("13 13.1 4a")</f>
        <v>13 13.1 4a</v>
      </c>
      <c r="M18" s="6" t="str">
        <f>CONCATENATE("MLTSML56B09F453A")</f>
        <v>MLTSML56B09F453A</v>
      </c>
      <c r="N18" s="6" t="s">
        <v>65</v>
      </c>
      <c r="O18" s="6"/>
      <c r="P18" s="7">
        <v>43117</v>
      </c>
      <c r="Q18" s="6" t="s">
        <v>30</v>
      </c>
      <c r="R18" s="6" t="s">
        <v>31</v>
      </c>
      <c r="S18" s="6" t="s">
        <v>32</v>
      </c>
      <c r="T18" s="8">
        <v>1043.3499999999999</v>
      </c>
      <c r="U18" s="6">
        <v>449.89</v>
      </c>
      <c r="V18" s="6">
        <v>415.46</v>
      </c>
      <c r="W18" s="6">
        <v>0</v>
      </c>
      <c r="X18" s="6">
        <v>178</v>
      </c>
    </row>
    <row r="19" spans="1:24" ht="24.75" x14ac:dyDescent="0.25">
      <c r="A19" s="6" t="s">
        <v>25</v>
      </c>
      <c r="B19" s="6" t="s">
        <v>26</v>
      </c>
      <c r="C19" s="6" t="s">
        <v>39</v>
      </c>
      <c r="D19" s="6" t="s">
        <v>48</v>
      </c>
      <c r="E19" s="6" t="s">
        <v>27</v>
      </c>
      <c r="F19" s="6" t="s">
        <v>66</v>
      </c>
      <c r="G19" s="6">
        <v>2017</v>
      </c>
      <c r="H19" s="6" t="str">
        <f>CONCATENATE("74210549411")</f>
        <v>74210549411</v>
      </c>
      <c r="I19" s="6" t="s">
        <v>28</v>
      </c>
      <c r="J19" s="6" t="s">
        <v>29</v>
      </c>
      <c r="K19" s="6" t="str">
        <f>CONCATENATE("")</f>
        <v/>
      </c>
      <c r="L19" s="6" t="str">
        <f>CONCATENATE("13 13.1 4a")</f>
        <v>13 13.1 4a</v>
      </c>
      <c r="M19" s="6" t="str">
        <f>CONCATENATE("02393300419")</f>
        <v>02393300419</v>
      </c>
      <c r="N19" s="6" t="s">
        <v>67</v>
      </c>
      <c r="O19" s="6"/>
      <c r="P19" s="7">
        <v>43117</v>
      </c>
      <c r="Q19" s="6" t="s">
        <v>30</v>
      </c>
      <c r="R19" s="6" t="s">
        <v>31</v>
      </c>
      <c r="S19" s="6" t="s">
        <v>32</v>
      </c>
      <c r="T19" s="8">
        <v>5400</v>
      </c>
      <c r="U19" s="8">
        <v>2328.48</v>
      </c>
      <c r="V19" s="8">
        <v>2150.2800000000002</v>
      </c>
      <c r="W19" s="6">
        <v>0</v>
      </c>
      <c r="X19" s="6">
        <v>921.24</v>
      </c>
    </row>
    <row r="20" spans="1:24" ht="24.75" x14ac:dyDescent="0.25">
      <c r="A20" s="6" t="s">
        <v>25</v>
      </c>
      <c r="B20" s="6" t="s">
        <v>26</v>
      </c>
      <c r="C20" s="6" t="s">
        <v>39</v>
      </c>
      <c r="D20" s="6" t="s">
        <v>40</v>
      </c>
      <c r="E20" s="6" t="s">
        <v>37</v>
      </c>
      <c r="F20" s="6" t="s">
        <v>68</v>
      </c>
      <c r="G20" s="6">
        <v>2017</v>
      </c>
      <c r="H20" s="6" t="str">
        <f>CONCATENATE("74210629494")</f>
        <v>74210629494</v>
      </c>
      <c r="I20" s="6" t="s">
        <v>28</v>
      </c>
      <c r="J20" s="6" t="s">
        <v>29</v>
      </c>
      <c r="K20" s="6" t="str">
        <f>CONCATENATE("")</f>
        <v/>
      </c>
      <c r="L20" s="6" t="str">
        <f>CONCATENATE("13 13.1 4a")</f>
        <v>13 13.1 4a</v>
      </c>
      <c r="M20" s="6" t="str">
        <f>CONCATENATE("NGLNDR81S30D451Q")</f>
        <v>NGLNDR81S30D451Q</v>
      </c>
      <c r="N20" s="6" t="s">
        <v>69</v>
      </c>
      <c r="O20" s="6"/>
      <c r="P20" s="7">
        <v>43117</v>
      </c>
      <c r="Q20" s="6" t="s">
        <v>30</v>
      </c>
      <c r="R20" s="6" t="s">
        <v>31</v>
      </c>
      <c r="S20" s="6" t="s">
        <v>32</v>
      </c>
      <c r="T20" s="8">
        <v>3146.68</v>
      </c>
      <c r="U20" s="8">
        <v>1356.85</v>
      </c>
      <c r="V20" s="8">
        <v>1253.01</v>
      </c>
      <c r="W20" s="6">
        <v>0</v>
      </c>
      <c r="X20" s="6">
        <v>536.82000000000005</v>
      </c>
    </row>
    <row r="21" spans="1:24" ht="24.75" x14ac:dyDescent="0.25">
      <c r="A21" s="6" t="s">
        <v>25</v>
      </c>
      <c r="B21" s="6" t="s">
        <v>26</v>
      </c>
      <c r="C21" s="6" t="s">
        <v>39</v>
      </c>
      <c r="D21" s="6" t="s">
        <v>48</v>
      </c>
      <c r="E21" s="6" t="s">
        <v>27</v>
      </c>
      <c r="F21" s="6" t="s">
        <v>70</v>
      </c>
      <c r="G21" s="6">
        <v>2017</v>
      </c>
      <c r="H21" s="6" t="str">
        <f>CONCATENATE("74210995465")</f>
        <v>74210995465</v>
      </c>
      <c r="I21" s="6" t="s">
        <v>28</v>
      </c>
      <c r="J21" s="6" t="s">
        <v>29</v>
      </c>
      <c r="K21" s="6" t="str">
        <f>CONCATENATE("")</f>
        <v/>
      </c>
      <c r="L21" s="6" t="str">
        <f>CONCATENATE("13 13.1 4a")</f>
        <v>13 13.1 4a</v>
      </c>
      <c r="M21" s="6" t="str">
        <f>CONCATENATE("CRDGRG59A01F135P")</f>
        <v>CRDGRG59A01F135P</v>
      </c>
      <c r="N21" s="6" t="s">
        <v>71</v>
      </c>
      <c r="O21" s="6"/>
      <c r="P21" s="7">
        <v>43129</v>
      </c>
      <c r="Q21" s="6" t="s">
        <v>30</v>
      </c>
      <c r="R21" s="6" t="s">
        <v>31</v>
      </c>
      <c r="S21" s="6" t="s">
        <v>32</v>
      </c>
      <c r="T21" s="8">
        <v>5400</v>
      </c>
      <c r="U21" s="8">
        <v>2328.48</v>
      </c>
      <c r="V21" s="8">
        <v>2150.2800000000002</v>
      </c>
      <c r="W21" s="6">
        <v>0</v>
      </c>
      <c r="X21" s="6">
        <v>921.24</v>
      </c>
    </row>
    <row r="22" spans="1:24" ht="24.75" x14ac:dyDescent="0.25">
      <c r="A22" s="6" t="s">
        <v>25</v>
      </c>
      <c r="B22" s="6" t="s">
        <v>26</v>
      </c>
      <c r="C22" s="6" t="s">
        <v>39</v>
      </c>
      <c r="D22" s="6" t="s">
        <v>48</v>
      </c>
      <c r="E22" s="6" t="s">
        <v>27</v>
      </c>
      <c r="F22" s="6" t="s">
        <v>55</v>
      </c>
      <c r="G22" s="6">
        <v>2017</v>
      </c>
      <c r="H22" s="6" t="str">
        <f>CONCATENATE("74210270059")</f>
        <v>74210270059</v>
      </c>
      <c r="I22" s="6" t="s">
        <v>28</v>
      </c>
      <c r="J22" s="6" t="s">
        <v>29</v>
      </c>
      <c r="K22" s="6" t="str">
        <f>CONCATENATE("")</f>
        <v/>
      </c>
      <c r="L22" s="6" t="str">
        <f>CONCATENATE("13 13.1 4a")</f>
        <v>13 13.1 4a</v>
      </c>
      <c r="M22" s="6" t="str">
        <f>CONCATENATE("DTLMRZ53H11F467Q")</f>
        <v>DTLMRZ53H11F467Q</v>
      </c>
      <c r="N22" s="6" t="s">
        <v>72</v>
      </c>
      <c r="O22" s="6"/>
      <c r="P22" s="7">
        <v>43129</v>
      </c>
      <c r="Q22" s="6" t="s">
        <v>30</v>
      </c>
      <c r="R22" s="6" t="s">
        <v>31</v>
      </c>
      <c r="S22" s="6" t="s">
        <v>32</v>
      </c>
      <c r="T22" s="8">
        <v>5400</v>
      </c>
      <c r="U22" s="8">
        <v>2328.48</v>
      </c>
      <c r="V22" s="8">
        <v>2150.2800000000002</v>
      </c>
      <c r="W22" s="6">
        <v>0</v>
      </c>
      <c r="X22" s="6">
        <v>921.24</v>
      </c>
    </row>
    <row r="23" spans="1:24" x14ac:dyDescent="0.25">
      <c r="A23" s="6" t="s">
        <v>25</v>
      </c>
      <c r="B23" s="6" t="s">
        <v>26</v>
      </c>
      <c r="C23" s="6" t="s">
        <v>39</v>
      </c>
      <c r="D23" s="6" t="s">
        <v>43</v>
      </c>
      <c r="E23" s="6" t="s">
        <v>27</v>
      </c>
      <c r="F23" s="6" t="s">
        <v>44</v>
      </c>
      <c r="G23" s="6">
        <v>2016</v>
      </c>
      <c r="H23" s="6" t="str">
        <f>CONCATENATE("64240321287")</f>
        <v>64240321287</v>
      </c>
      <c r="I23" s="6" t="s">
        <v>28</v>
      </c>
      <c r="J23" s="6" t="s">
        <v>29</v>
      </c>
      <c r="K23" s="6" t="str">
        <f>CONCATENATE("")</f>
        <v/>
      </c>
      <c r="L23" s="6" t="str">
        <f>CONCATENATE("11 11.2 4b")</f>
        <v>11 11.2 4b</v>
      </c>
      <c r="M23" s="6" t="str">
        <f>CONCATENATE("STRPLA73L17B474W")</f>
        <v>STRPLA73L17B474W</v>
      </c>
      <c r="N23" s="6" t="s">
        <v>46</v>
      </c>
      <c r="O23" s="6"/>
      <c r="P23" s="7">
        <v>43145</v>
      </c>
      <c r="Q23" s="6" t="s">
        <v>30</v>
      </c>
      <c r="R23" s="6" t="s">
        <v>31</v>
      </c>
      <c r="S23" s="6" t="s">
        <v>32</v>
      </c>
      <c r="T23" s="8">
        <v>16887.57</v>
      </c>
      <c r="U23" s="8">
        <v>7281.92</v>
      </c>
      <c r="V23" s="8">
        <v>6724.63</v>
      </c>
      <c r="W23" s="6">
        <v>0</v>
      </c>
      <c r="X23" s="8">
        <v>2881.02</v>
      </c>
    </row>
    <row r="24" spans="1:24" ht="24.75" x14ac:dyDescent="0.25">
      <c r="A24" s="6" t="s">
        <v>25</v>
      </c>
      <c r="B24" s="6" t="s">
        <v>26</v>
      </c>
      <c r="C24" s="6" t="s">
        <v>39</v>
      </c>
      <c r="D24" s="6" t="s">
        <v>43</v>
      </c>
      <c r="E24" s="6" t="s">
        <v>27</v>
      </c>
      <c r="F24" s="6" t="s">
        <v>44</v>
      </c>
      <c r="G24" s="6">
        <v>2016</v>
      </c>
      <c r="H24" s="6" t="str">
        <f>CONCATENATE("64240312625")</f>
        <v>64240312625</v>
      </c>
      <c r="I24" s="6" t="s">
        <v>28</v>
      </c>
      <c r="J24" s="6" t="s">
        <v>29</v>
      </c>
      <c r="K24" s="6" t="str">
        <f>CONCATENATE("")</f>
        <v/>
      </c>
      <c r="L24" s="6" t="str">
        <f>CONCATENATE("11 11.2 4b")</f>
        <v>11 11.2 4b</v>
      </c>
      <c r="M24" s="6" t="str">
        <f>CONCATENATE("01296500430")</f>
        <v>01296500430</v>
      </c>
      <c r="N24" s="6" t="s">
        <v>47</v>
      </c>
      <c r="O24" s="6"/>
      <c r="P24" s="7">
        <v>43145</v>
      </c>
      <c r="Q24" s="6" t="s">
        <v>30</v>
      </c>
      <c r="R24" s="6" t="s">
        <v>31</v>
      </c>
      <c r="S24" s="6" t="s">
        <v>32</v>
      </c>
      <c r="T24" s="6">
        <v>117.58</v>
      </c>
      <c r="U24" s="6">
        <v>50.7</v>
      </c>
      <c r="V24" s="6">
        <v>46.82</v>
      </c>
      <c r="W24" s="6">
        <v>0</v>
      </c>
      <c r="X24" s="6">
        <v>20.059999999999999</v>
      </c>
    </row>
    <row r="25" spans="1:24" x14ac:dyDescent="0.25">
      <c r="A25" s="6" t="s">
        <v>25</v>
      </c>
      <c r="B25" s="6" t="s">
        <v>26</v>
      </c>
      <c r="C25" s="6" t="s">
        <v>39</v>
      </c>
      <c r="D25" s="6" t="s">
        <v>43</v>
      </c>
      <c r="E25" s="6" t="s">
        <v>27</v>
      </c>
      <c r="F25" s="6" t="s">
        <v>44</v>
      </c>
      <c r="G25" s="6">
        <v>2016</v>
      </c>
      <c r="H25" s="6" t="str">
        <f>CONCATENATE("64240316733")</f>
        <v>64240316733</v>
      </c>
      <c r="I25" s="6" t="s">
        <v>28</v>
      </c>
      <c r="J25" s="6" t="s">
        <v>29</v>
      </c>
      <c r="K25" s="6" t="str">
        <f>CONCATENATE("")</f>
        <v/>
      </c>
      <c r="L25" s="6" t="str">
        <f>CONCATENATE("11 11.2 4b")</f>
        <v>11 11.2 4b</v>
      </c>
      <c r="M25" s="6" t="str">
        <f>CONCATENATE("LBBFNC75R20F051Y")</f>
        <v>LBBFNC75R20F051Y</v>
      </c>
      <c r="N25" s="6" t="s">
        <v>73</v>
      </c>
      <c r="O25" s="6"/>
      <c r="P25" s="7">
        <v>43145</v>
      </c>
      <c r="Q25" s="6" t="s">
        <v>30</v>
      </c>
      <c r="R25" s="6" t="s">
        <v>31</v>
      </c>
      <c r="S25" s="6" t="s">
        <v>32</v>
      </c>
      <c r="T25" s="6">
        <v>672.67</v>
      </c>
      <c r="U25" s="6">
        <v>290.06</v>
      </c>
      <c r="V25" s="6">
        <v>267.86</v>
      </c>
      <c r="W25" s="6">
        <v>0</v>
      </c>
      <c r="X25" s="6">
        <v>114.75</v>
      </c>
    </row>
    <row r="26" spans="1:24" ht="24.75" x14ac:dyDescent="0.25">
      <c r="A26" s="6" t="s">
        <v>25</v>
      </c>
      <c r="B26" s="6" t="s">
        <v>26</v>
      </c>
      <c r="C26" s="6" t="s">
        <v>39</v>
      </c>
      <c r="D26" s="6" t="s">
        <v>48</v>
      </c>
      <c r="E26" s="6" t="s">
        <v>35</v>
      </c>
      <c r="F26" s="6" t="s">
        <v>51</v>
      </c>
      <c r="G26" s="6">
        <v>2016</v>
      </c>
      <c r="H26" s="6" t="str">
        <f>CONCATENATE("64240183653")</f>
        <v>64240183653</v>
      </c>
      <c r="I26" s="6" t="s">
        <v>28</v>
      </c>
      <c r="J26" s="6" t="s">
        <v>29</v>
      </c>
      <c r="K26" s="6" t="str">
        <f>CONCATENATE("")</f>
        <v/>
      </c>
      <c r="L26" s="6" t="str">
        <f>CONCATENATE("11 11.2 4b")</f>
        <v>11 11.2 4b</v>
      </c>
      <c r="M26" s="6" t="str">
        <f>CONCATENATE("CLSCLD65D10I287A")</f>
        <v>CLSCLD65D10I287A</v>
      </c>
      <c r="N26" s="6" t="s">
        <v>52</v>
      </c>
      <c r="O26" s="6"/>
      <c r="P26" s="7">
        <v>43145</v>
      </c>
      <c r="Q26" s="6" t="s">
        <v>30</v>
      </c>
      <c r="R26" s="6" t="s">
        <v>31</v>
      </c>
      <c r="S26" s="6" t="s">
        <v>32</v>
      </c>
      <c r="T26" s="6">
        <v>392.86</v>
      </c>
      <c r="U26" s="6">
        <v>169.4</v>
      </c>
      <c r="V26" s="6">
        <v>156.44</v>
      </c>
      <c r="W26" s="6">
        <v>0</v>
      </c>
      <c r="X26" s="6">
        <v>67.02</v>
      </c>
    </row>
    <row r="27" spans="1:24" ht="24.75" x14ac:dyDescent="0.25">
      <c r="A27" s="6" t="s">
        <v>25</v>
      </c>
      <c r="B27" s="6" t="s">
        <v>26</v>
      </c>
      <c r="C27" s="6" t="s">
        <v>39</v>
      </c>
      <c r="D27" s="6" t="s">
        <v>48</v>
      </c>
      <c r="E27" s="6" t="s">
        <v>36</v>
      </c>
      <c r="F27" s="6" t="s">
        <v>58</v>
      </c>
      <c r="G27" s="6">
        <v>2016</v>
      </c>
      <c r="H27" s="6" t="str">
        <f>CONCATENATE("64240255204")</f>
        <v>64240255204</v>
      </c>
      <c r="I27" s="6" t="s">
        <v>28</v>
      </c>
      <c r="J27" s="6" t="s">
        <v>29</v>
      </c>
      <c r="K27" s="6" t="str">
        <f>CONCATENATE("")</f>
        <v/>
      </c>
      <c r="L27" s="6" t="str">
        <f>CONCATENATE("11 11.2 4b")</f>
        <v>11 11.2 4b</v>
      </c>
      <c r="M27" s="6" t="str">
        <f>CONCATENATE("CRMPLA63S27I608U")</f>
        <v>CRMPLA63S27I608U</v>
      </c>
      <c r="N27" s="6" t="s">
        <v>59</v>
      </c>
      <c r="O27" s="6"/>
      <c r="P27" s="7">
        <v>43145</v>
      </c>
      <c r="Q27" s="6" t="s">
        <v>30</v>
      </c>
      <c r="R27" s="6" t="s">
        <v>31</v>
      </c>
      <c r="S27" s="6" t="s">
        <v>32</v>
      </c>
      <c r="T27" s="6">
        <v>206.51</v>
      </c>
      <c r="U27" s="6">
        <v>89.05</v>
      </c>
      <c r="V27" s="6">
        <v>82.23</v>
      </c>
      <c r="W27" s="6">
        <v>0</v>
      </c>
      <c r="X27" s="6">
        <v>35.229999999999997</v>
      </c>
    </row>
    <row r="28" spans="1:24" ht="24.75" x14ac:dyDescent="0.25">
      <c r="A28" s="6" t="s">
        <v>25</v>
      </c>
      <c r="B28" s="6" t="s">
        <v>26</v>
      </c>
      <c r="C28" s="6" t="s">
        <v>39</v>
      </c>
      <c r="D28" s="6" t="s">
        <v>48</v>
      </c>
      <c r="E28" s="6" t="s">
        <v>36</v>
      </c>
      <c r="F28" s="6" t="s">
        <v>49</v>
      </c>
      <c r="G28" s="6">
        <v>2016</v>
      </c>
      <c r="H28" s="6" t="str">
        <f>CONCATENATE("64240335576")</f>
        <v>64240335576</v>
      </c>
      <c r="I28" s="6" t="s">
        <v>28</v>
      </c>
      <c r="J28" s="6" t="s">
        <v>29</v>
      </c>
      <c r="K28" s="6" t="str">
        <f>CONCATENATE("")</f>
        <v/>
      </c>
      <c r="L28" s="6" t="str">
        <f>CONCATENATE("11 11.2 4b")</f>
        <v>11 11.2 4b</v>
      </c>
      <c r="M28" s="6" t="str">
        <f>CONCATENATE("CGRMRA49C14A978P")</f>
        <v>CGRMRA49C14A978P</v>
      </c>
      <c r="N28" s="6" t="s">
        <v>60</v>
      </c>
      <c r="O28" s="6"/>
      <c r="P28" s="7">
        <v>43145</v>
      </c>
      <c r="Q28" s="6" t="s">
        <v>30</v>
      </c>
      <c r="R28" s="6" t="s">
        <v>31</v>
      </c>
      <c r="S28" s="6" t="s">
        <v>32</v>
      </c>
      <c r="T28" s="6">
        <v>491.72</v>
      </c>
      <c r="U28" s="6">
        <v>212.03</v>
      </c>
      <c r="V28" s="6">
        <v>195.8</v>
      </c>
      <c r="W28" s="6">
        <v>0</v>
      </c>
      <c r="X28" s="6">
        <v>83.89</v>
      </c>
    </row>
    <row r="29" spans="1:24" ht="24.75" x14ac:dyDescent="0.25">
      <c r="A29" s="6" t="s">
        <v>25</v>
      </c>
      <c r="B29" s="6" t="s">
        <v>26</v>
      </c>
      <c r="C29" s="6" t="s">
        <v>39</v>
      </c>
      <c r="D29" s="6" t="s">
        <v>74</v>
      </c>
      <c r="E29" s="6" t="s">
        <v>35</v>
      </c>
      <c r="F29" s="6" t="s">
        <v>75</v>
      </c>
      <c r="G29" s="6">
        <v>2016</v>
      </c>
      <c r="H29" s="6" t="str">
        <f>CONCATENATE("64240434619")</f>
        <v>64240434619</v>
      </c>
      <c r="I29" s="6" t="s">
        <v>28</v>
      </c>
      <c r="J29" s="6" t="s">
        <v>29</v>
      </c>
      <c r="K29" s="6" t="str">
        <f>CONCATENATE("")</f>
        <v/>
      </c>
      <c r="L29" s="6" t="str">
        <f>CONCATENATE("11 11.2 4b")</f>
        <v>11 11.2 4b</v>
      </c>
      <c r="M29" s="6" t="str">
        <f>CONCATENATE("01148850447")</f>
        <v>01148850447</v>
      </c>
      <c r="N29" s="6" t="s">
        <v>76</v>
      </c>
      <c r="O29" s="6"/>
      <c r="P29" s="7">
        <v>43145</v>
      </c>
      <c r="Q29" s="6" t="s">
        <v>30</v>
      </c>
      <c r="R29" s="6" t="s">
        <v>31</v>
      </c>
      <c r="S29" s="6" t="s">
        <v>32</v>
      </c>
      <c r="T29" s="6">
        <v>93.3</v>
      </c>
      <c r="U29" s="6">
        <v>40.229999999999997</v>
      </c>
      <c r="V29" s="6">
        <v>37.15</v>
      </c>
      <c r="W29" s="6">
        <v>0</v>
      </c>
      <c r="X29" s="6">
        <v>15.92</v>
      </c>
    </row>
    <row r="30" spans="1:24" ht="24.75" x14ac:dyDescent="0.25">
      <c r="A30" s="6" t="s">
        <v>25</v>
      </c>
      <c r="B30" s="6" t="s">
        <v>26</v>
      </c>
      <c r="C30" s="6" t="s">
        <v>39</v>
      </c>
      <c r="D30" s="6" t="s">
        <v>48</v>
      </c>
      <c r="E30" s="6" t="s">
        <v>27</v>
      </c>
      <c r="F30" s="6" t="s">
        <v>70</v>
      </c>
      <c r="G30" s="6">
        <v>2016</v>
      </c>
      <c r="H30" s="6" t="str">
        <f>CONCATENATE("64240471082")</f>
        <v>64240471082</v>
      </c>
      <c r="I30" s="6" t="s">
        <v>28</v>
      </c>
      <c r="J30" s="6" t="s">
        <v>29</v>
      </c>
      <c r="K30" s="6" t="str">
        <f>CONCATENATE("")</f>
        <v/>
      </c>
      <c r="L30" s="6" t="str">
        <f>CONCATENATE("11 11.2 4b")</f>
        <v>11 11.2 4b</v>
      </c>
      <c r="M30" s="6" t="str">
        <f>CONCATENATE("CRDGRG59A01F135P")</f>
        <v>CRDGRG59A01F135P</v>
      </c>
      <c r="N30" s="6" t="s">
        <v>71</v>
      </c>
      <c r="O30" s="6"/>
      <c r="P30" s="7">
        <v>43145</v>
      </c>
      <c r="Q30" s="6" t="s">
        <v>30</v>
      </c>
      <c r="R30" s="6" t="s">
        <v>31</v>
      </c>
      <c r="S30" s="6" t="s">
        <v>32</v>
      </c>
      <c r="T30" s="6">
        <v>847.06</v>
      </c>
      <c r="U30" s="6">
        <v>365.25</v>
      </c>
      <c r="V30" s="6">
        <v>337.3</v>
      </c>
      <c r="W30" s="6">
        <v>0</v>
      </c>
      <c r="X30" s="6">
        <v>144.51</v>
      </c>
    </row>
    <row r="31" spans="1:24" ht="24.75" x14ac:dyDescent="0.25">
      <c r="A31" s="6" t="s">
        <v>25</v>
      </c>
      <c r="B31" s="6" t="s">
        <v>26</v>
      </c>
      <c r="C31" s="6" t="s">
        <v>39</v>
      </c>
      <c r="D31" s="6" t="s">
        <v>48</v>
      </c>
      <c r="E31" s="6" t="s">
        <v>27</v>
      </c>
      <c r="F31" s="6" t="s">
        <v>66</v>
      </c>
      <c r="G31" s="6">
        <v>2016</v>
      </c>
      <c r="H31" s="6" t="str">
        <f>CONCATENATE("64240615282")</f>
        <v>64240615282</v>
      </c>
      <c r="I31" s="6" t="s">
        <v>28</v>
      </c>
      <c r="J31" s="6" t="s">
        <v>29</v>
      </c>
      <c r="K31" s="6" t="str">
        <f>CONCATENATE("")</f>
        <v/>
      </c>
      <c r="L31" s="6" t="str">
        <f>CONCATENATE("11 11.2 4b")</f>
        <v>11 11.2 4b</v>
      </c>
      <c r="M31" s="6" t="str">
        <f>CONCATENATE("02393300419")</f>
        <v>02393300419</v>
      </c>
      <c r="N31" s="6" t="s">
        <v>67</v>
      </c>
      <c r="O31" s="6"/>
      <c r="P31" s="7">
        <v>43145</v>
      </c>
      <c r="Q31" s="6" t="s">
        <v>30</v>
      </c>
      <c r="R31" s="6" t="s">
        <v>31</v>
      </c>
      <c r="S31" s="6" t="s">
        <v>32</v>
      </c>
      <c r="T31" s="8">
        <v>2100.56</v>
      </c>
      <c r="U31" s="6">
        <v>905.76</v>
      </c>
      <c r="V31" s="6">
        <v>836.44</v>
      </c>
      <c r="W31" s="6">
        <v>0</v>
      </c>
      <c r="X31" s="6">
        <v>358.36</v>
      </c>
    </row>
    <row r="32" spans="1:24" ht="24.75" x14ac:dyDescent="0.25">
      <c r="A32" s="6" t="s">
        <v>25</v>
      </c>
      <c r="B32" s="6" t="s">
        <v>26</v>
      </c>
      <c r="C32" s="6" t="s">
        <v>39</v>
      </c>
      <c r="D32" s="6" t="s">
        <v>48</v>
      </c>
      <c r="E32" s="6" t="s">
        <v>27</v>
      </c>
      <c r="F32" s="6" t="s">
        <v>55</v>
      </c>
      <c r="G32" s="6">
        <v>2016</v>
      </c>
      <c r="H32" s="6" t="str">
        <f>CONCATENATE("64240642021")</f>
        <v>64240642021</v>
      </c>
      <c r="I32" s="6" t="s">
        <v>28</v>
      </c>
      <c r="J32" s="6" t="s">
        <v>29</v>
      </c>
      <c r="K32" s="6" t="str">
        <f>CONCATENATE("")</f>
        <v/>
      </c>
      <c r="L32" s="6" t="str">
        <f>CONCATENATE("11 11.2 4b")</f>
        <v>11 11.2 4b</v>
      </c>
      <c r="M32" s="6" t="str">
        <f>CONCATENATE("01407300415")</f>
        <v>01407300415</v>
      </c>
      <c r="N32" s="6" t="s">
        <v>57</v>
      </c>
      <c r="O32" s="6"/>
      <c r="P32" s="7">
        <v>43145</v>
      </c>
      <c r="Q32" s="6" t="s">
        <v>30</v>
      </c>
      <c r="R32" s="6" t="s">
        <v>31</v>
      </c>
      <c r="S32" s="6" t="s">
        <v>32</v>
      </c>
      <c r="T32" s="8">
        <v>3125.23</v>
      </c>
      <c r="U32" s="8">
        <v>1347.6</v>
      </c>
      <c r="V32" s="8">
        <v>1244.47</v>
      </c>
      <c r="W32" s="6">
        <v>0</v>
      </c>
      <c r="X32" s="6">
        <v>533.16</v>
      </c>
    </row>
    <row r="33" spans="1:24" x14ac:dyDescent="0.25">
      <c r="A33" s="6" t="s">
        <v>25</v>
      </c>
      <c r="B33" s="6" t="s">
        <v>26</v>
      </c>
      <c r="C33" s="6" t="s">
        <v>39</v>
      </c>
      <c r="D33" s="6" t="s">
        <v>43</v>
      </c>
      <c r="E33" s="6" t="s">
        <v>36</v>
      </c>
      <c r="F33" s="6" t="s">
        <v>53</v>
      </c>
      <c r="G33" s="6">
        <v>2016</v>
      </c>
      <c r="H33" s="6" t="str">
        <f>CONCATENATE("64240660544")</f>
        <v>64240660544</v>
      </c>
      <c r="I33" s="6" t="s">
        <v>28</v>
      </c>
      <c r="J33" s="6" t="s">
        <v>29</v>
      </c>
      <c r="K33" s="6" t="str">
        <f>CONCATENATE("")</f>
        <v/>
      </c>
      <c r="L33" s="6" t="str">
        <f>CONCATENATE("11 11.2 4b")</f>
        <v>11 11.2 4b</v>
      </c>
      <c r="M33" s="6" t="str">
        <f>CONCATENATE("MCAMGS61R55I661H")</f>
        <v>MCAMGS61R55I661H</v>
      </c>
      <c r="N33" s="6" t="s">
        <v>54</v>
      </c>
      <c r="O33" s="6"/>
      <c r="P33" s="7">
        <v>43145</v>
      </c>
      <c r="Q33" s="6" t="s">
        <v>30</v>
      </c>
      <c r="R33" s="6" t="s">
        <v>31</v>
      </c>
      <c r="S33" s="6" t="s">
        <v>32</v>
      </c>
      <c r="T33" s="8">
        <v>1176.19</v>
      </c>
      <c r="U33" s="6">
        <v>507.17</v>
      </c>
      <c r="V33" s="6">
        <v>468.36</v>
      </c>
      <c r="W33" s="6">
        <v>0</v>
      </c>
      <c r="X33" s="6">
        <v>200.66</v>
      </c>
    </row>
    <row r="34" spans="1:24" x14ac:dyDescent="0.25">
      <c r="A34" s="6" t="s">
        <v>25</v>
      </c>
      <c r="B34" s="6" t="s">
        <v>26</v>
      </c>
      <c r="C34" s="6" t="s">
        <v>39</v>
      </c>
      <c r="D34" s="6" t="s">
        <v>43</v>
      </c>
      <c r="E34" s="6" t="s">
        <v>36</v>
      </c>
      <c r="F34" s="6" t="s">
        <v>77</v>
      </c>
      <c r="G34" s="6">
        <v>2016</v>
      </c>
      <c r="H34" s="6" t="str">
        <f>CONCATENATE("64240672077")</f>
        <v>64240672077</v>
      </c>
      <c r="I34" s="6" t="s">
        <v>28</v>
      </c>
      <c r="J34" s="6" t="s">
        <v>29</v>
      </c>
      <c r="K34" s="6" t="str">
        <f>CONCATENATE("")</f>
        <v/>
      </c>
      <c r="L34" s="6" t="str">
        <f>CONCATENATE("11 11.2 4b")</f>
        <v>11 11.2 4b</v>
      </c>
      <c r="M34" s="6" t="str">
        <f>CONCATENATE("FRTSMN77S18E783D")</f>
        <v>FRTSMN77S18E783D</v>
      </c>
      <c r="N34" s="6" t="s">
        <v>78</v>
      </c>
      <c r="O34" s="6"/>
      <c r="P34" s="7">
        <v>43145</v>
      </c>
      <c r="Q34" s="6" t="s">
        <v>30</v>
      </c>
      <c r="R34" s="6" t="s">
        <v>31</v>
      </c>
      <c r="S34" s="6" t="s">
        <v>32</v>
      </c>
      <c r="T34" s="8">
        <v>1206.6400000000001</v>
      </c>
      <c r="U34" s="6">
        <v>520.29999999999995</v>
      </c>
      <c r="V34" s="6">
        <v>480.48</v>
      </c>
      <c r="W34" s="6">
        <v>0</v>
      </c>
      <c r="X34" s="6">
        <v>205.86</v>
      </c>
    </row>
    <row r="35" spans="1:24" ht="24.75" x14ac:dyDescent="0.25">
      <c r="A35" s="6" t="s">
        <v>25</v>
      </c>
      <c r="B35" s="6" t="s">
        <v>26</v>
      </c>
      <c r="C35" s="6" t="s">
        <v>39</v>
      </c>
      <c r="D35" s="6" t="s">
        <v>48</v>
      </c>
      <c r="E35" s="6" t="s">
        <v>36</v>
      </c>
      <c r="F35" s="6" t="s">
        <v>79</v>
      </c>
      <c r="G35" s="6">
        <v>2016</v>
      </c>
      <c r="H35" s="6" t="str">
        <f>CONCATENATE("64240664256")</f>
        <v>64240664256</v>
      </c>
      <c r="I35" s="6" t="s">
        <v>28</v>
      </c>
      <c r="J35" s="6" t="s">
        <v>29</v>
      </c>
      <c r="K35" s="6" t="str">
        <f>CONCATENATE("")</f>
        <v/>
      </c>
      <c r="L35" s="6" t="str">
        <f>CONCATENATE("11 11.2 4b")</f>
        <v>11 11.2 4b</v>
      </c>
      <c r="M35" s="6" t="str">
        <f>CONCATENATE("MLTNMD73C47G479K")</f>
        <v>MLTNMD73C47G479K</v>
      </c>
      <c r="N35" s="6" t="s">
        <v>80</v>
      </c>
      <c r="O35" s="6"/>
      <c r="P35" s="7">
        <v>43145</v>
      </c>
      <c r="Q35" s="6" t="s">
        <v>30</v>
      </c>
      <c r="R35" s="6" t="s">
        <v>31</v>
      </c>
      <c r="S35" s="6" t="s">
        <v>32</v>
      </c>
      <c r="T35" s="6">
        <v>130.15</v>
      </c>
      <c r="U35" s="6">
        <v>56.12</v>
      </c>
      <c r="V35" s="6">
        <v>51.83</v>
      </c>
      <c r="W35" s="6">
        <v>0</v>
      </c>
      <c r="X35" s="6">
        <v>22.2</v>
      </c>
    </row>
    <row r="36" spans="1:24" ht="24.75" x14ac:dyDescent="0.25">
      <c r="A36" s="6" t="s">
        <v>25</v>
      </c>
      <c r="B36" s="6" t="s">
        <v>26</v>
      </c>
      <c r="C36" s="6" t="s">
        <v>39</v>
      </c>
      <c r="D36" s="6" t="s">
        <v>48</v>
      </c>
      <c r="E36" s="6" t="s">
        <v>27</v>
      </c>
      <c r="F36" s="6" t="s">
        <v>62</v>
      </c>
      <c r="G36" s="6">
        <v>2016</v>
      </c>
      <c r="H36" s="6" t="str">
        <f>CONCATENATE("64240761029")</f>
        <v>64240761029</v>
      </c>
      <c r="I36" s="6" t="s">
        <v>28</v>
      </c>
      <c r="J36" s="6" t="s">
        <v>29</v>
      </c>
      <c r="K36" s="6" t="str">
        <f>CONCATENATE("")</f>
        <v/>
      </c>
      <c r="L36" s="6" t="str">
        <f>CONCATENATE("11 11.2 4b")</f>
        <v>11 11.2 4b</v>
      </c>
      <c r="M36" s="6" t="str">
        <f>CONCATENATE("LSIDBR67B26G479N")</f>
        <v>LSIDBR67B26G479N</v>
      </c>
      <c r="N36" s="6" t="s">
        <v>63</v>
      </c>
      <c r="O36" s="6"/>
      <c r="P36" s="7">
        <v>43145</v>
      </c>
      <c r="Q36" s="6" t="s">
        <v>30</v>
      </c>
      <c r="R36" s="6" t="s">
        <v>31</v>
      </c>
      <c r="S36" s="6" t="s">
        <v>32</v>
      </c>
      <c r="T36" s="8">
        <v>1540.08</v>
      </c>
      <c r="U36" s="6">
        <v>664.08</v>
      </c>
      <c r="V36" s="6">
        <v>613.26</v>
      </c>
      <c r="W36" s="6">
        <v>0</v>
      </c>
      <c r="X36" s="6">
        <v>262.74</v>
      </c>
    </row>
    <row r="37" spans="1:24" ht="24.75" x14ac:dyDescent="0.25">
      <c r="A37" s="6" t="s">
        <v>25</v>
      </c>
      <c r="B37" s="6" t="s">
        <v>26</v>
      </c>
      <c r="C37" s="6" t="s">
        <v>39</v>
      </c>
      <c r="D37" s="6" t="s">
        <v>40</v>
      </c>
      <c r="E37" s="6" t="s">
        <v>27</v>
      </c>
      <c r="F37" s="6" t="s">
        <v>81</v>
      </c>
      <c r="G37" s="6">
        <v>2016</v>
      </c>
      <c r="H37" s="6" t="str">
        <f>CONCATENATE("64240529848")</f>
        <v>64240529848</v>
      </c>
      <c r="I37" s="6" t="s">
        <v>28</v>
      </c>
      <c r="J37" s="6" t="s">
        <v>29</v>
      </c>
      <c r="K37" s="6" t="str">
        <f>CONCATENATE("")</f>
        <v/>
      </c>
      <c r="L37" s="6" t="str">
        <f>CONCATENATE("11 11.2 4b")</f>
        <v>11 11.2 4b</v>
      </c>
      <c r="M37" s="6" t="str">
        <f>CONCATENATE("LMNLTT70D52F453K")</f>
        <v>LMNLTT70D52F453K</v>
      </c>
      <c r="N37" s="6" t="s">
        <v>82</v>
      </c>
      <c r="O37" s="6"/>
      <c r="P37" s="7">
        <v>43145</v>
      </c>
      <c r="Q37" s="6" t="s">
        <v>30</v>
      </c>
      <c r="R37" s="6" t="s">
        <v>31</v>
      </c>
      <c r="S37" s="6" t="s">
        <v>32</v>
      </c>
      <c r="T37" s="6">
        <v>374.78</v>
      </c>
      <c r="U37" s="6">
        <v>161.61000000000001</v>
      </c>
      <c r="V37" s="6">
        <v>149.24</v>
      </c>
      <c r="W37" s="6">
        <v>0</v>
      </c>
      <c r="X37" s="6">
        <v>63.93</v>
      </c>
    </row>
    <row r="38" spans="1:24" ht="24.75" x14ac:dyDescent="0.25">
      <c r="A38" s="6" t="s">
        <v>25</v>
      </c>
      <c r="B38" s="6" t="s">
        <v>26</v>
      </c>
      <c r="C38" s="6" t="s">
        <v>39</v>
      </c>
      <c r="D38" s="6" t="s">
        <v>40</v>
      </c>
      <c r="E38" s="6" t="s">
        <v>27</v>
      </c>
      <c r="F38" s="6" t="s">
        <v>81</v>
      </c>
      <c r="G38" s="6">
        <v>2016</v>
      </c>
      <c r="H38" s="6" t="str">
        <f>CONCATENATE("64240527511")</f>
        <v>64240527511</v>
      </c>
      <c r="I38" s="6" t="s">
        <v>28</v>
      </c>
      <c r="J38" s="6" t="s">
        <v>29</v>
      </c>
      <c r="K38" s="6" t="str">
        <f>CONCATENATE("")</f>
        <v/>
      </c>
      <c r="L38" s="6" t="str">
        <f>CONCATENATE("11 11.2 4b")</f>
        <v>11 11.2 4b</v>
      </c>
      <c r="M38" s="6" t="str">
        <f>CONCATENATE("ZHLRHN76A49Z255W")</f>
        <v>ZHLRHN76A49Z255W</v>
      </c>
      <c r="N38" s="6" t="s">
        <v>83</v>
      </c>
      <c r="O38" s="6"/>
      <c r="P38" s="7">
        <v>43145</v>
      </c>
      <c r="Q38" s="6" t="s">
        <v>30</v>
      </c>
      <c r="R38" s="6" t="s">
        <v>31</v>
      </c>
      <c r="S38" s="6" t="s">
        <v>32</v>
      </c>
      <c r="T38" s="6">
        <v>285.08999999999997</v>
      </c>
      <c r="U38" s="6">
        <v>122.93</v>
      </c>
      <c r="V38" s="6">
        <v>113.52</v>
      </c>
      <c r="W38" s="6">
        <v>0</v>
      </c>
      <c r="X38" s="6">
        <v>48.64</v>
      </c>
    </row>
    <row r="39" spans="1:24" ht="24.75" x14ac:dyDescent="0.25">
      <c r="A39" s="6" t="s">
        <v>25</v>
      </c>
      <c r="B39" s="6" t="s">
        <v>26</v>
      </c>
      <c r="C39" s="6" t="s">
        <v>39</v>
      </c>
      <c r="D39" s="6" t="s">
        <v>74</v>
      </c>
      <c r="E39" s="6" t="s">
        <v>34</v>
      </c>
      <c r="F39" s="6" t="s">
        <v>84</v>
      </c>
      <c r="G39" s="6">
        <v>2016</v>
      </c>
      <c r="H39" s="6" t="str">
        <f>CONCATENATE("64240392742")</f>
        <v>64240392742</v>
      </c>
      <c r="I39" s="6" t="s">
        <v>28</v>
      </c>
      <c r="J39" s="6" t="s">
        <v>29</v>
      </c>
      <c r="K39" s="6" t="str">
        <f>CONCATENATE("")</f>
        <v/>
      </c>
      <c r="L39" s="6" t="str">
        <f>CONCATENATE("11 11.2 4b")</f>
        <v>11 11.2 4b</v>
      </c>
      <c r="M39" s="6" t="str">
        <f>CONCATENATE("GBRLGU36C15H321O")</f>
        <v>GBRLGU36C15H321O</v>
      </c>
      <c r="N39" s="6" t="s">
        <v>85</v>
      </c>
      <c r="O39" s="6"/>
      <c r="P39" s="7">
        <v>43145</v>
      </c>
      <c r="Q39" s="6" t="s">
        <v>30</v>
      </c>
      <c r="R39" s="6" t="s">
        <v>31</v>
      </c>
      <c r="S39" s="6" t="s">
        <v>32</v>
      </c>
      <c r="T39" s="6">
        <v>382.43</v>
      </c>
      <c r="U39" s="6">
        <v>164.9</v>
      </c>
      <c r="V39" s="6">
        <v>152.28</v>
      </c>
      <c r="W39" s="6">
        <v>0</v>
      </c>
      <c r="X39" s="6">
        <v>65.25</v>
      </c>
    </row>
    <row r="40" spans="1:24" ht="24.75" x14ac:dyDescent="0.25">
      <c r="A40" s="6" t="s">
        <v>25</v>
      </c>
      <c r="B40" s="6" t="s">
        <v>26</v>
      </c>
      <c r="C40" s="6" t="s">
        <v>39</v>
      </c>
      <c r="D40" s="6" t="s">
        <v>40</v>
      </c>
      <c r="E40" s="6" t="s">
        <v>36</v>
      </c>
      <c r="F40" s="6" t="s">
        <v>86</v>
      </c>
      <c r="G40" s="6">
        <v>2016</v>
      </c>
      <c r="H40" s="6" t="str">
        <f>CONCATENATE("64240542445")</f>
        <v>64240542445</v>
      </c>
      <c r="I40" s="6" t="s">
        <v>28</v>
      </c>
      <c r="J40" s="6" t="s">
        <v>29</v>
      </c>
      <c r="K40" s="6" t="str">
        <f>CONCATENATE("")</f>
        <v/>
      </c>
      <c r="L40" s="6" t="str">
        <f>CONCATENATE("11 11.2 4b")</f>
        <v>11 11.2 4b</v>
      </c>
      <c r="M40" s="6" t="str">
        <f>CONCATENATE("SNGNNA45M46I608K")</f>
        <v>SNGNNA45M46I608K</v>
      </c>
      <c r="N40" s="6" t="s">
        <v>87</v>
      </c>
      <c r="O40" s="6"/>
      <c r="P40" s="7">
        <v>43145</v>
      </c>
      <c r="Q40" s="6" t="s">
        <v>30</v>
      </c>
      <c r="R40" s="6" t="s">
        <v>31</v>
      </c>
      <c r="S40" s="6" t="s">
        <v>32</v>
      </c>
      <c r="T40" s="6">
        <v>474.98</v>
      </c>
      <c r="U40" s="6">
        <v>204.81</v>
      </c>
      <c r="V40" s="6">
        <v>189.14</v>
      </c>
      <c r="W40" s="6">
        <v>0</v>
      </c>
      <c r="X40" s="6">
        <v>81.03</v>
      </c>
    </row>
    <row r="41" spans="1:24" ht="24.75" x14ac:dyDescent="0.25">
      <c r="A41" s="6" t="s">
        <v>25</v>
      </c>
      <c r="B41" s="6" t="s">
        <v>26</v>
      </c>
      <c r="C41" s="6" t="s">
        <v>39</v>
      </c>
      <c r="D41" s="6" t="s">
        <v>48</v>
      </c>
      <c r="E41" s="6" t="s">
        <v>27</v>
      </c>
      <c r="F41" s="6" t="s">
        <v>70</v>
      </c>
      <c r="G41" s="6">
        <v>2016</v>
      </c>
      <c r="H41" s="6" t="str">
        <f>CONCATENATE("64240772018")</f>
        <v>64240772018</v>
      </c>
      <c r="I41" s="6" t="s">
        <v>28</v>
      </c>
      <c r="J41" s="6" t="s">
        <v>29</v>
      </c>
      <c r="K41" s="6" t="str">
        <f>CONCATENATE("")</f>
        <v/>
      </c>
      <c r="L41" s="6" t="str">
        <f>CONCATENATE("11 11.2 4b")</f>
        <v>11 11.2 4b</v>
      </c>
      <c r="M41" s="6" t="str">
        <f>CONCATENATE("MRNFNC46L05I287W")</f>
        <v>MRNFNC46L05I287W</v>
      </c>
      <c r="N41" s="6" t="s">
        <v>50</v>
      </c>
      <c r="O41" s="6"/>
      <c r="P41" s="7">
        <v>43145</v>
      </c>
      <c r="Q41" s="6" t="s">
        <v>30</v>
      </c>
      <c r="R41" s="6" t="s">
        <v>31</v>
      </c>
      <c r="S41" s="6" t="s">
        <v>32</v>
      </c>
      <c r="T41" s="8">
        <v>1426.18</v>
      </c>
      <c r="U41" s="6">
        <v>614.97</v>
      </c>
      <c r="V41" s="6">
        <v>567.9</v>
      </c>
      <c r="W41" s="6">
        <v>0</v>
      </c>
      <c r="X41" s="6">
        <v>243.31</v>
      </c>
    </row>
    <row r="42" spans="1:24" ht="24.75" x14ac:dyDescent="0.25">
      <c r="A42" s="6" t="s">
        <v>25</v>
      </c>
      <c r="B42" s="6" t="s">
        <v>26</v>
      </c>
      <c r="C42" s="6" t="s">
        <v>39</v>
      </c>
      <c r="D42" s="6" t="s">
        <v>74</v>
      </c>
      <c r="E42" s="6" t="s">
        <v>27</v>
      </c>
      <c r="F42" s="6" t="s">
        <v>88</v>
      </c>
      <c r="G42" s="6">
        <v>2016</v>
      </c>
      <c r="H42" s="6" t="str">
        <f>CONCATENATE("64240562104")</f>
        <v>64240562104</v>
      </c>
      <c r="I42" s="6" t="s">
        <v>28</v>
      </c>
      <c r="J42" s="6" t="s">
        <v>29</v>
      </c>
      <c r="K42" s="6" t="str">
        <f>CONCATENATE("")</f>
        <v/>
      </c>
      <c r="L42" s="6" t="str">
        <f>CONCATENATE("11 11.2 4b")</f>
        <v>11 11.2 4b</v>
      </c>
      <c r="M42" s="6" t="str">
        <f>CONCATENATE("MNNGRL65A07F501C")</f>
        <v>MNNGRL65A07F501C</v>
      </c>
      <c r="N42" s="6" t="s">
        <v>89</v>
      </c>
      <c r="O42" s="6"/>
      <c r="P42" s="7">
        <v>43145</v>
      </c>
      <c r="Q42" s="6" t="s">
        <v>30</v>
      </c>
      <c r="R42" s="6" t="s">
        <v>31</v>
      </c>
      <c r="S42" s="6" t="s">
        <v>32</v>
      </c>
      <c r="T42" s="8">
        <v>1634.56</v>
      </c>
      <c r="U42" s="6">
        <v>704.82</v>
      </c>
      <c r="V42" s="6">
        <v>650.88</v>
      </c>
      <c r="W42" s="6">
        <v>0</v>
      </c>
      <c r="X42" s="6">
        <v>278.86</v>
      </c>
    </row>
    <row r="43" spans="1:24" ht="24.75" x14ac:dyDescent="0.25">
      <c r="A43" s="6" t="s">
        <v>25</v>
      </c>
      <c r="B43" s="6" t="s">
        <v>26</v>
      </c>
      <c r="C43" s="6" t="s">
        <v>39</v>
      </c>
      <c r="D43" s="6" t="s">
        <v>40</v>
      </c>
      <c r="E43" s="6" t="s">
        <v>27</v>
      </c>
      <c r="F43" s="6" t="s">
        <v>81</v>
      </c>
      <c r="G43" s="6">
        <v>2016</v>
      </c>
      <c r="H43" s="6" t="str">
        <f>CONCATENATE("64240530879")</f>
        <v>64240530879</v>
      </c>
      <c r="I43" s="6" t="s">
        <v>28</v>
      </c>
      <c r="J43" s="6" t="s">
        <v>29</v>
      </c>
      <c r="K43" s="6" t="str">
        <f>CONCATENATE("")</f>
        <v/>
      </c>
      <c r="L43" s="6" t="str">
        <f>CONCATENATE("11 11.2 4b")</f>
        <v>11 11.2 4b</v>
      </c>
      <c r="M43" s="6" t="str">
        <f>CONCATENATE("BSSLNE66E57L682A")</f>
        <v>BSSLNE66E57L682A</v>
      </c>
      <c r="N43" s="6" t="s">
        <v>90</v>
      </c>
      <c r="O43" s="6"/>
      <c r="P43" s="7">
        <v>43145</v>
      </c>
      <c r="Q43" s="6" t="s">
        <v>30</v>
      </c>
      <c r="R43" s="6" t="s">
        <v>31</v>
      </c>
      <c r="S43" s="6" t="s">
        <v>32</v>
      </c>
      <c r="T43" s="8">
        <v>2216.65</v>
      </c>
      <c r="U43" s="6">
        <v>955.82</v>
      </c>
      <c r="V43" s="6">
        <v>882.67</v>
      </c>
      <c r="W43" s="6">
        <v>0</v>
      </c>
      <c r="X43" s="6">
        <v>378.16</v>
      </c>
    </row>
    <row r="44" spans="1:24" ht="24.75" x14ac:dyDescent="0.25">
      <c r="A44" s="6" t="s">
        <v>25</v>
      </c>
      <c r="B44" s="6" t="s">
        <v>26</v>
      </c>
      <c r="C44" s="6" t="s">
        <v>39</v>
      </c>
      <c r="D44" s="6" t="s">
        <v>40</v>
      </c>
      <c r="E44" s="6" t="s">
        <v>36</v>
      </c>
      <c r="F44" s="6" t="s">
        <v>86</v>
      </c>
      <c r="G44" s="6">
        <v>2016</v>
      </c>
      <c r="H44" s="6" t="str">
        <f>CONCATENATE("64240415287")</f>
        <v>64240415287</v>
      </c>
      <c r="I44" s="6" t="s">
        <v>28</v>
      </c>
      <c r="J44" s="6" t="s">
        <v>29</v>
      </c>
      <c r="K44" s="6" t="str">
        <f>CONCATENATE("")</f>
        <v/>
      </c>
      <c r="L44" s="6" t="str">
        <f>CONCATENATE("11 11.2 4b")</f>
        <v>11 11.2 4b</v>
      </c>
      <c r="M44" s="6" t="str">
        <f>CONCATENATE("01546100429")</f>
        <v>01546100429</v>
      </c>
      <c r="N44" s="6" t="s">
        <v>91</v>
      </c>
      <c r="O44" s="6"/>
      <c r="P44" s="7">
        <v>43145</v>
      </c>
      <c r="Q44" s="6" t="s">
        <v>30</v>
      </c>
      <c r="R44" s="6" t="s">
        <v>31</v>
      </c>
      <c r="S44" s="6" t="s">
        <v>32</v>
      </c>
      <c r="T44" s="8">
        <v>6323.59</v>
      </c>
      <c r="U44" s="8">
        <v>2726.73</v>
      </c>
      <c r="V44" s="8">
        <v>2518.0500000000002</v>
      </c>
      <c r="W44" s="6">
        <v>0</v>
      </c>
      <c r="X44" s="8">
        <v>1078.81</v>
      </c>
    </row>
    <row r="45" spans="1:24" ht="24.75" x14ac:dyDescent="0.25">
      <c r="A45" s="6" t="s">
        <v>25</v>
      </c>
      <c r="B45" s="6" t="s">
        <v>26</v>
      </c>
      <c r="C45" s="6" t="s">
        <v>39</v>
      </c>
      <c r="D45" s="6" t="s">
        <v>40</v>
      </c>
      <c r="E45" s="6" t="s">
        <v>36</v>
      </c>
      <c r="F45" s="6" t="s">
        <v>86</v>
      </c>
      <c r="G45" s="6">
        <v>2016</v>
      </c>
      <c r="H45" s="6" t="str">
        <f>CONCATENATE("64240485769")</f>
        <v>64240485769</v>
      </c>
      <c r="I45" s="6" t="s">
        <v>28</v>
      </c>
      <c r="J45" s="6" t="s">
        <v>29</v>
      </c>
      <c r="K45" s="6" t="str">
        <f>CONCATENATE("")</f>
        <v/>
      </c>
      <c r="L45" s="6" t="str">
        <f>CONCATENATE("11 11.2 4b")</f>
        <v>11 11.2 4b</v>
      </c>
      <c r="M45" s="6" t="str">
        <f>CONCATENATE("BCCFNC54S09I608W")</f>
        <v>BCCFNC54S09I608W</v>
      </c>
      <c r="N45" s="6" t="s">
        <v>92</v>
      </c>
      <c r="O45" s="6"/>
      <c r="P45" s="7">
        <v>43145</v>
      </c>
      <c r="Q45" s="6" t="s">
        <v>30</v>
      </c>
      <c r="R45" s="6" t="s">
        <v>31</v>
      </c>
      <c r="S45" s="6" t="s">
        <v>32</v>
      </c>
      <c r="T45" s="6">
        <v>151.16</v>
      </c>
      <c r="U45" s="6">
        <v>65.180000000000007</v>
      </c>
      <c r="V45" s="6">
        <v>60.19</v>
      </c>
      <c r="W45" s="6">
        <v>0</v>
      </c>
      <c r="X45" s="6">
        <v>25.79</v>
      </c>
    </row>
    <row r="46" spans="1:24" ht="24.75" x14ac:dyDescent="0.25">
      <c r="A46" s="6" t="s">
        <v>25</v>
      </c>
      <c r="B46" s="6" t="s">
        <v>26</v>
      </c>
      <c r="C46" s="6" t="s">
        <v>39</v>
      </c>
      <c r="D46" s="6" t="s">
        <v>74</v>
      </c>
      <c r="E46" s="6" t="s">
        <v>27</v>
      </c>
      <c r="F46" s="6" t="s">
        <v>88</v>
      </c>
      <c r="G46" s="6">
        <v>2016</v>
      </c>
      <c r="H46" s="6" t="str">
        <f>CONCATENATE("64240424347")</f>
        <v>64240424347</v>
      </c>
      <c r="I46" s="6" t="s">
        <v>28</v>
      </c>
      <c r="J46" s="6" t="s">
        <v>29</v>
      </c>
      <c r="K46" s="6" t="str">
        <f>CONCATENATE("")</f>
        <v/>
      </c>
      <c r="L46" s="6" t="str">
        <f>CONCATENATE("11 11.2 4b")</f>
        <v>11 11.2 4b</v>
      </c>
      <c r="M46" s="6" t="str">
        <f>CONCATENATE("DSLTLI65E08F415G")</f>
        <v>DSLTLI65E08F415G</v>
      </c>
      <c r="N46" s="6" t="s">
        <v>93</v>
      </c>
      <c r="O46" s="6"/>
      <c r="P46" s="7">
        <v>43145</v>
      </c>
      <c r="Q46" s="6" t="s">
        <v>30</v>
      </c>
      <c r="R46" s="6" t="s">
        <v>31</v>
      </c>
      <c r="S46" s="6" t="s">
        <v>32</v>
      </c>
      <c r="T46" s="6">
        <v>203.74</v>
      </c>
      <c r="U46" s="6">
        <v>87.85</v>
      </c>
      <c r="V46" s="6">
        <v>81.13</v>
      </c>
      <c r="W46" s="6">
        <v>0</v>
      </c>
      <c r="X46" s="6">
        <v>34.76</v>
      </c>
    </row>
    <row r="47" spans="1:24" ht="24.75" x14ac:dyDescent="0.25">
      <c r="A47" s="6" t="s">
        <v>25</v>
      </c>
      <c r="B47" s="6" t="s">
        <v>26</v>
      </c>
      <c r="C47" s="6" t="s">
        <v>39</v>
      </c>
      <c r="D47" s="6" t="s">
        <v>40</v>
      </c>
      <c r="E47" s="6" t="s">
        <v>36</v>
      </c>
      <c r="F47" s="6" t="s">
        <v>86</v>
      </c>
      <c r="G47" s="6">
        <v>2016</v>
      </c>
      <c r="H47" s="6" t="str">
        <f>CONCATENATE("64240484911")</f>
        <v>64240484911</v>
      </c>
      <c r="I47" s="6" t="s">
        <v>28</v>
      </c>
      <c r="J47" s="6" t="s">
        <v>29</v>
      </c>
      <c r="K47" s="6" t="str">
        <f>CONCATENATE("")</f>
        <v/>
      </c>
      <c r="L47" s="6" t="str">
        <f>CONCATENATE("11 11.2 4b")</f>
        <v>11 11.2 4b</v>
      </c>
      <c r="M47" s="6" t="str">
        <f>CONCATENATE("SBRLGB65A43Z600R")</f>
        <v>SBRLGB65A43Z600R</v>
      </c>
      <c r="N47" s="6" t="s">
        <v>94</v>
      </c>
      <c r="O47" s="6"/>
      <c r="P47" s="7">
        <v>43145</v>
      </c>
      <c r="Q47" s="6" t="s">
        <v>30</v>
      </c>
      <c r="R47" s="6" t="s">
        <v>31</v>
      </c>
      <c r="S47" s="6" t="s">
        <v>32</v>
      </c>
      <c r="T47" s="6">
        <v>265.89999999999998</v>
      </c>
      <c r="U47" s="6">
        <v>114.66</v>
      </c>
      <c r="V47" s="6">
        <v>105.88</v>
      </c>
      <c r="W47" s="6">
        <v>0</v>
      </c>
      <c r="X47" s="6">
        <v>45.36</v>
      </c>
    </row>
    <row r="48" spans="1:24" ht="24.75" x14ac:dyDescent="0.25">
      <c r="A48" s="6" t="s">
        <v>25</v>
      </c>
      <c r="B48" s="6" t="s">
        <v>26</v>
      </c>
      <c r="C48" s="6" t="s">
        <v>39</v>
      </c>
      <c r="D48" s="6" t="s">
        <v>40</v>
      </c>
      <c r="E48" s="6" t="s">
        <v>36</v>
      </c>
      <c r="F48" s="6" t="s">
        <v>86</v>
      </c>
      <c r="G48" s="6">
        <v>2016</v>
      </c>
      <c r="H48" s="6" t="str">
        <f>CONCATENATE("64240484994")</f>
        <v>64240484994</v>
      </c>
      <c r="I48" s="6" t="s">
        <v>28</v>
      </c>
      <c r="J48" s="6" t="s">
        <v>29</v>
      </c>
      <c r="K48" s="6" t="str">
        <f>CONCATENATE("")</f>
        <v/>
      </c>
      <c r="L48" s="6" t="str">
        <f>CONCATENATE("11 11.2 4b")</f>
        <v>11 11.2 4b</v>
      </c>
      <c r="M48" s="6" t="str">
        <f>CONCATENATE("PLLMTR27E58A271O")</f>
        <v>PLLMTR27E58A271O</v>
      </c>
      <c r="N48" s="6" t="s">
        <v>95</v>
      </c>
      <c r="O48" s="6"/>
      <c r="P48" s="7">
        <v>43145</v>
      </c>
      <c r="Q48" s="6" t="s">
        <v>30</v>
      </c>
      <c r="R48" s="6" t="s">
        <v>31</v>
      </c>
      <c r="S48" s="6" t="s">
        <v>32</v>
      </c>
      <c r="T48" s="6">
        <v>709.24</v>
      </c>
      <c r="U48" s="6">
        <v>305.82</v>
      </c>
      <c r="V48" s="6">
        <v>282.42</v>
      </c>
      <c r="W48" s="6">
        <v>0</v>
      </c>
      <c r="X48" s="6">
        <v>121</v>
      </c>
    </row>
    <row r="49" spans="1:24" ht="24.75" x14ac:dyDescent="0.25">
      <c r="A49" s="6" t="s">
        <v>25</v>
      </c>
      <c r="B49" s="6" t="s">
        <v>26</v>
      </c>
      <c r="C49" s="6" t="s">
        <v>39</v>
      </c>
      <c r="D49" s="6" t="s">
        <v>74</v>
      </c>
      <c r="E49" s="6" t="s">
        <v>27</v>
      </c>
      <c r="F49" s="6" t="s">
        <v>96</v>
      </c>
      <c r="G49" s="6">
        <v>2016</v>
      </c>
      <c r="H49" s="6" t="str">
        <f>CONCATENATE("64240426938")</f>
        <v>64240426938</v>
      </c>
      <c r="I49" s="6" t="s">
        <v>28</v>
      </c>
      <c r="J49" s="6" t="s">
        <v>29</v>
      </c>
      <c r="K49" s="6" t="str">
        <f>CONCATENATE("")</f>
        <v/>
      </c>
      <c r="L49" s="6" t="str">
        <f>CONCATENATE("11 11.2 4b")</f>
        <v>11 11.2 4b</v>
      </c>
      <c r="M49" s="6" t="str">
        <f>CONCATENATE("CRVLCN62A58I324Z")</f>
        <v>CRVLCN62A58I324Z</v>
      </c>
      <c r="N49" s="6" t="s">
        <v>97</v>
      </c>
      <c r="O49" s="6"/>
      <c r="P49" s="7">
        <v>43145</v>
      </c>
      <c r="Q49" s="6" t="s">
        <v>30</v>
      </c>
      <c r="R49" s="6" t="s">
        <v>31</v>
      </c>
      <c r="S49" s="6" t="s">
        <v>32</v>
      </c>
      <c r="T49" s="6">
        <v>121.97</v>
      </c>
      <c r="U49" s="6">
        <v>52.59</v>
      </c>
      <c r="V49" s="6">
        <v>48.57</v>
      </c>
      <c r="W49" s="6">
        <v>0</v>
      </c>
      <c r="X49" s="6">
        <v>20.81</v>
      </c>
    </row>
    <row r="50" spans="1:24" ht="24.75" x14ac:dyDescent="0.25">
      <c r="A50" s="6" t="s">
        <v>25</v>
      </c>
      <c r="B50" s="6" t="s">
        <v>26</v>
      </c>
      <c r="C50" s="6" t="s">
        <v>39</v>
      </c>
      <c r="D50" s="6" t="s">
        <v>40</v>
      </c>
      <c r="E50" s="6" t="s">
        <v>36</v>
      </c>
      <c r="F50" s="6" t="s">
        <v>86</v>
      </c>
      <c r="G50" s="6">
        <v>2016</v>
      </c>
      <c r="H50" s="6" t="str">
        <f>CONCATENATE("64240542403")</f>
        <v>64240542403</v>
      </c>
      <c r="I50" s="6" t="s">
        <v>28</v>
      </c>
      <c r="J50" s="6" t="s">
        <v>29</v>
      </c>
      <c r="K50" s="6" t="str">
        <f>CONCATENATE("")</f>
        <v/>
      </c>
      <c r="L50" s="6" t="str">
        <f>CONCATENATE("11 11.2 4b")</f>
        <v>11 11.2 4b</v>
      </c>
      <c r="M50" s="6" t="str">
        <f>CONCATENATE("SRNDNL79D08E388R")</f>
        <v>SRNDNL79D08E388R</v>
      </c>
      <c r="N50" s="6" t="s">
        <v>98</v>
      </c>
      <c r="O50" s="6"/>
      <c r="P50" s="7">
        <v>43145</v>
      </c>
      <c r="Q50" s="6" t="s">
        <v>30</v>
      </c>
      <c r="R50" s="6" t="s">
        <v>31</v>
      </c>
      <c r="S50" s="6" t="s">
        <v>32</v>
      </c>
      <c r="T50" s="6">
        <v>258.14999999999998</v>
      </c>
      <c r="U50" s="6">
        <v>111.31</v>
      </c>
      <c r="V50" s="6">
        <v>102.8</v>
      </c>
      <c r="W50" s="6">
        <v>0</v>
      </c>
      <c r="X50" s="6">
        <v>44.04</v>
      </c>
    </row>
    <row r="51" spans="1:24" ht="24.75" x14ac:dyDescent="0.25">
      <c r="A51" s="6" t="s">
        <v>25</v>
      </c>
      <c r="B51" s="6" t="s">
        <v>26</v>
      </c>
      <c r="C51" s="6" t="s">
        <v>39</v>
      </c>
      <c r="D51" s="6" t="s">
        <v>40</v>
      </c>
      <c r="E51" s="6" t="s">
        <v>36</v>
      </c>
      <c r="F51" s="6" t="s">
        <v>53</v>
      </c>
      <c r="G51" s="6">
        <v>2016</v>
      </c>
      <c r="H51" s="6" t="str">
        <f>CONCATENATE("64240500963")</f>
        <v>64240500963</v>
      </c>
      <c r="I51" s="6" t="s">
        <v>28</v>
      </c>
      <c r="J51" s="6" t="s">
        <v>29</v>
      </c>
      <c r="K51" s="6" t="str">
        <f>CONCATENATE("")</f>
        <v/>
      </c>
      <c r="L51" s="6" t="str">
        <f>CONCATENATE("11 11.2 4b")</f>
        <v>11 11.2 4b</v>
      </c>
      <c r="M51" s="6" t="str">
        <f>CONCATENATE("SCHMRA49E29E388J")</f>
        <v>SCHMRA49E29E388J</v>
      </c>
      <c r="N51" s="6" t="s">
        <v>99</v>
      </c>
      <c r="O51" s="6"/>
      <c r="P51" s="7">
        <v>43145</v>
      </c>
      <c r="Q51" s="6" t="s">
        <v>30</v>
      </c>
      <c r="R51" s="6" t="s">
        <v>31</v>
      </c>
      <c r="S51" s="6" t="s">
        <v>32</v>
      </c>
      <c r="T51" s="6">
        <v>609.14</v>
      </c>
      <c r="U51" s="6">
        <v>262.66000000000003</v>
      </c>
      <c r="V51" s="6">
        <v>242.56</v>
      </c>
      <c r="W51" s="6">
        <v>0</v>
      </c>
      <c r="X51" s="6">
        <v>103.92</v>
      </c>
    </row>
    <row r="52" spans="1:24" ht="24.75" x14ac:dyDescent="0.25">
      <c r="A52" s="6" t="s">
        <v>25</v>
      </c>
      <c r="B52" s="6" t="s">
        <v>26</v>
      </c>
      <c r="C52" s="6" t="s">
        <v>39</v>
      </c>
      <c r="D52" s="6" t="s">
        <v>40</v>
      </c>
      <c r="E52" s="6" t="s">
        <v>27</v>
      </c>
      <c r="F52" s="6" t="s">
        <v>100</v>
      </c>
      <c r="G52" s="6">
        <v>2016</v>
      </c>
      <c r="H52" s="6" t="str">
        <f>CONCATENATE("64240582870")</f>
        <v>64240582870</v>
      </c>
      <c r="I52" s="6" t="s">
        <v>28</v>
      </c>
      <c r="J52" s="6" t="s">
        <v>29</v>
      </c>
      <c r="K52" s="6" t="str">
        <f>CONCATENATE("")</f>
        <v/>
      </c>
      <c r="L52" s="6" t="str">
        <f>CONCATENATE("11 11.2 4b")</f>
        <v>11 11.2 4b</v>
      </c>
      <c r="M52" s="6" t="str">
        <f>CONCATENATE("PGGLCN67R09F581A")</f>
        <v>PGGLCN67R09F581A</v>
      </c>
      <c r="N52" s="6" t="s">
        <v>101</v>
      </c>
      <c r="O52" s="6"/>
      <c r="P52" s="7">
        <v>43145</v>
      </c>
      <c r="Q52" s="6" t="s">
        <v>30</v>
      </c>
      <c r="R52" s="6" t="s">
        <v>31</v>
      </c>
      <c r="S52" s="6" t="s">
        <v>32</v>
      </c>
      <c r="T52" s="6">
        <v>189.93</v>
      </c>
      <c r="U52" s="6">
        <v>81.900000000000006</v>
      </c>
      <c r="V52" s="6">
        <v>75.63</v>
      </c>
      <c r="W52" s="6">
        <v>0</v>
      </c>
      <c r="X52" s="6">
        <v>32.4</v>
      </c>
    </row>
    <row r="53" spans="1:24" x14ac:dyDescent="0.25">
      <c r="A53" s="6" t="s">
        <v>25</v>
      </c>
      <c r="B53" s="6" t="s">
        <v>26</v>
      </c>
      <c r="C53" s="6" t="s">
        <v>39</v>
      </c>
      <c r="D53" s="6" t="s">
        <v>43</v>
      </c>
      <c r="E53" s="6" t="s">
        <v>36</v>
      </c>
      <c r="F53" s="6" t="s">
        <v>53</v>
      </c>
      <c r="G53" s="6">
        <v>2016</v>
      </c>
      <c r="H53" s="6" t="str">
        <f>CONCATENATE("64240581518")</f>
        <v>64240581518</v>
      </c>
      <c r="I53" s="6" t="s">
        <v>28</v>
      </c>
      <c r="J53" s="6" t="s">
        <v>29</v>
      </c>
      <c r="K53" s="6" t="str">
        <f>CONCATENATE("")</f>
        <v/>
      </c>
      <c r="L53" s="6" t="str">
        <f>CONCATENATE("11 11.2 4b")</f>
        <v>11 11.2 4b</v>
      </c>
      <c r="M53" s="6" t="str">
        <f>CONCATENATE("MCARLL58E54I661W")</f>
        <v>MCARLL58E54I661W</v>
      </c>
      <c r="N53" s="6" t="s">
        <v>102</v>
      </c>
      <c r="O53" s="6"/>
      <c r="P53" s="7">
        <v>43145</v>
      </c>
      <c r="Q53" s="6" t="s">
        <v>30</v>
      </c>
      <c r="R53" s="6" t="s">
        <v>31</v>
      </c>
      <c r="S53" s="6" t="s">
        <v>32</v>
      </c>
      <c r="T53" s="8">
        <v>7828.34</v>
      </c>
      <c r="U53" s="8">
        <v>3375.58</v>
      </c>
      <c r="V53" s="8">
        <v>3117.24</v>
      </c>
      <c r="W53" s="6">
        <v>0</v>
      </c>
      <c r="X53" s="8">
        <v>1335.52</v>
      </c>
    </row>
    <row r="54" spans="1:24" x14ac:dyDescent="0.25">
      <c r="A54" s="6" t="s">
        <v>25</v>
      </c>
      <c r="B54" s="6" t="s">
        <v>26</v>
      </c>
      <c r="C54" s="6" t="s">
        <v>39</v>
      </c>
      <c r="D54" s="6" t="s">
        <v>43</v>
      </c>
      <c r="E54" s="6" t="s">
        <v>35</v>
      </c>
      <c r="F54" s="6" t="s">
        <v>75</v>
      </c>
      <c r="G54" s="6">
        <v>2016</v>
      </c>
      <c r="H54" s="6" t="str">
        <f>CONCATENATE("64240580445")</f>
        <v>64240580445</v>
      </c>
      <c r="I54" s="6" t="s">
        <v>28</v>
      </c>
      <c r="J54" s="6" t="s">
        <v>29</v>
      </c>
      <c r="K54" s="6" t="str">
        <f>CONCATENATE("")</f>
        <v/>
      </c>
      <c r="L54" s="6" t="str">
        <f>CONCATENATE("11 11.2 4b")</f>
        <v>11 11.2 4b</v>
      </c>
      <c r="M54" s="6" t="str">
        <f>CONCATENATE("PRCGNN69M03E323D")</f>
        <v>PRCGNN69M03E323D</v>
      </c>
      <c r="N54" s="6" t="s">
        <v>103</v>
      </c>
      <c r="O54" s="6"/>
      <c r="P54" s="7">
        <v>43145</v>
      </c>
      <c r="Q54" s="6" t="s">
        <v>30</v>
      </c>
      <c r="R54" s="6" t="s">
        <v>31</v>
      </c>
      <c r="S54" s="6" t="s">
        <v>32</v>
      </c>
      <c r="T54" s="6">
        <v>637.41999999999996</v>
      </c>
      <c r="U54" s="6">
        <v>274.86</v>
      </c>
      <c r="V54" s="6">
        <v>253.82</v>
      </c>
      <c r="W54" s="6">
        <v>0</v>
      </c>
      <c r="X54" s="6">
        <v>108.74</v>
      </c>
    </row>
    <row r="55" spans="1:24" x14ac:dyDescent="0.25">
      <c r="A55" s="6" t="s">
        <v>25</v>
      </c>
      <c r="B55" s="6" t="s">
        <v>26</v>
      </c>
      <c r="C55" s="6" t="s">
        <v>39</v>
      </c>
      <c r="D55" s="6" t="s">
        <v>43</v>
      </c>
      <c r="E55" s="6" t="s">
        <v>34</v>
      </c>
      <c r="F55" s="6" t="s">
        <v>104</v>
      </c>
      <c r="G55" s="6">
        <v>2016</v>
      </c>
      <c r="H55" s="6" t="str">
        <f>CONCATENATE("64240587309")</f>
        <v>64240587309</v>
      </c>
      <c r="I55" s="6" t="s">
        <v>28</v>
      </c>
      <c r="J55" s="6" t="s">
        <v>29</v>
      </c>
      <c r="K55" s="6" t="str">
        <f>CONCATENATE("")</f>
        <v/>
      </c>
      <c r="L55" s="6" t="str">
        <f>CONCATENATE("11 11.2 4b")</f>
        <v>11 11.2 4b</v>
      </c>
      <c r="M55" s="6" t="str">
        <f>CONCATENATE("MNCLCN49C44A334Q")</f>
        <v>MNCLCN49C44A334Q</v>
      </c>
      <c r="N55" s="6" t="s">
        <v>105</v>
      </c>
      <c r="O55" s="6"/>
      <c r="P55" s="7">
        <v>43145</v>
      </c>
      <c r="Q55" s="6" t="s">
        <v>30</v>
      </c>
      <c r="R55" s="6" t="s">
        <v>31</v>
      </c>
      <c r="S55" s="6" t="s">
        <v>32</v>
      </c>
      <c r="T55" s="8">
        <v>1210.95</v>
      </c>
      <c r="U55" s="6">
        <v>522.16</v>
      </c>
      <c r="V55" s="6">
        <v>482.2</v>
      </c>
      <c r="W55" s="6">
        <v>0</v>
      </c>
      <c r="X55" s="6">
        <v>206.59</v>
      </c>
    </row>
    <row r="56" spans="1:24" ht="24.75" x14ac:dyDescent="0.25">
      <c r="A56" s="6" t="s">
        <v>25</v>
      </c>
      <c r="B56" s="6" t="s">
        <v>26</v>
      </c>
      <c r="C56" s="6" t="s">
        <v>39</v>
      </c>
      <c r="D56" s="6" t="s">
        <v>74</v>
      </c>
      <c r="E56" s="6" t="s">
        <v>33</v>
      </c>
      <c r="F56" s="6" t="s">
        <v>106</v>
      </c>
      <c r="G56" s="6">
        <v>2016</v>
      </c>
      <c r="H56" s="6" t="str">
        <f>CONCATENATE("64240254298")</f>
        <v>64240254298</v>
      </c>
      <c r="I56" s="6" t="s">
        <v>28</v>
      </c>
      <c r="J56" s="6" t="s">
        <v>29</v>
      </c>
      <c r="K56" s="6" t="str">
        <f>CONCATENATE("")</f>
        <v/>
      </c>
      <c r="L56" s="6" t="str">
        <f>CONCATENATE("11 11.2 4b")</f>
        <v>11 11.2 4b</v>
      </c>
      <c r="M56" s="6" t="str">
        <f>CONCATENATE("00700420441")</f>
        <v>00700420441</v>
      </c>
      <c r="N56" s="6" t="s">
        <v>107</v>
      </c>
      <c r="O56" s="6"/>
      <c r="P56" s="7">
        <v>43145</v>
      </c>
      <c r="Q56" s="6" t="s">
        <v>30</v>
      </c>
      <c r="R56" s="6" t="s">
        <v>31</v>
      </c>
      <c r="S56" s="6" t="s">
        <v>32</v>
      </c>
      <c r="T56" s="6">
        <v>489.73</v>
      </c>
      <c r="U56" s="6">
        <v>211.17</v>
      </c>
      <c r="V56" s="6">
        <v>195.01</v>
      </c>
      <c r="W56" s="6">
        <v>0</v>
      </c>
      <c r="X56" s="6">
        <v>83.55</v>
      </c>
    </row>
    <row r="57" spans="1:24" ht="24.75" x14ac:dyDescent="0.25">
      <c r="A57" s="6" t="s">
        <v>25</v>
      </c>
      <c r="B57" s="6" t="s">
        <v>26</v>
      </c>
      <c r="C57" s="6" t="s">
        <v>39</v>
      </c>
      <c r="D57" s="6" t="s">
        <v>74</v>
      </c>
      <c r="E57" s="6" t="s">
        <v>27</v>
      </c>
      <c r="F57" s="6" t="s">
        <v>108</v>
      </c>
      <c r="G57" s="6">
        <v>2016</v>
      </c>
      <c r="H57" s="6" t="str">
        <f>CONCATENATE("64240692778")</f>
        <v>64240692778</v>
      </c>
      <c r="I57" s="6" t="s">
        <v>28</v>
      </c>
      <c r="J57" s="6" t="s">
        <v>29</v>
      </c>
      <c r="K57" s="6" t="str">
        <f>CONCATENATE("")</f>
        <v/>
      </c>
      <c r="L57" s="6" t="str">
        <f>CONCATENATE("11 11.2 4b")</f>
        <v>11 11.2 4b</v>
      </c>
      <c r="M57" s="6" t="str">
        <f>CONCATENATE("LNCGTN52C29D096W")</f>
        <v>LNCGTN52C29D096W</v>
      </c>
      <c r="N57" s="6" t="s">
        <v>109</v>
      </c>
      <c r="O57" s="6"/>
      <c r="P57" s="7">
        <v>43145</v>
      </c>
      <c r="Q57" s="6" t="s">
        <v>30</v>
      </c>
      <c r="R57" s="6" t="s">
        <v>31</v>
      </c>
      <c r="S57" s="6" t="s">
        <v>32</v>
      </c>
      <c r="T57" s="8">
        <v>1730.1</v>
      </c>
      <c r="U57" s="6">
        <v>746.02</v>
      </c>
      <c r="V57" s="6">
        <v>688.93</v>
      </c>
      <c r="W57" s="6">
        <v>0</v>
      </c>
      <c r="X57" s="6">
        <v>295.14999999999998</v>
      </c>
    </row>
    <row r="58" spans="1:24" ht="24.75" x14ac:dyDescent="0.25">
      <c r="A58" s="6" t="s">
        <v>25</v>
      </c>
      <c r="B58" s="6" t="s">
        <v>26</v>
      </c>
      <c r="C58" s="6" t="s">
        <v>39</v>
      </c>
      <c r="D58" s="6" t="s">
        <v>48</v>
      </c>
      <c r="E58" s="6" t="s">
        <v>27</v>
      </c>
      <c r="F58" s="6" t="s">
        <v>70</v>
      </c>
      <c r="G58" s="6">
        <v>2016</v>
      </c>
      <c r="H58" s="6" t="str">
        <f>CONCATENATE("64240596235")</f>
        <v>64240596235</v>
      </c>
      <c r="I58" s="6" t="s">
        <v>28</v>
      </c>
      <c r="J58" s="6" t="s">
        <v>29</v>
      </c>
      <c r="K58" s="6" t="str">
        <f>CONCATENATE("")</f>
        <v/>
      </c>
      <c r="L58" s="6" t="str">
        <f>CONCATENATE("11 11.2 4b")</f>
        <v>11 11.2 4b</v>
      </c>
      <c r="M58" s="6" t="str">
        <f>CONCATENATE("GRRMSM69C15F135K")</f>
        <v>GRRMSM69C15F135K</v>
      </c>
      <c r="N58" s="6" t="s">
        <v>110</v>
      </c>
      <c r="O58" s="6"/>
      <c r="P58" s="7">
        <v>43145</v>
      </c>
      <c r="Q58" s="6" t="s">
        <v>30</v>
      </c>
      <c r="R58" s="6" t="s">
        <v>31</v>
      </c>
      <c r="S58" s="6" t="s">
        <v>32</v>
      </c>
      <c r="T58" s="6">
        <v>549.6</v>
      </c>
      <c r="U58" s="6">
        <v>236.99</v>
      </c>
      <c r="V58" s="6">
        <v>218.85</v>
      </c>
      <c r="W58" s="6">
        <v>0</v>
      </c>
      <c r="X58" s="6">
        <v>93.76</v>
      </c>
    </row>
  </sheetData>
  <mergeCells count="2">
    <mergeCell ref="A1:X1"/>
    <mergeCell ref="A2:X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2018-03-23T10:11:25Z</dcterms:created>
  <dcterms:modified xsi:type="dcterms:W3CDTF">2018-03-23T10:12:00Z</dcterms:modified>
</cp:coreProperties>
</file>