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Dettaglio_Domande_Pagabili_AGEA" sheetId="1" r:id="rId1"/>
  </sheets>
  <calcPr calcId="145621"/>
</workbook>
</file>

<file path=xl/calcChain.xml><?xml version="1.0" encoding="utf-8"?>
<calcChain xmlns="http://schemas.openxmlformats.org/spreadsheetml/2006/main">
  <c r="M66" i="1" l="1"/>
  <c r="L66" i="1"/>
  <c r="K66" i="1"/>
  <c r="H66" i="1"/>
  <c r="M65" i="1"/>
  <c r="L65" i="1"/>
  <c r="K65" i="1"/>
  <c r="H65" i="1"/>
  <c r="M64" i="1"/>
  <c r="L64" i="1"/>
  <c r="K64" i="1"/>
  <c r="H64" i="1"/>
  <c r="M63" i="1"/>
  <c r="L63" i="1"/>
  <c r="K63" i="1"/>
  <c r="H63" i="1"/>
  <c r="M62" i="1"/>
  <c r="L62" i="1"/>
  <c r="K62" i="1"/>
  <c r="H62" i="1"/>
  <c r="M61" i="1"/>
  <c r="L61" i="1"/>
  <c r="K61" i="1"/>
  <c r="H61" i="1"/>
  <c r="M60" i="1"/>
  <c r="L60" i="1"/>
  <c r="K60" i="1"/>
  <c r="H60" i="1"/>
  <c r="M59" i="1"/>
  <c r="L59" i="1"/>
  <c r="K59" i="1"/>
  <c r="H59" i="1"/>
  <c r="M58" i="1"/>
  <c r="L58" i="1"/>
  <c r="K58" i="1"/>
  <c r="H58" i="1"/>
  <c r="M57" i="1"/>
  <c r="L57" i="1"/>
  <c r="K57" i="1"/>
  <c r="H57" i="1"/>
  <c r="M56" i="1"/>
  <c r="L56" i="1"/>
  <c r="K56" i="1"/>
  <c r="H56" i="1"/>
  <c r="M55" i="1"/>
  <c r="L55" i="1"/>
  <c r="K55" i="1"/>
  <c r="H55" i="1"/>
  <c r="M54" i="1"/>
  <c r="L54" i="1"/>
  <c r="K54" i="1"/>
  <c r="H54" i="1"/>
  <c r="M53" i="1"/>
  <c r="L53" i="1"/>
  <c r="K53" i="1"/>
  <c r="H53" i="1"/>
  <c r="M52" i="1"/>
  <c r="L52" i="1"/>
  <c r="K52" i="1"/>
  <c r="H52" i="1"/>
  <c r="M51" i="1"/>
  <c r="L51" i="1"/>
  <c r="K51" i="1"/>
  <c r="H51" i="1"/>
  <c r="M50" i="1"/>
  <c r="L50" i="1"/>
  <c r="K50" i="1"/>
  <c r="H50" i="1"/>
  <c r="M49" i="1"/>
  <c r="L49" i="1"/>
  <c r="K49" i="1"/>
  <c r="H49" i="1"/>
  <c r="M48" i="1"/>
  <c r="L48" i="1"/>
  <c r="K48" i="1"/>
  <c r="H48" i="1"/>
  <c r="M47" i="1"/>
  <c r="L47" i="1"/>
  <c r="K47" i="1"/>
  <c r="H47" i="1"/>
  <c r="M46" i="1"/>
  <c r="L46" i="1"/>
  <c r="K46" i="1"/>
  <c r="H46" i="1"/>
  <c r="M45" i="1"/>
  <c r="L45" i="1"/>
  <c r="K45" i="1"/>
  <c r="H45" i="1"/>
  <c r="M44" i="1"/>
  <c r="L44" i="1"/>
  <c r="K44" i="1"/>
  <c r="H44" i="1"/>
  <c r="M43" i="1"/>
  <c r="L43" i="1"/>
  <c r="K43" i="1"/>
  <c r="H43" i="1"/>
  <c r="M42" i="1"/>
  <c r="L42" i="1"/>
  <c r="K42" i="1"/>
  <c r="H42" i="1"/>
  <c r="M41" i="1"/>
  <c r="L41" i="1"/>
  <c r="K41" i="1"/>
  <c r="H41" i="1"/>
  <c r="M40" i="1"/>
  <c r="L40" i="1"/>
  <c r="K40" i="1"/>
  <c r="H40" i="1"/>
  <c r="M39" i="1"/>
  <c r="L39" i="1"/>
  <c r="K39" i="1"/>
  <c r="H39" i="1"/>
  <c r="M38" i="1"/>
  <c r="L38" i="1"/>
  <c r="K38" i="1"/>
  <c r="H38" i="1"/>
  <c r="M37" i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<sst xmlns="http://schemas.openxmlformats.org/spreadsheetml/2006/main" count="844" uniqueCount="151">
  <si>
    <t>Dettaglio Domande Pagabili Decreto 133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</si>
  <si>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</si>
  <si>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</si>
  <si>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</si>
  <si>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</si>
  <si>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</si>
  <si>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</si>
  <si>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</si>
  <si>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</si>
  <si>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</si>
  <si>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</si>
  <si>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</si>
  <si>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</si>
  <si>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</si>
  <si>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</si>
  <si>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</si>
  <si>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</si>
  <si>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</si>
  <si>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</si>
  <si>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</si>
  <si>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</si>
  <si>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</si>
  <si>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</si>
  <si>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</si>
  <si>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</si>
  <si>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</si>
  <si>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Strutturali</t>
  </si>
  <si>
    <t>IN PROPRIO</t>
  </si>
  <si>
    <t>NO</t>
  </si>
  <si>
    <t>Trascinamenti</t>
  </si>
  <si>
    <t>In Liquidazione</t>
  </si>
  <si>
    <t>Saldo</t>
  </si>
  <si>
    <t>Co-Finanziato</t>
  </si>
  <si>
    <t>SI</t>
  </si>
  <si>
    <t>CAA UNICAA srl</t>
  </si>
  <si>
    <t>SAL</t>
  </si>
  <si>
    <t>CAA CIA srl</t>
  </si>
  <si>
    <t>CAA Coldiretti srl</t>
  </si>
  <si>
    <t>Misure a Superficie</t>
  </si>
  <si>
    <t>Nuova Programmazione</t>
  </si>
  <si>
    <t>CAA LiberiAgricoltori srl già CAA AGCI srl</t>
  </si>
  <si>
    <t>CAA Confagricoltura srl</t>
  </si>
  <si>
    <t>Anticipo</t>
  </si>
  <si>
    <t>CAA Copagri srl</t>
  </si>
  <si>
    <t>MARCHE</t>
  </si>
  <si>
    <t>SERV. DEC. AGRICOLTURA E ALIM. -ASCOLI PICENO</t>
  </si>
  <si>
    <t>LA CAMPOFILONE AGRO SRL</t>
  </si>
  <si>
    <t>AGEA.ASR.2017.1158723</t>
  </si>
  <si>
    <t>SERV. DEC. AGRICOLTURA E ALIMENTAZIONE - PESARO</t>
  </si>
  <si>
    <t>BAIOCCO MARIO</t>
  </si>
  <si>
    <t>AGEA.ASR.2017.1140014</t>
  </si>
  <si>
    <t>SERV. DEC. AGRICOLTURA E ALIMENTAZIONE - ANCONA</t>
  </si>
  <si>
    <t>CAA Copagri - MACERATA - 503</t>
  </si>
  <si>
    <t>ALFIERI ETTORE ALESSANDRO</t>
  </si>
  <si>
    <t>AGEA.ASR.2017.1131489</t>
  </si>
  <si>
    <t>TERRE DEL CONERO-AGRIC.PER NATUR</t>
  </si>
  <si>
    <t>AGEA.ASR.2017.1308591</t>
  </si>
  <si>
    <t>CAA Coldiretti - ASCOLI PICENO - 015</t>
  </si>
  <si>
    <t>CANDIDORI LUCA</t>
  </si>
  <si>
    <t>AGEA.ASR.2018.0000527</t>
  </si>
  <si>
    <t>CAA CIA - ASCOLI PICENO - 002</t>
  </si>
  <si>
    <t>PETRACCI PAOLO</t>
  </si>
  <si>
    <t>CAA CIA - ASCOLI PICENO - 005</t>
  </si>
  <si>
    <t>FERRETTI ROBERTO</t>
  </si>
  <si>
    <t>TOTO' CLAUDIO</t>
  </si>
  <si>
    <t>CAA Copagri - ASCOLI PICENO - 401</t>
  </si>
  <si>
    <t>BARCHETTA DOMENICO</t>
  </si>
  <si>
    <t>CAA Confagricoltura - ASCOLI PICENO - 001</t>
  </si>
  <si>
    <t>FEBI FRATELLI IMPRESA AGRICOLA</t>
  </si>
  <si>
    <t>CAA Copagri - PESARO E URBINO - 501</t>
  </si>
  <si>
    <t>CIUCCI SERGIO</t>
  </si>
  <si>
    <t>AGEA.ASR.2017.1306925</t>
  </si>
  <si>
    <t>CAA Coldiretti - ANCONA - 003</t>
  </si>
  <si>
    <t>GAGLIARDINI MARIA PINA</t>
  </si>
  <si>
    <t>AGEA.ASR.2017.1207763</t>
  </si>
  <si>
    <t>CAA Coldiretti - PESARO E URBINO - 013</t>
  </si>
  <si>
    <t>BONCI GIANFRANCO</t>
  </si>
  <si>
    <t>CAA Coldiretti - RIMINI - 005</t>
  </si>
  <si>
    <t>BOTTICELLI AGOSTINO</t>
  </si>
  <si>
    <t>SERVIZIO DECENTRATO AGRICOLTURA E ALIM. - MACERATA</t>
  </si>
  <si>
    <t>CAA LiberiAgricoltori - MACERATA - 004</t>
  </si>
  <si>
    <t>TIBURZI RINA</t>
  </si>
  <si>
    <t>SOCIETA' AGRICOLA SAN FLORIANO - S.A.S. - DI CICULI FRANCESCO &amp; C .</t>
  </si>
  <si>
    <t>CAA Copagri - ANCONA - 504</t>
  </si>
  <si>
    <t>DOLCINI SERGIO</t>
  </si>
  <si>
    <t>CAA Copagri - ANCONA - 505</t>
  </si>
  <si>
    <t>DOTTORI CHIARA</t>
  </si>
  <si>
    <t>CAA CIA - ANCONA - 002</t>
  </si>
  <si>
    <t>GENANGELI ANNA MARIA</t>
  </si>
  <si>
    <t>CINGOLANI GIULIANO</t>
  </si>
  <si>
    <t>CAA Confagricoltura - ANCONA - 001</t>
  </si>
  <si>
    <t>BLASI PIERA</t>
  </si>
  <si>
    <t>COCCIARINI GIANFRANCO</t>
  </si>
  <si>
    <t>DUNER TERESINA</t>
  </si>
  <si>
    <t>EREDI FAUSTINO MAURIZI</t>
  </si>
  <si>
    <t>FREZZOTTI ANNARITA</t>
  </si>
  <si>
    <t>CAA Coldiretti - ANCONA - 008</t>
  </si>
  <si>
    <t>FERMANI FABIO</t>
  </si>
  <si>
    <t>FIORE LORENA</t>
  </si>
  <si>
    <t>CAA CIA - ANCONA - 003</t>
  </si>
  <si>
    <t>FORESTIERE ROSINA</t>
  </si>
  <si>
    <t>CAA Copagri - ANCONA - 501</t>
  </si>
  <si>
    <t>FORTUNATI DAVIDE</t>
  </si>
  <si>
    <t>CAA Coldiretti - ANCONA - 004</t>
  </si>
  <si>
    <t>FRABONI GIUSEPPE</t>
  </si>
  <si>
    <t>FRABONI SAMUELE</t>
  </si>
  <si>
    <t>GAGLIARDINI CLAUDIO</t>
  </si>
  <si>
    <t>TUMINI LAURA</t>
  </si>
  <si>
    <t>CAA Copagri - ANCONA - 502</t>
  </si>
  <si>
    <t>STACCHIOTTI GIANLUCA</t>
  </si>
  <si>
    <t>FERRANTI FRANCO</t>
  </si>
  <si>
    <t>CIRILLI FIORELLA</t>
  </si>
  <si>
    <t>CAA Coldiretti - ANCONA - 002</t>
  </si>
  <si>
    <t>COMUNANZA AGRARIA DI S.GIOVANNI-GROTTE E PRECICCHIE</t>
  </si>
  <si>
    <t>BALDI VINCENZO</t>
  </si>
  <si>
    <t>BALDUCCI PATRIZIA</t>
  </si>
  <si>
    <t>CAA CIA - ANCONA - 001</t>
  </si>
  <si>
    <t>BATTISTONI ARIANNA</t>
  </si>
  <si>
    <t>GAGLIARDINI ROSELLA</t>
  </si>
  <si>
    <t>GARRETTO ROSARIO</t>
  </si>
  <si>
    <t>CRISTOFANELLI GIOVANNI</t>
  </si>
  <si>
    <t>CAA CIA - ANCONA - 005</t>
  </si>
  <si>
    <t>CARBINI PATRIZIA</t>
  </si>
  <si>
    <t>FAZI FLAVIA</t>
  </si>
  <si>
    <t>CAA Coldiretti - ANCONA - 001</t>
  </si>
  <si>
    <t>FORIA MASSIMO</t>
  </si>
  <si>
    <t>SCORTICHINI EMILIA</t>
  </si>
  <si>
    <t>AMADIO EMILIO</t>
  </si>
  <si>
    <t>CAA Coldiretti - ANCONA - 006</t>
  </si>
  <si>
    <t>AMADIO PIETRO</t>
  </si>
  <si>
    <t>ANGELETTI GIUSEPPINA</t>
  </si>
  <si>
    <t>CAA UNICAA - ANCONA - 003</t>
  </si>
  <si>
    <t>BASTARI CRISTIANO</t>
  </si>
  <si>
    <t>AUSILI PATRIZIO</t>
  </si>
  <si>
    <t>CAA Copagri - ANCONA - 506</t>
  </si>
  <si>
    <t>BALDINI OMBRETTA</t>
  </si>
  <si>
    <t>CAA CIA - RIMINI - 006</t>
  </si>
  <si>
    <t>BINDI VITTORIO</t>
  </si>
  <si>
    <t>AGEA.ASR.2017.1136189</t>
  </si>
  <si>
    <t>CAA Confagricoltura - FORLI' - CESENA - 001</t>
  </si>
  <si>
    <t>SOCIETA' AGRICOLA LA CELLA DI MANZAROLI DARIO S.S.</t>
  </si>
  <si>
    <t>FERMANO LEADER SOCIETA' CONSORTILE A RESPONSABILITA' LIMITATA</t>
  </si>
  <si>
    <t>AGEA.ASR.2018.0016303</t>
  </si>
  <si>
    <t>AGORA' SRL</t>
  </si>
  <si>
    <t>AGEA.ASR.2017.1317836</t>
  </si>
  <si>
    <t>KRUSI STEFANIA CLAUDIA</t>
  </si>
  <si>
    <t>AGEA.ASR.2018.0016342</t>
  </si>
  <si>
    <t>CAA Coldiretti - ANCONA - 005</t>
  </si>
  <si>
    <t>CHIAVARINI ROMANO</t>
  </si>
  <si>
    <t>BALZANI BARBARA</t>
  </si>
  <si>
    <t>ARTEGIANI SILVIA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</si>
</sst>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showGridLines="0" tabSelected="1" workbookViewId="0">
      <selection activeCell="E77" sqref="E77"/>
    </sheetView>
  </sheetViews>
  <sheetFormatPr defaultRowHeight="15" x14ac:dyDescent="0.25"/>
  <cols>
    <col min="1" max="1" width="15.5703125" style="4" bestFit="1" customWidth="1"/>
    <col min="2" max="2" width="16.28515625" style="4" bestFit="1" customWidth="1"/>
    <col min="3" max="3" width="18.42578125" style="4" bestFit="1" customWidth="1"/>
    <col min="4" max="4" width="36.5703125" style="4" bestFit="1" customWidth="1"/>
    <col min="5" max="5" width="32.42578125" style="4" bestFit="1" customWidth="1"/>
    <col min="6" max="6" width="34.140625" style="4" bestFit="1" customWidth="1"/>
    <col min="7" max="7" width="8.42578125" style="4" bestFit="1" customWidth="1"/>
    <col min="8" max="8" width="12.7109375" style="4" bestFit="1" customWidth="1"/>
    <col min="9" max="9" width="21.140625" style="4" bestFit="1" customWidth="1"/>
    <col min="10" max="10" width="20.140625" style="4" bestFit="1" customWidth="1"/>
    <col min="11" max="12" width="17" style="4" bestFit="1" customWidth="1"/>
    <col min="13" max="13" width="18.5703125" style="4" customWidth="1"/>
    <col min="14" max="14" width="36.5703125" style="4" bestFit="1" customWidth="1"/>
    <col min="15" max="15" width="18.85546875" style="4" bestFit="1" customWidth="1"/>
    <col min="16" max="16" width="23" style="4" bestFit="1" customWidth="1"/>
    <col min="17" max="17" width="16.28515625" style="4" bestFit="1" customWidth="1"/>
    <col min="18" max="18" width="17.85546875" style="4" bestFit="1" customWidth="1"/>
    <col min="19" max="19" width="20.28515625" style="4" bestFit="1" customWidth="1"/>
    <col min="20" max="20" width="18.42578125" style="4" bestFit="1" customWidth="1"/>
    <col min="21" max="21" width="24.5703125" style="4" bestFit="1" customWidth="1"/>
    <col min="22" max="23" width="27.140625" style="4" bestFit="1" customWidth="1"/>
    <col min="24" max="24" width="33.85546875" style="4" bestFit="1" customWidth="1"/>
    <col min="25" max="16384" width="9.140625" style="4"/>
  </cols>
  <sheetData>
    <row r="1" spans="1:2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</row>
    <row r="3" spans="1:24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</row>
    <row r="4" spans="1:24" ht="24.75" x14ac:dyDescent="0.25">
      <c r="A4" s="6" t="s">
        <v>25</v>
      </c>
      <c r="B4" s="6" t="s">
        <v>26</v>
      </c>
      <c r="C4" s="6" t="s">
        <v>44</v>
      </c>
      <c r="D4" s="6" t="s">
        <v>45</v>
      </c>
      <c r="E4" s="6" t="s">
        <v>27</v>
      </c>
      <c r="F4" s="6" t="s">
        <v>27</v>
      </c>
      <c r="G4" s="6">
        <v>2008</v>
      </c>
      <c r="H4" s="6" t="str">
        <f>CONCATENATE("84758386258")</f>
        <v>84758386258</v>
      </c>
      <c r="I4" s="6" t="s">
        <v>33</v>
      </c>
      <c r="J4" s="6" t="s">
        <v>29</v>
      </c>
      <c r="K4" s="6" t="str">
        <f>CONCATENATE("121")</f>
        <v>121</v>
      </c>
      <c r="L4" s="6" t="str">
        <f>CONCATENATE("4 4.1 2a")</f>
        <v>4 4.1 2a</v>
      </c>
      <c r="M4" s="6" t="str">
        <f>CONCATENATE("02142150446")</f>
        <v>02142150446</v>
      </c>
      <c r="N4" s="6" t="s">
        <v>46</v>
      </c>
      <c r="O4" s="6" t="s">
        <v>47</v>
      </c>
      <c r="P4" s="7">
        <v>43103</v>
      </c>
      <c r="Q4" s="6" t="s">
        <v>30</v>
      </c>
      <c r="R4" s="6" t="s">
        <v>31</v>
      </c>
      <c r="S4" s="6" t="s">
        <v>32</v>
      </c>
      <c r="T4" s="6">
        <v>713.55</v>
      </c>
      <c r="U4" s="6">
        <v>307.68</v>
      </c>
      <c r="V4" s="6">
        <v>284.14</v>
      </c>
      <c r="W4" s="6">
        <v>0</v>
      </c>
      <c r="X4" s="6">
        <v>121.73</v>
      </c>
    </row>
    <row r="5" spans="1:24" ht="24.75" x14ac:dyDescent="0.25">
      <c r="A5" s="6" t="s">
        <v>25</v>
      </c>
      <c r="B5" s="6" t="s">
        <v>26</v>
      </c>
      <c r="C5" s="6" t="s">
        <v>44</v>
      </c>
      <c r="D5" s="6" t="s">
        <v>48</v>
      </c>
      <c r="E5" s="6" t="s">
        <v>27</v>
      </c>
      <c r="F5" s="6" t="s">
        <v>27</v>
      </c>
      <c r="G5" s="6">
        <v>2017</v>
      </c>
      <c r="H5" s="6" t="str">
        <f>CONCATENATE("74270017853")</f>
        <v>74270017853</v>
      </c>
      <c r="I5" s="6" t="s">
        <v>28</v>
      </c>
      <c r="J5" s="6" t="s">
        <v>39</v>
      </c>
      <c r="K5" s="6" t="str">
        <f>CONCATENATE("")</f>
        <v/>
      </c>
      <c r="L5" s="6" t="str">
        <f>CONCATENATE("4 4.1 2a")</f>
        <v>4 4.1 2a</v>
      </c>
      <c r="M5" s="6" t="str">
        <f>CONCATENATE("BCCMRA58T17G453D")</f>
        <v>BCCMRA58T17G453D</v>
      </c>
      <c r="N5" s="6" t="s">
        <v>49</v>
      </c>
      <c r="O5" s="6" t="s">
        <v>50</v>
      </c>
      <c r="P5" s="7">
        <v>43062</v>
      </c>
      <c r="Q5" s="6" t="s">
        <v>30</v>
      </c>
      <c r="R5" s="6" t="s">
        <v>31</v>
      </c>
      <c r="S5" s="6" t="s">
        <v>32</v>
      </c>
      <c r="T5" s="8">
        <v>38680.75</v>
      </c>
      <c r="U5" s="8">
        <v>16679.14</v>
      </c>
      <c r="V5" s="8">
        <v>15402.67</v>
      </c>
      <c r="W5" s="6">
        <v>0</v>
      </c>
      <c r="X5" s="8">
        <v>6598.94</v>
      </c>
    </row>
    <row r="6" spans="1:24" ht="24.75" x14ac:dyDescent="0.25">
      <c r="A6" s="6" t="s">
        <v>25</v>
      </c>
      <c r="B6" s="6" t="s">
        <v>38</v>
      </c>
      <c r="C6" s="6" t="s">
        <v>44</v>
      </c>
      <c r="D6" s="6" t="s">
        <v>51</v>
      </c>
      <c r="E6" s="6" t="s">
        <v>43</v>
      </c>
      <c r="F6" s="6" t="s">
        <v>52</v>
      </c>
      <c r="G6" s="6">
        <v>2016</v>
      </c>
      <c r="H6" s="6" t="str">
        <f>CONCATENATE("64770279988")</f>
        <v>64770279988</v>
      </c>
      <c r="I6" s="6" t="s">
        <v>33</v>
      </c>
      <c r="J6" s="6" t="s">
        <v>29</v>
      </c>
      <c r="K6" s="6" t="str">
        <f>CONCATENATE("214")</f>
        <v>214</v>
      </c>
      <c r="L6" s="6" t="str">
        <f>CONCATENATE("11 11.1 4b")</f>
        <v>11 11.1 4b</v>
      </c>
      <c r="M6" s="6" t="str">
        <f>CONCATENATE("LFRTRL64H17H501Z")</f>
        <v>LFRTRL64H17H501Z</v>
      </c>
      <c r="N6" s="6" t="s">
        <v>53</v>
      </c>
      <c r="O6" s="6" t="s">
        <v>54</v>
      </c>
      <c r="P6" s="7">
        <v>43076</v>
      </c>
      <c r="Q6" s="6" t="s">
        <v>30</v>
      </c>
      <c r="R6" s="6" t="s">
        <v>31</v>
      </c>
      <c r="S6" s="6" t="s">
        <v>32</v>
      </c>
      <c r="T6" s="8">
        <v>1056.69</v>
      </c>
      <c r="U6" s="6">
        <v>455.64</v>
      </c>
      <c r="V6" s="6">
        <v>420.77</v>
      </c>
      <c r="W6" s="6">
        <v>0</v>
      </c>
      <c r="X6" s="6">
        <v>180.28</v>
      </c>
    </row>
    <row r="7" spans="1:24" ht="24.75" x14ac:dyDescent="0.25">
      <c r="A7" s="6" t="s">
        <v>25</v>
      </c>
      <c r="B7" s="6" t="s">
        <v>26</v>
      </c>
      <c r="C7" s="6" t="s">
        <v>44</v>
      </c>
      <c r="D7" s="6" t="s">
        <v>51</v>
      </c>
      <c r="E7" s="6" t="s">
        <v>27</v>
      </c>
      <c r="F7" s="6" t="s">
        <v>27</v>
      </c>
      <c r="G7" s="6">
        <v>2008</v>
      </c>
      <c r="H7" s="6" t="str">
        <f>CONCATENATE("84758388148")</f>
        <v>84758388148</v>
      </c>
      <c r="I7" s="6" t="s">
        <v>28</v>
      </c>
      <c r="J7" s="6" t="s">
        <v>29</v>
      </c>
      <c r="K7" s="6" t="str">
        <f>CONCATENATE("124")</f>
        <v>124</v>
      </c>
      <c r="L7" s="6" t="str">
        <f>CONCATENATE("16 16.2 2a")</f>
        <v>16 16.2 2a</v>
      </c>
      <c r="M7" s="6" t="str">
        <f>CONCATENATE("02474980428")</f>
        <v>02474980428</v>
      </c>
      <c r="N7" s="6" t="s">
        <v>55</v>
      </c>
      <c r="O7" s="6" t="s">
        <v>56</v>
      </c>
      <c r="P7" s="7">
        <v>43103</v>
      </c>
      <c r="Q7" s="6" t="s">
        <v>30</v>
      </c>
      <c r="R7" s="6" t="s">
        <v>31</v>
      </c>
      <c r="S7" s="6" t="s">
        <v>32</v>
      </c>
      <c r="T7" s="8">
        <v>9508</v>
      </c>
      <c r="U7" s="8">
        <v>4099.8500000000004</v>
      </c>
      <c r="V7" s="8">
        <v>3786.09</v>
      </c>
      <c r="W7" s="6">
        <v>0</v>
      </c>
      <c r="X7" s="8">
        <v>1622.06</v>
      </c>
    </row>
    <row r="8" spans="1:24" ht="24.75" x14ac:dyDescent="0.25">
      <c r="A8" s="6" t="s">
        <v>25</v>
      </c>
      <c r="B8" s="6" t="s">
        <v>38</v>
      </c>
      <c r="C8" s="6" t="s">
        <v>44</v>
      </c>
      <c r="D8" s="6" t="s">
        <v>45</v>
      </c>
      <c r="E8" s="6" t="s">
        <v>37</v>
      </c>
      <c r="F8" s="6" t="s">
        <v>57</v>
      </c>
      <c r="G8" s="6">
        <v>2016</v>
      </c>
      <c r="H8" s="6" t="str">
        <f>CONCATENATE("64780019168")</f>
        <v>64780019168</v>
      </c>
      <c r="I8" s="6" t="s">
        <v>33</v>
      </c>
      <c r="J8" s="6" t="s">
        <v>29</v>
      </c>
      <c r="K8" s="6" t="str">
        <f>CONCATENATE("221")</f>
        <v>221</v>
      </c>
      <c r="L8" s="6" t="str">
        <f>CONCATENATE("8 8.1 5e")</f>
        <v>8 8.1 5e</v>
      </c>
      <c r="M8" s="6" t="str">
        <f>CONCATENATE("CNDLCU85P08D542C")</f>
        <v>CNDLCU85P08D542C</v>
      </c>
      <c r="N8" s="6" t="s">
        <v>58</v>
      </c>
      <c r="O8" s="6" t="s">
        <v>59</v>
      </c>
      <c r="P8" s="7">
        <v>43117</v>
      </c>
      <c r="Q8" s="6" t="s">
        <v>30</v>
      </c>
      <c r="R8" s="6" t="s">
        <v>31</v>
      </c>
      <c r="S8" s="6" t="s">
        <v>32</v>
      </c>
      <c r="T8" s="6">
        <v>397.1</v>
      </c>
      <c r="U8" s="6">
        <v>171.23</v>
      </c>
      <c r="V8" s="6">
        <v>158.13</v>
      </c>
      <c r="W8" s="6">
        <v>0</v>
      </c>
      <c r="X8" s="6">
        <v>67.739999999999995</v>
      </c>
    </row>
    <row r="9" spans="1:24" ht="24.75" x14ac:dyDescent="0.25">
      <c r="A9" s="6" t="s">
        <v>25</v>
      </c>
      <c r="B9" s="6" t="s">
        <v>38</v>
      </c>
      <c r="C9" s="6" t="s">
        <v>44</v>
      </c>
      <c r="D9" s="6" t="s">
        <v>45</v>
      </c>
      <c r="E9" s="6" t="s">
        <v>36</v>
      </c>
      <c r="F9" s="6" t="s">
        <v>60</v>
      </c>
      <c r="G9" s="6">
        <v>2016</v>
      </c>
      <c r="H9" s="6" t="str">
        <f>CONCATENATE("64780070278")</f>
        <v>64780070278</v>
      </c>
      <c r="I9" s="6" t="s">
        <v>33</v>
      </c>
      <c r="J9" s="6" t="s">
        <v>29</v>
      </c>
      <c r="K9" s="6" t="str">
        <f>CONCATENATE("221")</f>
        <v>221</v>
      </c>
      <c r="L9" s="6" t="str">
        <f>CONCATENATE("8 8.1 5e")</f>
        <v>8 8.1 5e</v>
      </c>
      <c r="M9" s="6" t="str">
        <f>CONCATENATE("PTRPLA57H30G920Q")</f>
        <v>PTRPLA57H30G920Q</v>
      </c>
      <c r="N9" s="6" t="s">
        <v>61</v>
      </c>
      <c r="O9" s="6" t="s">
        <v>59</v>
      </c>
      <c r="P9" s="7">
        <v>43117</v>
      </c>
      <c r="Q9" s="6" t="s">
        <v>30</v>
      </c>
      <c r="R9" s="6" t="s">
        <v>31</v>
      </c>
      <c r="S9" s="6" t="s">
        <v>32</v>
      </c>
      <c r="T9" s="6">
        <v>379.59</v>
      </c>
      <c r="U9" s="6">
        <v>163.68</v>
      </c>
      <c r="V9" s="6">
        <v>151.15</v>
      </c>
      <c r="W9" s="6">
        <v>0</v>
      </c>
      <c r="X9" s="6">
        <v>64.760000000000005</v>
      </c>
    </row>
    <row r="10" spans="1:24" ht="24.75" x14ac:dyDescent="0.25">
      <c r="A10" s="6" t="s">
        <v>25</v>
      </c>
      <c r="B10" s="6" t="s">
        <v>38</v>
      </c>
      <c r="C10" s="6" t="s">
        <v>44</v>
      </c>
      <c r="D10" s="6" t="s">
        <v>45</v>
      </c>
      <c r="E10" s="6" t="s">
        <v>36</v>
      </c>
      <c r="F10" s="6" t="s">
        <v>62</v>
      </c>
      <c r="G10" s="6">
        <v>2016</v>
      </c>
      <c r="H10" s="6" t="str">
        <f>CONCATENATE("64780060535")</f>
        <v>64780060535</v>
      </c>
      <c r="I10" s="6" t="s">
        <v>33</v>
      </c>
      <c r="J10" s="6" t="s">
        <v>29</v>
      </c>
      <c r="K10" s="6" t="str">
        <f>CONCATENATE("221")</f>
        <v>221</v>
      </c>
      <c r="L10" s="6" t="str">
        <f>CONCATENATE("8 8.1 5e")</f>
        <v>8 8.1 5e</v>
      </c>
      <c r="M10" s="6" t="str">
        <f>CONCATENATE("FRRRRT51D20A488M")</f>
        <v>FRRRRT51D20A488M</v>
      </c>
      <c r="N10" s="6" t="s">
        <v>63</v>
      </c>
      <c r="O10" s="6" t="s">
        <v>59</v>
      </c>
      <c r="P10" s="7">
        <v>43117</v>
      </c>
      <c r="Q10" s="6" t="s">
        <v>30</v>
      </c>
      <c r="R10" s="6" t="s">
        <v>31</v>
      </c>
      <c r="S10" s="6" t="s">
        <v>32</v>
      </c>
      <c r="T10" s="6">
        <v>670.07</v>
      </c>
      <c r="U10" s="6">
        <v>288.93</v>
      </c>
      <c r="V10" s="6">
        <v>266.82</v>
      </c>
      <c r="W10" s="6">
        <v>0</v>
      </c>
      <c r="X10" s="6">
        <v>114.32</v>
      </c>
    </row>
    <row r="11" spans="1:24" ht="24.75" x14ac:dyDescent="0.25">
      <c r="A11" s="6" t="s">
        <v>25</v>
      </c>
      <c r="B11" s="6" t="s">
        <v>38</v>
      </c>
      <c r="C11" s="6" t="s">
        <v>44</v>
      </c>
      <c r="D11" s="6" t="s">
        <v>45</v>
      </c>
      <c r="E11" s="6" t="s">
        <v>36</v>
      </c>
      <c r="F11" s="6" t="s">
        <v>60</v>
      </c>
      <c r="G11" s="6">
        <v>2016</v>
      </c>
      <c r="H11" s="6" t="str">
        <f>CONCATENATE("64780059511")</f>
        <v>64780059511</v>
      </c>
      <c r="I11" s="6" t="s">
        <v>33</v>
      </c>
      <c r="J11" s="6" t="s">
        <v>29</v>
      </c>
      <c r="K11" s="6" t="str">
        <f>CONCATENATE("221")</f>
        <v>221</v>
      </c>
      <c r="L11" s="6" t="str">
        <f>CONCATENATE("8 8.1 5e")</f>
        <v>8 8.1 5e</v>
      </c>
      <c r="M11" s="6" t="str">
        <f>CONCATENATE("TTOCLD57E27F517H")</f>
        <v>TTOCLD57E27F517H</v>
      </c>
      <c r="N11" s="6" t="s">
        <v>64</v>
      </c>
      <c r="O11" s="6" t="s">
        <v>59</v>
      </c>
      <c r="P11" s="7">
        <v>43117</v>
      </c>
      <c r="Q11" s="6" t="s">
        <v>30</v>
      </c>
      <c r="R11" s="6" t="s">
        <v>31</v>
      </c>
      <c r="S11" s="6" t="s">
        <v>32</v>
      </c>
      <c r="T11" s="8">
        <v>1573</v>
      </c>
      <c r="U11" s="6">
        <v>678.28</v>
      </c>
      <c r="V11" s="6">
        <v>626.37</v>
      </c>
      <c r="W11" s="6">
        <v>0</v>
      </c>
      <c r="X11" s="6">
        <v>268.35000000000002</v>
      </c>
    </row>
    <row r="12" spans="1:24" ht="24.75" x14ac:dyDescent="0.25">
      <c r="A12" s="6" t="s">
        <v>25</v>
      </c>
      <c r="B12" s="6" t="s">
        <v>38</v>
      </c>
      <c r="C12" s="6" t="s">
        <v>44</v>
      </c>
      <c r="D12" s="6" t="s">
        <v>45</v>
      </c>
      <c r="E12" s="6" t="s">
        <v>43</v>
      </c>
      <c r="F12" s="6" t="s">
        <v>65</v>
      </c>
      <c r="G12" s="6">
        <v>2016</v>
      </c>
      <c r="H12" s="6" t="str">
        <f>CONCATENATE("64780004152")</f>
        <v>64780004152</v>
      </c>
      <c r="I12" s="6" t="s">
        <v>28</v>
      </c>
      <c r="J12" s="6" t="s">
        <v>29</v>
      </c>
      <c r="K12" s="6" t="str">
        <f>CONCATENATE("221")</f>
        <v>221</v>
      </c>
      <c r="L12" s="6" t="str">
        <f>CONCATENATE("8 8.1 5e")</f>
        <v>8 8.1 5e</v>
      </c>
      <c r="M12" s="6" t="str">
        <f>CONCATENATE("BRCDNC76C20D542Z")</f>
        <v>BRCDNC76C20D542Z</v>
      </c>
      <c r="N12" s="6" t="s">
        <v>66</v>
      </c>
      <c r="O12" s="6" t="s">
        <v>59</v>
      </c>
      <c r="P12" s="7">
        <v>43117</v>
      </c>
      <c r="Q12" s="6" t="s">
        <v>30</v>
      </c>
      <c r="R12" s="6" t="s">
        <v>31</v>
      </c>
      <c r="S12" s="6" t="s">
        <v>32</v>
      </c>
      <c r="T12" s="8">
        <v>3254.9</v>
      </c>
      <c r="U12" s="8">
        <v>1403.51</v>
      </c>
      <c r="V12" s="8">
        <v>1296.0999999999999</v>
      </c>
      <c r="W12" s="6">
        <v>0</v>
      </c>
      <c r="X12" s="6">
        <v>555.29</v>
      </c>
    </row>
    <row r="13" spans="1:24" ht="24.75" x14ac:dyDescent="0.25">
      <c r="A13" s="6" t="s">
        <v>25</v>
      </c>
      <c r="B13" s="6" t="s">
        <v>38</v>
      </c>
      <c r="C13" s="6" t="s">
        <v>44</v>
      </c>
      <c r="D13" s="6" t="s">
        <v>45</v>
      </c>
      <c r="E13" s="6" t="s">
        <v>41</v>
      </c>
      <c r="F13" s="6" t="s">
        <v>67</v>
      </c>
      <c r="G13" s="6">
        <v>2016</v>
      </c>
      <c r="H13" s="6" t="str">
        <f>CONCATENATE("64780080012")</f>
        <v>64780080012</v>
      </c>
      <c r="I13" s="6" t="s">
        <v>33</v>
      </c>
      <c r="J13" s="6" t="s">
        <v>29</v>
      </c>
      <c r="K13" s="6" t="str">
        <f>CONCATENATE("221")</f>
        <v>221</v>
      </c>
      <c r="L13" s="6" t="str">
        <f>CONCATENATE("8 8.1 5e")</f>
        <v>8 8.1 5e</v>
      </c>
      <c r="M13" s="6" t="str">
        <f>CONCATENATE("00349090506")</f>
        <v>00349090506</v>
      </c>
      <c r="N13" s="6" t="s">
        <v>68</v>
      </c>
      <c r="O13" s="6" t="s">
        <v>59</v>
      </c>
      <c r="P13" s="7">
        <v>43117</v>
      </c>
      <c r="Q13" s="6" t="s">
        <v>30</v>
      </c>
      <c r="R13" s="6" t="s">
        <v>31</v>
      </c>
      <c r="S13" s="6" t="s">
        <v>32</v>
      </c>
      <c r="T13" s="8">
        <v>4618.71</v>
      </c>
      <c r="U13" s="8">
        <v>1991.59</v>
      </c>
      <c r="V13" s="8">
        <v>1839.17</v>
      </c>
      <c r="W13" s="6">
        <v>0</v>
      </c>
      <c r="X13" s="6">
        <v>787.95</v>
      </c>
    </row>
    <row r="14" spans="1:24" ht="24.75" x14ac:dyDescent="0.25">
      <c r="A14" s="6" t="s">
        <v>25</v>
      </c>
      <c r="B14" s="6" t="s">
        <v>38</v>
      </c>
      <c r="C14" s="6" t="s">
        <v>44</v>
      </c>
      <c r="D14" s="6" t="s">
        <v>48</v>
      </c>
      <c r="E14" s="6" t="s">
        <v>43</v>
      </c>
      <c r="F14" s="6" t="s">
        <v>69</v>
      </c>
      <c r="G14" s="6">
        <v>2016</v>
      </c>
      <c r="H14" s="6" t="str">
        <f>CONCATENATE("64780091472")</f>
        <v>64780091472</v>
      </c>
      <c r="I14" s="6" t="s">
        <v>33</v>
      </c>
      <c r="J14" s="6" t="s">
        <v>29</v>
      </c>
      <c r="K14" s="6" t="str">
        <f>CONCATENATE("221")</f>
        <v>221</v>
      </c>
      <c r="L14" s="6" t="str">
        <f>CONCATENATE("8 8.1 5e")</f>
        <v>8 8.1 5e</v>
      </c>
      <c r="M14" s="6" t="str">
        <f>CONCATENATE("CCCSRG45E31F136P")</f>
        <v>CCCSRG45E31F136P</v>
      </c>
      <c r="N14" s="6" t="s">
        <v>70</v>
      </c>
      <c r="O14" s="6" t="s">
        <v>71</v>
      </c>
      <c r="P14" s="7">
        <v>43117</v>
      </c>
      <c r="Q14" s="6" t="s">
        <v>30</v>
      </c>
      <c r="R14" s="6" t="s">
        <v>31</v>
      </c>
      <c r="S14" s="6" t="s">
        <v>32</v>
      </c>
      <c r="T14" s="6">
        <v>847.58</v>
      </c>
      <c r="U14" s="6">
        <v>365.48</v>
      </c>
      <c r="V14" s="6">
        <v>337.51</v>
      </c>
      <c r="W14" s="6">
        <v>0</v>
      </c>
      <c r="X14" s="6">
        <v>144.59</v>
      </c>
    </row>
    <row r="15" spans="1:24" ht="24.75" x14ac:dyDescent="0.25">
      <c r="A15" s="6" t="s">
        <v>25</v>
      </c>
      <c r="B15" s="6" t="s">
        <v>38</v>
      </c>
      <c r="C15" s="6" t="s">
        <v>44</v>
      </c>
      <c r="D15" s="6" t="s">
        <v>51</v>
      </c>
      <c r="E15" s="6" t="s">
        <v>37</v>
      </c>
      <c r="F15" s="6" t="s">
        <v>72</v>
      </c>
      <c r="G15" s="6">
        <v>2016</v>
      </c>
      <c r="H15" s="6" t="str">
        <f>CONCATENATE("64780072894")</f>
        <v>64780072894</v>
      </c>
      <c r="I15" s="6" t="s">
        <v>28</v>
      </c>
      <c r="J15" s="6" t="s">
        <v>29</v>
      </c>
      <c r="K15" s="6" t="str">
        <f>CONCATENATE("221")</f>
        <v>221</v>
      </c>
      <c r="L15" s="6" t="str">
        <f>CONCATENATE("8 8.1 5e")</f>
        <v>8 8.1 5e</v>
      </c>
      <c r="M15" s="6" t="str">
        <f>CONCATENATE("GGLMPN52P47E388A")</f>
        <v>GGLMPN52P47E388A</v>
      </c>
      <c r="N15" s="6" t="s">
        <v>73</v>
      </c>
      <c r="O15" s="6" t="s">
        <v>74</v>
      </c>
      <c r="P15" s="7">
        <v>43117</v>
      </c>
      <c r="Q15" s="6" t="s">
        <v>30</v>
      </c>
      <c r="R15" s="6" t="s">
        <v>31</v>
      </c>
      <c r="S15" s="6" t="s">
        <v>32</v>
      </c>
      <c r="T15" s="6">
        <v>170.37</v>
      </c>
      <c r="U15" s="6">
        <v>73.459999999999994</v>
      </c>
      <c r="V15" s="6">
        <v>67.84</v>
      </c>
      <c r="W15" s="6">
        <v>0</v>
      </c>
      <c r="X15" s="6">
        <v>29.07</v>
      </c>
    </row>
    <row r="16" spans="1:24" ht="24.75" x14ac:dyDescent="0.25">
      <c r="A16" s="6" t="s">
        <v>25</v>
      </c>
      <c r="B16" s="6" t="s">
        <v>38</v>
      </c>
      <c r="C16" s="6" t="s">
        <v>44</v>
      </c>
      <c r="D16" s="6" t="s">
        <v>48</v>
      </c>
      <c r="E16" s="6" t="s">
        <v>37</v>
      </c>
      <c r="F16" s="6" t="s">
        <v>75</v>
      </c>
      <c r="G16" s="6">
        <v>2016</v>
      </c>
      <c r="H16" s="6" t="str">
        <f>CONCATENATE("64780086266")</f>
        <v>64780086266</v>
      </c>
      <c r="I16" s="6" t="s">
        <v>28</v>
      </c>
      <c r="J16" s="6" t="s">
        <v>29</v>
      </c>
      <c r="K16" s="6" t="str">
        <f>CONCATENATE("221")</f>
        <v>221</v>
      </c>
      <c r="L16" s="6" t="str">
        <f>CONCATENATE("8 8.1 5e")</f>
        <v>8 8.1 5e</v>
      </c>
      <c r="M16" s="6" t="str">
        <f>CONCATENATE("BNCGFR43B19H886H")</f>
        <v>BNCGFR43B19H886H</v>
      </c>
      <c r="N16" s="6" t="s">
        <v>76</v>
      </c>
      <c r="O16" s="6" t="s">
        <v>71</v>
      </c>
      <c r="P16" s="7">
        <v>43117</v>
      </c>
      <c r="Q16" s="6" t="s">
        <v>30</v>
      </c>
      <c r="R16" s="6" t="s">
        <v>31</v>
      </c>
      <c r="S16" s="6" t="s">
        <v>32</v>
      </c>
      <c r="T16" s="8">
        <v>1003.33</v>
      </c>
      <c r="U16" s="6">
        <v>432.64</v>
      </c>
      <c r="V16" s="6">
        <v>399.53</v>
      </c>
      <c r="W16" s="6">
        <v>0</v>
      </c>
      <c r="X16" s="6">
        <v>171.16</v>
      </c>
    </row>
    <row r="17" spans="1:24" ht="24.75" x14ac:dyDescent="0.25">
      <c r="A17" s="6" t="s">
        <v>25</v>
      </c>
      <c r="B17" s="6" t="s">
        <v>38</v>
      </c>
      <c r="C17" s="6" t="s">
        <v>44</v>
      </c>
      <c r="D17" s="6" t="s">
        <v>48</v>
      </c>
      <c r="E17" s="6" t="s">
        <v>37</v>
      </c>
      <c r="F17" s="6" t="s">
        <v>77</v>
      </c>
      <c r="G17" s="6">
        <v>2016</v>
      </c>
      <c r="H17" s="6" t="str">
        <f>CONCATENATE("64780026577")</f>
        <v>64780026577</v>
      </c>
      <c r="I17" s="6" t="s">
        <v>28</v>
      </c>
      <c r="J17" s="6" t="s">
        <v>29</v>
      </c>
      <c r="K17" s="6" t="str">
        <f>CONCATENATE("221")</f>
        <v>221</v>
      </c>
      <c r="L17" s="6" t="str">
        <f>CONCATENATE("8 8.1 5e")</f>
        <v>8 8.1 5e</v>
      </c>
      <c r="M17" s="6" t="str">
        <f>CONCATENATE("BTTGTN61M31I201M")</f>
        <v>BTTGTN61M31I201M</v>
      </c>
      <c r="N17" s="6" t="s">
        <v>78</v>
      </c>
      <c r="O17" s="6" t="s">
        <v>71</v>
      </c>
      <c r="P17" s="7">
        <v>43117</v>
      </c>
      <c r="Q17" s="6" t="s">
        <v>30</v>
      </c>
      <c r="R17" s="6" t="s">
        <v>31</v>
      </c>
      <c r="S17" s="6" t="s">
        <v>32</v>
      </c>
      <c r="T17" s="6">
        <v>217.32</v>
      </c>
      <c r="U17" s="6">
        <v>93.71</v>
      </c>
      <c r="V17" s="6">
        <v>86.54</v>
      </c>
      <c r="W17" s="6">
        <v>0</v>
      </c>
      <c r="X17" s="6">
        <v>37.07</v>
      </c>
    </row>
    <row r="18" spans="1:24" ht="24.75" x14ac:dyDescent="0.25">
      <c r="A18" s="6" t="s">
        <v>25</v>
      </c>
      <c r="B18" s="6" t="s">
        <v>38</v>
      </c>
      <c r="C18" s="6" t="s">
        <v>44</v>
      </c>
      <c r="D18" s="6" t="s">
        <v>79</v>
      </c>
      <c r="E18" s="6" t="s">
        <v>40</v>
      </c>
      <c r="F18" s="6" t="s">
        <v>80</v>
      </c>
      <c r="G18" s="6">
        <v>2016</v>
      </c>
      <c r="H18" s="6" t="str">
        <f>CONCATENATE("64780094153")</f>
        <v>64780094153</v>
      </c>
      <c r="I18" s="6" t="s">
        <v>28</v>
      </c>
      <c r="J18" s="6" t="s">
        <v>29</v>
      </c>
      <c r="K18" s="6" t="str">
        <f>CONCATENATE("221")</f>
        <v>221</v>
      </c>
      <c r="L18" s="6" t="str">
        <f>CONCATENATE("8 8.1 5e")</f>
        <v>8 8.1 5e</v>
      </c>
      <c r="M18" s="6" t="str">
        <f>CONCATENATE("TBRRNI39A62E228W")</f>
        <v>TBRRNI39A62E228W</v>
      </c>
      <c r="N18" s="6" t="s">
        <v>81</v>
      </c>
      <c r="O18" s="6" t="s">
        <v>71</v>
      </c>
      <c r="P18" s="7">
        <v>43117</v>
      </c>
      <c r="Q18" s="6" t="s">
        <v>30</v>
      </c>
      <c r="R18" s="6" t="s">
        <v>31</v>
      </c>
      <c r="S18" s="6" t="s">
        <v>32</v>
      </c>
      <c r="T18" s="6">
        <v>360.36</v>
      </c>
      <c r="U18" s="6">
        <v>155.38999999999999</v>
      </c>
      <c r="V18" s="6">
        <v>143.5</v>
      </c>
      <c r="W18" s="6">
        <v>0</v>
      </c>
      <c r="X18" s="6">
        <v>61.47</v>
      </c>
    </row>
    <row r="19" spans="1:24" ht="24.75" x14ac:dyDescent="0.25">
      <c r="A19" s="6" t="s">
        <v>25</v>
      </c>
      <c r="B19" s="6" t="s">
        <v>38</v>
      </c>
      <c r="C19" s="6" t="s">
        <v>44</v>
      </c>
      <c r="D19" s="6" t="s">
        <v>79</v>
      </c>
      <c r="E19" s="6" t="s">
        <v>37</v>
      </c>
      <c r="F19" s="6" t="s">
        <v>72</v>
      </c>
      <c r="G19" s="6">
        <v>2016</v>
      </c>
      <c r="H19" s="6" t="str">
        <f>CONCATENATE("64780081697")</f>
        <v>64780081697</v>
      </c>
      <c r="I19" s="6" t="s">
        <v>28</v>
      </c>
      <c r="J19" s="6" t="s">
        <v>29</v>
      </c>
      <c r="K19" s="6" t="str">
        <f>CONCATENATE("221")</f>
        <v>221</v>
      </c>
      <c r="L19" s="6" t="str">
        <f>CONCATENATE("8 8.1 5e")</f>
        <v>8 8.1 5e</v>
      </c>
      <c r="M19" s="6" t="str">
        <f>CONCATENATE("01002340428")</f>
        <v>01002340428</v>
      </c>
      <c r="N19" s="6" t="s">
        <v>82</v>
      </c>
      <c r="O19" s="6" t="s">
        <v>71</v>
      </c>
      <c r="P19" s="7">
        <v>43117</v>
      </c>
      <c r="Q19" s="6" t="s">
        <v>30</v>
      </c>
      <c r="R19" s="6" t="s">
        <v>31</v>
      </c>
      <c r="S19" s="6" t="s">
        <v>32</v>
      </c>
      <c r="T19" s="8">
        <v>2806.99</v>
      </c>
      <c r="U19" s="8">
        <v>1210.3699999999999</v>
      </c>
      <c r="V19" s="8">
        <v>1117.74</v>
      </c>
      <c r="W19" s="6">
        <v>0</v>
      </c>
      <c r="X19" s="6">
        <v>478.88</v>
      </c>
    </row>
    <row r="20" spans="1:24" ht="24.75" x14ac:dyDescent="0.25">
      <c r="A20" s="6" t="s">
        <v>25</v>
      </c>
      <c r="B20" s="6" t="s">
        <v>38</v>
      </c>
      <c r="C20" s="6" t="s">
        <v>44</v>
      </c>
      <c r="D20" s="6" t="s">
        <v>51</v>
      </c>
      <c r="E20" s="6" t="s">
        <v>43</v>
      </c>
      <c r="F20" s="6" t="s">
        <v>83</v>
      </c>
      <c r="G20" s="6">
        <v>2016</v>
      </c>
      <c r="H20" s="6" t="str">
        <f>CONCATENATE("64780012783")</f>
        <v>64780012783</v>
      </c>
      <c r="I20" s="6" t="s">
        <v>28</v>
      </c>
      <c r="J20" s="6" t="s">
        <v>29</v>
      </c>
      <c r="K20" s="6" t="str">
        <f>CONCATENATE("221")</f>
        <v>221</v>
      </c>
      <c r="L20" s="6" t="str">
        <f>CONCATENATE("8 8.1 5e")</f>
        <v>8 8.1 5e</v>
      </c>
      <c r="M20" s="6" t="str">
        <f>CONCATENATE("DLCSRG43R18G157T")</f>
        <v>DLCSRG43R18G157T</v>
      </c>
      <c r="N20" s="6" t="s">
        <v>84</v>
      </c>
      <c r="O20" s="6" t="s">
        <v>74</v>
      </c>
      <c r="P20" s="7">
        <v>43117</v>
      </c>
      <c r="Q20" s="6" t="s">
        <v>30</v>
      </c>
      <c r="R20" s="6" t="s">
        <v>31</v>
      </c>
      <c r="S20" s="6" t="s">
        <v>32</v>
      </c>
      <c r="T20" s="6">
        <v>197.33</v>
      </c>
      <c r="U20" s="6">
        <v>85.09</v>
      </c>
      <c r="V20" s="6">
        <v>78.58</v>
      </c>
      <c r="W20" s="6">
        <v>0</v>
      </c>
      <c r="X20" s="6">
        <v>33.659999999999997</v>
      </c>
    </row>
    <row r="21" spans="1:24" ht="24.75" x14ac:dyDescent="0.25">
      <c r="A21" s="6" t="s">
        <v>25</v>
      </c>
      <c r="B21" s="6" t="s">
        <v>38</v>
      </c>
      <c r="C21" s="6" t="s">
        <v>44</v>
      </c>
      <c r="D21" s="6" t="s">
        <v>51</v>
      </c>
      <c r="E21" s="6" t="s">
        <v>43</v>
      </c>
      <c r="F21" s="6" t="s">
        <v>85</v>
      </c>
      <c r="G21" s="6">
        <v>2016</v>
      </c>
      <c r="H21" s="6" t="str">
        <f>CONCATENATE("64780007148")</f>
        <v>64780007148</v>
      </c>
      <c r="I21" s="6" t="s">
        <v>28</v>
      </c>
      <c r="J21" s="6" t="s">
        <v>29</v>
      </c>
      <c r="K21" s="6" t="str">
        <f>CONCATENATE("221")</f>
        <v>221</v>
      </c>
      <c r="L21" s="6" t="str">
        <f>CONCATENATE("8 8.1 5e")</f>
        <v>8 8.1 5e</v>
      </c>
      <c r="M21" s="6" t="str">
        <f>CONCATENATE("DTTCHR78L69D211L")</f>
        <v>DTTCHR78L69D211L</v>
      </c>
      <c r="N21" s="6" t="s">
        <v>86</v>
      </c>
      <c r="O21" s="6" t="s">
        <v>74</v>
      </c>
      <c r="P21" s="7">
        <v>43117</v>
      </c>
      <c r="Q21" s="6" t="s">
        <v>30</v>
      </c>
      <c r="R21" s="6" t="s">
        <v>31</v>
      </c>
      <c r="S21" s="6" t="s">
        <v>32</v>
      </c>
      <c r="T21" s="8">
        <v>1843.2</v>
      </c>
      <c r="U21" s="6">
        <v>794.79</v>
      </c>
      <c r="V21" s="6">
        <v>733.96</v>
      </c>
      <c r="W21" s="6">
        <v>0</v>
      </c>
      <c r="X21" s="6">
        <v>314.45</v>
      </c>
    </row>
    <row r="22" spans="1:24" ht="24.75" x14ac:dyDescent="0.25">
      <c r="A22" s="6" t="s">
        <v>25</v>
      </c>
      <c r="B22" s="6" t="s">
        <v>38</v>
      </c>
      <c r="C22" s="6" t="s">
        <v>44</v>
      </c>
      <c r="D22" s="6" t="s">
        <v>51</v>
      </c>
      <c r="E22" s="6" t="s">
        <v>36</v>
      </c>
      <c r="F22" s="6" t="s">
        <v>87</v>
      </c>
      <c r="G22" s="6">
        <v>2016</v>
      </c>
      <c r="H22" s="6" t="str">
        <f>CONCATENATE("64780037210")</f>
        <v>64780037210</v>
      </c>
      <c r="I22" s="6" t="s">
        <v>28</v>
      </c>
      <c r="J22" s="6" t="s">
        <v>29</v>
      </c>
      <c r="K22" s="6" t="str">
        <f>CONCATENATE("221")</f>
        <v>221</v>
      </c>
      <c r="L22" s="6" t="str">
        <f>CONCATENATE("8 8.1 5e")</f>
        <v>8 8.1 5e</v>
      </c>
      <c r="M22" s="6" t="str">
        <f>CONCATENATE("GNNNMR37C56E388R")</f>
        <v>GNNNMR37C56E388R</v>
      </c>
      <c r="N22" s="6" t="s">
        <v>88</v>
      </c>
      <c r="O22" s="6" t="s">
        <v>74</v>
      </c>
      <c r="P22" s="7">
        <v>43117</v>
      </c>
      <c r="Q22" s="6" t="s">
        <v>30</v>
      </c>
      <c r="R22" s="6" t="s">
        <v>31</v>
      </c>
      <c r="S22" s="6" t="s">
        <v>32</v>
      </c>
      <c r="T22" s="8">
        <v>1034.3800000000001</v>
      </c>
      <c r="U22" s="6">
        <v>446.02</v>
      </c>
      <c r="V22" s="6">
        <v>411.89</v>
      </c>
      <c r="W22" s="6">
        <v>0</v>
      </c>
      <c r="X22" s="6">
        <v>176.47</v>
      </c>
    </row>
    <row r="23" spans="1:24" ht="24.75" x14ac:dyDescent="0.25">
      <c r="A23" s="6" t="s">
        <v>25</v>
      </c>
      <c r="B23" s="6" t="s">
        <v>38</v>
      </c>
      <c r="C23" s="6" t="s">
        <v>44</v>
      </c>
      <c r="D23" s="6" t="s">
        <v>51</v>
      </c>
      <c r="E23" s="6" t="s">
        <v>36</v>
      </c>
      <c r="F23" s="6" t="s">
        <v>87</v>
      </c>
      <c r="G23" s="6">
        <v>2016</v>
      </c>
      <c r="H23" s="6" t="str">
        <f>CONCATENATE("64780037178")</f>
        <v>64780037178</v>
      </c>
      <c r="I23" s="6" t="s">
        <v>28</v>
      </c>
      <c r="J23" s="6" t="s">
        <v>29</v>
      </c>
      <c r="K23" s="6" t="str">
        <f>CONCATENATE("221")</f>
        <v>221</v>
      </c>
      <c r="L23" s="6" t="str">
        <f>CONCATENATE("8 8.1 5e")</f>
        <v>8 8.1 5e</v>
      </c>
      <c r="M23" s="6" t="str">
        <f>CONCATENATE("CNGGLN50E15A769G")</f>
        <v>CNGGLN50E15A769G</v>
      </c>
      <c r="N23" s="6" t="s">
        <v>89</v>
      </c>
      <c r="O23" s="6" t="s">
        <v>74</v>
      </c>
      <c r="P23" s="7">
        <v>43117</v>
      </c>
      <c r="Q23" s="6" t="s">
        <v>30</v>
      </c>
      <c r="R23" s="6" t="s">
        <v>31</v>
      </c>
      <c r="S23" s="6" t="s">
        <v>32</v>
      </c>
      <c r="T23" s="6">
        <v>114.09</v>
      </c>
      <c r="U23" s="6">
        <v>49.2</v>
      </c>
      <c r="V23" s="6">
        <v>45.43</v>
      </c>
      <c r="W23" s="6">
        <v>0</v>
      </c>
      <c r="X23" s="6">
        <v>19.46</v>
      </c>
    </row>
    <row r="24" spans="1:24" ht="24.75" x14ac:dyDescent="0.25">
      <c r="A24" s="6" t="s">
        <v>25</v>
      </c>
      <c r="B24" s="6" t="s">
        <v>38</v>
      </c>
      <c r="C24" s="6" t="s">
        <v>44</v>
      </c>
      <c r="D24" s="6" t="s">
        <v>51</v>
      </c>
      <c r="E24" s="6" t="s">
        <v>41</v>
      </c>
      <c r="F24" s="6" t="s">
        <v>90</v>
      </c>
      <c r="G24" s="6">
        <v>2016</v>
      </c>
      <c r="H24" s="6" t="str">
        <f>CONCATENATE("64780071854")</f>
        <v>64780071854</v>
      </c>
      <c r="I24" s="6" t="s">
        <v>28</v>
      </c>
      <c r="J24" s="6" t="s">
        <v>29</v>
      </c>
      <c r="K24" s="6" t="str">
        <f>CONCATENATE("221")</f>
        <v>221</v>
      </c>
      <c r="L24" s="6" t="str">
        <f>CONCATENATE("8 8.1 5e")</f>
        <v>8 8.1 5e</v>
      </c>
      <c r="M24" s="6" t="str">
        <f>CONCATENATE("BLSPRI43D62A271S")</f>
        <v>BLSPRI43D62A271S</v>
      </c>
      <c r="N24" s="6" t="s">
        <v>91</v>
      </c>
      <c r="O24" s="6" t="s">
        <v>74</v>
      </c>
      <c r="P24" s="7">
        <v>43117</v>
      </c>
      <c r="Q24" s="6" t="s">
        <v>30</v>
      </c>
      <c r="R24" s="6" t="s">
        <v>31</v>
      </c>
      <c r="S24" s="6" t="s">
        <v>32</v>
      </c>
      <c r="T24" s="6">
        <v>118.91</v>
      </c>
      <c r="U24" s="6">
        <v>51.27</v>
      </c>
      <c r="V24" s="6">
        <v>47.35</v>
      </c>
      <c r="W24" s="6">
        <v>0</v>
      </c>
      <c r="X24" s="6">
        <v>20.29</v>
      </c>
    </row>
    <row r="25" spans="1:24" ht="24.75" x14ac:dyDescent="0.25">
      <c r="A25" s="6" t="s">
        <v>25</v>
      </c>
      <c r="B25" s="6" t="s">
        <v>38</v>
      </c>
      <c r="C25" s="6" t="s">
        <v>44</v>
      </c>
      <c r="D25" s="6" t="s">
        <v>51</v>
      </c>
      <c r="E25" s="6" t="s">
        <v>37</v>
      </c>
      <c r="F25" s="6" t="s">
        <v>72</v>
      </c>
      <c r="G25" s="6">
        <v>2016</v>
      </c>
      <c r="H25" s="6" t="str">
        <f>CONCATENATE("64780066029")</f>
        <v>64780066029</v>
      </c>
      <c r="I25" s="6" t="s">
        <v>28</v>
      </c>
      <c r="J25" s="6" t="s">
        <v>29</v>
      </c>
      <c r="K25" s="6" t="str">
        <f>CONCATENATE("221")</f>
        <v>221</v>
      </c>
      <c r="L25" s="6" t="str">
        <f>CONCATENATE("8 8.1 5e")</f>
        <v>8 8.1 5e</v>
      </c>
      <c r="M25" s="6" t="str">
        <f>CONCATENATE("CCCGFR50P22C704V")</f>
        <v>CCCGFR50P22C704V</v>
      </c>
      <c r="N25" s="6" t="s">
        <v>92</v>
      </c>
      <c r="O25" s="6" t="s">
        <v>74</v>
      </c>
      <c r="P25" s="7">
        <v>43117</v>
      </c>
      <c r="Q25" s="6" t="s">
        <v>30</v>
      </c>
      <c r="R25" s="6" t="s">
        <v>31</v>
      </c>
      <c r="S25" s="6" t="s">
        <v>32</v>
      </c>
      <c r="T25" s="6">
        <v>333.49</v>
      </c>
      <c r="U25" s="6">
        <v>143.80000000000001</v>
      </c>
      <c r="V25" s="6">
        <v>132.80000000000001</v>
      </c>
      <c r="W25" s="6">
        <v>0</v>
      </c>
      <c r="X25" s="6">
        <v>56.89</v>
      </c>
    </row>
    <row r="26" spans="1:24" ht="24.75" x14ac:dyDescent="0.25">
      <c r="A26" s="6" t="s">
        <v>25</v>
      </c>
      <c r="B26" s="6" t="s">
        <v>38</v>
      </c>
      <c r="C26" s="6" t="s">
        <v>44</v>
      </c>
      <c r="D26" s="6" t="s">
        <v>51</v>
      </c>
      <c r="E26" s="6" t="s">
        <v>41</v>
      </c>
      <c r="F26" s="6" t="s">
        <v>90</v>
      </c>
      <c r="G26" s="6">
        <v>2016</v>
      </c>
      <c r="H26" s="6" t="str">
        <f>CONCATENATE("64780072423")</f>
        <v>64780072423</v>
      </c>
      <c r="I26" s="6" t="s">
        <v>28</v>
      </c>
      <c r="J26" s="6" t="s">
        <v>29</v>
      </c>
      <c r="K26" s="6" t="str">
        <f>CONCATENATE("221")</f>
        <v>221</v>
      </c>
      <c r="L26" s="6" t="str">
        <f>CONCATENATE("8 8.1 5e")</f>
        <v>8 8.1 5e</v>
      </c>
      <c r="M26" s="6" t="str">
        <f>CONCATENATE("DNRTSN28R67F394Q")</f>
        <v>DNRTSN28R67F394Q</v>
      </c>
      <c r="N26" s="6" t="s">
        <v>93</v>
      </c>
      <c r="O26" s="6" t="s">
        <v>74</v>
      </c>
      <c r="P26" s="7">
        <v>43117</v>
      </c>
      <c r="Q26" s="6" t="s">
        <v>30</v>
      </c>
      <c r="R26" s="6" t="s">
        <v>31</v>
      </c>
      <c r="S26" s="6" t="s">
        <v>32</v>
      </c>
      <c r="T26" s="6">
        <v>294</v>
      </c>
      <c r="U26" s="6">
        <v>126.77</v>
      </c>
      <c r="V26" s="6">
        <v>117.07</v>
      </c>
      <c r="W26" s="6">
        <v>0</v>
      </c>
      <c r="X26" s="6">
        <v>50.16</v>
      </c>
    </row>
    <row r="27" spans="1:24" ht="24.75" x14ac:dyDescent="0.25">
      <c r="A27" s="6" t="s">
        <v>25</v>
      </c>
      <c r="B27" s="6" t="s">
        <v>38</v>
      </c>
      <c r="C27" s="6" t="s">
        <v>44</v>
      </c>
      <c r="D27" s="6" t="s">
        <v>51</v>
      </c>
      <c r="E27" s="6" t="s">
        <v>37</v>
      </c>
      <c r="F27" s="6" t="s">
        <v>72</v>
      </c>
      <c r="G27" s="6">
        <v>2016</v>
      </c>
      <c r="H27" s="6" t="str">
        <f>CONCATENATE("64780072738")</f>
        <v>64780072738</v>
      </c>
      <c r="I27" s="6" t="s">
        <v>28</v>
      </c>
      <c r="J27" s="6" t="s">
        <v>29</v>
      </c>
      <c r="K27" s="6" t="str">
        <f>CONCATENATE("221")</f>
        <v>221</v>
      </c>
      <c r="L27" s="6" t="str">
        <f>CONCATENATE("8 8.1 5e")</f>
        <v>8 8.1 5e</v>
      </c>
      <c r="M27" s="6" t="str">
        <f>CONCATENATE("02084800420")</f>
        <v>02084800420</v>
      </c>
      <c r="N27" s="6" t="s">
        <v>94</v>
      </c>
      <c r="O27" s="6" t="s">
        <v>74</v>
      </c>
      <c r="P27" s="7">
        <v>43117</v>
      </c>
      <c r="Q27" s="6" t="s">
        <v>30</v>
      </c>
      <c r="R27" s="6" t="s">
        <v>31</v>
      </c>
      <c r="S27" s="6" t="s">
        <v>32</v>
      </c>
      <c r="T27" s="6">
        <v>156.16999999999999</v>
      </c>
      <c r="U27" s="6">
        <v>67.34</v>
      </c>
      <c r="V27" s="6">
        <v>62.19</v>
      </c>
      <c r="W27" s="6">
        <v>0</v>
      </c>
      <c r="X27" s="6">
        <v>26.64</v>
      </c>
    </row>
    <row r="28" spans="1:24" ht="24.75" x14ac:dyDescent="0.25">
      <c r="A28" s="6" t="s">
        <v>25</v>
      </c>
      <c r="B28" s="6" t="s">
        <v>38</v>
      </c>
      <c r="C28" s="6" t="s">
        <v>44</v>
      </c>
      <c r="D28" s="6" t="s">
        <v>51</v>
      </c>
      <c r="E28" s="6" t="s">
        <v>37</v>
      </c>
      <c r="F28" s="6" t="s">
        <v>72</v>
      </c>
      <c r="G28" s="6">
        <v>2016</v>
      </c>
      <c r="H28" s="6" t="str">
        <f>CONCATENATE("64780072811")</f>
        <v>64780072811</v>
      </c>
      <c r="I28" s="6" t="s">
        <v>28</v>
      </c>
      <c r="J28" s="6" t="s">
        <v>29</v>
      </c>
      <c r="K28" s="6" t="str">
        <f>CONCATENATE("221")</f>
        <v>221</v>
      </c>
      <c r="L28" s="6" t="str">
        <f>CONCATENATE("8 8.1 5e")</f>
        <v>8 8.1 5e</v>
      </c>
      <c r="M28" s="6" t="str">
        <f>CONCATENATE("FRZNRT51M48C615X")</f>
        <v>FRZNRT51M48C615X</v>
      </c>
      <c r="N28" s="6" t="s">
        <v>95</v>
      </c>
      <c r="O28" s="6" t="s">
        <v>74</v>
      </c>
      <c r="P28" s="7">
        <v>43117</v>
      </c>
      <c r="Q28" s="6" t="s">
        <v>30</v>
      </c>
      <c r="R28" s="6" t="s">
        <v>31</v>
      </c>
      <c r="S28" s="6" t="s">
        <v>32</v>
      </c>
      <c r="T28" s="6">
        <v>88.74</v>
      </c>
      <c r="U28" s="6">
        <v>38.26</v>
      </c>
      <c r="V28" s="6">
        <v>35.340000000000003</v>
      </c>
      <c r="W28" s="6">
        <v>0</v>
      </c>
      <c r="X28" s="6">
        <v>15.14</v>
      </c>
    </row>
    <row r="29" spans="1:24" ht="24.75" x14ac:dyDescent="0.25">
      <c r="A29" s="6" t="s">
        <v>25</v>
      </c>
      <c r="B29" s="6" t="s">
        <v>38</v>
      </c>
      <c r="C29" s="6" t="s">
        <v>44</v>
      </c>
      <c r="D29" s="6" t="s">
        <v>51</v>
      </c>
      <c r="E29" s="6" t="s">
        <v>37</v>
      </c>
      <c r="F29" s="6" t="s">
        <v>96</v>
      </c>
      <c r="G29" s="6">
        <v>2016</v>
      </c>
      <c r="H29" s="6" t="str">
        <f>CONCATENATE("64780058463")</f>
        <v>64780058463</v>
      </c>
      <c r="I29" s="6" t="s">
        <v>28</v>
      </c>
      <c r="J29" s="6" t="s">
        <v>29</v>
      </c>
      <c r="K29" s="6" t="str">
        <f>CONCATENATE("221")</f>
        <v>221</v>
      </c>
      <c r="L29" s="6" t="str">
        <f>CONCATENATE("8 8.1 5e")</f>
        <v>8 8.1 5e</v>
      </c>
      <c r="M29" s="6" t="str">
        <f>CONCATENATE("FRMFBA40L13A271I")</f>
        <v>FRMFBA40L13A271I</v>
      </c>
      <c r="N29" s="6" t="s">
        <v>97</v>
      </c>
      <c r="O29" s="6" t="s">
        <v>74</v>
      </c>
      <c r="P29" s="7">
        <v>43117</v>
      </c>
      <c r="Q29" s="6" t="s">
        <v>30</v>
      </c>
      <c r="R29" s="6" t="s">
        <v>31</v>
      </c>
      <c r="S29" s="6" t="s">
        <v>32</v>
      </c>
      <c r="T29" s="6">
        <v>607.96</v>
      </c>
      <c r="U29" s="6">
        <v>262.14999999999998</v>
      </c>
      <c r="V29" s="6">
        <v>242.09</v>
      </c>
      <c r="W29" s="6">
        <v>0</v>
      </c>
      <c r="X29" s="6">
        <v>103.72</v>
      </c>
    </row>
    <row r="30" spans="1:24" ht="24.75" x14ac:dyDescent="0.25">
      <c r="A30" s="6" t="s">
        <v>25</v>
      </c>
      <c r="B30" s="6" t="s">
        <v>38</v>
      </c>
      <c r="C30" s="6" t="s">
        <v>44</v>
      </c>
      <c r="D30" s="6" t="s">
        <v>51</v>
      </c>
      <c r="E30" s="6" t="s">
        <v>41</v>
      </c>
      <c r="F30" s="6" t="s">
        <v>90</v>
      </c>
      <c r="G30" s="6">
        <v>2016</v>
      </c>
      <c r="H30" s="6" t="str">
        <f>CONCATENATE("64780072548")</f>
        <v>64780072548</v>
      </c>
      <c r="I30" s="6" t="s">
        <v>28</v>
      </c>
      <c r="J30" s="6" t="s">
        <v>29</v>
      </c>
      <c r="K30" s="6" t="str">
        <f>CONCATENATE("221")</f>
        <v>221</v>
      </c>
      <c r="L30" s="6" t="str">
        <f>CONCATENATE("8 8.1 5e")</f>
        <v>8 8.1 5e</v>
      </c>
      <c r="M30" s="6" t="str">
        <f>CONCATENATE("FRILRN62A41C615E")</f>
        <v>FRILRN62A41C615E</v>
      </c>
      <c r="N30" s="6" t="s">
        <v>98</v>
      </c>
      <c r="O30" s="6" t="s">
        <v>74</v>
      </c>
      <c r="P30" s="7">
        <v>43117</v>
      </c>
      <c r="Q30" s="6" t="s">
        <v>30</v>
      </c>
      <c r="R30" s="6" t="s">
        <v>31</v>
      </c>
      <c r="S30" s="6" t="s">
        <v>32</v>
      </c>
      <c r="T30" s="8">
        <v>2174.0300000000002</v>
      </c>
      <c r="U30" s="6">
        <v>937.44</v>
      </c>
      <c r="V30" s="6">
        <v>865.7</v>
      </c>
      <c r="W30" s="6">
        <v>0</v>
      </c>
      <c r="X30" s="6">
        <v>370.89</v>
      </c>
    </row>
    <row r="31" spans="1:24" ht="24.75" x14ac:dyDescent="0.25">
      <c r="A31" s="6" t="s">
        <v>25</v>
      </c>
      <c r="B31" s="6" t="s">
        <v>38</v>
      </c>
      <c r="C31" s="6" t="s">
        <v>44</v>
      </c>
      <c r="D31" s="6" t="s">
        <v>51</v>
      </c>
      <c r="E31" s="6" t="s">
        <v>36</v>
      </c>
      <c r="F31" s="6" t="s">
        <v>99</v>
      </c>
      <c r="G31" s="6">
        <v>2016</v>
      </c>
      <c r="H31" s="6" t="str">
        <f>CONCATENATE("64780035313")</f>
        <v>64780035313</v>
      </c>
      <c r="I31" s="6" t="s">
        <v>28</v>
      </c>
      <c r="J31" s="6" t="s">
        <v>29</v>
      </c>
      <c r="K31" s="6" t="str">
        <f>CONCATENATE("221")</f>
        <v>221</v>
      </c>
      <c r="L31" s="6" t="str">
        <f>CONCATENATE("8 8.1 5e")</f>
        <v>8 8.1 5e</v>
      </c>
      <c r="M31" s="6" t="str">
        <f>CONCATENATE("FRSRSN65E67E483I")</f>
        <v>FRSRSN65E67E483I</v>
      </c>
      <c r="N31" s="6" t="s">
        <v>100</v>
      </c>
      <c r="O31" s="6" t="s">
        <v>74</v>
      </c>
      <c r="P31" s="7">
        <v>43117</v>
      </c>
      <c r="Q31" s="6" t="s">
        <v>30</v>
      </c>
      <c r="R31" s="6" t="s">
        <v>31</v>
      </c>
      <c r="S31" s="6" t="s">
        <v>32</v>
      </c>
      <c r="T31" s="6">
        <v>114.09</v>
      </c>
      <c r="U31" s="6">
        <v>49.2</v>
      </c>
      <c r="V31" s="6">
        <v>45.43</v>
      </c>
      <c r="W31" s="6">
        <v>0</v>
      </c>
      <c r="X31" s="6">
        <v>19.46</v>
      </c>
    </row>
    <row r="32" spans="1:24" ht="24.75" x14ac:dyDescent="0.25">
      <c r="A32" s="6" t="s">
        <v>25</v>
      </c>
      <c r="B32" s="6" t="s">
        <v>38</v>
      </c>
      <c r="C32" s="6" t="s">
        <v>44</v>
      </c>
      <c r="D32" s="6" t="s">
        <v>51</v>
      </c>
      <c r="E32" s="6" t="s">
        <v>43</v>
      </c>
      <c r="F32" s="6" t="s">
        <v>101</v>
      </c>
      <c r="G32" s="6">
        <v>2016</v>
      </c>
      <c r="H32" s="6" t="str">
        <f>CONCATENATE("64780012908")</f>
        <v>64780012908</v>
      </c>
      <c r="I32" s="6" t="s">
        <v>28</v>
      </c>
      <c r="J32" s="6" t="s">
        <v>29</v>
      </c>
      <c r="K32" s="6" t="str">
        <f>CONCATENATE("221")</f>
        <v>221</v>
      </c>
      <c r="L32" s="6" t="str">
        <f>CONCATENATE("8 8.1 5e")</f>
        <v>8 8.1 5e</v>
      </c>
      <c r="M32" s="6" t="str">
        <f>CONCATENATE("FRTDVD67H15A271V")</f>
        <v>FRTDVD67H15A271V</v>
      </c>
      <c r="N32" s="6" t="s">
        <v>102</v>
      </c>
      <c r="O32" s="6" t="s">
        <v>74</v>
      </c>
      <c r="P32" s="7">
        <v>43117</v>
      </c>
      <c r="Q32" s="6" t="s">
        <v>30</v>
      </c>
      <c r="R32" s="6" t="s">
        <v>31</v>
      </c>
      <c r="S32" s="6" t="s">
        <v>32</v>
      </c>
      <c r="T32" s="6">
        <v>182.91</v>
      </c>
      <c r="U32" s="6">
        <v>78.87</v>
      </c>
      <c r="V32" s="6">
        <v>72.83</v>
      </c>
      <c r="W32" s="6">
        <v>0</v>
      </c>
      <c r="X32" s="6">
        <v>31.21</v>
      </c>
    </row>
    <row r="33" spans="1:24" ht="24.75" x14ac:dyDescent="0.25">
      <c r="A33" s="6" t="s">
        <v>25</v>
      </c>
      <c r="B33" s="6" t="s">
        <v>38</v>
      </c>
      <c r="C33" s="6" t="s">
        <v>44</v>
      </c>
      <c r="D33" s="6" t="s">
        <v>51</v>
      </c>
      <c r="E33" s="6" t="s">
        <v>37</v>
      </c>
      <c r="F33" s="6" t="s">
        <v>103</v>
      </c>
      <c r="G33" s="6">
        <v>2016</v>
      </c>
      <c r="H33" s="6" t="str">
        <f>CONCATENATE("64780055196")</f>
        <v>64780055196</v>
      </c>
      <c r="I33" s="6" t="s">
        <v>28</v>
      </c>
      <c r="J33" s="6" t="s">
        <v>29</v>
      </c>
      <c r="K33" s="6" t="str">
        <f>CONCATENATE("221")</f>
        <v>221</v>
      </c>
      <c r="L33" s="6" t="str">
        <f>CONCATENATE("8 8.1 5e")</f>
        <v>8 8.1 5e</v>
      </c>
      <c r="M33" s="6" t="str">
        <f>CONCATENATE("FRBGPP46M05D007R")</f>
        <v>FRBGPP46M05D007R</v>
      </c>
      <c r="N33" s="6" t="s">
        <v>104</v>
      </c>
      <c r="O33" s="6" t="s">
        <v>74</v>
      </c>
      <c r="P33" s="7">
        <v>43117</v>
      </c>
      <c r="Q33" s="6" t="s">
        <v>30</v>
      </c>
      <c r="R33" s="6" t="s">
        <v>31</v>
      </c>
      <c r="S33" s="6" t="s">
        <v>32</v>
      </c>
      <c r="T33" s="6">
        <v>206.45</v>
      </c>
      <c r="U33" s="6">
        <v>89.02</v>
      </c>
      <c r="V33" s="6">
        <v>82.21</v>
      </c>
      <c r="W33" s="6">
        <v>0</v>
      </c>
      <c r="X33" s="6">
        <v>35.22</v>
      </c>
    </row>
    <row r="34" spans="1:24" ht="24.75" x14ac:dyDescent="0.25">
      <c r="A34" s="6" t="s">
        <v>25</v>
      </c>
      <c r="B34" s="6" t="s">
        <v>38</v>
      </c>
      <c r="C34" s="6" t="s">
        <v>44</v>
      </c>
      <c r="D34" s="6" t="s">
        <v>51</v>
      </c>
      <c r="E34" s="6" t="s">
        <v>37</v>
      </c>
      <c r="F34" s="6" t="s">
        <v>103</v>
      </c>
      <c r="G34" s="6">
        <v>2016</v>
      </c>
      <c r="H34" s="6" t="str">
        <f>CONCATENATE("64780055253")</f>
        <v>64780055253</v>
      </c>
      <c r="I34" s="6" t="s">
        <v>28</v>
      </c>
      <c r="J34" s="6" t="s">
        <v>29</v>
      </c>
      <c r="K34" s="6" t="str">
        <f>CONCATENATE("221")</f>
        <v>221</v>
      </c>
      <c r="L34" s="6" t="str">
        <f>CONCATENATE("8 8.1 5e")</f>
        <v>8 8.1 5e</v>
      </c>
      <c r="M34" s="6" t="str">
        <f>CONCATENATE("FRBSML55D22D007A")</f>
        <v>FRBSML55D22D007A</v>
      </c>
      <c r="N34" s="6" t="s">
        <v>105</v>
      </c>
      <c r="O34" s="6" t="s">
        <v>74</v>
      </c>
      <c r="P34" s="7">
        <v>43117</v>
      </c>
      <c r="Q34" s="6" t="s">
        <v>30</v>
      </c>
      <c r="R34" s="6" t="s">
        <v>31</v>
      </c>
      <c r="S34" s="6" t="s">
        <v>32</v>
      </c>
      <c r="T34" s="6">
        <v>206.45</v>
      </c>
      <c r="U34" s="6">
        <v>89.02</v>
      </c>
      <c r="V34" s="6">
        <v>82.21</v>
      </c>
      <c r="W34" s="6">
        <v>0</v>
      </c>
      <c r="X34" s="6">
        <v>35.22</v>
      </c>
    </row>
    <row r="35" spans="1:24" ht="24.75" x14ac:dyDescent="0.25">
      <c r="A35" s="6" t="s">
        <v>25</v>
      </c>
      <c r="B35" s="6" t="s">
        <v>38</v>
      </c>
      <c r="C35" s="6" t="s">
        <v>44</v>
      </c>
      <c r="D35" s="6" t="s">
        <v>51</v>
      </c>
      <c r="E35" s="6" t="s">
        <v>37</v>
      </c>
      <c r="F35" s="6" t="s">
        <v>72</v>
      </c>
      <c r="G35" s="6">
        <v>2016</v>
      </c>
      <c r="H35" s="6" t="str">
        <f>CONCATENATE("64780072878")</f>
        <v>64780072878</v>
      </c>
      <c r="I35" s="6" t="s">
        <v>28</v>
      </c>
      <c r="J35" s="6" t="s">
        <v>29</v>
      </c>
      <c r="K35" s="6" t="str">
        <f>CONCATENATE("221")</f>
        <v>221</v>
      </c>
      <c r="L35" s="6" t="str">
        <f>CONCATENATE("8 8.1 5e")</f>
        <v>8 8.1 5e</v>
      </c>
      <c r="M35" s="6" t="str">
        <f>CONCATENATE("GGLCLD57B01E388O")</f>
        <v>GGLCLD57B01E388O</v>
      </c>
      <c r="N35" s="6" t="s">
        <v>106</v>
      </c>
      <c r="O35" s="6" t="s">
        <v>74</v>
      </c>
      <c r="P35" s="7">
        <v>43117</v>
      </c>
      <c r="Q35" s="6" t="s">
        <v>30</v>
      </c>
      <c r="R35" s="6" t="s">
        <v>31</v>
      </c>
      <c r="S35" s="6" t="s">
        <v>32</v>
      </c>
      <c r="T35" s="6">
        <v>166.83</v>
      </c>
      <c r="U35" s="6">
        <v>71.94</v>
      </c>
      <c r="V35" s="6">
        <v>66.430000000000007</v>
      </c>
      <c r="W35" s="6">
        <v>0</v>
      </c>
      <c r="X35" s="6">
        <v>28.46</v>
      </c>
    </row>
    <row r="36" spans="1:24" ht="24.75" x14ac:dyDescent="0.25">
      <c r="A36" s="6" t="s">
        <v>25</v>
      </c>
      <c r="B36" s="6" t="s">
        <v>38</v>
      </c>
      <c r="C36" s="6" t="s">
        <v>44</v>
      </c>
      <c r="D36" s="6" t="s">
        <v>51</v>
      </c>
      <c r="E36" s="6" t="s">
        <v>36</v>
      </c>
      <c r="F36" s="6" t="s">
        <v>99</v>
      </c>
      <c r="G36" s="6">
        <v>2016</v>
      </c>
      <c r="H36" s="6" t="str">
        <f>CONCATENATE("64780042616")</f>
        <v>64780042616</v>
      </c>
      <c r="I36" s="6" t="s">
        <v>28</v>
      </c>
      <c r="J36" s="6" t="s">
        <v>29</v>
      </c>
      <c r="K36" s="6" t="str">
        <f>CONCATENATE("221")</f>
        <v>221</v>
      </c>
      <c r="L36" s="6" t="str">
        <f>CONCATENATE("8 8.1 5e")</f>
        <v>8 8.1 5e</v>
      </c>
      <c r="M36" s="6" t="str">
        <f>CONCATENATE("TMNLRA75P67A271V")</f>
        <v>TMNLRA75P67A271V</v>
      </c>
      <c r="N36" s="6" t="s">
        <v>107</v>
      </c>
      <c r="O36" s="6" t="s">
        <v>74</v>
      </c>
      <c r="P36" s="7">
        <v>43117</v>
      </c>
      <c r="Q36" s="6" t="s">
        <v>30</v>
      </c>
      <c r="R36" s="6" t="s">
        <v>31</v>
      </c>
      <c r="S36" s="6" t="s">
        <v>32</v>
      </c>
      <c r="T36" s="8">
        <v>3267</v>
      </c>
      <c r="U36" s="8">
        <v>1408.73</v>
      </c>
      <c r="V36" s="8">
        <v>1300.92</v>
      </c>
      <c r="W36" s="6">
        <v>0</v>
      </c>
      <c r="X36" s="6">
        <v>557.35</v>
      </c>
    </row>
    <row r="37" spans="1:24" ht="24.75" x14ac:dyDescent="0.25">
      <c r="A37" s="6" t="s">
        <v>25</v>
      </c>
      <c r="B37" s="6" t="s">
        <v>38</v>
      </c>
      <c r="C37" s="6" t="s">
        <v>44</v>
      </c>
      <c r="D37" s="6" t="s">
        <v>51</v>
      </c>
      <c r="E37" s="6" t="s">
        <v>43</v>
      </c>
      <c r="F37" s="6" t="s">
        <v>108</v>
      </c>
      <c r="G37" s="6">
        <v>2016</v>
      </c>
      <c r="H37" s="6" t="str">
        <f>CONCATENATE("64780029787")</f>
        <v>64780029787</v>
      </c>
      <c r="I37" s="6" t="s">
        <v>33</v>
      </c>
      <c r="J37" s="6" t="s">
        <v>29</v>
      </c>
      <c r="K37" s="6" t="str">
        <f>CONCATENATE("221")</f>
        <v>221</v>
      </c>
      <c r="L37" s="6" t="str">
        <f>CONCATENATE("8 8.1 5e")</f>
        <v>8 8.1 5e</v>
      </c>
      <c r="M37" s="6" t="str">
        <f>CONCATENATE("STCGLC69R18D597M")</f>
        <v>STCGLC69R18D597M</v>
      </c>
      <c r="N37" s="6" t="s">
        <v>109</v>
      </c>
      <c r="O37" s="6" t="s">
        <v>74</v>
      </c>
      <c r="P37" s="7">
        <v>43117</v>
      </c>
      <c r="Q37" s="6" t="s">
        <v>30</v>
      </c>
      <c r="R37" s="6" t="s">
        <v>31</v>
      </c>
      <c r="S37" s="6" t="s">
        <v>32</v>
      </c>
      <c r="T37" s="8">
        <v>6700.8</v>
      </c>
      <c r="U37" s="8">
        <v>2889.38</v>
      </c>
      <c r="V37" s="8">
        <v>2668.26</v>
      </c>
      <c r="W37" s="6">
        <v>0</v>
      </c>
      <c r="X37" s="8">
        <v>1143.1600000000001</v>
      </c>
    </row>
    <row r="38" spans="1:24" ht="24.75" x14ac:dyDescent="0.25">
      <c r="A38" s="6" t="s">
        <v>25</v>
      </c>
      <c r="B38" s="6" t="s">
        <v>38</v>
      </c>
      <c r="C38" s="6" t="s">
        <v>44</v>
      </c>
      <c r="D38" s="6" t="s">
        <v>51</v>
      </c>
      <c r="E38" s="6" t="s">
        <v>41</v>
      </c>
      <c r="F38" s="6" t="s">
        <v>90</v>
      </c>
      <c r="G38" s="6">
        <v>2016</v>
      </c>
      <c r="H38" s="6" t="str">
        <f>CONCATENATE("64780075178")</f>
        <v>64780075178</v>
      </c>
      <c r="I38" s="6" t="s">
        <v>28</v>
      </c>
      <c r="J38" s="6" t="s">
        <v>29</v>
      </c>
      <c r="K38" s="6" t="str">
        <f>CONCATENATE("221")</f>
        <v>221</v>
      </c>
      <c r="L38" s="6" t="str">
        <f>CONCATENATE("8 8.1 5e")</f>
        <v>8 8.1 5e</v>
      </c>
      <c r="M38" s="6" t="str">
        <f>CONCATENATE("FRRFNC62C10E388X")</f>
        <v>FRRFNC62C10E388X</v>
      </c>
      <c r="N38" s="6" t="s">
        <v>110</v>
      </c>
      <c r="O38" s="6" t="s">
        <v>74</v>
      </c>
      <c r="P38" s="7">
        <v>43117</v>
      </c>
      <c r="Q38" s="6" t="s">
        <v>30</v>
      </c>
      <c r="R38" s="6" t="s">
        <v>31</v>
      </c>
      <c r="S38" s="6" t="s">
        <v>32</v>
      </c>
      <c r="T38" s="6">
        <v>630.04</v>
      </c>
      <c r="U38" s="6">
        <v>271.67</v>
      </c>
      <c r="V38" s="6">
        <v>250.88</v>
      </c>
      <c r="W38" s="6">
        <v>0</v>
      </c>
      <c r="X38" s="6">
        <v>107.49</v>
      </c>
    </row>
    <row r="39" spans="1:24" ht="24.75" x14ac:dyDescent="0.25">
      <c r="A39" s="6" t="s">
        <v>25</v>
      </c>
      <c r="B39" s="6" t="s">
        <v>38</v>
      </c>
      <c r="C39" s="6" t="s">
        <v>44</v>
      </c>
      <c r="D39" s="6" t="s">
        <v>51</v>
      </c>
      <c r="E39" s="6" t="s">
        <v>43</v>
      </c>
      <c r="F39" s="6" t="s">
        <v>101</v>
      </c>
      <c r="G39" s="6">
        <v>2016</v>
      </c>
      <c r="H39" s="6" t="str">
        <f>CONCATENATE("64780060196")</f>
        <v>64780060196</v>
      </c>
      <c r="I39" s="6" t="s">
        <v>28</v>
      </c>
      <c r="J39" s="6" t="s">
        <v>29</v>
      </c>
      <c r="K39" s="6" t="str">
        <f>CONCATENATE("221")</f>
        <v>221</v>
      </c>
      <c r="L39" s="6" t="str">
        <f>CONCATENATE("8 8.1 5e")</f>
        <v>8 8.1 5e</v>
      </c>
      <c r="M39" s="6" t="str">
        <f>CONCATENATE("CRLFLL44H51A271P")</f>
        <v>CRLFLL44H51A271P</v>
      </c>
      <c r="N39" s="6" t="s">
        <v>111</v>
      </c>
      <c r="O39" s="6" t="s">
        <v>74</v>
      </c>
      <c r="P39" s="7">
        <v>43117</v>
      </c>
      <c r="Q39" s="6" t="s">
        <v>30</v>
      </c>
      <c r="R39" s="6" t="s">
        <v>31</v>
      </c>
      <c r="S39" s="6" t="s">
        <v>32</v>
      </c>
      <c r="T39" s="6">
        <v>358.4</v>
      </c>
      <c r="U39" s="6">
        <v>154.54</v>
      </c>
      <c r="V39" s="6">
        <v>142.71</v>
      </c>
      <c r="W39" s="6">
        <v>0</v>
      </c>
      <c r="X39" s="6">
        <v>61.15</v>
      </c>
    </row>
    <row r="40" spans="1:24" ht="24.75" x14ac:dyDescent="0.25">
      <c r="A40" s="6" t="s">
        <v>25</v>
      </c>
      <c r="B40" s="6" t="s">
        <v>38</v>
      </c>
      <c r="C40" s="6" t="s">
        <v>44</v>
      </c>
      <c r="D40" s="6" t="s">
        <v>51</v>
      </c>
      <c r="E40" s="6" t="s">
        <v>37</v>
      </c>
      <c r="F40" s="6" t="s">
        <v>112</v>
      </c>
      <c r="G40" s="6">
        <v>2016</v>
      </c>
      <c r="H40" s="6" t="str">
        <f>CONCATENATE("64780077034")</f>
        <v>64780077034</v>
      </c>
      <c r="I40" s="6" t="s">
        <v>28</v>
      </c>
      <c r="J40" s="6" t="s">
        <v>29</v>
      </c>
      <c r="K40" s="6" t="str">
        <f>CONCATENATE("221")</f>
        <v>221</v>
      </c>
      <c r="L40" s="6" t="str">
        <f>CONCATENATE("8 8.1 5e")</f>
        <v>8 8.1 5e</v>
      </c>
      <c r="M40" s="6" t="str">
        <f>CONCATENATE("01292470422")</f>
        <v>01292470422</v>
      </c>
      <c r="N40" s="6" t="s">
        <v>113</v>
      </c>
      <c r="O40" s="6" t="s">
        <v>74</v>
      </c>
      <c r="P40" s="7">
        <v>43117</v>
      </c>
      <c r="Q40" s="6" t="s">
        <v>30</v>
      </c>
      <c r="R40" s="6" t="s">
        <v>31</v>
      </c>
      <c r="S40" s="6" t="s">
        <v>32</v>
      </c>
      <c r="T40" s="8">
        <v>2263.8000000000002</v>
      </c>
      <c r="U40" s="6">
        <v>976.15</v>
      </c>
      <c r="V40" s="6">
        <v>901.45</v>
      </c>
      <c r="W40" s="6">
        <v>0</v>
      </c>
      <c r="X40" s="6">
        <v>386.2</v>
      </c>
    </row>
    <row r="41" spans="1:24" ht="24.75" x14ac:dyDescent="0.25">
      <c r="A41" s="6" t="s">
        <v>25</v>
      </c>
      <c r="B41" s="6" t="s">
        <v>38</v>
      </c>
      <c r="C41" s="6" t="s">
        <v>44</v>
      </c>
      <c r="D41" s="6" t="s">
        <v>51</v>
      </c>
      <c r="E41" s="6" t="s">
        <v>37</v>
      </c>
      <c r="F41" s="6" t="s">
        <v>72</v>
      </c>
      <c r="G41" s="6">
        <v>2016</v>
      </c>
      <c r="H41" s="6" t="str">
        <f>CONCATENATE("64780063463")</f>
        <v>64780063463</v>
      </c>
      <c r="I41" s="6" t="s">
        <v>28</v>
      </c>
      <c r="J41" s="6" t="s">
        <v>29</v>
      </c>
      <c r="K41" s="6" t="str">
        <f>CONCATENATE("221")</f>
        <v>221</v>
      </c>
      <c r="L41" s="6" t="str">
        <f>CONCATENATE("8 8.1 5e")</f>
        <v>8 8.1 5e</v>
      </c>
      <c r="M41" s="6" t="str">
        <f>CONCATENATE("BLDVCN58S24A769P")</f>
        <v>BLDVCN58S24A769P</v>
      </c>
      <c r="N41" s="6" t="s">
        <v>114</v>
      </c>
      <c r="O41" s="6" t="s">
        <v>74</v>
      </c>
      <c r="P41" s="7">
        <v>43117</v>
      </c>
      <c r="Q41" s="6" t="s">
        <v>30</v>
      </c>
      <c r="R41" s="6" t="s">
        <v>31</v>
      </c>
      <c r="S41" s="6" t="s">
        <v>32</v>
      </c>
      <c r="T41" s="8">
        <v>1039.0999999999999</v>
      </c>
      <c r="U41" s="6">
        <v>448.06</v>
      </c>
      <c r="V41" s="6">
        <v>413.77</v>
      </c>
      <c r="W41" s="6">
        <v>0</v>
      </c>
      <c r="X41" s="6">
        <v>177.27</v>
      </c>
    </row>
    <row r="42" spans="1:24" ht="24.75" x14ac:dyDescent="0.25">
      <c r="A42" s="6" t="s">
        <v>25</v>
      </c>
      <c r="B42" s="6" t="s">
        <v>38</v>
      </c>
      <c r="C42" s="6" t="s">
        <v>44</v>
      </c>
      <c r="D42" s="6" t="s">
        <v>51</v>
      </c>
      <c r="E42" s="6" t="s">
        <v>41</v>
      </c>
      <c r="F42" s="6" t="s">
        <v>90</v>
      </c>
      <c r="G42" s="6">
        <v>2016</v>
      </c>
      <c r="H42" s="6" t="str">
        <f>CONCATENATE("64780080699")</f>
        <v>64780080699</v>
      </c>
      <c r="I42" s="6" t="s">
        <v>28</v>
      </c>
      <c r="J42" s="6" t="s">
        <v>29</v>
      </c>
      <c r="K42" s="6" t="str">
        <f>CONCATENATE("221")</f>
        <v>221</v>
      </c>
      <c r="L42" s="6" t="str">
        <f>CONCATENATE("8 8.1 5e")</f>
        <v>8 8.1 5e</v>
      </c>
      <c r="M42" s="6" t="str">
        <f>CONCATENATE("BLDPRZ60T62D451T")</f>
        <v>BLDPRZ60T62D451T</v>
      </c>
      <c r="N42" s="6" t="s">
        <v>115</v>
      </c>
      <c r="O42" s="6" t="s">
        <v>74</v>
      </c>
      <c r="P42" s="7">
        <v>43117</v>
      </c>
      <c r="Q42" s="6" t="s">
        <v>30</v>
      </c>
      <c r="R42" s="6" t="s">
        <v>31</v>
      </c>
      <c r="S42" s="6" t="s">
        <v>32</v>
      </c>
      <c r="T42" s="6">
        <v>555.32000000000005</v>
      </c>
      <c r="U42" s="6">
        <v>239.45</v>
      </c>
      <c r="V42" s="6">
        <v>221.13</v>
      </c>
      <c r="W42" s="6">
        <v>0</v>
      </c>
      <c r="X42" s="6">
        <v>94.74</v>
      </c>
    </row>
    <row r="43" spans="1:24" ht="24.75" x14ac:dyDescent="0.25">
      <c r="A43" s="6" t="s">
        <v>25</v>
      </c>
      <c r="B43" s="6" t="s">
        <v>38</v>
      </c>
      <c r="C43" s="6" t="s">
        <v>44</v>
      </c>
      <c r="D43" s="6" t="s">
        <v>51</v>
      </c>
      <c r="E43" s="6" t="s">
        <v>36</v>
      </c>
      <c r="F43" s="6" t="s">
        <v>116</v>
      </c>
      <c r="G43" s="6">
        <v>2016</v>
      </c>
      <c r="H43" s="6" t="str">
        <f>CONCATENATE("64780045940")</f>
        <v>64780045940</v>
      </c>
      <c r="I43" s="6" t="s">
        <v>33</v>
      </c>
      <c r="J43" s="6" t="s">
        <v>29</v>
      </c>
      <c r="K43" s="6" t="str">
        <f>CONCATENATE("221")</f>
        <v>221</v>
      </c>
      <c r="L43" s="6" t="str">
        <f>CONCATENATE("8 8.1 5e")</f>
        <v>8 8.1 5e</v>
      </c>
      <c r="M43" s="6" t="str">
        <f>CONCATENATE("BTTRNN81A59A271M")</f>
        <v>BTTRNN81A59A271M</v>
      </c>
      <c r="N43" s="6" t="s">
        <v>117</v>
      </c>
      <c r="O43" s="6" t="s">
        <v>74</v>
      </c>
      <c r="P43" s="7">
        <v>43117</v>
      </c>
      <c r="Q43" s="6" t="s">
        <v>30</v>
      </c>
      <c r="R43" s="6" t="s">
        <v>31</v>
      </c>
      <c r="S43" s="6" t="s">
        <v>32</v>
      </c>
      <c r="T43" s="8">
        <v>1196.8</v>
      </c>
      <c r="U43" s="6">
        <v>516.05999999999995</v>
      </c>
      <c r="V43" s="6">
        <v>476.57</v>
      </c>
      <c r="W43" s="6">
        <v>0</v>
      </c>
      <c r="X43" s="6">
        <v>204.17</v>
      </c>
    </row>
    <row r="44" spans="1:24" ht="24.75" x14ac:dyDescent="0.25">
      <c r="A44" s="6" t="s">
        <v>25</v>
      </c>
      <c r="B44" s="6" t="s">
        <v>38</v>
      </c>
      <c r="C44" s="6" t="s">
        <v>44</v>
      </c>
      <c r="D44" s="6" t="s">
        <v>51</v>
      </c>
      <c r="E44" s="6" t="s">
        <v>37</v>
      </c>
      <c r="F44" s="6" t="s">
        <v>72</v>
      </c>
      <c r="G44" s="6">
        <v>2016</v>
      </c>
      <c r="H44" s="6" t="str">
        <f>CONCATENATE("64780072944")</f>
        <v>64780072944</v>
      </c>
      <c r="I44" s="6" t="s">
        <v>28</v>
      </c>
      <c r="J44" s="6" t="s">
        <v>29</v>
      </c>
      <c r="K44" s="6" t="str">
        <f>CONCATENATE("221")</f>
        <v>221</v>
      </c>
      <c r="L44" s="6" t="str">
        <f>CONCATENATE("8 8.1 5e")</f>
        <v>8 8.1 5e</v>
      </c>
      <c r="M44" s="6" t="str">
        <f>CONCATENATE("GGLRLL50C56E388D")</f>
        <v>GGLRLL50C56E388D</v>
      </c>
      <c r="N44" s="6" t="s">
        <v>118</v>
      </c>
      <c r="O44" s="6" t="s">
        <v>74</v>
      </c>
      <c r="P44" s="7">
        <v>43117</v>
      </c>
      <c r="Q44" s="6" t="s">
        <v>30</v>
      </c>
      <c r="R44" s="6" t="s">
        <v>31</v>
      </c>
      <c r="S44" s="6" t="s">
        <v>32</v>
      </c>
      <c r="T44" s="6">
        <v>163.28</v>
      </c>
      <c r="U44" s="6">
        <v>70.41</v>
      </c>
      <c r="V44" s="6">
        <v>65.02</v>
      </c>
      <c r="W44" s="6">
        <v>0</v>
      </c>
      <c r="X44" s="6">
        <v>27.85</v>
      </c>
    </row>
    <row r="45" spans="1:24" ht="24.75" x14ac:dyDescent="0.25">
      <c r="A45" s="6" t="s">
        <v>25</v>
      </c>
      <c r="B45" s="6" t="s">
        <v>38</v>
      </c>
      <c r="C45" s="6" t="s">
        <v>44</v>
      </c>
      <c r="D45" s="6" t="s">
        <v>51</v>
      </c>
      <c r="E45" s="6" t="s">
        <v>36</v>
      </c>
      <c r="F45" s="6" t="s">
        <v>116</v>
      </c>
      <c r="G45" s="6">
        <v>2016</v>
      </c>
      <c r="H45" s="6" t="str">
        <f>CONCATENATE("64780057226")</f>
        <v>64780057226</v>
      </c>
      <c r="I45" s="6" t="s">
        <v>28</v>
      </c>
      <c r="J45" s="6" t="s">
        <v>29</v>
      </c>
      <c r="K45" s="6" t="str">
        <f>CONCATENATE("221")</f>
        <v>221</v>
      </c>
      <c r="L45" s="6" t="str">
        <f>CONCATENATE("8 8.1 5e")</f>
        <v>8 8.1 5e</v>
      </c>
      <c r="M45" s="6" t="str">
        <f>CONCATENATE("GRRRSR63S28L117K")</f>
        <v>GRRRSR63S28L117K</v>
      </c>
      <c r="N45" s="6" t="s">
        <v>119</v>
      </c>
      <c r="O45" s="6" t="s">
        <v>74</v>
      </c>
      <c r="P45" s="7">
        <v>43117</v>
      </c>
      <c r="Q45" s="6" t="s">
        <v>30</v>
      </c>
      <c r="R45" s="6" t="s">
        <v>31</v>
      </c>
      <c r="S45" s="6" t="s">
        <v>32</v>
      </c>
      <c r="T45" s="8">
        <v>1117.3800000000001</v>
      </c>
      <c r="U45" s="6">
        <v>481.81</v>
      </c>
      <c r="V45" s="6">
        <v>444.94</v>
      </c>
      <c r="W45" s="6">
        <v>0</v>
      </c>
      <c r="X45" s="6">
        <v>190.63</v>
      </c>
    </row>
    <row r="46" spans="1:24" ht="24.75" x14ac:dyDescent="0.25">
      <c r="A46" s="6" t="s">
        <v>25</v>
      </c>
      <c r="B46" s="6" t="s">
        <v>38</v>
      </c>
      <c r="C46" s="6" t="s">
        <v>44</v>
      </c>
      <c r="D46" s="6" t="s">
        <v>51</v>
      </c>
      <c r="E46" s="6" t="s">
        <v>37</v>
      </c>
      <c r="F46" s="6" t="s">
        <v>72</v>
      </c>
      <c r="G46" s="6">
        <v>2016</v>
      </c>
      <c r="H46" s="6" t="str">
        <f>CONCATENATE("64780075723")</f>
        <v>64780075723</v>
      </c>
      <c r="I46" s="6" t="s">
        <v>28</v>
      </c>
      <c r="J46" s="6" t="s">
        <v>29</v>
      </c>
      <c r="K46" s="6" t="str">
        <f>CONCATENATE("221")</f>
        <v>221</v>
      </c>
      <c r="L46" s="6" t="str">
        <f>CONCATENATE("8 8.1 5e")</f>
        <v>8 8.1 5e</v>
      </c>
      <c r="M46" s="6" t="str">
        <f>CONCATENATE("CRSGNN32E20I653Z")</f>
        <v>CRSGNN32E20I653Z</v>
      </c>
      <c r="N46" s="6" t="s">
        <v>120</v>
      </c>
      <c r="O46" s="6" t="s">
        <v>74</v>
      </c>
      <c r="P46" s="7">
        <v>43117</v>
      </c>
      <c r="Q46" s="6" t="s">
        <v>30</v>
      </c>
      <c r="R46" s="6" t="s">
        <v>31</v>
      </c>
      <c r="S46" s="6" t="s">
        <v>32</v>
      </c>
      <c r="T46" s="6">
        <v>931.59</v>
      </c>
      <c r="U46" s="6">
        <v>401.7</v>
      </c>
      <c r="V46" s="6">
        <v>370.96</v>
      </c>
      <c r="W46" s="6">
        <v>0</v>
      </c>
      <c r="X46" s="6">
        <v>158.93</v>
      </c>
    </row>
    <row r="47" spans="1:24" ht="24.75" x14ac:dyDescent="0.25">
      <c r="A47" s="6" t="s">
        <v>25</v>
      </c>
      <c r="B47" s="6" t="s">
        <v>38</v>
      </c>
      <c r="C47" s="6" t="s">
        <v>44</v>
      </c>
      <c r="D47" s="6" t="s">
        <v>51</v>
      </c>
      <c r="E47" s="6" t="s">
        <v>36</v>
      </c>
      <c r="F47" s="6" t="s">
        <v>121</v>
      </c>
      <c r="G47" s="6">
        <v>2016</v>
      </c>
      <c r="H47" s="6" t="str">
        <f>CONCATENATE("64780049124")</f>
        <v>64780049124</v>
      </c>
      <c r="I47" s="6" t="s">
        <v>28</v>
      </c>
      <c r="J47" s="6" t="s">
        <v>29</v>
      </c>
      <c r="K47" s="6" t="str">
        <f>CONCATENATE("221")</f>
        <v>221</v>
      </c>
      <c r="L47" s="6" t="str">
        <f>CONCATENATE("8 8.1 5e")</f>
        <v>8 8.1 5e</v>
      </c>
      <c r="M47" s="6" t="str">
        <f>CONCATENATE("CRBPRZ61M70G771M")</f>
        <v>CRBPRZ61M70G771M</v>
      </c>
      <c r="N47" s="6" t="s">
        <v>122</v>
      </c>
      <c r="O47" s="6" t="s">
        <v>74</v>
      </c>
      <c r="P47" s="7">
        <v>43117</v>
      </c>
      <c r="Q47" s="6" t="s">
        <v>30</v>
      </c>
      <c r="R47" s="6" t="s">
        <v>31</v>
      </c>
      <c r="S47" s="6" t="s">
        <v>32</v>
      </c>
      <c r="T47" s="8">
        <v>1651.2</v>
      </c>
      <c r="U47" s="6">
        <v>712</v>
      </c>
      <c r="V47" s="6">
        <v>657.51</v>
      </c>
      <c r="W47" s="6">
        <v>0</v>
      </c>
      <c r="X47" s="6">
        <v>281.69</v>
      </c>
    </row>
    <row r="48" spans="1:24" ht="24.75" x14ac:dyDescent="0.25">
      <c r="A48" s="6" t="s">
        <v>25</v>
      </c>
      <c r="B48" s="6" t="s">
        <v>38</v>
      </c>
      <c r="C48" s="6" t="s">
        <v>44</v>
      </c>
      <c r="D48" s="6" t="s">
        <v>51</v>
      </c>
      <c r="E48" s="6" t="s">
        <v>43</v>
      </c>
      <c r="F48" s="6" t="s">
        <v>85</v>
      </c>
      <c r="G48" s="6">
        <v>2016</v>
      </c>
      <c r="H48" s="6" t="str">
        <f>CONCATENATE("64780007122")</f>
        <v>64780007122</v>
      </c>
      <c r="I48" s="6" t="s">
        <v>28</v>
      </c>
      <c r="J48" s="6" t="s">
        <v>29</v>
      </c>
      <c r="K48" s="6" t="str">
        <f>CONCATENATE("221")</f>
        <v>221</v>
      </c>
      <c r="L48" s="6" t="str">
        <f>CONCATENATE("8 8.1 5e")</f>
        <v>8 8.1 5e</v>
      </c>
      <c r="M48" s="6" t="str">
        <f>CONCATENATE("FZAFLV63P41E388C")</f>
        <v>FZAFLV63P41E388C</v>
      </c>
      <c r="N48" s="6" t="s">
        <v>123</v>
      </c>
      <c r="O48" s="6" t="s">
        <v>74</v>
      </c>
      <c r="P48" s="7">
        <v>43117</v>
      </c>
      <c r="Q48" s="6" t="s">
        <v>30</v>
      </c>
      <c r="R48" s="6" t="s">
        <v>31</v>
      </c>
      <c r="S48" s="6" t="s">
        <v>32</v>
      </c>
      <c r="T48" s="6">
        <v>447.91</v>
      </c>
      <c r="U48" s="6">
        <v>193.14</v>
      </c>
      <c r="V48" s="6">
        <v>178.36</v>
      </c>
      <c r="W48" s="6">
        <v>0</v>
      </c>
      <c r="X48" s="6">
        <v>76.41</v>
      </c>
    </row>
    <row r="49" spans="1:24" ht="24.75" x14ac:dyDescent="0.25">
      <c r="A49" s="6" t="s">
        <v>25</v>
      </c>
      <c r="B49" s="6" t="s">
        <v>38</v>
      </c>
      <c r="C49" s="6" t="s">
        <v>44</v>
      </c>
      <c r="D49" s="6" t="s">
        <v>51</v>
      </c>
      <c r="E49" s="6" t="s">
        <v>37</v>
      </c>
      <c r="F49" s="6" t="s">
        <v>124</v>
      </c>
      <c r="G49" s="6">
        <v>2016</v>
      </c>
      <c r="H49" s="6" t="str">
        <f>CONCATENATE("64780057697")</f>
        <v>64780057697</v>
      </c>
      <c r="I49" s="6" t="s">
        <v>28</v>
      </c>
      <c r="J49" s="6" t="s">
        <v>29</v>
      </c>
      <c r="K49" s="6" t="str">
        <f>CONCATENATE("221")</f>
        <v>221</v>
      </c>
      <c r="L49" s="6" t="str">
        <f>CONCATENATE("8 8.1 5e")</f>
        <v>8 8.1 5e</v>
      </c>
      <c r="M49" s="6" t="str">
        <f>CONCATENATE("FROMSM59A08B076N")</f>
        <v>FROMSM59A08B076N</v>
      </c>
      <c r="N49" s="6" t="s">
        <v>125</v>
      </c>
      <c r="O49" s="6" t="s">
        <v>74</v>
      </c>
      <c r="P49" s="7">
        <v>43117</v>
      </c>
      <c r="Q49" s="6" t="s">
        <v>30</v>
      </c>
      <c r="R49" s="6" t="s">
        <v>31</v>
      </c>
      <c r="S49" s="6" t="s">
        <v>32</v>
      </c>
      <c r="T49" s="8">
        <v>3056.7</v>
      </c>
      <c r="U49" s="8">
        <v>1318.05</v>
      </c>
      <c r="V49" s="8">
        <v>1217.18</v>
      </c>
      <c r="W49" s="6">
        <v>0</v>
      </c>
      <c r="X49" s="6">
        <v>521.47</v>
      </c>
    </row>
    <row r="50" spans="1:24" ht="24.75" x14ac:dyDescent="0.25">
      <c r="A50" s="6" t="s">
        <v>25</v>
      </c>
      <c r="B50" s="6" t="s">
        <v>38</v>
      </c>
      <c r="C50" s="6" t="s">
        <v>44</v>
      </c>
      <c r="D50" s="6" t="s">
        <v>51</v>
      </c>
      <c r="E50" s="6" t="s">
        <v>37</v>
      </c>
      <c r="F50" s="6" t="s">
        <v>124</v>
      </c>
      <c r="G50" s="6">
        <v>2016</v>
      </c>
      <c r="H50" s="6" t="str">
        <f>CONCATENATE("64780057812")</f>
        <v>64780057812</v>
      </c>
      <c r="I50" s="6" t="s">
        <v>28</v>
      </c>
      <c r="J50" s="6" t="s">
        <v>29</v>
      </c>
      <c r="K50" s="6" t="str">
        <f>CONCATENATE("221")</f>
        <v>221</v>
      </c>
      <c r="L50" s="6" t="str">
        <f>CONCATENATE("8 8.1 5e")</f>
        <v>8 8.1 5e</v>
      </c>
      <c r="M50" s="6" t="str">
        <f>CONCATENATE("FROMSM59A08B076N")</f>
        <v>FROMSM59A08B076N</v>
      </c>
      <c r="N50" s="6" t="s">
        <v>125</v>
      </c>
      <c r="O50" s="6" t="s">
        <v>74</v>
      </c>
      <c r="P50" s="7">
        <v>43117</v>
      </c>
      <c r="Q50" s="6" t="s">
        <v>30</v>
      </c>
      <c r="R50" s="6" t="s">
        <v>31</v>
      </c>
      <c r="S50" s="6" t="s">
        <v>32</v>
      </c>
      <c r="T50" s="6">
        <v>891.01</v>
      </c>
      <c r="U50" s="6">
        <v>384.2</v>
      </c>
      <c r="V50" s="6">
        <v>354.8</v>
      </c>
      <c r="W50" s="6">
        <v>0</v>
      </c>
      <c r="X50" s="6">
        <v>152.01</v>
      </c>
    </row>
    <row r="51" spans="1:24" ht="24.75" x14ac:dyDescent="0.25">
      <c r="A51" s="6" t="s">
        <v>25</v>
      </c>
      <c r="B51" s="6" t="s">
        <v>38</v>
      </c>
      <c r="C51" s="6" t="s">
        <v>44</v>
      </c>
      <c r="D51" s="6" t="s">
        <v>51</v>
      </c>
      <c r="E51" s="6" t="s">
        <v>37</v>
      </c>
      <c r="F51" s="6" t="s">
        <v>112</v>
      </c>
      <c r="G51" s="6">
        <v>2016</v>
      </c>
      <c r="H51" s="6" t="str">
        <f>CONCATENATE("64780077406")</f>
        <v>64780077406</v>
      </c>
      <c r="I51" s="6" t="s">
        <v>28</v>
      </c>
      <c r="J51" s="6" t="s">
        <v>29</v>
      </c>
      <c r="K51" s="6" t="str">
        <f>CONCATENATE("221")</f>
        <v>221</v>
      </c>
      <c r="L51" s="6" t="str">
        <f>CONCATENATE("8 8.1 5e")</f>
        <v>8 8.1 5e</v>
      </c>
      <c r="M51" s="6" t="str">
        <f>CONCATENATE("SCRMLE63B66I653M")</f>
        <v>SCRMLE63B66I653M</v>
      </c>
      <c r="N51" s="6" t="s">
        <v>126</v>
      </c>
      <c r="O51" s="6" t="s">
        <v>74</v>
      </c>
      <c r="P51" s="7">
        <v>43117</v>
      </c>
      <c r="Q51" s="6" t="s">
        <v>30</v>
      </c>
      <c r="R51" s="6" t="s">
        <v>31</v>
      </c>
      <c r="S51" s="6" t="s">
        <v>32</v>
      </c>
      <c r="T51" s="6">
        <v>94.08</v>
      </c>
      <c r="U51" s="6">
        <v>40.57</v>
      </c>
      <c r="V51" s="6">
        <v>37.46</v>
      </c>
      <c r="W51" s="6">
        <v>0</v>
      </c>
      <c r="X51" s="6">
        <v>16.05</v>
      </c>
    </row>
    <row r="52" spans="1:24" ht="24.75" x14ac:dyDescent="0.25">
      <c r="A52" s="6" t="s">
        <v>25</v>
      </c>
      <c r="B52" s="6" t="s">
        <v>38</v>
      </c>
      <c r="C52" s="6" t="s">
        <v>44</v>
      </c>
      <c r="D52" s="6" t="s">
        <v>51</v>
      </c>
      <c r="E52" s="6" t="s">
        <v>36</v>
      </c>
      <c r="F52" s="6" t="s">
        <v>121</v>
      </c>
      <c r="G52" s="6">
        <v>2016</v>
      </c>
      <c r="H52" s="6" t="str">
        <f>CONCATENATE("64780048423")</f>
        <v>64780048423</v>
      </c>
      <c r="I52" s="6" t="s">
        <v>28</v>
      </c>
      <c r="J52" s="6" t="s">
        <v>29</v>
      </c>
      <c r="K52" s="6" t="str">
        <f>CONCATENATE("221")</f>
        <v>221</v>
      </c>
      <c r="L52" s="6" t="str">
        <f>CONCATENATE("8 8.1 5e")</f>
        <v>8 8.1 5e</v>
      </c>
      <c r="M52" s="6" t="str">
        <f>CONCATENATE("MDAMLE55M16E837H")</f>
        <v>MDAMLE55M16E837H</v>
      </c>
      <c r="N52" s="6" t="s">
        <v>127</v>
      </c>
      <c r="O52" s="6" t="s">
        <v>74</v>
      </c>
      <c r="P52" s="7">
        <v>43117</v>
      </c>
      <c r="Q52" s="6" t="s">
        <v>30</v>
      </c>
      <c r="R52" s="6" t="s">
        <v>31</v>
      </c>
      <c r="S52" s="6" t="s">
        <v>32</v>
      </c>
      <c r="T52" s="6">
        <v>168.42</v>
      </c>
      <c r="U52" s="6">
        <v>72.62</v>
      </c>
      <c r="V52" s="6">
        <v>67.06</v>
      </c>
      <c r="W52" s="6">
        <v>0</v>
      </c>
      <c r="X52" s="6">
        <v>28.74</v>
      </c>
    </row>
    <row r="53" spans="1:24" ht="24.75" x14ac:dyDescent="0.25">
      <c r="A53" s="6" t="s">
        <v>25</v>
      </c>
      <c r="B53" s="6" t="s">
        <v>38</v>
      </c>
      <c r="C53" s="6" t="s">
        <v>44</v>
      </c>
      <c r="D53" s="6" t="s">
        <v>51</v>
      </c>
      <c r="E53" s="6" t="s">
        <v>37</v>
      </c>
      <c r="F53" s="6" t="s">
        <v>128</v>
      </c>
      <c r="G53" s="6">
        <v>2016</v>
      </c>
      <c r="H53" s="6" t="str">
        <f>CONCATENATE("64780063844")</f>
        <v>64780063844</v>
      </c>
      <c r="I53" s="6" t="s">
        <v>28</v>
      </c>
      <c r="J53" s="6" t="s">
        <v>29</v>
      </c>
      <c r="K53" s="6" t="str">
        <f>CONCATENATE("221")</f>
        <v>221</v>
      </c>
      <c r="L53" s="6" t="str">
        <f>CONCATENATE("8 8.1 5e")</f>
        <v>8 8.1 5e</v>
      </c>
      <c r="M53" s="6" t="str">
        <f>CONCATENATE("MDAPTR40B26C060A")</f>
        <v>MDAPTR40B26C060A</v>
      </c>
      <c r="N53" s="6" t="s">
        <v>129</v>
      </c>
      <c r="O53" s="6" t="s">
        <v>74</v>
      </c>
      <c r="P53" s="7">
        <v>43117</v>
      </c>
      <c r="Q53" s="6" t="s">
        <v>30</v>
      </c>
      <c r="R53" s="6" t="s">
        <v>31</v>
      </c>
      <c r="S53" s="6" t="s">
        <v>32</v>
      </c>
      <c r="T53" s="6">
        <v>348.38</v>
      </c>
      <c r="U53" s="6">
        <v>150.22</v>
      </c>
      <c r="V53" s="6">
        <v>138.72</v>
      </c>
      <c r="W53" s="6">
        <v>0</v>
      </c>
      <c r="X53" s="6">
        <v>59.44</v>
      </c>
    </row>
    <row r="54" spans="1:24" ht="24.75" x14ac:dyDescent="0.25">
      <c r="A54" s="6" t="s">
        <v>25</v>
      </c>
      <c r="B54" s="6" t="s">
        <v>38</v>
      </c>
      <c r="C54" s="6" t="s">
        <v>44</v>
      </c>
      <c r="D54" s="6" t="s">
        <v>51</v>
      </c>
      <c r="E54" s="6" t="s">
        <v>41</v>
      </c>
      <c r="F54" s="6" t="s">
        <v>90</v>
      </c>
      <c r="G54" s="6">
        <v>2016</v>
      </c>
      <c r="H54" s="6" t="str">
        <f>CONCATENATE("64780087504")</f>
        <v>64780087504</v>
      </c>
      <c r="I54" s="6" t="s">
        <v>28</v>
      </c>
      <c r="J54" s="6" t="s">
        <v>29</v>
      </c>
      <c r="K54" s="6" t="str">
        <f>CONCATENATE("221")</f>
        <v>221</v>
      </c>
      <c r="L54" s="6" t="str">
        <f>CONCATENATE("8 8.1 5e")</f>
        <v>8 8.1 5e</v>
      </c>
      <c r="M54" s="6" t="str">
        <f>CONCATENATE("NGLGPP39C67D597K")</f>
        <v>NGLGPP39C67D597K</v>
      </c>
      <c r="N54" s="6" t="s">
        <v>130</v>
      </c>
      <c r="O54" s="6" t="s">
        <v>74</v>
      </c>
      <c r="P54" s="7">
        <v>43117</v>
      </c>
      <c r="Q54" s="6" t="s">
        <v>30</v>
      </c>
      <c r="R54" s="6" t="s">
        <v>31</v>
      </c>
      <c r="S54" s="6" t="s">
        <v>32</v>
      </c>
      <c r="T54" s="6">
        <v>640</v>
      </c>
      <c r="U54" s="6">
        <v>275.97000000000003</v>
      </c>
      <c r="V54" s="6">
        <v>254.85</v>
      </c>
      <c r="W54" s="6">
        <v>0</v>
      </c>
      <c r="X54" s="6">
        <v>109.18</v>
      </c>
    </row>
    <row r="55" spans="1:24" ht="24.75" x14ac:dyDescent="0.25">
      <c r="A55" s="6" t="s">
        <v>25</v>
      </c>
      <c r="B55" s="6" t="s">
        <v>38</v>
      </c>
      <c r="C55" s="6" t="s">
        <v>44</v>
      </c>
      <c r="D55" s="6" t="s">
        <v>51</v>
      </c>
      <c r="E55" s="6" t="s">
        <v>34</v>
      </c>
      <c r="F55" s="6" t="s">
        <v>131</v>
      </c>
      <c r="G55" s="6">
        <v>2016</v>
      </c>
      <c r="H55" s="6" t="str">
        <f>CONCATENATE("64780067571")</f>
        <v>64780067571</v>
      </c>
      <c r="I55" s="6" t="s">
        <v>28</v>
      </c>
      <c r="J55" s="6" t="s">
        <v>29</v>
      </c>
      <c r="K55" s="6" t="str">
        <f>CONCATENATE("221")</f>
        <v>221</v>
      </c>
      <c r="L55" s="6" t="str">
        <f>CONCATENATE("8 8.1 5e")</f>
        <v>8 8.1 5e</v>
      </c>
      <c r="M55" s="6" t="str">
        <f>CONCATENATE("BSTCST73A11E388V")</f>
        <v>BSTCST73A11E388V</v>
      </c>
      <c r="N55" s="6" t="s">
        <v>132</v>
      </c>
      <c r="O55" s="6" t="s">
        <v>74</v>
      </c>
      <c r="P55" s="7">
        <v>43117</v>
      </c>
      <c r="Q55" s="6" t="s">
        <v>30</v>
      </c>
      <c r="R55" s="6" t="s">
        <v>31</v>
      </c>
      <c r="S55" s="6" t="s">
        <v>32</v>
      </c>
      <c r="T55" s="8">
        <v>1705.33</v>
      </c>
      <c r="U55" s="6">
        <v>735.34</v>
      </c>
      <c r="V55" s="6">
        <v>679.06</v>
      </c>
      <c r="W55" s="6">
        <v>0</v>
      </c>
      <c r="X55" s="6">
        <v>290.93</v>
      </c>
    </row>
    <row r="56" spans="1:24" ht="24.75" x14ac:dyDescent="0.25">
      <c r="A56" s="6" t="s">
        <v>25</v>
      </c>
      <c r="B56" s="6" t="s">
        <v>38</v>
      </c>
      <c r="C56" s="6" t="s">
        <v>44</v>
      </c>
      <c r="D56" s="6" t="s">
        <v>51</v>
      </c>
      <c r="E56" s="6" t="s">
        <v>37</v>
      </c>
      <c r="F56" s="6" t="s">
        <v>128</v>
      </c>
      <c r="G56" s="6">
        <v>2016</v>
      </c>
      <c r="H56" s="6" t="str">
        <f>CONCATENATE("64780063893")</f>
        <v>64780063893</v>
      </c>
      <c r="I56" s="6" t="s">
        <v>28</v>
      </c>
      <c r="J56" s="6" t="s">
        <v>29</v>
      </c>
      <c r="K56" s="6" t="str">
        <f>CONCATENATE("221")</f>
        <v>221</v>
      </c>
      <c r="L56" s="6" t="str">
        <f>CONCATENATE("8 8.1 5e")</f>
        <v>8 8.1 5e</v>
      </c>
      <c r="M56" s="6" t="str">
        <f>CONCATENATE("MDAPTR40B26C060A")</f>
        <v>MDAPTR40B26C060A</v>
      </c>
      <c r="N56" s="6" t="s">
        <v>129</v>
      </c>
      <c r="O56" s="6" t="s">
        <v>74</v>
      </c>
      <c r="P56" s="7">
        <v>43117</v>
      </c>
      <c r="Q56" s="6" t="s">
        <v>30</v>
      </c>
      <c r="R56" s="6" t="s">
        <v>31</v>
      </c>
      <c r="S56" s="6" t="s">
        <v>32</v>
      </c>
      <c r="T56" s="6">
        <v>518.76</v>
      </c>
      <c r="U56" s="6">
        <v>223.69</v>
      </c>
      <c r="V56" s="6">
        <v>206.57</v>
      </c>
      <c r="W56" s="6">
        <v>0</v>
      </c>
      <c r="X56" s="6">
        <v>88.5</v>
      </c>
    </row>
    <row r="57" spans="1:24" ht="24.75" x14ac:dyDescent="0.25">
      <c r="A57" s="6" t="s">
        <v>25</v>
      </c>
      <c r="B57" s="6" t="s">
        <v>38</v>
      </c>
      <c r="C57" s="6" t="s">
        <v>44</v>
      </c>
      <c r="D57" s="6" t="s">
        <v>51</v>
      </c>
      <c r="E57" s="6" t="s">
        <v>27</v>
      </c>
      <c r="F57" s="6" t="s">
        <v>27</v>
      </c>
      <c r="G57" s="6">
        <v>2016</v>
      </c>
      <c r="H57" s="6" t="str">
        <f>CONCATENATE("64780023913")</f>
        <v>64780023913</v>
      </c>
      <c r="I57" s="6" t="s">
        <v>28</v>
      </c>
      <c r="J57" s="6" t="s">
        <v>29</v>
      </c>
      <c r="K57" s="6" t="str">
        <f>CONCATENATE("221")</f>
        <v>221</v>
      </c>
      <c r="L57" s="6" t="str">
        <f>CONCATENATE("8 8.1 5e")</f>
        <v>8 8.1 5e</v>
      </c>
      <c r="M57" s="6" t="str">
        <f>CONCATENATE("SLAPRZ56C04A271N")</f>
        <v>SLAPRZ56C04A271N</v>
      </c>
      <c r="N57" s="6" t="s">
        <v>133</v>
      </c>
      <c r="O57" s="6" t="s">
        <v>74</v>
      </c>
      <c r="P57" s="7">
        <v>43117</v>
      </c>
      <c r="Q57" s="6" t="s">
        <v>30</v>
      </c>
      <c r="R57" s="6" t="s">
        <v>31</v>
      </c>
      <c r="S57" s="6" t="s">
        <v>32</v>
      </c>
      <c r="T57" s="6">
        <v>362.2</v>
      </c>
      <c r="U57" s="6">
        <v>156.18</v>
      </c>
      <c r="V57" s="6">
        <v>144.22999999999999</v>
      </c>
      <c r="W57" s="6">
        <v>0</v>
      </c>
      <c r="X57" s="6">
        <v>61.79</v>
      </c>
    </row>
    <row r="58" spans="1:24" ht="24.75" x14ac:dyDescent="0.25">
      <c r="A58" s="6" t="s">
        <v>25</v>
      </c>
      <c r="B58" s="6" t="s">
        <v>38</v>
      </c>
      <c r="C58" s="6" t="s">
        <v>44</v>
      </c>
      <c r="D58" s="6" t="s">
        <v>51</v>
      </c>
      <c r="E58" s="6" t="s">
        <v>43</v>
      </c>
      <c r="F58" s="6" t="s">
        <v>134</v>
      </c>
      <c r="G58" s="6">
        <v>2016</v>
      </c>
      <c r="H58" s="6" t="str">
        <f>CONCATENATE("64780010449")</f>
        <v>64780010449</v>
      </c>
      <c r="I58" s="6" t="s">
        <v>28</v>
      </c>
      <c r="J58" s="6" t="s">
        <v>29</v>
      </c>
      <c r="K58" s="6" t="str">
        <f>CONCATENATE("221")</f>
        <v>221</v>
      </c>
      <c r="L58" s="6" t="str">
        <f>CONCATENATE("8 8.1 5e")</f>
        <v>8 8.1 5e</v>
      </c>
      <c r="M58" s="6" t="str">
        <f>CONCATENATE("BLDMRT70C59A092Q")</f>
        <v>BLDMRT70C59A092Q</v>
      </c>
      <c r="N58" s="6" t="s">
        <v>135</v>
      </c>
      <c r="O58" s="6" t="s">
        <v>74</v>
      </c>
      <c r="P58" s="7">
        <v>43117</v>
      </c>
      <c r="Q58" s="6" t="s">
        <v>30</v>
      </c>
      <c r="R58" s="6" t="s">
        <v>31</v>
      </c>
      <c r="S58" s="6" t="s">
        <v>32</v>
      </c>
      <c r="T58" s="6">
        <v>157.55000000000001</v>
      </c>
      <c r="U58" s="6">
        <v>67.94</v>
      </c>
      <c r="V58" s="6">
        <v>62.74</v>
      </c>
      <c r="W58" s="6">
        <v>0</v>
      </c>
      <c r="X58" s="6">
        <v>26.87</v>
      </c>
    </row>
    <row r="59" spans="1:24" ht="24.75" x14ac:dyDescent="0.25">
      <c r="A59" s="6" t="s">
        <v>25</v>
      </c>
      <c r="B59" s="6" t="s">
        <v>38</v>
      </c>
      <c r="C59" s="6" t="s">
        <v>44</v>
      </c>
      <c r="D59" s="6" t="s">
        <v>48</v>
      </c>
      <c r="E59" s="6" t="s">
        <v>36</v>
      </c>
      <c r="F59" s="6" t="s">
        <v>136</v>
      </c>
      <c r="G59" s="6">
        <v>2015</v>
      </c>
      <c r="H59" s="6" t="str">
        <f>CONCATENATE("54735089283")</f>
        <v>54735089283</v>
      </c>
      <c r="I59" s="6" t="s">
        <v>28</v>
      </c>
      <c r="J59" s="6" t="s">
        <v>29</v>
      </c>
      <c r="K59" s="6" t="str">
        <f>CONCATENATE("221")</f>
        <v>221</v>
      </c>
      <c r="L59" s="6" t="str">
        <f>CONCATENATE("8 8.1 5e")</f>
        <v>8 8.1 5e</v>
      </c>
      <c r="M59" s="6" t="str">
        <f>CONCATENATE("BNDVTR37B17H949B")</f>
        <v>BNDVTR37B17H949B</v>
      </c>
      <c r="N59" s="6" t="s">
        <v>137</v>
      </c>
      <c r="O59" s="6" t="s">
        <v>138</v>
      </c>
      <c r="P59" s="7">
        <v>43117</v>
      </c>
      <c r="Q59" s="6" t="s">
        <v>30</v>
      </c>
      <c r="R59" s="6" t="s">
        <v>31</v>
      </c>
      <c r="S59" s="6" t="s">
        <v>32</v>
      </c>
      <c r="T59" s="6">
        <v>334.46</v>
      </c>
      <c r="U59" s="6">
        <v>144.22</v>
      </c>
      <c r="V59" s="6">
        <v>133.18</v>
      </c>
      <c r="W59" s="6">
        <v>0</v>
      </c>
      <c r="X59" s="6">
        <v>57.06</v>
      </c>
    </row>
    <row r="60" spans="1:24" ht="24.75" x14ac:dyDescent="0.25">
      <c r="A60" s="6" t="s">
        <v>25</v>
      </c>
      <c r="B60" s="6" t="s">
        <v>38</v>
      </c>
      <c r="C60" s="6" t="s">
        <v>44</v>
      </c>
      <c r="D60" s="6" t="s">
        <v>48</v>
      </c>
      <c r="E60" s="6" t="s">
        <v>41</v>
      </c>
      <c r="F60" s="6" t="s">
        <v>139</v>
      </c>
      <c r="G60" s="6">
        <v>2015</v>
      </c>
      <c r="H60" s="6" t="str">
        <f>CONCATENATE("54735024058")</f>
        <v>54735024058</v>
      </c>
      <c r="I60" s="6" t="s">
        <v>28</v>
      </c>
      <c r="J60" s="6" t="s">
        <v>29</v>
      </c>
      <c r="K60" s="6" t="str">
        <f>CONCATENATE("221")</f>
        <v>221</v>
      </c>
      <c r="L60" s="6" t="str">
        <f>CONCATENATE("8 8.1 5e")</f>
        <v>8 8.1 5e</v>
      </c>
      <c r="M60" s="6" t="str">
        <f>CONCATENATE("03473720401")</f>
        <v>03473720401</v>
      </c>
      <c r="N60" s="6" t="s">
        <v>140</v>
      </c>
      <c r="O60" s="6" t="s">
        <v>138</v>
      </c>
      <c r="P60" s="7">
        <v>43117</v>
      </c>
      <c r="Q60" s="6" t="s">
        <v>30</v>
      </c>
      <c r="R60" s="6" t="s">
        <v>31</v>
      </c>
      <c r="S60" s="6" t="s">
        <v>32</v>
      </c>
      <c r="T60" s="8">
        <v>1456.04</v>
      </c>
      <c r="U60" s="6">
        <v>627.84</v>
      </c>
      <c r="V60" s="6">
        <v>579.79999999999995</v>
      </c>
      <c r="W60" s="6">
        <v>0</v>
      </c>
      <c r="X60" s="6">
        <v>248.4</v>
      </c>
    </row>
    <row r="61" spans="1:24" ht="24.75" x14ac:dyDescent="0.25">
      <c r="A61" s="6" t="s">
        <v>25</v>
      </c>
      <c r="B61" s="6" t="s">
        <v>26</v>
      </c>
      <c r="C61" s="6" t="s">
        <v>44</v>
      </c>
      <c r="D61" s="6" t="s">
        <v>51</v>
      </c>
      <c r="E61" s="6" t="s">
        <v>27</v>
      </c>
      <c r="F61" s="6" t="s">
        <v>27</v>
      </c>
      <c r="G61" s="6">
        <v>2017</v>
      </c>
      <c r="H61" s="6" t="str">
        <f>CONCATENATE("74270027613")</f>
        <v>74270027613</v>
      </c>
      <c r="I61" s="6" t="s">
        <v>28</v>
      </c>
      <c r="J61" s="6" t="s">
        <v>39</v>
      </c>
      <c r="K61" s="6" t="str">
        <f>CONCATENATE("")</f>
        <v/>
      </c>
      <c r="L61" s="6" t="str">
        <f>CONCATENATE("19 19.4 6b")</f>
        <v>19 19.4 6b</v>
      </c>
      <c r="M61" s="6" t="str">
        <f>CONCATENATE("01944950441")</f>
        <v>01944950441</v>
      </c>
      <c r="N61" s="6" t="s">
        <v>141</v>
      </c>
      <c r="O61" s="6" t="s">
        <v>142</v>
      </c>
      <c r="P61" s="7">
        <v>43116</v>
      </c>
      <c r="Q61" s="6" t="s">
        <v>30</v>
      </c>
      <c r="R61" s="6" t="s">
        <v>42</v>
      </c>
      <c r="S61" s="6" t="s">
        <v>32</v>
      </c>
      <c r="T61" s="8">
        <v>300000</v>
      </c>
      <c r="U61" s="8">
        <v>129360</v>
      </c>
      <c r="V61" s="8">
        <v>119460</v>
      </c>
      <c r="W61" s="6">
        <v>0</v>
      </c>
      <c r="X61" s="8">
        <v>51180</v>
      </c>
    </row>
    <row r="62" spans="1:24" ht="24.75" x14ac:dyDescent="0.25">
      <c r="A62" s="6" t="s">
        <v>25</v>
      </c>
      <c r="B62" s="6" t="s">
        <v>26</v>
      </c>
      <c r="C62" s="6" t="s">
        <v>44</v>
      </c>
      <c r="D62" s="6" t="s">
        <v>51</v>
      </c>
      <c r="E62" s="6" t="s">
        <v>27</v>
      </c>
      <c r="F62" s="6" t="s">
        <v>27</v>
      </c>
      <c r="G62" s="6">
        <v>2016</v>
      </c>
      <c r="H62" s="6" t="str">
        <f>CONCATENATE("64750046456")</f>
        <v>64750046456</v>
      </c>
      <c r="I62" s="6" t="s">
        <v>33</v>
      </c>
      <c r="J62" s="6" t="s">
        <v>29</v>
      </c>
      <c r="K62" s="6" t="str">
        <f>CONCATENATE("511")</f>
        <v>511</v>
      </c>
      <c r="L62" s="6" t="str">
        <f>CONCATENATE("20 20.1 ")</f>
        <v xml:space="preserve">20 20.1 </v>
      </c>
      <c r="M62" s="6" t="str">
        <f>CONCATENATE("10423140150")</f>
        <v>10423140150</v>
      </c>
      <c r="N62" s="6" t="s">
        <v>143</v>
      </c>
      <c r="O62" s="6" t="s">
        <v>144</v>
      </c>
      <c r="P62" s="7">
        <v>43108</v>
      </c>
      <c r="Q62" s="6" t="s">
        <v>30</v>
      </c>
      <c r="R62" s="6" t="s">
        <v>35</v>
      </c>
      <c r="S62" s="6" t="s">
        <v>32</v>
      </c>
      <c r="T62" s="8">
        <v>63245</v>
      </c>
      <c r="U62" s="8">
        <v>27271.24</v>
      </c>
      <c r="V62" s="8">
        <v>25184.16</v>
      </c>
      <c r="W62" s="6">
        <v>0</v>
      </c>
      <c r="X62" s="8">
        <v>10789.6</v>
      </c>
    </row>
    <row r="63" spans="1:24" ht="24.75" x14ac:dyDescent="0.25">
      <c r="A63" s="6" t="s">
        <v>25</v>
      </c>
      <c r="B63" s="6" t="s">
        <v>26</v>
      </c>
      <c r="C63" s="6" t="s">
        <v>44</v>
      </c>
      <c r="D63" s="6" t="s">
        <v>51</v>
      </c>
      <c r="E63" s="6" t="s">
        <v>27</v>
      </c>
      <c r="F63" s="6" t="s">
        <v>27</v>
      </c>
      <c r="G63" s="6">
        <v>2017</v>
      </c>
      <c r="H63" s="6" t="str">
        <f>CONCATENATE("74270027555")</f>
        <v>74270027555</v>
      </c>
      <c r="I63" s="6" t="s">
        <v>28</v>
      </c>
      <c r="J63" s="6" t="s">
        <v>39</v>
      </c>
      <c r="K63" s="6" t="str">
        <f>CONCATENATE("")</f>
        <v/>
      </c>
      <c r="L63" s="6" t="str">
        <f>CONCATENATE("6 6.1 2b")</f>
        <v>6 6.1 2b</v>
      </c>
      <c r="M63" s="6" t="str">
        <f>CONCATENATE("KRSSFN78C42Z133T")</f>
        <v>KRSSFN78C42Z133T</v>
      </c>
      <c r="N63" s="6" t="s">
        <v>145</v>
      </c>
      <c r="O63" s="6" t="s">
        <v>146</v>
      </c>
      <c r="P63" s="7">
        <v>43116</v>
      </c>
      <c r="Q63" s="6" t="s">
        <v>30</v>
      </c>
      <c r="R63" s="6" t="s">
        <v>35</v>
      </c>
      <c r="S63" s="6" t="s">
        <v>32</v>
      </c>
      <c r="T63" s="8">
        <v>49000</v>
      </c>
      <c r="U63" s="8">
        <v>21128.799999999999</v>
      </c>
      <c r="V63" s="8">
        <v>19511.8</v>
      </c>
      <c r="W63" s="6">
        <v>0</v>
      </c>
      <c r="X63" s="8">
        <v>8359.4</v>
      </c>
    </row>
    <row r="64" spans="1:24" ht="24.75" x14ac:dyDescent="0.25">
      <c r="A64" s="6" t="s">
        <v>25</v>
      </c>
      <c r="B64" s="6" t="s">
        <v>38</v>
      </c>
      <c r="C64" s="6" t="s">
        <v>44</v>
      </c>
      <c r="D64" s="6" t="s">
        <v>51</v>
      </c>
      <c r="E64" s="6" t="s">
        <v>37</v>
      </c>
      <c r="F64" s="6" t="s">
        <v>147</v>
      </c>
      <c r="G64" s="6">
        <v>2016</v>
      </c>
      <c r="H64" s="6" t="str">
        <f>CONCATENATE("64780071029")</f>
        <v>64780071029</v>
      </c>
      <c r="I64" s="6" t="s">
        <v>28</v>
      </c>
      <c r="J64" s="6" t="s">
        <v>29</v>
      </c>
      <c r="K64" s="6" t="str">
        <f>CONCATENATE("221")</f>
        <v>221</v>
      </c>
      <c r="L64" s="6" t="str">
        <f>CONCATENATE("8 8.1 5e")</f>
        <v>8 8.1 5e</v>
      </c>
      <c r="M64" s="6" t="str">
        <f>CONCATENATE("CHVRMN51P12I461M")</f>
        <v>CHVRMN51P12I461M</v>
      </c>
      <c r="N64" s="6" t="s">
        <v>148</v>
      </c>
      <c r="O64" s="6" t="s">
        <v>74</v>
      </c>
      <c r="P64" s="7">
        <v>43117</v>
      </c>
      <c r="Q64" s="6" t="s">
        <v>30</v>
      </c>
      <c r="R64" s="6" t="s">
        <v>31</v>
      </c>
      <c r="S64" s="6" t="s">
        <v>32</v>
      </c>
      <c r="T64" s="8">
        <v>1021.13</v>
      </c>
      <c r="U64" s="6">
        <v>440.31</v>
      </c>
      <c r="V64" s="6">
        <v>406.61</v>
      </c>
      <c r="W64" s="6">
        <v>0</v>
      </c>
      <c r="X64" s="6">
        <v>174.21</v>
      </c>
    </row>
    <row r="65" spans="1:24" ht="24.75" x14ac:dyDescent="0.25">
      <c r="A65" s="6" t="s">
        <v>25</v>
      </c>
      <c r="B65" s="6" t="s">
        <v>38</v>
      </c>
      <c r="C65" s="6" t="s">
        <v>44</v>
      </c>
      <c r="D65" s="6" t="s">
        <v>51</v>
      </c>
      <c r="E65" s="6" t="s">
        <v>41</v>
      </c>
      <c r="F65" s="6" t="s">
        <v>90</v>
      </c>
      <c r="G65" s="6">
        <v>2016</v>
      </c>
      <c r="H65" s="6" t="str">
        <f>CONCATENATE("64780074213")</f>
        <v>64780074213</v>
      </c>
      <c r="I65" s="6" t="s">
        <v>28</v>
      </c>
      <c r="J65" s="6" t="s">
        <v>29</v>
      </c>
      <c r="K65" s="6" t="str">
        <f>CONCATENATE("221")</f>
        <v>221</v>
      </c>
      <c r="L65" s="6" t="str">
        <f>CONCATENATE("8 8.1 5e")</f>
        <v>8 8.1 5e</v>
      </c>
      <c r="M65" s="6" t="str">
        <f>CONCATENATE("BLZBBR72L59G482Z")</f>
        <v>BLZBBR72L59G482Z</v>
      </c>
      <c r="N65" s="6" t="s">
        <v>149</v>
      </c>
      <c r="O65" s="6" t="s">
        <v>74</v>
      </c>
      <c r="P65" s="7">
        <v>43117</v>
      </c>
      <c r="Q65" s="6" t="s">
        <v>30</v>
      </c>
      <c r="R65" s="6" t="s">
        <v>31</v>
      </c>
      <c r="S65" s="6" t="s">
        <v>32</v>
      </c>
      <c r="T65" s="8">
        <v>3485.66</v>
      </c>
      <c r="U65" s="8">
        <v>1503.02</v>
      </c>
      <c r="V65" s="8">
        <v>1387.99</v>
      </c>
      <c r="W65" s="6">
        <v>0</v>
      </c>
      <c r="X65" s="6">
        <v>594.65</v>
      </c>
    </row>
    <row r="66" spans="1:24" ht="24.75" x14ac:dyDescent="0.25">
      <c r="A66" s="6" t="s">
        <v>25</v>
      </c>
      <c r="B66" s="6" t="s">
        <v>38</v>
      </c>
      <c r="C66" s="6" t="s">
        <v>44</v>
      </c>
      <c r="D66" s="6" t="s">
        <v>51</v>
      </c>
      <c r="E66" s="6" t="s">
        <v>37</v>
      </c>
      <c r="F66" s="6" t="s">
        <v>147</v>
      </c>
      <c r="G66" s="6">
        <v>2016</v>
      </c>
      <c r="H66" s="6" t="str">
        <f>CONCATENATE("64780070013")</f>
        <v>64780070013</v>
      </c>
      <c r="I66" s="6" t="s">
        <v>28</v>
      </c>
      <c r="J66" s="6" t="s">
        <v>29</v>
      </c>
      <c r="K66" s="6" t="str">
        <f>CONCATENATE("221")</f>
        <v>221</v>
      </c>
      <c r="L66" s="6" t="str">
        <f>CONCATENATE("8 8.1 5e")</f>
        <v>8 8.1 5e</v>
      </c>
      <c r="M66" s="6" t="str">
        <f>CONCATENATE("RTGSLV77M55I461M")</f>
        <v>RTGSLV77M55I461M</v>
      </c>
      <c r="N66" s="6" t="s">
        <v>150</v>
      </c>
      <c r="O66" s="6" t="s">
        <v>74</v>
      </c>
      <c r="P66" s="7">
        <v>43117</v>
      </c>
      <c r="Q66" s="6" t="s">
        <v>30</v>
      </c>
      <c r="R66" s="6" t="s">
        <v>31</v>
      </c>
      <c r="S66" s="6" t="s">
        <v>32</v>
      </c>
      <c r="T66" s="6">
        <v>433.65</v>
      </c>
      <c r="U66" s="6">
        <v>186.99</v>
      </c>
      <c r="V66" s="6">
        <v>172.68</v>
      </c>
      <c r="W66" s="6">
        <v>0</v>
      </c>
      <c r="X66" s="6">
        <v>73.98</v>
      </c>
    </row>
  </sheetData>
  <mergeCells count="2">
    <mergeCell ref="A1:X1"/>
    <mergeCell ref="A2:X2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2018-01-26T16:11:03Z</dcterms:created>
  <dcterms:modified xsi:type="dcterms:W3CDTF">2018-01-26T16:11:30Z</dcterms:modified>
</cp:coreProperties>
</file>