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Dettaglio_Domande_Pagabili_AGEA" sheetId="1" r:id="rId1"/>
  </sheets>
  <definedNames>
    <definedName name="_xlnm._FilterDatabase" localSheetId="0" hidden="1">Dettaglio_Domande_Pagabili_AGEA!$A$3:$X$3</definedName>
  </definedNames>
  <calcPr calcId="145621"/>
</workbook>
</file>

<file path=xl/calcChain.xml><?xml version="1.0" encoding="utf-8"?>
<calcChain xmlns="http://schemas.openxmlformats.org/spreadsheetml/2006/main">
  <c r="M60" i="1" l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<sst xmlns="http://schemas.openxmlformats.org/spreadsheetml/2006/main" count="766" uniqueCount="135">
  <si>
    <t>Dettaglio Domande Pagabili Decreto 129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</si>
  <si>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</si>
  <si>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</si>
  <si>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</si>
  <si>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</si>
  <si>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</si>
  <si>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</si>
  <si>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</si>
  <si>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</si>
  <si>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</si>
  <si>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</si>
  <si>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</si>
  <si>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</si>
  <si>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</si>
  <si>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</si>
  <si>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</si>
  <si>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</si>
  <si>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</si>
  <si>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</si>
  <si>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</si>
  <si>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</si>
  <si>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</si>
  <si>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</si>
  <si>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</si>
  <si>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</si>
  <si>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</si>
  <si>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</si>
  <si>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CAA CIA srl</t>
  </si>
  <si>
    <t>SI</t>
  </si>
  <si>
    <t>Trascinamenti</t>
  </si>
  <si>
    <t>In Liquidazione</t>
  </si>
  <si>
    <t>Saldo</t>
  </si>
  <si>
    <t>Co-Finanziato</t>
  </si>
  <si>
    <t>NO</t>
  </si>
  <si>
    <t>CAA Confagricoltura srl</t>
  </si>
  <si>
    <t>CAA Copagri srl</t>
  </si>
  <si>
    <t>CAA Coldiretti srl</t>
  </si>
  <si>
    <t>CAA LiberiAgricoltori srl già CAA AGCI srl</t>
  </si>
  <si>
    <t>IN PROPRIO</t>
  </si>
  <si>
    <t>Misure Strutturali</t>
  </si>
  <si>
    <t>MARCHE</t>
  </si>
  <si>
    <t>SERV. DEC. AGRICOLTURA E ALIMENTAZIONE - ANCONA</t>
  </si>
  <si>
    <t>Nuova Programmazione</t>
  </si>
  <si>
    <t>ENTE REGIONE MARCHE</t>
  </si>
  <si>
    <t>AGEA.ASR.2017.1308704</t>
  </si>
  <si>
    <t>SERV. DEC. AGRICOLTURA E ALIMENTAZIONE - PESARO</t>
  </si>
  <si>
    <t>NOBILINI GIUSEPPE</t>
  </si>
  <si>
    <t>AGEA.ASR.2017.1308598</t>
  </si>
  <si>
    <t>SERV. DEC. AGRICOLTURA E ALIM. -ASCOLI PICENO</t>
  </si>
  <si>
    <t>TESEI LUCA</t>
  </si>
  <si>
    <t>PIERSIMONI RENATO</t>
  </si>
  <si>
    <t>AGEA.ASR.2017.1131563</t>
  </si>
  <si>
    <t>CAA Coldiretti - RIMINI - 005</t>
  </si>
  <si>
    <t>BAGNOLI EZIO</t>
  </si>
  <si>
    <t>AGEA.ASR.2017.1136166</t>
  </si>
  <si>
    <t>CAA Confagricoltura - FORLI' - CESENA - 001</t>
  </si>
  <si>
    <t>SOCIETA' AGRICOLA LA CELLA DI MANZAROLI DARIO S.S.</t>
  </si>
  <si>
    <t>AGRARIA MONTENOVO</t>
  </si>
  <si>
    <t>AGEA.ASR.2017.1308594</t>
  </si>
  <si>
    <t>BAROCCI LUIGINO</t>
  </si>
  <si>
    <t>SERVIZIO DECENTRATO AGRICOLTURA E ALIM. - MACERATA</t>
  </si>
  <si>
    <t>CAPPELLETTI GIULIANO</t>
  </si>
  <si>
    <t>CARDELLA FRANCO</t>
  </si>
  <si>
    <t>CARNEVALI IGINO</t>
  </si>
  <si>
    <t>FERRANTI VALENTINO E UMBERTO</t>
  </si>
  <si>
    <t>GOVERNATORI DAVID</t>
  </si>
  <si>
    <t>MAGGIORI GINO</t>
  </si>
  <si>
    <t>SCATTOLINI GIANFRANCO</t>
  </si>
  <si>
    <t>SEGHETTA GIUSEPPE</t>
  </si>
  <si>
    <t>STARNARI ELVIO</t>
  </si>
  <si>
    <t>TRAVERSI RINA</t>
  </si>
  <si>
    <t>VERDINI VINICIO</t>
  </si>
  <si>
    <t>CAA Coldiretti - ANCONA - 008</t>
  </si>
  <si>
    <t>LUCCHETTI GIANFRANCO</t>
  </si>
  <si>
    <t>AGEA.ASR.2017.1131391</t>
  </si>
  <si>
    <t>CAA Coldiretti - MACERATA - 010</t>
  </si>
  <si>
    <t>ZITTI MARCO</t>
  </si>
  <si>
    <t>AGEA.ASR.2017.1131489</t>
  </si>
  <si>
    <t>CAA Coldiretti - MACERATA - 008</t>
  </si>
  <si>
    <t>PIERMATTEI MARIANO</t>
  </si>
  <si>
    <t>CAA CIA - ASCOLI PICENO - 001</t>
  </si>
  <si>
    <t>SOCIETA' AGRICOLA LOS CAMPESINOS S.S.</t>
  </si>
  <si>
    <t>CAA LiberiAgricoltori - MACERATA - 001</t>
  </si>
  <si>
    <t>SOCIETA' AGRICOLA FORANO SOCIETA' SEMPLICE</t>
  </si>
  <si>
    <t>CAA CIA - PESARO E URBINO - 008</t>
  </si>
  <si>
    <t>MARCACCINI ROBERTO</t>
  </si>
  <si>
    <t>CAA Copagri - ASCOLI PICENO - 502</t>
  </si>
  <si>
    <t>CITERONI GIOACCHINO</t>
  </si>
  <si>
    <t>CAA Confagricoltura - ASCOLI PICENO - 001</t>
  </si>
  <si>
    <t>SPLENDIANI STEFANO</t>
  </si>
  <si>
    <t>CAA LiberiAgricoltori - PESARO E URBINO - 001</t>
  </si>
  <si>
    <t>BRUSCOLI MARIANNA</t>
  </si>
  <si>
    <t>AGEA.ASR.2017.1136181</t>
  </si>
  <si>
    <t>CAA CIA - PESARO E URBINO - 007</t>
  </si>
  <si>
    <t>MARIANELLI LUCIO</t>
  </si>
  <si>
    <t>CAA CIA - PESARO E URBINO - 005</t>
  </si>
  <si>
    <t>VALENTINI GIANCARLO</t>
  </si>
  <si>
    <t>CAA Coldiretti - MACERATA - 007</t>
  </si>
  <si>
    <t>SOCIETA' AGRICOLA LA CASA ROSA DI CESARONI MARCO &amp; C S.S.</t>
  </si>
  <si>
    <t>CAA Copagri - ANCONA - 502</t>
  </si>
  <si>
    <t>DOTTORI RITA</t>
  </si>
  <si>
    <t>CAA Coldiretti - ASCOLI PICENO - 015</t>
  </si>
  <si>
    <t>L'OASI DI PIERINO DI ANTOLINI FRANCESCO &amp; C. SOC. SEMPLICE</t>
  </si>
  <si>
    <t>CAA Confagricoltura - PESARO E URBINO - 001</t>
  </si>
  <si>
    <t>SOCIETA' AGRICOLA VALTURIO S.S. DI SANTARELLI E GALLI</t>
  </si>
  <si>
    <t>ZAZZETTI GIACOMO</t>
  </si>
  <si>
    <t>CAA Copagri - ANCONA - 504</t>
  </si>
  <si>
    <t>MAGI MASSIMO</t>
  </si>
  <si>
    <t>CAA Confagricoltura - MACERATA - 001</t>
  </si>
  <si>
    <t>CONGIONTI AUGUSTO</t>
  </si>
  <si>
    <t>VINEA SOCIETA' COOPERATIVA AGRICOLA</t>
  </si>
  <si>
    <t>AGEA.ASR.2017.1308588</t>
  </si>
  <si>
    <t>MAZZOLI ERIKA</t>
  </si>
  <si>
    <t>PIERFEDERICI TOMMASO</t>
  </si>
  <si>
    <t>CAA Copagri - PESARO E URBINO - 503</t>
  </si>
  <si>
    <t>PIERUCCI ROBERTO</t>
  </si>
  <si>
    <t>BRUSCOLI NADIA</t>
  </si>
  <si>
    <t>CAA Coldiretti - ASCOLI PICENO - 010</t>
  </si>
  <si>
    <t>RICCIOTTI ANTONIO</t>
  </si>
  <si>
    <t>AGEA.ASR.2017.1131543</t>
  </si>
  <si>
    <t>VOLPONI PAOLA</t>
  </si>
  <si>
    <t>CAA Coldiretti - PESARO E URBINO - 001</t>
  </si>
  <si>
    <t>AZIENDA AGRICOLA VENZANO DI URBINATI GABRIELE E FABRIZIO S.S</t>
  </si>
  <si>
    <t>AGEA.ASR.2017.1131583</t>
  </si>
  <si>
    <t>CAA Coldiretti - PESARO E URBINO - 006</t>
  </si>
  <si>
    <t>VENTURINI ANTONIO</t>
  </si>
  <si>
    <t>STALLA SOCIALE LA COMUNE S.C.P.A.</t>
  </si>
  <si>
    <t>AGEA.ASR.2017.1158974</t>
  </si>
  <si>
    <t>GAGLIARDI FILIPPO</t>
  </si>
  <si>
    <t>AGEA.ASR.2017.0205441</t>
  </si>
  <si>
    <t>CAA Coldiretti - MACERATA - 002</t>
  </si>
  <si>
    <t>SOCIETA' AGRICOLA PACCUSSE DI PACCUSSE VALENTINO &amp; DINO S.S.</t>
  </si>
  <si>
    <t>AGEA.ASR.2017.0173106</t>
  </si>
  <si>
    <t>BATASSA ADALBERTO</t>
  </si>
  <si>
    <t>AGEA.ASR.2017.0609312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</si>
</sst>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showGridLines="0" tabSelected="1" workbookViewId="0">
      <selection activeCell="F67" sqref="F67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18.42578125" style="4" bestFit="1" customWidth="1"/>
    <col min="4" max="4" width="36.5703125" style="4" bestFit="1" customWidth="1"/>
    <col min="5" max="5" width="32.42578125" style="4" bestFit="1" customWidth="1"/>
    <col min="6" max="6" width="36.4257812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19.85546875" style="4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39</v>
      </c>
      <c r="C4" s="6" t="s">
        <v>40</v>
      </c>
      <c r="D4" s="6" t="s">
        <v>41</v>
      </c>
      <c r="E4" s="6" t="s">
        <v>38</v>
      </c>
      <c r="F4" s="6" t="s">
        <v>38</v>
      </c>
      <c r="G4" s="6">
        <v>2017</v>
      </c>
      <c r="H4" s="6" t="str">
        <f>CONCATENATE("74270027639")</f>
        <v>74270027639</v>
      </c>
      <c r="I4" s="6" t="s">
        <v>33</v>
      </c>
      <c r="J4" s="6" t="s">
        <v>42</v>
      </c>
      <c r="K4" s="6" t="str">
        <f>CONCATENATE("")</f>
        <v/>
      </c>
      <c r="L4" s="6" t="str">
        <f>CONCATENATE("20 20.1 ")</f>
        <v xml:space="preserve">20 20.1 </v>
      </c>
      <c r="M4" s="6" t="str">
        <f>CONCATENATE("80008630420")</f>
        <v>80008630420</v>
      </c>
      <c r="N4" s="6" t="s">
        <v>43</v>
      </c>
      <c r="O4" s="6" t="s">
        <v>44</v>
      </c>
      <c r="P4" s="7">
        <v>43103</v>
      </c>
      <c r="Q4" s="6" t="s">
        <v>30</v>
      </c>
      <c r="R4" s="6" t="s">
        <v>31</v>
      </c>
      <c r="S4" s="6" t="s">
        <v>32</v>
      </c>
      <c r="T4" s="6">
        <v>567.29999999999995</v>
      </c>
      <c r="U4" s="6">
        <v>244.62</v>
      </c>
      <c r="V4" s="6">
        <v>225.9</v>
      </c>
      <c r="W4" s="6">
        <v>0</v>
      </c>
      <c r="X4" s="6">
        <v>96.78</v>
      </c>
    </row>
    <row r="5" spans="1:24" ht="24.75" x14ac:dyDescent="0.25">
      <c r="A5" s="6" t="s">
        <v>25</v>
      </c>
      <c r="B5" s="6" t="s">
        <v>39</v>
      </c>
      <c r="C5" s="6" t="s">
        <v>40</v>
      </c>
      <c r="D5" s="6" t="s">
        <v>41</v>
      </c>
      <c r="E5" s="6" t="s">
        <v>38</v>
      </c>
      <c r="F5" s="6" t="s">
        <v>38</v>
      </c>
      <c r="G5" s="6">
        <v>2017</v>
      </c>
      <c r="H5" s="6" t="str">
        <f>CONCATENATE("74270027688")</f>
        <v>74270027688</v>
      </c>
      <c r="I5" s="6" t="s">
        <v>33</v>
      </c>
      <c r="J5" s="6" t="s">
        <v>42</v>
      </c>
      <c r="K5" s="6" t="str">
        <f>CONCATENATE("")</f>
        <v/>
      </c>
      <c r="L5" s="6" t="str">
        <f>CONCATENATE("20 20.1 ")</f>
        <v xml:space="preserve">20 20.1 </v>
      </c>
      <c r="M5" s="6" t="str">
        <f>CONCATENATE("80008630420")</f>
        <v>80008630420</v>
      </c>
      <c r="N5" s="6" t="s">
        <v>43</v>
      </c>
      <c r="O5" s="6" t="s">
        <v>44</v>
      </c>
      <c r="P5" s="7">
        <v>43103</v>
      </c>
      <c r="Q5" s="6" t="s">
        <v>30</v>
      </c>
      <c r="R5" s="6" t="s">
        <v>31</v>
      </c>
      <c r="S5" s="6" t="s">
        <v>32</v>
      </c>
      <c r="T5" s="8">
        <v>30493.9</v>
      </c>
      <c r="U5" s="8">
        <v>13148.97</v>
      </c>
      <c r="V5" s="8">
        <v>12142.67</v>
      </c>
      <c r="W5" s="6">
        <v>0</v>
      </c>
      <c r="X5" s="8">
        <v>5202.26</v>
      </c>
    </row>
    <row r="6" spans="1:24" ht="24.75" x14ac:dyDescent="0.25">
      <c r="A6" s="6" t="s">
        <v>25</v>
      </c>
      <c r="B6" s="6" t="s">
        <v>39</v>
      </c>
      <c r="C6" s="6" t="s">
        <v>40</v>
      </c>
      <c r="D6" s="6" t="s">
        <v>41</v>
      </c>
      <c r="E6" s="6" t="s">
        <v>38</v>
      </c>
      <c r="F6" s="6" t="s">
        <v>38</v>
      </c>
      <c r="G6" s="6">
        <v>2017</v>
      </c>
      <c r="H6" s="6" t="str">
        <f>CONCATENATE("74270027704")</f>
        <v>74270027704</v>
      </c>
      <c r="I6" s="6" t="s">
        <v>33</v>
      </c>
      <c r="J6" s="6" t="s">
        <v>42</v>
      </c>
      <c r="K6" s="6" t="str">
        <f>CONCATENATE("")</f>
        <v/>
      </c>
      <c r="L6" s="6" t="str">
        <f>CONCATENATE("20 20.1 ")</f>
        <v xml:space="preserve">20 20.1 </v>
      </c>
      <c r="M6" s="6" t="str">
        <f>CONCATENATE("80008630420")</f>
        <v>80008630420</v>
      </c>
      <c r="N6" s="6" t="s">
        <v>43</v>
      </c>
      <c r="O6" s="6" t="s">
        <v>44</v>
      </c>
      <c r="P6" s="7">
        <v>43103</v>
      </c>
      <c r="Q6" s="6" t="s">
        <v>30</v>
      </c>
      <c r="R6" s="6" t="s">
        <v>31</v>
      </c>
      <c r="S6" s="6" t="s">
        <v>32</v>
      </c>
      <c r="T6" s="8">
        <v>9760</v>
      </c>
      <c r="U6" s="8">
        <v>4208.51</v>
      </c>
      <c r="V6" s="8">
        <v>3886.43</v>
      </c>
      <c r="W6" s="6">
        <v>0</v>
      </c>
      <c r="X6" s="8">
        <v>1665.06</v>
      </c>
    </row>
    <row r="7" spans="1:24" ht="24.75" x14ac:dyDescent="0.25">
      <c r="A7" s="6" t="s">
        <v>25</v>
      </c>
      <c r="B7" s="6" t="s">
        <v>39</v>
      </c>
      <c r="C7" s="6" t="s">
        <v>40</v>
      </c>
      <c r="D7" s="6" t="s">
        <v>45</v>
      </c>
      <c r="E7" s="6" t="s">
        <v>38</v>
      </c>
      <c r="F7" s="6" t="s">
        <v>38</v>
      </c>
      <c r="G7" s="6">
        <v>2008</v>
      </c>
      <c r="H7" s="6" t="str">
        <f>CONCATENATE("84758387355")</f>
        <v>84758387355</v>
      </c>
      <c r="I7" s="6" t="s">
        <v>28</v>
      </c>
      <c r="J7" s="6" t="s">
        <v>29</v>
      </c>
      <c r="K7" s="6" t="str">
        <f>CONCATENATE("132")</f>
        <v>132</v>
      </c>
      <c r="L7" s="6" t="str">
        <f>CONCATENATE("3 3.1 3a")</f>
        <v>3 3.1 3a</v>
      </c>
      <c r="M7" s="6" t="str">
        <f>CONCATENATE("NBLGPP34S15D749B")</f>
        <v>NBLGPP34S15D749B</v>
      </c>
      <c r="N7" s="6" t="s">
        <v>46</v>
      </c>
      <c r="O7" s="6" t="s">
        <v>47</v>
      </c>
      <c r="P7" s="7">
        <v>43103</v>
      </c>
      <c r="Q7" s="6" t="s">
        <v>30</v>
      </c>
      <c r="R7" s="6" t="s">
        <v>31</v>
      </c>
      <c r="S7" s="6" t="s">
        <v>32</v>
      </c>
      <c r="T7" s="6">
        <v>286.14</v>
      </c>
      <c r="U7" s="6">
        <v>123.38</v>
      </c>
      <c r="V7" s="6">
        <v>113.94</v>
      </c>
      <c r="W7" s="6">
        <v>0</v>
      </c>
      <c r="X7" s="6">
        <v>48.82</v>
      </c>
    </row>
    <row r="8" spans="1:24" ht="24.75" x14ac:dyDescent="0.25">
      <c r="A8" s="6" t="s">
        <v>25</v>
      </c>
      <c r="B8" s="6" t="s">
        <v>39</v>
      </c>
      <c r="C8" s="6" t="s">
        <v>40</v>
      </c>
      <c r="D8" s="6" t="s">
        <v>48</v>
      </c>
      <c r="E8" s="6" t="s">
        <v>38</v>
      </c>
      <c r="F8" s="6" t="s">
        <v>38</v>
      </c>
      <c r="G8" s="6">
        <v>2008</v>
      </c>
      <c r="H8" s="6" t="str">
        <f>CONCATENATE("84758366649")</f>
        <v>84758366649</v>
      </c>
      <c r="I8" s="6" t="s">
        <v>28</v>
      </c>
      <c r="J8" s="6" t="s">
        <v>29</v>
      </c>
      <c r="K8" s="6" t="str">
        <f>CONCATENATE("132")</f>
        <v>132</v>
      </c>
      <c r="L8" s="6" t="str">
        <f>CONCATENATE("3 3.1 3a")</f>
        <v>3 3.1 3a</v>
      </c>
      <c r="M8" s="6" t="str">
        <f>CONCATENATE("TSELCU78P07F520N")</f>
        <v>TSELCU78P07F520N</v>
      </c>
      <c r="N8" s="6" t="s">
        <v>49</v>
      </c>
      <c r="O8" s="6" t="s">
        <v>47</v>
      </c>
      <c r="P8" s="7">
        <v>43103</v>
      </c>
      <c r="Q8" s="6" t="s">
        <v>30</v>
      </c>
      <c r="R8" s="6" t="s">
        <v>31</v>
      </c>
      <c r="S8" s="6" t="s">
        <v>32</v>
      </c>
      <c r="T8" s="6">
        <v>123.44</v>
      </c>
      <c r="U8" s="6">
        <v>53.23</v>
      </c>
      <c r="V8" s="6">
        <v>49.15</v>
      </c>
      <c r="W8" s="6">
        <v>0</v>
      </c>
      <c r="X8" s="6">
        <v>21.06</v>
      </c>
    </row>
    <row r="9" spans="1:24" ht="24.75" x14ac:dyDescent="0.25">
      <c r="A9" s="6" t="s">
        <v>25</v>
      </c>
      <c r="B9" s="6" t="s">
        <v>26</v>
      </c>
      <c r="C9" s="6" t="s">
        <v>40</v>
      </c>
      <c r="D9" s="6" t="s">
        <v>48</v>
      </c>
      <c r="E9" s="6" t="s">
        <v>38</v>
      </c>
      <c r="F9" s="6" t="s">
        <v>38</v>
      </c>
      <c r="G9" s="6">
        <v>2015</v>
      </c>
      <c r="H9" s="6" t="str">
        <f>CONCATENATE("54715386212")</f>
        <v>54715386212</v>
      </c>
      <c r="I9" s="6" t="s">
        <v>33</v>
      </c>
      <c r="J9" s="6" t="s">
        <v>29</v>
      </c>
      <c r="K9" s="6" t="str">
        <f>CONCATENATE("214")</f>
        <v>214</v>
      </c>
      <c r="L9" s="6" t="str">
        <f>CONCATENATE("11 11.2 4b")</f>
        <v>11 11.2 4b</v>
      </c>
      <c r="M9" s="6" t="str">
        <f>CONCATENATE("PRSRNT26H02H321H")</f>
        <v>PRSRNT26H02H321H</v>
      </c>
      <c r="N9" s="6" t="s">
        <v>50</v>
      </c>
      <c r="O9" s="6" t="s">
        <v>51</v>
      </c>
      <c r="P9" s="7">
        <v>43076</v>
      </c>
      <c r="Q9" s="6" t="s">
        <v>30</v>
      </c>
      <c r="R9" s="6" t="s">
        <v>31</v>
      </c>
      <c r="S9" s="6" t="s">
        <v>32</v>
      </c>
      <c r="T9" s="6">
        <v>94.99</v>
      </c>
      <c r="U9" s="6">
        <v>40.96</v>
      </c>
      <c r="V9" s="6">
        <v>37.83</v>
      </c>
      <c r="W9" s="6">
        <v>0</v>
      </c>
      <c r="X9" s="6">
        <v>16.2</v>
      </c>
    </row>
    <row r="10" spans="1:24" ht="24.75" x14ac:dyDescent="0.25">
      <c r="A10" s="6" t="s">
        <v>25</v>
      </c>
      <c r="B10" s="6" t="s">
        <v>26</v>
      </c>
      <c r="C10" s="6" t="s">
        <v>40</v>
      </c>
      <c r="D10" s="6" t="s">
        <v>48</v>
      </c>
      <c r="E10" s="6" t="s">
        <v>38</v>
      </c>
      <c r="F10" s="6" t="s">
        <v>38</v>
      </c>
      <c r="G10" s="6">
        <v>2015</v>
      </c>
      <c r="H10" s="6" t="str">
        <f>CONCATENATE("54715383409")</f>
        <v>54715383409</v>
      </c>
      <c r="I10" s="6" t="s">
        <v>33</v>
      </c>
      <c r="J10" s="6" t="s">
        <v>29</v>
      </c>
      <c r="K10" s="6" t="str">
        <f>CONCATENATE("214")</f>
        <v>214</v>
      </c>
      <c r="L10" s="6" t="str">
        <f>CONCATENATE("11 11.2 4b")</f>
        <v>11 11.2 4b</v>
      </c>
      <c r="M10" s="6" t="str">
        <f>CONCATENATE("PRSRNT26H02H321H")</f>
        <v>PRSRNT26H02H321H</v>
      </c>
      <c r="N10" s="6" t="s">
        <v>50</v>
      </c>
      <c r="O10" s="6" t="s">
        <v>51</v>
      </c>
      <c r="P10" s="7">
        <v>43076</v>
      </c>
      <c r="Q10" s="6" t="s">
        <v>30</v>
      </c>
      <c r="R10" s="6" t="s">
        <v>31</v>
      </c>
      <c r="S10" s="6" t="s">
        <v>32</v>
      </c>
      <c r="T10" s="8">
        <v>1029.3499999999999</v>
      </c>
      <c r="U10" s="6">
        <v>443.86</v>
      </c>
      <c r="V10" s="6">
        <v>409.89</v>
      </c>
      <c r="W10" s="6">
        <v>0</v>
      </c>
      <c r="X10" s="6">
        <v>175.6</v>
      </c>
    </row>
    <row r="11" spans="1:24" ht="24.75" x14ac:dyDescent="0.25">
      <c r="A11" s="6" t="s">
        <v>25</v>
      </c>
      <c r="B11" s="6" t="s">
        <v>26</v>
      </c>
      <c r="C11" s="6" t="s">
        <v>40</v>
      </c>
      <c r="D11" s="6" t="s">
        <v>45</v>
      </c>
      <c r="E11" s="6" t="s">
        <v>36</v>
      </c>
      <c r="F11" s="6" t="s">
        <v>52</v>
      </c>
      <c r="G11" s="6">
        <v>2016</v>
      </c>
      <c r="H11" s="6" t="str">
        <f>CONCATENATE("64780026981")</f>
        <v>64780026981</v>
      </c>
      <c r="I11" s="6" t="s">
        <v>33</v>
      </c>
      <c r="J11" s="6" t="s">
        <v>29</v>
      </c>
      <c r="K11" s="6" t="str">
        <f>CONCATENATE("221")</f>
        <v>221</v>
      </c>
      <c r="L11" s="6" t="str">
        <f>CONCATENATE("8 8.1 5e")</f>
        <v>8 8.1 5e</v>
      </c>
      <c r="M11" s="6" t="str">
        <f>CONCATENATE("BGNZEI48E31I201G")</f>
        <v>BGNZEI48E31I201G</v>
      </c>
      <c r="N11" s="6" t="s">
        <v>53</v>
      </c>
      <c r="O11" s="6" t="s">
        <v>54</v>
      </c>
      <c r="P11" s="7">
        <v>43076</v>
      </c>
      <c r="Q11" s="6" t="s">
        <v>30</v>
      </c>
      <c r="R11" s="6" t="s">
        <v>31</v>
      </c>
      <c r="S11" s="6" t="s">
        <v>32</v>
      </c>
      <c r="T11" s="8">
        <v>1317.33</v>
      </c>
      <c r="U11" s="6">
        <v>568.03</v>
      </c>
      <c r="V11" s="6">
        <v>524.55999999999995</v>
      </c>
      <c r="W11" s="6">
        <v>0</v>
      </c>
      <c r="X11" s="6">
        <v>224.74</v>
      </c>
    </row>
    <row r="12" spans="1:24" ht="24.75" x14ac:dyDescent="0.25">
      <c r="A12" s="6" t="s">
        <v>25</v>
      </c>
      <c r="B12" s="6" t="s">
        <v>26</v>
      </c>
      <c r="C12" s="6" t="s">
        <v>40</v>
      </c>
      <c r="D12" s="6" t="s">
        <v>45</v>
      </c>
      <c r="E12" s="6" t="s">
        <v>34</v>
      </c>
      <c r="F12" s="6" t="s">
        <v>55</v>
      </c>
      <c r="G12" s="6">
        <v>2016</v>
      </c>
      <c r="H12" s="6" t="str">
        <f>CONCATENATE("64780056962")</f>
        <v>64780056962</v>
      </c>
      <c r="I12" s="6" t="s">
        <v>33</v>
      </c>
      <c r="J12" s="6" t="s">
        <v>29</v>
      </c>
      <c r="K12" s="6" t="str">
        <f>CONCATENATE("221")</f>
        <v>221</v>
      </c>
      <c r="L12" s="6" t="str">
        <f>CONCATENATE("8 8.1 5e")</f>
        <v>8 8.1 5e</v>
      </c>
      <c r="M12" s="6" t="str">
        <f>CONCATENATE("03473720401")</f>
        <v>03473720401</v>
      </c>
      <c r="N12" s="6" t="s">
        <v>56</v>
      </c>
      <c r="O12" s="6" t="s">
        <v>54</v>
      </c>
      <c r="P12" s="7">
        <v>43076</v>
      </c>
      <c r="Q12" s="6" t="s">
        <v>30</v>
      </c>
      <c r="R12" s="6" t="s">
        <v>31</v>
      </c>
      <c r="S12" s="6" t="s">
        <v>32</v>
      </c>
      <c r="T12" s="8">
        <v>1461.47</v>
      </c>
      <c r="U12" s="6">
        <v>630.19000000000005</v>
      </c>
      <c r="V12" s="6">
        <v>581.96</v>
      </c>
      <c r="W12" s="6">
        <v>0</v>
      </c>
      <c r="X12" s="6">
        <v>249.32</v>
      </c>
    </row>
    <row r="13" spans="1:24" ht="24.75" x14ac:dyDescent="0.25">
      <c r="A13" s="6" t="s">
        <v>25</v>
      </c>
      <c r="B13" s="6" t="s">
        <v>39</v>
      </c>
      <c r="C13" s="6" t="s">
        <v>40</v>
      </c>
      <c r="D13" s="6" t="s">
        <v>41</v>
      </c>
      <c r="E13" s="6" t="s">
        <v>38</v>
      </c>
      <c r="F13" s="6" t="s">
        <v>38</v>
      </c>
      <c r="G13" s="6">
        <v>2008</v>
      </c>
      <c r="H13" s="6" t="str">
        <f>CONCATENATE("84758348175")</f>
        <v>84758348175</v>
      </c>
      <c r="I13" s="6" t="s">
        <v>33</v>
      </c>
      <c r="J13" s="6" t="s">
        <v>29</v>
      </c>
      <c r="K13" s="6" t="str">
        <f>CONCATENATE("132")</f>
        <v>132</v>
      </c>
      <c r="L13" s="6" t="str">
        <f>CONCATENATE("3 3.1 3a")</f>
        <v>3 3.1 3a</v>
      </c>
      <c r="M13" s="6" t="str">
        <f>CONCATENATE("02182330429")</f>
        <v>02182330429</v>
      </c>
      <c r="N13" s="6" t="s">
        <v>57</v>
      </c>
      <c r="O13" s="6" t="s">
        <v>58</v>
      </c>
      <c r="P13" s="7">
        <v>43103</v>
      </c>
      <c r="Q13" s="6" t="s">
        <v>30</v>
      </c>
      <c r="R13" s="6" t="s">
        <v>31</v>
      </c>
      <c r="S13" s="6" t="s">
        <v>32</v>
      </c>
      <c r="T13" s="6">
        <v>578.02</v>
      </c>
      <c r="U13" s="6">
        <v>249.24</v>
      </c>
      <c r="V13" s="6">
        <v>230.17</v>
      </c>
      <c r="W13" s="6">
        <v>0</v>
      </c>
      <c r="X13" s="6">
        <v>98.61</v>
      </c>
    </row>
    <row r="14" spans="1:24" ht="24.75" x14ac:dyDescent="0.25">
      <c r="A14" s="6" t="s">
        <v>25</v>
      </c>
      <c r="B14" s="6" t="s">
        <v>39</v>
      </c>
      <c r="C14" s="6" t="s">
        <v>40</v>
      </c>
      <c r="D14" s="6" t="s">
        <v>41</v>
      </c>
      <c r="E14" s="6" t="s">
        <v>38</v>
      </c>
      <c r="F14" s="6" t="s">
        <v>38</v>
      </c>
      <c r="G14" s="6">
        <v>2008</v>
      </c>
      <c r="H14" s="6" t="str">
        <f>CONCATENATE("84758387819")</f>
        <v>84758387819</v>
      </c>
      <c r="I14" s="6" t="s">
        <v>33</v>
      </c>
      <c r="J14" s="6" t="s">
        <v>29</v>
      </c>
      <c r="K14" s="6" t="str">
        <f>CONCATENATE("132")</f>
        <v>132</v>
      </c>
      <c r="L14" s="6" t="str">
        <f>CONCATENATE("3 3.1 3a")</f>
        <v>3 3.1 3a</v>
      </c>
      <c r="M14" s="6" t="str">
        <f>CONCATENATE("BRCLGN46T02F600M")</f>
        <v>BRCLGN46T02F600M</v>
      </c>
      <c r="N14" s="6" t="s">
        <v>59</v>
      </c>
      <c r="O14" s="6" t="s">
        <v>58</v>
      </c>
      <c r="P14" s="7">
        <v>43103</v>
      </c>
      <c r="Q14" s="6" t="s">
        <v>30</v>
      </c>
      <c r="R14" s="6" t="s">
        <v>31</v>
      </c>
      <c r="S14" s="6" t="s">
        <v>32</v>
      </c>
      <c r="T14" s="6">
        <v>106.14</v>
      </c>
      <c r="U14" s="6">
        <v>45.77</v>
      </c>
      <c r="V14" s="6">
        <v>42.26</v>
      </c>
      <c r="W14" s="6">
        <v>0</v>
      </c>
      <c r="X14" s="6">
        <v>18.11</v>
      </c>
    </row>
    <row r="15" spans="1:24" ht="24.75" x14ac:dyDescent="0.25">
      <c r="A15" s="6" t="s">
        <v>25</v>
      </c>
      <c r="B15" s="6" t="s">
        <v>39</v>
      </c>
      <c r="C15" s="6" t="s">
        <v>40</v>
      </c>
      <c r="D15" s="6" t="s">
        <v>60</v>
      </c>
      <c r="E15" s="6" t="s">
        <v>38</v>
      </c>
      <c r="F15" s="6" t="s">
        <v>38</v>
      </c>
      <c r="G15" s="6">
        <v>2008</v>
      </c>
      <c r="H15" s="6" t="str">
        <f>CONCATENATE("84758348126")</f>
        <v>84758348126</v>
      </c>
      <c r="I15" s="6" t="s">
        <v>28</v>
      </c>
      <c r="J15" s="6" t="s">
        <v>29</v>
      </c>
      <c r="K15" s="6" t="str">
        <f>CONCATENATE("132")</f>
        <v>132</v>
      </c>
      <c r="L15" s="6" t="str">
        <f>CONCATENATE("3 3.1 3a")</f>
        <v>3 3.1 3a</v>
      </c>
      <c r="M15" s="6" t="str">
        <f>CONCATENATE("CPPGLN61S26F051Y")</f>
        <v>CPPGLN61S26F051Y</v>
      </c>
      <c r="N15" s="6" t="s">
        <v>61</v>
      </c>
      <c r="O15" s="6" t="s">
        <v>58</v>
      </c>
      <c r="P15" s="7">
        <v>43103</v>
      </c>
      <c r="Q15" s="6" t="s">
        <v>30</v>
      </c>
      <c r="R15" s="6" t="s">
        <v>31</v>
      </c>
      <c r="S15" s="6" t="s">
        <v>32</v>
      </c>
      <c r="T15" s="6">
        <v>823.2</v>
      </c>
      <c r="U15" s="6">
        <v>354.96</v>
      </c>
      <c r="V15" s="6">
        <v>327.8</v>
      </c>
      <c r="W15" s="6">
        <v>0</v>
      </c>
      <c r="X15" s="6">
        <v>140.44</v>
      </c>
    </row>
    <row r="16" spans="1:24" ht="24.75" x14ac:dyDescent="0.25">
      <c r="A16" s="6" t="s">
        <v>25</v>
      </c>
      <c r="B16" s="6" t="s">
        <v>39</v>
      </c>
      <c r="C16" s="6" t="s">
        <v>40</v>
      </c>
      <c r="D16" s="6" t="s">
        <v>60</v>
      </c>
      <c r="E16" s="6" t="s">
        <v>38</v>
      </c>
      <c r="F16" s="6" t="s">
        <v>38</v>
      </c>
      <c r="G16" s="6">
        <v>2008</v>
      </c>
      <c r="H16" s="6" t="str">
        <f>CONCATENATE("84758371953")</f>
        <v>84758371953</v>
      </c>
      <c r="I16" s="6" t="s">
        <v>28</v>
      </c>
      <c r="J16" s="6" t="s">
        <v>29</v>
      </c>
      <c r="K16" s="6" t="str">
        <f>CONCATENATE("132")</f>
        <v>132</v>
      </c>
      <c r="L16" s="6" t="str">
        <f>CONCATENATE("3 3.1 3a")</f>
        <v>3 3.1 3a</v>
      </c>
      <c r="M16" s="6" t="str">
        <f>CONCATENATE("CRDFNC53R04C704N")</f>
        <v>CRDFNC53R04C704N</v>
      </c>
      <c r="N16" s="6" t="s">
        <v>62</v>
      </c>
      <c r="O16" s="6" t="s">
        <v>58</v>
      </c>
      <c r="P16" s="7">
        <v>43103</v>
      </c>
      <c r="Q16" s="6" t="s">
        <v>30</v>
      </c>
      <c r="R16" s="6" t="s">
        <v>31</v>
      </c>
      <c r="S16" s="6" t="s">
        <v>32</v>
      </c>
      <c r="T16" s="6">
        <v>157.79</v>
      </c>
      <c r="U16" s="6">
        <v>68.040000000000006</v>
      </c>
      <c r="V16" s="6">
        <v>62.83</v>
      </c>
      <c r="W16" s="6">
        <v>0</v>
      </c>
      <c r="X16" s="6">
        <v>26.92</v>
      </c>
    </row>
    <row r="17" spans="1:24" ht="24.75" x14ac:dyDescent="0.25">
      <c r="A17" s="6" t="s">
        <v>25</v>
      </c>
      <c r="B17" s="6" t="s">
        <v>39</v>
      </c>
      <c r="C17" s="6" t="s">
        <v>40</v>
      </c>
      <c r="D17" s="6" t="s">
        <v>60</v>
      </c>
      <c r="E17" s="6" t="s">
        <v>38</v>
      </c>
      <c r="F17" s="6" t="s">
        <v>38</v>
      </c>
      <c r="G17" s="6">
        <v>2008</v>
      </c>
      <c r="H17" s="6" t="str">
        <f>CONCATENATE("84758373132")</f>
        <v>84758373132</v>
      </c>
      <c r="I17" s="6" t="s">
        <v>28</v>
      </c>
      <c r="J17" s="6" t="s">
        <v>29</v>
      </c>
      <c r="K17" s="6" t="str">
        <f>CONCATENATE("132")</f>
        <v>132</v>
      </c>
      <c r="L17" s="6" t="str">
        <f>CONCATENATE("3 3.1 3a")</f>
        <v>3 3.1 3a</v>
      </c>
      <c r="M17" s="6" t="str">
        <f>CONCATENATE("CRNGNI41R11C704T")</f>
        <v>CRNGNI41R11C704T</v>
      </c>
      <c r="N17" s="6" t="s">
        <v>63</v>
      </c>
      <c r="O17" s="6" t="s">
        <v>58</v>
      </c>
      <c r="P17" s="7">
        <v>43103</v>
      </c>
      <c r="Q17" s="6" t="s">
        <v>30</v>
      </c>
      <c r="R17" s="6" t="s">
        <v>31</v>
      </c>
      <c r="S17" s="6" t="s">
        <v>32</v>
      </c>
      <c r="T17" s="6">
        <v>141.76</v>
      </c>
      <c r="U17" s="6">
        <v>61.13</v>
      </c>
      <c r="V17" s="6">
        <v>56.45</v>
      </c>
      <c r="W17" s="6">
        <v>0</v>
      </c>
      <c r="X17" s="6">
        <v>24.18</v>
      </c>
    </row>
    <row r="18" spans="1:24" ht="24.75" x14ac:dyDescent="0.25">
      <c r="A18" s="6" t="s">
        <v>25</v>
      </c>
      <c r="B18" s="6" t="s">
        <v>39</v>
      </c>
      <c r="C18" s="6" t="s">
        <v>40</v>
      </c>
      <c r="D18" s="6" t="s">
        <v>60</v>
      </c>
      <c r="E18" s="6" t="s">
        <v>38</v>
      </c>
      <c r="F18" s="6" t="s">
        <v>38</v>
      </c>
      <c r="G18" s="6">
        <v>2008</v>
      </c>
      <c r="H18" s="6" t="str">
        <f>CONCATENATE("84758378263")</f>
        <v>84758378263</v>
      </c>
      <c r="I18" s="6" t="s">
        <v>28</v>
      </c>
      <c r="J18" s="6" t="s">
        <v>29</v>
      </c>
      <c r="K18" s="6" t="str">
        <f>CONCATENATE("132")</f>
        <v>132</v>
      </c>
      <c r="L18" s="6" t="str">
        <f>CONCATENATE("3 3.1 3a")</f>
        <v>3 3.1 3a</v>
      </c>
      <c r="M18" s="6" t="str">
        <f>CONCATENATE("00608380432")</f>
        <v>00608380432</v>
      </c>
      <c r="N18" s="6" t="s">
        <v>64</v>
      </c>
      <c r="O18" s="6" t="s">
        <v>58</v>
      </c>
      <c r="P18" s="7">
        <v>43103</v>
      </c>
      <c r="Q18" s="6" t="s">
        <v>30</v>
      </c>
      <c r="R18" s="6" t="s">
        <v>31</v>
      </c>
      <c r="S18" s="6" t="s">
        <v>32</v>
      </c>
      <c r="T18" s="6">
        <v>379.79</v>
      </c>
      <c r="U18" s="6">
        <v>163.77000000000001</v>
      </c>
      <c r="V18" s="6">
        <v>151.22999999999999</v>
      </c>
      <c r="W18" s="6">
        <v>0</v>
      </c>
      <c r="X18" s="6">
        <v>64.790000000000006</v>
      </c>
    </row>
    <row r="19" spans="1:24" ht="24.75" x14ac:dyDescent="0.25">
      <c r="A19" s="6" t="s">
        <v>25</v>
      </c>
      <c r="B19" s="6" t="s">
        <v>39</v>
      </c>
      <c r="C19" s="6" t="s">
        <v>40</v>
      </c>
      <c r="D19" s="6" t="s">
        <v>41</v>
      </c>
      <c r="E19" s="6" t="s">
        <v>38</v>
      </c>
      <c r="F19" s="6" t="s">
        <v>38</v>
      </c>
      <c r="G19" s="6">
        <v>2008</v>
      </c>
      <c r="H19" s="6" t="str">
        <f>CONCATENATE("84758366508")</f>
        <v>84758366508</v>
      </c>
      <c r="I19" s="6" t="s">
        <v>33</v>
      </c>
      <c r="J19" s="6" t="s">
        <v>29</v>
      </c>
      <c r="K19" s="6" t="str">
        <f>CONCATENATE("132")</f>
        <v>132</v>
      </c>
      <c r="L19" s="6" t="str">
        <f>CONCATENATE("3 3.1 3a")</f>
        <v>3 3.1 3a</v>
      </c>
      <c r="M19" s="6" t="str">
        <f>CONCATENATE("GVRDVD69A19G157F")</f>
        <v>GVRDVD69A19G157F</v>
      </c>
      <c r="N19" s="6" t="s">
        <v>65</v>
      </c>
      <c r="O19" s="6" t="s">
        <v>58</v>
      </c>
      <c r="P19" s="7">
        <v>43103</v>
      </c>
      <c r="Q19" s="6" t="s">
        <v>30</v>
      </c>
      <c r="R19" s="6" t="s">
        <v>31</v>
      </c>
      <c r="S19" s="6" t="s">
        <v>32</v>
      </c>
      <c r="T19" s="6">
        <v>108.39</v>
      </c>
      <c r="U19" s="6">
        <v>46.74</v>
      </c>
      <c r="V19" s="6">
        <v>43.16</v>
      </c>
      <c r="W19" s="6">
        <v>0</v>
      </c>
      <c r="X19" s="6">
        <v>18.489999999999998</v>
      </c>
    </row>
    <row r="20" spans="1:24" ht="24.75" x14ac:dyDescent="0.25">
      <c r="A20" s="6" t="s">
        <v>25</v>
      </c>
      <c r="B20" s="6" t="s">
        <v>39</v>
      </c>
      <c r="C20" s="6" t="s">
        <v>40</v>
      </c>
      <c r="D20" s="6" t="s">
        <v>41</v>
      </c>
      <c r="E20" s="6" t="s">
        <v>38</v>
      </c>
      <c r="F20" s="6" t="s">
        <v>38</v>
      </c>
      <c r="G20" s="6">
        <v>2008</v>
      </c>
      <c r="H20" s="6" t="str">
        <f>CONCATENATE("84758376465")</f>
        <v>84758376465</v>
      </c>
      <c r="I20" s="6" t="s">
        <v>28</v>
      </c>
      <c r="J20" s="6" t="s">
        <v>29</v>
      </c>
      <c r="K20" s="6" t="str">
        <f>CONCATENATE("132")</f>
        <v>132</v>
      </c>
      <c r="L20" s="6" t="str">
        <f>CONCATENATE("3 3.1 3a")</f>
        <v>3 3.1 3a</v>
      </c>
      <c r="M20" s="6" t="str">
        <f>CONCATENATE("MGGGNI40L11G157L")</f>
        <v>MGGGNI40L11G157L</v>
      </c>
      <c r="N20" s="6" t="s">
        <v>66</v>
      </c>
      <c r="O20" s="6" t="s">
        <v>58</v>
      </c>
      <c r="P20" s="7">
        <v>43103</v>
      </c>
      <c r="Q20" s="6" t="s">
        <v>30</v>
      </c>
      <c r="R20" s="6" t="s">
        <v>31</v>
      </c>
      <c r="S20" s="6" t="s">
        <v>32</v>
      </c>
      <c r="T20" s="6">
        <v>120.69</v>
      </c>
      <c r="U20" s="6">
        <v>52.04</v>
      </c>
      <c r="V20" s="6">
        <v>48.06</v>
      </c>
      <c r="W20" s="6">
        <v>0</v>
      </c>
      <c r="X20" s="6">
        <v>20.59</v>
      </c>
    </row>
    <row r="21" spans="1:24" ht="24.75" x14ac:dyDescent="0.25">
      <c r="A21" s="6" t="s">
        <v>25</v>
      </c>
      <c r="B21" s="6" t="s">
        <v>39</v>
      </c>
      <c r="C21" s="6" t="s">
        <v>40</v>
      </c>
      <c r="D21" s="6" t="s">
        <v>41</v>
      </c>
      <c r="E21" s="6" t="s">
        <v>38</v>
      </c>
      <c r="F21" s="6" t="s">
        <v>38</v>
      </c>
      <c r="G21" s="6">
        <v>2008</v>
      </c>
      <c r="H21" s="6" t="str">
        <f>CONCATENATE("84758387314")</f>
        <v>84758387314</v>
      </c>
      <c r="I21" s="6" t="s">
        <v>33</v>
      </c>
      <c r="J21" s="6" t="s">
        <v>29</v>
      </c>
      <c r="K21" s="6" t="str">
        <f>CONCATENATE("132")</f>
        <v>132</v>
      </c>
      <c r="L21" s="6" t="str">
        <f>CONCATENATE("3 3.1 3a")</f>
        <v>3 3.1 3a</v>
      </c>
      <c r="M21" s="6" t="str">
        <f>CONCATENATE("SCTGFR55M30D597Q")</f>
        <v>SCTGFR55M30D597Q</v>
      </c>
      <c r="N21" s="6" t="s">
        <v>67</v>
      </c>
      <c r="O21" s="6" t="s">
        <v>58</v>
      </c>
      <c r="P21" s="7">
        <v>43103</v>
      </c>
      <c r="Q21" s="6" t="s">
        <v>30</v>
      </c>
      <c r="R21" s="6" t="s">
        <v>31</v>
      </c>
      <c r="S21" s="6" t="s">
        <v>32</v>
      </c>
      <c r="T21" s="6">
        <v>116.87</v>
      </c>
      <c r="U21" s="6">
        <v>50.39</v>
      </c>
      <c r="V21" s="6">
        <v>46.54</v>
      </c>
      <c r="W21" s="6">
        <v>0</v>
      </c>
      <c r="X21" s="6">
        <v>19.940000000000001</v>
      </c>
    </row>
    <row r="22" spans="1:24" ht="24.75" x14ac:dyDescent="0.25">
      <c r="A22" s="6" t="s">
        <v>25</v>
      </c>
      <c r="B22" s="6" t="s">
        <v>39</v>
      </c>
      <c r="C22" s="6" t="s">
        <v>40</v>
      </c>
      <c r="D22" s="6" t="s">
        <v>60</v>
      </c>
      <c r="E22" s="6" t="s">
        <v>38</v>
      </c>
      <c r="F22" s="6" t="s">
        <v>38</v>
      </c>
      <c r="G22" s="6">
        <v>2008</v>
      </c>
      <c r="H22" s="6" t="str">
        <f>CONCATENATE("84758386647")</f>
        <v>84758386647</v>
      </c>
      <c r="I22" s="6" t="s">
        <v>28</v>
      </c>
      <c r="J22" s="6" t="s">
        <v>29</v>
      </c>
      <c r="K22" s="6" t="str">
        <f>CONCATENATE("132")</f>
        <v>132</v>
      </c>
      <c r="L22" s="6" t="str">
        <f>CONCATENATE("3 3.1 3a")</f>
        <v>3 3.1 3a</v>
      </c>
      <c r="M22" s="6" t="str">
        <f>CONCATENATE("SGHGPP45S25L501U")</f>
        <v>SGHGPP45S25L501U</v>
      </c>
      <c r="N22" s="6" t="s">
        <v>68</v>
      </c>
      <c r="O22" s="6" t="s">
        <v>58</v>
      </c>
      <c r="P22" s="7">
        <v>43103</v>
      </c>
      <c r="Q22" s="6" t="s">
        <v>30</v>
      </c>
      <c r="R22" s="6" t="s">
        <v>31</v>
      </c>
      <c r="S22" s="6" t="s">
        <v>32</v>
      </c>
      <c r="T22" s="6">
        <v>154.06</v>
      </c>
      <c r="U22" s="6">
        <v>66.430000000000007</v>
      </c>
      <c r="V22" s="6">
        <v>61.35</v>
      </c>
      <c r="W22" s="6">
        <v>0</v>
      </c>
      <c r="X22" s="6">
        <v>26.28</v>
      </c>
    </row>
    <row r="23" spans="1:24" ht="24.75" x14ac:dyDescent="0.25">
      <c r="A23" s="6" t="s">
        <v>25</v>
      </c>
      <c r="B23" s="6" t="s">
        <v>39</v>
      </c>
      <c r="C23" s="6" t="s">
        <v>40</v>
      </c>
      <c r="D23" s="6" t="s">
        <v>41</v>
      </c>
      <c r="E23" s="6" t="s">
        <v>38</v>
      </c>
      <c r="F23" s="6" t="s">
        <v>38</v>
      </c>
      <c r="G23" s="6">
        <v>2008</v>
      </c>
      <c r="H23" s="6" t="str">
        <f>CONCATENATE("84758386712")</f>
        <v>84758386712</v>
      </c>
      <c r="I23" s="6" t="s">
        <v>33</v>
      </c>
      <c r="J23" s="6" t="s">
        <v>29</v>
      </c>
      <c r="K23" s="6" t="str">
        <f>CONCATENATE("132")</f>
        <v>132</v>
      </c>
      <c r="L23" s="6" t="str">
        <f>CONCATENATE("3 3.1 3a")</f>
        <v>3 3.1 3a</v>
      </c>
      <c r="M23" s="6" t="str">
        <f>CONCATENATE("STRLVE32A22D597T")</f>
        <v>STRLVE32A22D597T</v>
      </c>
      <c r="N23" s="6" t="s">
        <v>69</v>
      </c>
      <c r="O23" s="6" t="s">
        <v>58</v>
      </c>
      <c r="P23" s="7">
        <v>43103</v>
      </c>
      <c r="Q23" s="6" t="s">
        <v>30</v>
      </c>
      <c r="R23" s="6" t="s">
        <v>31</v>
      </c>
      <c r="S23" s="6" t="s">
        <v>32</v>
      </c>
      <c r="T23" s="6">
        <v>112.01</v>
      </c>
      <c r="U23" s="6">
        <v>48.3</v>
      </c>
      <c r="V23" s="6">
        <v>44.6</v>
      </c>
      <c r="W23" s="6">
        <v>0</v>
      </c>
      <c r="X23" s="6">
        <v>19.11</v>
      </c>
    </row>
    <row r="24" spans="1:24" ht="24.75" x14ac:dyDescent="0.25">
      <c r="A24" s="6" t="s">
        <v>25</v>
      </c>
      <c r="B24" s="6" t="s">
        <v>39</v>
      </c>
      <c r="C24" s="6" t="s">
        <v>40</v>
      </c>
      <c r="D24" s="6" t="s">
        <v>41</v>
      </c>
      <c r="E24" s="6" t="s">
        <v>38</v>
      </c>
      <c r="F24" s="6" t="s">
        <v>38</v>
      </c>
      <c r="G24" s="6">
        <v>2008</v>
      </c>
      <c r="H24" s="6" t="str">
        <f>CONCATENATE("84758370948")</f>
        <v>84758370948</v>
      </c>
      <c r="I24" s="6" t="s">
        <v>33</v>
      </c>
      <c r="J24" s="6" t="s">
        <v>29</v>
      </c>
      <c r="K24" s="6" t="str">
        <f>CONCATENATE("132")</f>
        <v>132</v>
      </c>
      <c r="L24" s="6" t="str">
        <f>CONCATENATE("3 3.1 3a")</f>
        <v>3 3.1 3a</v>
      </c>
      <c r="M24" s="6" t="str">
        <f>CONCATENATE("TRVRNI41B54I156I")</f>
        <v>TRVRNI41B54I156I</v>
      </c>
      <c r="N24" s="6" t="s">
        <v>70</v>
      </c>
      <c r="O24" s="6" t="s">
        <v>58</v>
      </c>
      <c r="P24" s="7">
        <v>43103</v>
      </c>
      <c r="Q24" s="6" t="s">
        <v>30</v>
      </c>
      <c r="R24" s="6" t="s">
        <v>31</v>
      </c>
      <c r="S24" s="6" t="s">
        <v>32</v>
      </c>
      <c r="T24" s="6">
        <v>136.62</v>
      </c>
      <c r="U24" s="6">
        <v>58.91</v>
      </c>
      <c r="V24" s="6">
        <v>54.4</v>
      </c>
      <c r="W24" s="6">
        <v>0</v>
      </c>
      <c r="X24" s="6">
        <v>23.31</v>
      </c>
    </row>
    <row r="25" spans="1:24" ht="24.75" x14ac:dyDescent="0.25">
      <c r="A25" s="6" t="s">
        <v>25</v>
      </c>
      <c r="B25" s="6" t="s">
        <v>39</v>
      </c>
      <c r="C25" s="6" t="s">
        <v>40</v>
      </c>
      <c r="D25" s="6" t="s">
        <v>41</v>
      </c>
      <c r="E25" s="6" t="s">
        <v>38</v>
      </c>
      <c r="F25" s="6" t="s">
        <v>38</v>
      </c>
      <c r="G25" s="6">
        <v>2008</v>
      </c>
      <c r="H25" s="6" t="str">
        <f>CONCATENATE("84758376358")</f>
        <v>84758376358</v>
      </c>
      <c r="I25" s="6" t="s">
        <v>33</v>
      </c>
      <c r="J25" s="6" t="s">
        <v>29</v>
      </c>
      <c r="K25" s="6" t="str">
        <f>CONCATENATE("132")</f>
        <v>132</v>
      </c>
      <c r="L25" s="6" t="str">
        <f>CONCATENATE("3 3.1 3a")</f>
        <v>3 3.1 3a</v>
      </c>
      <c r="M25" s="6" t="str">
        <f>CONCATENATE("VRDVNC75H03D007O")</f>
        <v>VRDVNC75H03D007O</v>
      </c>
      <c r="N25" s="6" t="s">
        <v>71</v>
      </c>
      <c r="O25" s="6" t="s">
        <v>58</v>
      </c>
      <c r="P25" s="7">
        <v>43103</v>
      </c>
      <c r="Q25" s="6" t="s">
        <v>30</v>
      </c>
      <c r="R25" s="6" t="s">
        <v>31</v>
      </c>
      <c r="S25" s="6" t="s">
        <v>32</v>
      </c>
      <c r="T25" s="6">
        <v>162.75</v>
      </c>
      <c r="U25" s="6">
        <v>70.180000000000007</v>
      </c>
      <c r="V25" s="6">
        <v>64.81</v>
      </c>
      <c r="W25" s="6">
        <v>0</v>
      </c>
      <c r="X25" s="6">
        <v>27.76</v>
      </c>
    </row>
    <row r="26" spans="1:24" ht="24.75" x14ac:dyDescent="0.25">
      <c r="A26" s="6" t="s">
        <v>25</v>
      </c>
      <c r="B26" s="6" t="s">
        <v>26</v>
      </c>
      <c r="C26" s="6" t="s">
        <v>40</v>
      </c>
      <c r="D26" s="6" t="s">
        <v>41</v>
      </c>
      <c r="E26" s="6" t="s">
        <v>36</v>
      </c>
      <c r="F26" s="6" t="s">
        <v>72</v>
      </c>
      <c r="G26" s="6">
        <v>2016</v>
      </c>
      <c r="H26" s="6" t="str">
        <f>CONCATENATE("64770330682")</f>
        <v>64770330682</v>
      </c>
      <c r="I26" s="6" t="s">
        <v>28</v>
      </c>
      <c r="J26" s="6" t="s">
        <v>29</v>
      </c>
      <c r="K26" s="6" t="str">
        <f>CONCATENATE("214")</f>
        <v>214</v>
      </c>
      <c r="L26" s="6" t="str">
        <f>CONCATENATE("10 10.1 4c")</f>
        <v>10 10.1 4c</v>
      </c>
      <c r="M26" s="6" t="str">
        <f>CONCATENATE("LCCGFR30M24A271R")</f>
        <v>LCCGFR30M24A271R</v>
      </c>
      <c r="N26" s="6" t="s">
        <v>73</v>
      </c>
      <c r="O26" s="6" t="s">
        <v>74</v>
      </c>
      <c r="P26" s="7">
        <v>43076</v>
      </c>
      <c r="Q26" s="6" t="s">
        <v>30</v>
      </c>
      <c r="R26" s="6" t="s">
        <v>31</v>
      </c>
      <c r="S26" s="6" t="s">
        <v>32</v>
      </c>
      <c r="T26" s="6">
        <v>71.540000000000006</v>
      </c>
      <c r="U26" s="6">
        <v>30.85</v>
      </c>
      <c r="V26" s="6">
        <v>28.49</v>
      </c>
      <c r="W26" s="6">
        <v>0</v>
      </c>
      <c r="X26" s="6">
        <v>12.2</v>
      </c>
    </row>
    <row r="27" spans="1:24" ht="24.75" x14ac:dyDescent="0.25">
      <c r="A27" s="6" t="s">
        <v>25</v>
      </c>
      <c r="B27" s="6" t="s">
        <v>26</v>
      </c>
      <c r="C27" s="6" t="s">
        <v>40</v>
      </c>
      <c r="D27" s="6" t="s">
        <v>60</v>
      </c>
      <c r="E27" s="6" t="s">
        <v>36</v>
      </c>
      <c r="F27" s="6" t="s">
        <v>75</v>
      </c>
      <c r="G27" s="6">
        <v>2016</v>
      </c>
      <c r="H27" s="6" t="str">
        <f>CONCATENATE("64770375844")</f>
        <v>64770375844</v>
      </c>
      <c r="I27" s="6" t="s">
        <v>33</v>
      </c>
      <c r="J27" s="6" t="s">
        <v>29</v>
      </c>
      <c r="K27" s="6" t="str">
        <f>CONCATENATE("214")</f>
        <v>214</v>
      </c>
      <c r="L27" s="6" t="str">
        <f>CONCATENATE("11 11.2 4b")</f>
        <v>11 11.2 4b</v>
      </c>
      <c r="M27" s="6" t="str">
        <f>CONCATENATE("ZTTMRC94A05E783X")</f>
        <v>ZTTMRC94A05E783X</v>
      </c>
      <c r="N27" s="6" t="s">
        <v>76</v>
      </c>
      <c r="O27" s="6" t="s">
        <v>77</v>
      </c>
      <c r="P27" s="7">
        <v>43076</v>
      </c>
      <c r="Q27" s="6" t="s">
        <v>30</v>
      </c>
      <c r="R27" s="6" t="s">
        <v>31</v>
      </c>
      <c r="S27" s="6" t="s">
        <v>32</v>
      </c>
      <c r="T27" s="6">
        <v>722.17</v>
      </c>
      <c r="U27" s="6">
        <v>311.39999999999998</v>
      </c>
      <c r="V27" s="6">
        <v>287.57</v>
      </c>
      <c r="W27" s="6">
        <v>0</v>
      </c>
      <c r="X27" s="6">
        <v>123.2</v>
      </c>
    </row>
    <row r="28" spans="1:24" ht="24.75" x14ac:dyDescent="0.25">
      <c r="A28" s="6" t="s">
        <v>25</v>
      </c>
      <c r="B28" s="6" t="s">
        <v>26</v>
      </c>
      <c r="C28" s="6" t="s">
        <v>40</v>
      </c>
      <c r="D28" s="6" t="s">
        <v>60</v>
      </c>
      <c r="E28" s="6" t="s">
        <v>36</v>
      </c>
      <c r="F28" s="6" t="s">
        <v>78</v>
      </c>
      <c r="G28" s="6">
        <v>2016</v>
      </c>
      <c r="H28" s="6" t="str">
        <f>CONCATENATE("64770264469")</f>
        <v>64770264469</v>
      </c>
      <c r="I28" s="6" t="s">
        <v>33</v>
      </c>
      <c r="J28" s="6" t="s">
        <v>29</v>
      </c>
      <c r="K28" s="6" t="str">
        <f>CONCATENATE("214")</f>
        <v>214</v>
      </c>
      <c r="L28" s="6" t="str">
        <f>CONCATENATE("11 11.2 4b")</f>
        <v>11 11.2 4b</v>
      </c>
      <c r="M28" s="6" t="str">
        <f>CONCATENATE("PRMMRN59B20I156U")</f>
        <v>PRMMRN59B20I156U</v>
      </c>
      <c r="N28" s="6" t="s">
        <v>79</v>
      </c>
      <c r="O28" s="6" t="s">
        <v>77</v>
      </c>
      <c r="P28" s="7">
        <v>43076</v>
      </c>
      <c r="Q28" s="6" t="s">
        <v>30</v>
      </c>
      <c r="R28" s="6" t="s">
        <v>31</v>
      </c>
      <c r="S28" s="6" t="s">
        <v>32</v>
      </c>
      <c r="T28" s="6">
        <v>274.52999999999997</v>
      </c>
      <c r="U28" s="6">
        <v>118.38</v>
      </c>
      <c r="V28" s="6">
        <v>109.32</v>
      </c>
      <c r="W28" s="6">
        <v>0</v>
      </c>
      <c r="X28" s="6">
        <v>46.83</v>
      </c>
    </row>
    <row r="29" spans="1:24" ht="24.75" x14ac:dyDescent="0.25">
      <c r="A29" s="6" t="s">
        <v>25</v>
      </c>
      <c r="B29" s="6" t="s">
        <v>26</v>
      </c>
      <c r="C29" s="6" t="s">
        <v>40</v>
      </c>
      <c r="D29" s="6" t="s">
        <v>60</v>
      </c>
      <c r="E29" s="6" t="s">
        <v>36</v>
      </c>
      <c r="F29" s="6" t="s">
        <v>75</v>
      </c>
      <c r="G29" s="6">
        <v>2016</v>
      </c>
      <c r="H29" s="6" t="str">
        <f>CONCATENATE("64770375877")</f>
        <v>64770375877</v>
      </c>
      <c r="I29" s="6" t="s">
        <v>33</v>
      </c>
      <c r="J29" s="6" t="s">
        <v>29</v>
      </c>
      <c r="K29" s="6" t="str">
        <f>CONCATENATE("214")</f>
        <v>214</v>
      </c>
      <c r="L29" s="6" t="str">
        <f>CONCATENATE("11 11.1 4b")</f>
        <v>11 11.1 4b</v>
      </c>
      <c r="M29" s="6" t="str">
        <f>CONCATENATE("ZTTMRC94A05E783X")</f>
        <v>ZTTMRC94A05E783X</v>
      </c>
      <c r="N29" s="6" t="s">
        <v>76</v>
      </c>
      <c r="O29" s="6" t="s">
        <v>77</v>
      </c>
      <c r="P29" s="7">
        <v>43076</v>
      </c>
      <c r="Q29" s="6" t="s">
        <v>30</v>
      </c>
      <c r="R29" s="6" t="s">
        <v>31</v>
      </c>
      <c r="S29" s="6" t="s">
        <v>32</v>
      </c>
      <c r="T29" s="6">
        <v>347.64</v>
      </c>
      <c r="U29" s="6">
        <v>149.9</v>
      </c>
      <c r="V29" s="6">
        <v>138.43</v>
      </c>
      <c r="W29" s="6">
        <v>0</v>
      </c>
      <c r="X29" s="6">
        <v>59.31</v>
      </c>
    </row>
    <row r="30" spans="1:24" ht="24.75" x14ac:dyDescent="0.25">
      <c r="A30" s="6" t="s">
        <v>25</v>
      </c>
      <c r="B30" s="6" t="s">
        <v>26</v>
      </c>
      <c r="C30" s="6" t="s">
        <v>40</v>
      </c>
      <c r="D30" s="6" t="s">
        <v>48</v>
      </c>
      <c r="E30" s="6" t="s">
        <v>27</v>
      </c>
      <c r="F30" s="6" t="s">
        <v>80</v>
      </c>
      <c r="G30" s="6">
        <v>2016</v>
      </c>
      <c r="H30" s="6" t="str">
        <f>CONCATENATE("64770302707")</f>
        <v>64770302707</v>
      </c>
      <c r="I30" s="6" t="s">
        <v>33</v>
      </c>
      <c r="J30" s="6" t="s">
        <v>29</v>
      </c>
      <c r="K30" s="6" t="str">
        <f>CONCATENATE("214")</f>
        <v>214</v>
      </c>
      <c r="L30" s="6" t="str">
        <f>CONCATENATE("11 11.2 4b")</f>
        <v>11 11.2 4b</v>
      </c>
      <c r="M30" s="6" t="str">
        <f>CONCATENATE("02043380449")</f>
        <v>02043380449</v>
      </c>
      <c r="N30" s="6" t="s">
        <v>81</v>
      </c>
      <c r="O30" s="6" t="s">
        <v>77</v>
      </c>
      <c r="P30" s="7">
        <v>43076</v>
      </c>
      <c r="Q30" s="6" t="s">
        <v>30</v>
      </c>
      <c r="R30" s="6" t="s">
        <v>31</v>
      </c>
      <c r="S30" s="6" t="s">
        <v>32</v>
      </c>
      <c r="T30" s="8">
        <v>1011.56</v>
      </c>
      <c r="U30" s="6">
        <v>436.18</v>
      </c>
      <c r="V30" s="6">
        <v>402.8</v>
      </c>
      <c r="W30" s="6">
        <v>0</v>
      </c>
      <c r="X30" s="6">
        <v>172.58</v>
      </c>
    </row>
    <row r="31" spans="1:24" ht="24.75" x14ac:dyDescent="0.25">
      <c r="A31" s="6" t="s">
        <v>25</v>
      </c>
      <c r="B31" s="6" t="s">
        <v>26</v>
      </c>
      <c r="C31" s="6" t="s">
        <v>40</v>
      </c>
      <c r="D31" s="6" t="s">
        <v>60</v>
      </c>
      <c r="E31" s="6" t="s">
        <v>36</v>
      </c>
      <c r="F31" s="6" t="s">
        <v>78</v>
      </c>
      <c r="G31" s="6">
        <v>2016</v>
      </c>
      <c r="H31" s="6" t="str">
        <f>CONCATENATE("64770264600")</f>
        <v>64770264600</v>
      </c>
      <c r="I31" s="6" t="s">
        <v>33</v>
      </c>
      <c r="J31" s="6" t="s">
        <v>29</v>
      </c>
      <c r="K31" s="6" t="str">
        <f>CONCATENATE("214")</f>
        <v>214</v>
      </c>
      <c r="L31" s="6" t="str">
        <f>CONCATENATE("11 11.2 4b")</f>
        <v>11 11.2 4b</v>
      </c>
      <c r="M31" s="6" t="str">
        <f>CONCATENATE("PRMMRN59B20I156U")</f>
        <v>PRMMRN59B20I156U</v>
      </c>
      <c r="N31" s="6" t="s">
        <v>79</v>
      </c>
      <c r="O31" s="6" t="s">
        <v>77</v>
      </c>
      <c r="P31" s="7">
        <v>43076</v>
      </c>
      <c r="Q31" s="6" t="s">
        <v>30</v>
      </c>
      <c r="R31" s="6" t="s">
        <v>31</v>
      </c>
      <c r="S31" s="6" t="s">
        <v>32</v>
      </c>
      <c r="T31" s="6">
        <v>438.85</v>
      </c>
      <c r="U31" s="6">
        <v>189.23</v>
      </c>
      <c r="V31" s="6">
        <v>174.75</v>
      </c>
      <c r="W31" s="6">
        <v>0</v>
      </c>
      <c r="X31" s="6">
        <v>74.87</v>
      </c>
    </row>
    <row r="32" spans="1:24" ht="24.75" x14ac:dyDescent="0.25">
      <c r="A32" s="6" t="s">
        <v>25</v>
      </c>
      <c r="B32" s="6" t="s">
        <v>26</v>
      </c>
      <c r="C32" s="6" t="s">
        <v>40</v>
      </c>
      <c r="D32" s="6" t="s">
        <v>60</v>
      </c>
      <c r="E32" s="6" t="s">
        <v>37</v>
      </c>
      <c r="F32" s="6" t="s">
        <v>82</v>
      </c>
      <c r="G32" s="6">
        <v>2016</v>
      </c>
      <c r="H32" s="6" t="str">
        <f>CONCATENATE("64770215842")</f>
        <v>64770215842</v>
      </c>
      <c r="I32" s="6" t="s">
        <v>28</v>
      </c>
      <c r="J32" s="6" t="s">
        <v>29</v>
      </c>
      <c r="K32" s="6" t="str">
        <f>CONCATENATE("214")</f>
        <v>214</v>
      </c>
      <c r="L32" s="6" t="str">
        <f>CONCATENATE("11 11.2 4b")</f>
        <v>11 11.2 4b</v>
      </c>
      <c r="M32" s="6" t="str">
        <f>CONCATENATE("01779890431")</f>
        <v>01779890431</v>
      </c>
      <c r="N32" s="6" t="s">
        <v>83</v>
      </c>
      <c r="O32" s="6" t="s">
        <v>77</v>
      </c>
      <c r="P32" s="7">
        <v>43076</v>
      </c>
      <c r="Q32" s="6" t="s">
        <v>30</v>
      </c>
      <c r="R32" s="6" t="s">
        <v>31</v>
      </c>
      <c r="S32" s="6" t="s">
        <v>32</v>
      </c>
      <c r="T32" s="8">
        <v>2155.56</v>
      </c>
      <c r="U32" s="6">
        <v>929.48</v>
      </c>
      <c r="V32" s="6">
        <v>858.34</v>
      </c>
      <c r="W32" s="6">
        <v>0</v>
      </c>
      <c r="X32" s="6">
        <v>367.74</v>
      </c>
    </row>
    <row r="33" spans="1:24" ht="24.75" x14ac:dyDescent="0.25">
      <c r="A33" s="6" t="s">
        <v>25</v>
      </c>
      <c r="B33" s="6" t="s">
        <v>26</v>
      </c>
      <c r="C33" s="6" t="s">
        <v>40</v>
      </c>
      <c r="D33" s="6" t="s">
        <v>45</v>
      </c>
      <c r="E33" s="6" t="s">
        <v>27</v>
      </c>
      <c r="F33" s="6" t="s">
        <v>84</v>
      </c>
      <c r="G33" s="6">
        <v>2016</v>
      </c>
      <c r="H33" s="6" t="str">
        <f>CONCATENATE("64770346332")</f>
        <v>64770346332</v>
      </c>
      <c r="I33" s="6" t="s">
        <v>33</v>
      </c>
      <c r="J33" s="6" t="s">
        <v>29</v>
      </c>
      <c r="K33" s="6" t="str">
        <f>CONCATENATE("214")</f>
        <v>214</v>
      </c>
      <c r="L33" s="6" t="str">
        <f>CONCATENATE("11 11.2 4b")</f>
        <v>11 11.2 4b</v>
      </c>
      <c r="M33" s="6" t="str">
        <f>CONCATENATE("MRCRRT84C22I459G")</f>
        <v>MRCRRT84C22I459G</v>
      </c>
      <c r="N33" s="6" t="s">
        <v>85</v>
      </c>
      <c r="O33" s="6" t="s">
        <v>77</v>
      </c>
      <c r="P33" s="7">
        <v>43076</v>
      </c>
      <c r="Q33" s="6" t="s">
        <v>30</v>
      </c>
      <c r="R33" s="6" t="s">
        <v>31</v>
      </c>
      <c r="S33" s="6" t="s">
        <v>32</v>
      </c>
      <c r="T33" s="6">
        <v>28.87</v>
      </c>
      <c r="U33" s="6">
        <v>12.45</v>
      </c>
      <c r="V33" s="6">
        <v>11.5</v>
      </c>
      <c r="W33" s="6">
        <v>0</v>
      </c>
      <c r="X33" s="6">
        <v>4.92</v>
      </c>
    </row>
    <row r="34" spans="1:24" ht="24.75" x14ac:dyDescent="0.25">
      <c r="A34" s="6" t="s">
        <v>25</v>
      </c>
      <c r="B34" s="6" t="s">
        <v>26</v>
      </c>
      <c r="C34" s="6" t="s">
        <v>40</v>
      </c>
      <c r="D34" s="6" t="s">
        <v>48</v>
      </c>
      <c r="E34" s="6" t="s">
        <v>35</v>
      </c>
      <c r="F34" s="6" t="s">
        <v>86</v>
      </c>
      <c r="G34" s="6">
        <v>2016</v>
      </c>
      <c r="H34" s="6" t="str">
        <f>CONCATENATE("64770240006")</f>
        <v>64770240006</v>
      </c>
      <c r="I34" s="6" t="s">
        <v>28</v>
      </c>
      <c r="J34" s="6" t="s">
        <v>29</v>
      </c>
      <c r="K34" s="6" t="str">
        <f>CONCATENATE("214")</f>
        <v>214</v>
      </c>
      <c r="L34" s="6" t="str">
        <f>CONCATENATE("11 11.2 4b")</f>
        <v>11 11.2 4b</v>
      </c>
      <c r="M34" s="6" t="str">
        <f>CONCATENATE("CTRGCH73H06D542X")</f>
        <v>CTRGCH73H06D542X</v>
      </c>
      <c r="N34" s="6" t="s">
        <v>87</v>
      </c>
      <c r="O34" s="6" t="s">
        <v>77</v>
      </c>
      <c r="P34" s="7">
        <v>43076</v>
      </c>
      <c r="Q34" s="6" t="s">
        <v>30</v>
      </c>
      <c r="R34" s="6" t="s">
        <v>31</v>
      </c>
      <c r="S34" s="6" t="s">
        <v>32</v>
      </c>
      <c r="T34" s="6">
        <v>142.9</v>
      </c>
      <c r="U34" s="6">
        <v>61.62</v>
      </c>
      <c r="V34" s="6">
        <v>56.9</v>
      </c>
      <c r="W34" s="6">
        <v>0</v>
      </c>
      <c r="X34" s="6">
        <v>24.38</v>
      </c>
    </row>
    <row r="35" spans="1:24" ht="24.75" x14ac:dyDescent="0.25">
      <c r="A35" s="6" t="s">
        <v>25</v>
      </c>
      <c r="B35" s="6" t="s">
        <v>26</v>
      </c>
      <c r="C35" s="6" t="s">
        <v>40</v>
      </c>
      <c r="D35" s="6" t="s">
        <v>48</v>
      </c>
      <c r="E35" s="6" t="s">
        <v>34</v>
      </c>
      <c r="F35" s="6" t="s">
        <v>88</v>
      </c>
      <c r="G35" s="6">
        <v>2016</v>
      </c>
      <c r="H35" s="6" t="str">
        <f>CONCATENATE("64770214431")</f>
        <v>64770214431</v>
      </c>
      <c r="I35" s="6" t="s">
        <v>28</v>
      </c>
      <c r="J35" s="6" t="s">
        <v>29</v>
      </c>
      <c r="K35" s="6" t="str">
        <f>CONCATENATE("214")</f>
        <v>214</v>
      </c>
      <c r="L35" s="6" t="str">
        <f>CONCATENATE("11 11.2 4b")</f>
        <v>11 11.2 4b</v>
      </c>
      <c r="M35" s="6" t="str">
        <f>CONCATENATE("SPLSFN71E29D542U")</f>
        <v>SPLSFN71E29D542U</v>
      </c>
      <c r="N35" s="6" t="s">
        <v>89</v>
      </c>
      <c r="O35" s="6" t="s">
        <v>77</v>
      </c>
      <c r="P35" s="7">
        <v>43076</v>
      </c>
      <c r="Q35" s="6" t="s">
        <v>30</v>
      </c>
      <c r="R35" s="6" t="s">
        <v>31</v>
      </c>
      <c r="S35" s="6" t="s">
        <v>32</v>
      </c>
      <c r="T35" s="8">
        <v>2340.7399999999998</v>
      </c>
      <c r="U35" s="8">
        <v>1009.33</v>
      </c>
      <c r="V35" s="6">
        <v>932.08</v>
      </c>
      <c r="W35" s="6">
        <v>0</v>
      </c>
      <c r="X35" s="6">
        <v>399.33</v>
      </c>
    </row>
    <row r="36" spans="1:24" ht="24.75" x14ac:dyDescent="0.25">
      <c r="A36" s="6" t="s">
        <v>25</v>
      </c>
      <c r="B36" s="6" t="s">
        <v>26</v>
      </c>
      <c r="C36" s="6" t="s">
        <v>40</v>
      </c>
      <c r="D36" s="6" t="s">
        <v>45</v>
      </c>
      <c r="E36" s="6" t="s">
        <v>37</v>
      </c>
      <c r="F36" s="6" t="s">
        <v>90</v>
      </c>
      <c r="G36" s="6">
        <v>2016</v>
      </c>
      <c r="H36" s="6" t="str">
        <f>CONCATENATE("64780083891")</f>
        <v>64780083891</v>
      </c>
      <c r="I36" s="6" t="s">
        <v>33</v>
      </c>
      <c r="J36" s="6" t="s">
        <v>29</v>
      </c>
      <c r="K36" s="6" t="str">
        <f>CONCATENATE("221")</f>
        <v>221</v>
      </c>
      <c r="L36" s="6" t="str">
        <f>CONCATENATE("8 8.1 5e")</f>
        <v>8 8.1 5e</v>
      </c>
      <c r="M36" s="6" t="str">
        <f>CONCATENATE("BRSMNN82R51C357J")</f>
        <v>BRSMNN82R51C357J</v>
      </c>
      <c r="N36" s="6" t="s">
        <v>91</v>
      </c>
      <c r="O36" s="6" t="s">
        <v>92</v>
      </c>
      <c r="P36" s="7">
        <v>43076</v>
      </c>
      <c r="Q36" s="6" t="s">
        <v>30</v>
      </c>
      <c r="R36" s="6" t="s">
        <v>31</v>
      </c>
      <c r="S36" s="6" t="s">
        <v>32</v>
      </c>
      <c r="T36" s="8">
        <v>16168.2</v>
      </c>
      <c r="U36" s="8">
        <v>6971.73</v>
      </c>
      <c r="V36" s="8">
        <v>6438.18</v>
      </c>
      <c r="W36" s="6">
        <v>0</v>
      </c>
      <c r="X36" s="8">
        <v>2758.29</v>
      </c>
    </row>
    <row r="37" spans="1:24" ht="24.75" x14ac:dyDescent="0.25">
      <c r="A37" s="6" t="s">
        <v>25</v>
      </c>
      <c r="B37" s="6" t="s">
        <v>26</v>
      </c>
      <c r="C37" s="6" t="s">
        <v>40</v>
      </c>
      <c r="D37" s="6" t="s">
        <v>45</v>
      </c>
      <c r="E37" s="6" t="s">
        <v>27</v>
      </c>
      <c r="F37" s="6" t="s">
        <v>93</v>
      </c>
      <c r="G37" s="6">
        <v>2016</v>
      </c>
      <c r="H37" s="6" t="str">
        <f>CONCATENATE("64780094419")</f>
        <v>64780094419</v>
      </c>
      <c r="I37" s="6" t="s">
        <v>33</v>
      </c>
      <c r="J37" s="6" t="s">
        <v>29</v>
      </c>
      <c r="K37" s="6" t="str">
        <f>CONCATENATE("221")</f>
        <v>221</v>
      </c>
      <c r="L37" s="6" t="str">
        <f>CONCATENATE("8 8.1 5e")</f>
        <v>8 8.1 5e</v>
      </c>
      <c r="M37" s="6" t="str">
        <f>CONCATENATE("MRNLCU66D04D488L")</f>
        <v>MRNLCU66D04D488L</v>
      </c>
      <c r="N37" s="6" t="s">
        <v>94</v>
      </c>
      <c r="O37" s="6" t="s">
        <v>92</v>
      </c>
      <c r="P37" s="7">
        <v>43076</v>
      </c>
      <c r="Q37" s="6" t="s">
        <v>30</v>
      </c>
      <c r="R37" s="6" t="s">
        <v>31</v>
      </c>
      <c r="S37" s="6" t="s">
        <v>32</v>
      </c>
      <c r="T37" s="8">
        <v>1476.2</v>
      </c>
      <c r="U37" s="6">
        <v>636.54</v>
      </c>
      <c r="V37" s="6">
        <v>587.82000000000005</v>
      </c>
      <c r="W37" s="6">
        <v>0</v>
      </c>
      <c r="X37" s="6">
        <v>251.84</v>
      </c>
    </row>
    <row r="38" spans="1:24" ht="24.75" x14ac:dyDescent="0.25">
      <c r="A38" s="6" t="s">
        <v>25</v>
      </c>
      <c r="B38" s="6" t="s">
        <v>26</v>
      </c>
      <c r="C38" s="6" t="s">
        <v>40</v>
      </c>
      <c r="D38" s="6" t="s">
        <v>45</v>
      </c>
      <c r="E38" s="6" t="s">
        <v>27</v>
      </c>
      <c r="F38" s="6" t="s">
        <v>95</v>
      </c>
      <c r="G38" s="6">
        <v>2016</v>
      </c>
      <c r="H38" s="6" t="str">
        <f>CONCATENATE("64780094054")</f>
        <v>64780094054</v>
      </c>
      <c r="I38" s="6" t="s">
        <v>33</v>
      </c>
      <c r="J38" s="6" t="s">
        <v>29</v>
      </c>
      <c r="K38" s="6" t="str">
        <f>CONCATENATE("221")</f>
        <v>221</v>
      </c>
      <c r="L38" s="6" t="str">
        <f>CONCATENATE("8 8.1 5e")</f>
        <v>8 8.1 5e</v>
      </c>
      <c r="M38" s="6" t="str">
        <f>CONCATENATE("VLNGCR52P05F497K")</f>
        <v>VLNGCR52P05F497K</v>
      </c>
      <c r="N38" s="6" t="s">
        <v>96</v>
      </c>
      <c r="O38" s="6" t="s">
        <v>92</v>
      </c>
      <c r="P38" s="7">
        <v>43076</v>
      </c>
      <c r="Q38" s="6" t="s">
        <v>30</v>
      </c>
      <c r="R38" s="6" t="s">
        <v>31</v>
      </c>
      <c r="S38" s="6" t="s">
        <v>32</v>
      </c>
      <c r="T38" s="6">
        <v>527</v>
      </c>
      <c r="U38" s="6">
        <v>227.24</v>
      </c>
      <c r="V38" s="6">
        <v>209.85</v>
      </c>
      <c r="W38" s="6">
        <v>0</v>
      </c>
      <c r="X38" s="6">
        <v>89.91</v>
      </c>
    </row>
    <row r="39" spans="1:24" ht="24.75" x14ac:dyDescent="0.25">
      <c r="A39" s="6" t="s">
        <v>25</v>
      </c>
      <c r="B39" s="6" t="s">
        <v>26</v>
      </c>
      <c r="C39" s="6" t="s">
        <v>40</v>
      </c>
      <c r="D39" s="6" t="s">
        <v>60</v>
      </c>
      <c r="E39" s="6" t="s">
        <v>36</v>
      </c>
      <c r="F39" s="6" t="s">
        <v>97</v>
      </c>
      <c r="G39" s="6">
        <v>2016</v>
      </c>
      <c r="H39" s="6" t="str">
        <f>CONCATENATE("64770337786")</f>
        <v>64770337786</v>
      </c>
      <c r="I39" s="6" t="s">
        <v>33</v>
      </c>
      <c r="J39" s="6" t="s">
        <v>29</v>
      </c>
      <c r="K39" s="6" t="str">
        <f>CONCATENATE("214")</f>
        <v>214</v>
      </c>
      <c r="L39" s="6" t="str">
        <f>CONCATENATE("10 10.1 4a")</f>
        <v>10 10.1 4a</v>
      </c>
      <c r="M39" s="6" t="str">
        <f>CONCATENATE("01912770433")</f>
        <v>01912770433</v>
      </c>
      <c r="N39" s="6" t="s">
        <v>98</v>
      </c>
      <c r="O39" s="6" t="s">
        <v>77</v>
      </c>
      <c r="P39" s="7">
        <v>43076</v>
      </c>
      <c r="Q39" s="6" t="s">
        <v>30</v>
      </c>
      <c r="R39" s="6" t="s">
        <v>31</v>
      </c>
      <c r="S39" s="6" t="s">
        <v>32</v>
      </c>
      <c r="T39" s="6">
        <v>354</v>
      </c>
      <c r="U39" s="6">
        <v>152.63999999999999</v>
      </c>
      <c r="V39" s="6">
        <v>140.96</v>
      </c>
      <c r="W39" s="6">
        <v>0</v>
      </c>
      <c r="X39" s="6">
        <v>60.4</v>
      </c>
    </row>
    <row r="40" spans="1:24" ht="24.75" x14ac:dyDescent="0.25">
      <c r="A40" s="6" t="s">
        <v>25</v>
      </c>
      <c r="B40" s="6" t="s">
        <v>26</v>
      </c>
      <c r="C40" s="6" t="s">
        <v>40</v>
      </c>
      <c r="D40" s="6" t="s">
        <v>60</v>
      </c>
      <c r="E40" s="6" t="s">
        <v>35</v>
      </c>
      <c r="F40" s="6" t="s">
        <v>99</v>
      </c>
      <c r="G40" s="6">
        <v>2016</v>
      </c>
      <c r="H40" s="6" t="str">
        <f>CONCATENATE("64770180327")</f>
        <v>64770180327</v>
      </c>
      <c r="I40" s="6" t="s">
        <v>33</v>
      </c>
      <c r="J40" s="6" t="s">
        <v>29</v>
      </c>
      <c r="K40" s="6" t="str">
        <f>CONCATENATE("214")</f>
        <v>214</v>
      </c>
      <c r="L40" s="6" t="str">
        <f>CONCATENATE("11 11.2 4b")</f>
        <v>11 11.2 4b</v>
      </c>
      <c r="M40" s="6" t="str">
        <f>CONCATENATE("DTTRTI67R42D211X")</f>
        <v>DTTRTI67R42D211X</v>
      </c>
      <c r="N40" s="6" t="s">
        <v>100</v>
      </c>
      <c r="O40" s="6" t="s">
        <v>77</v>
      </c>
      <c r="P40" s="7">
        <v>43076</v>
      </c>
      <c r="Q40" s="6" t="s">
        <v>30</v>
      </c>
      <c r="R40" s="6" t="s">
        <v>31</v>
      </c>
      <c r="S40" s="6" t="s">
        <v>32</v>
      </c>
      <c r="T40" s="6">
        <v>848.26</v>
      </c>
      <c r="U40" s="6">
        <v>365.77</v>
      </c>
      <c r="V40" s="6">
        <v>337.78</v>
      </c>
      <c r="W40" s="6">
        <v>0</v>
      </c>
      <c r="X40" s="6">
        <v>144.71</v>
      </c>
    </row>
    <row r="41" spans="1:24" ht="24.75" x14ac:dyDescent="0.25">
      <c r="A41" s="6" t="s">
        <v>25</v>
      </c>
      <c r="B41" s="6" t="s">
        <v>26</v>
      </c>
      <c r="C41" s="6" t="s">
        <v>40</v>
      </c>
      <c r="D41" s="6" t="s">
        <v>48</v>
      </c>
      <c r="E41" s="6" t="s">
        <v>36</v>
      </c>
      <c r="F41" s="6" t="s">
        <v>101</v>
      </c>
      <c r="G41" s="6">
        <v>2016</v>
      </c>
      <c r="H41" s="6" t="str">
        <f>CONCATENATE("64770337299")</f>
        <v>64770337299</v>
      </c>
      <c r="I41" s="6" t="s">
        <v>28</v>
      </c>
      <c r="J41" s="6" t="s">
        <v>29</v>
      </c>
      <c r="K41" s="6" t="str">
        <f>CONCATENATE("214")</f>
        <v>214</v>
      </c>
      <c r="L41" s="6" t="str">
        <f>CONCATENATE("11 11.2 4b")</f>
        <v>11 11.2 4b</v>
      </c>
      <c r="M41" s="6" t="str">
        <f>CONCATENATE("01678860444")</f>
        <v>01678860444</v>
      </c>
      <c r="N41" s="6" t="s">
        <v>102</v>
      </c>
      <c r="O41" s="6" t="s">
        <v>77</v>
      </c>
      <c r="P41" s="7">
        <v>43076</v>
      </c>
      <c r="Q41" s="6" t="s">
        <v>30</v>
      </c>
      <c r="R41" s="6" t="s">
        <v>31</v>
      </c>
      <c r="S41" s="6" t="s">
        <v>32</v>
      </c>
      <c r="T41" s="8">
        <v>1399.68</v>
      </c>
      <c r="U41" s="6">
        <v>603.54</v>
      </c>
      <c r="V41" s="6">
        <v>557.35</v>
      </c>
      <c r="W41" s="6">
        <v>0</v>
      </c>
      <c r="X41" s="6">
        <v>238.79</v>
      </c>
    </row>
    <row r="42" spans="1:24" ht="24.75" x14ac:dyDescent="0.25">
      <c r="A42" s="6" t="s">
        <v>25</v>
      </c>
      <c r="B42" s="6" t="s">
        <v>26</v>
      </c>
      <c r="C42" s="6" t="s">
        <v>40</v>
      </c>
      <c r="D42" s="6" t="s">
        <v>45</v>
      </c>
      <c r="E42" s="6" t="s">
        <v>34</v>
      </c>
      <c r="F42" s="6" t="s">
        <v>103</v>
      </c>
      <c r="G42" s="6">
        <v>2016</v>
      </c>
      <c r="H42" s="6" t="str">
        <f>CONCATENATE("64770198410")</f>
        <v>64770198410</v>
      </c>
      <c r="I42" s="6" t="s">
        <v>28</v>
      </c>
      <c r="J42" s="6" t="s">
        <v>29</v>
      </c>
      <c r="K42" s="6" t="str">
        <f>CONCATENATE("214")</f>
        <v>214</v>
      </c>
      <c r="L42" s="6" t="str">
        <f>CONCATENATE("11 11.1 4b")</f>
        <v>11 11.1 4b</v>
      </c>
      <c r="M42" s="6" t="str">
        <f>CONCATENATE("02090800414")</f>
        <v>02090800414</v>
      </c>
      <c r="N42" s="6" t="s">
        <v>104</v>
      </c>
      <c r="O42" s="6" t="s">
        <v>77</v>
      </c>
      <c r="P42" s="7">
        <v>43076</v>
      </c>
      <c r="Q42" s="6" t="s">
        <v>30</v>
      </c>
      <c r="R42" s="6" t="s">
        <v>31</v>
      </c>
      <c r="S42" s="6" t="s">
        <v>32</v>
      </c>
      <c r="T42" s="8">
        <v>1206.76</v>
      </c>
      <c r="U42" s="6">
        <v>520.35</v>
      </c>
      <c r="V42" s="6">
        <v>480.53</v>
      </c>
      <c r="W42" s="6">
        <v>0</v>
      </c>
      <c r="X42" s="6">
        <v>205.88</v>
      </c>
    </row>
    <row r="43" spans="1:24" ht="24.75" x14ac:dyDescent="0.25">
      <c r="A43" s="6" t="s">
        <v>25</v>
      </c>
      <c r="B43" s="6" t="s">
        <v>26</v>
      </c>
      <c r="C43" s="6" t="s">
        <v>40</v>
      </c>
      <c r="D43" s="6" t="s">
        <v>48</v>
      </c>
      <c r="E43" s="6" t="s">
        <v>38</v>
      </c>
      <c r="F43" s="6" t="s">
        <v>38</v>
      </c>
      <c r="G43" s="6">
        <v>2016</v>
      </c>
      <c r="H43" s="6" t="str">
        <f>CONCATENATE("64770339121")</f>
        <v>64770339121</v>
      </c>
      <c r="I43" s="6" t="s">
        <v>28</v>
      </c>
      <c r="J43" s="6" t="s">
        <v>29</v>
      </c>
      <c r="K43" s="6" t="str">
        <f>CONCATENATE("214")</f>
        <v>214</v>
      </c>
      <c r="L43" s="6" t="str">
        <f>CONCATENATE("11 11.1 4b")</f>
        <v>11 11.1 4b</v>
      </c>
      <c r="M43" s="6" t="str">
        <f>CONCATENATE("ZZZGCM93C29D542P")</f>
        <v>ZZZGCM93C29D542P</v>
      </c>
      <c r="N43" s="6" t="s">
        <v>105</v>
      </c>
      <c r="O43" s="6" t="s">
        <v>77</v>
      </c>
      <c r="P43" s="7">
        <v>43076</v>
      </c>
      <c r="Q43" s="6" t="s">
        <v>30</v>
      </c>
      <c r="R43" s="6" t="s">
        <v>31</v>
      </c>
      <c r="S43" s="6" t="s">
        <v>32</v>
      </c>
      <c r="T43" s="8">
        <v>1174</v>
      </c>
      <c r="U43" s="6">
        <v>506.23</v>
      </c>
      <c r="V43" s="6">
        <v>467.49</v>
      </c>
      <c r="W43" s="6">
        <v>0</v>
      </c>
      <c r="X43" s="6">
        <v>200.28</v>
      </c>
    </row>
    <row r="44" spans="1:24" ht="24.75" x14ac:dyDescent="0.25">
      <c r="A44" s="6" t="s">
        <v>25</v>
      </c>
      <c r="B44" s="6" t="s">
        <v>26</v>
      </c>
      <c r="C44" s="6" t="s">
        <v>40</v>
      </c>
      <c r="D44" s="6" t="s">
        <v>41</v>
      </c>
      <c r="E44" s="6" t="s">
        <v>35</v>
      </c>
      <c r="F44" s="6" t="s">
        <v>106</v>
      </c>
      <c r="G44" s="6">
        <v>2016</v>
      </c>
      <c r="H44" s="6" t="str">
        <f>CONCATENATE("64770298608")</f>
        <v>64770298608</v>
      </c>
      <c r="I44" s="6" t="s">
        <v>28</v>
      </c>
      <c r="J44" s="6" t="s">
        <v>29</v>
      </c>
      <c r="K44" s="6" t="str">
        <f>CONCATENATE("214")</f>
        <v>214</v>
      </c>
      <c r="L44" s="6" t="str">
        <f>CONCATENATE("11 11.1 4b")</f>
        <v>11 11.1 4b</v>
      </c>
      <c r="M44" s="6" t="str">
        <f>CONCATENATE("MGAMSM56A09A271K")</f>
        <v>MGAMSM56A09A271K</v>
      </c>
      <c r="N44" s="6" t="s">
        <v>107</v>
      </c>
      <c r="O44" s="6" t="s">
        <v>77</v>
      </c>
      <c r="P44" s="7">
        <v>43076</v>
      </c>
      <c r="Q44" s="6" t="s">
        <v>30</v>
      </c>
      <c r="R44" s="6" t="s">
        <v>31</v>
      </c>
      <c r="S44" s="6" t="s">
        <v>32</v>
      </c>
      <c r="T44" s="6">
        <v>399.24</v>
      </c>
      <c r="U44" s="6">
        <v>172.15</v>
      </c>
      <c r="V44" s="6">
        <v>158.97999999999999</v>
      </c>
      <c r="W44" s="6">
        <v>0</v>
      </c>
      <c r="X44" s="6">
        <v>68.11</v>
      </c>
    </row>
    <row r="45" spans="1:24" ht="24.75" x14ac:dyDescent="0.25">
      <c r="A45" s="6" t="s">
        <v>25</v>
      </c>
      <c r="B45" s="6" t="s">
        <v>26</v>
      </c>
      <c r="C45" s="6" t="s">
        <v>40</v>
      </c>
      <c r="D45" s="6" t="s">
        <v>60</v>
      </c>
      <c r="E45" s="6" t="s">
        <v>34</v>
      </c>
      <c r="F45" s="6" t="s">
        <v>108</v>
      </c>
      <c r="G45" s="6">
        <v>2016</v>
      </c>
      <c r="H45" s="6" t="str">
        <f>CONCATENATE("64770351738")</f>
        <v>64770351738</v>
      </c>
      <c r="I45" s="6" t="s">
        <v>33</v>
      </c>
      <c r="J45" s="6" t="s">
        <v>29</v>
      </c>
      <c r="K45" s="6" t="str">
        <f>CONCATENATE("214")</f>
        <v>214</v>
      </c>
      <c r="L45" s="6" t="str">
        <f>CONCATENATE("11 11.2 4b")</f>
        <v>11 11.2 4b</v>
      </c>
      <c r="M45" s="6" t="str">
        <f>CONCATENATE("CNGGST60B24A271E")</f>
        <v>CNGGST60B24A271E</v>
      </c>
      <c r="N45" s="6" t="s">
        <v>109</v>
      </c>
      <c r="O45" s="6" t="s">
        <v>77</v>
      </c>
      <c r="P45" s="7">
        <v>43076</v>
      </c>
      <c r="Q45" s="6" t="s">
        <v>30</v>
      </c>
      <c r="R45" s="6" t="s">
        <v>31</v>
      </c>
      <c r="S45" s="6" t="s">
        <v>32</v>
      </c>
      <c r="T45" s="8">
        <v>1019.42</v>
      </c>
      <c r="U45" s="6">
        <v>439.57</v>
      </c>
      <c r="V45" s="6">
        <v>405.93</v>
      </c>
      <c r="W45" s="6">
        <v>0</v>
      </c>
      <c r="X45" s="6">
        <v>173.92</v>
      </c>
    </row>
    <row r="46" spans="1:24" ht="24.75" x14ac:dyDescent="0.25">
      <c r="A46" s="6" t="s">
        <v>25</v>
      </c>
      <c r="B46" s="6" t="s">
        <v>39</v>
      </c>
      <c r="C46" s="6" t="s">
        <v>40</v>
      </c>
      <c r="D46" s="6" t="s">
        <v>41</v>
      </c>
      <c r="E46" s="6" t="s">
        <v>38</v>
      </c>
      <c r="F46" s="6" t="s">
        <v>38</v>
      </c>
      <c r="G46" s="6">
        <v>2008</v>
      </c>
      <c r="H46" s="6" t="str">
        <f>CONCATENATE("84758392967")</f>
        <v>84758392967</v>
      </c>
      <c r="I46" s="6" t="s">
        <v>33</v>
      </c>
      <c r="J46" s="6" t="s">
        <v>29</v>
      </c>
      <c r="K46" s="6" t="str">
        <f>CONCATENATE("133")</f>
        <v>133</v>
      </c>
      <c r="L46" s="6" t="str">
        <f>CONCATENATE("3 3.2 3a")</f>
        <v>3 3.2 3a</v>
      </c>
      <c r="M46" s="6" t="str">
        <f>CONCATENATE("92000660446")</f>
        <v>92000660446</v>
      </c>
      <c r="N46" s="6" t="s">
        <v>110</v>
      </c>
      <c r="O46" s="6" t="s">
        <v>111</v>
      </c>
      <c r="P46" s="7">
        <v>43103</v>
      </c>
      <c r="Q46" s="6" t="s">
        <v>30</v>
      </c>
      <c r="R46" s="6" t="s">
        <v>31</v>
      </c>
      <c r="S46" s="6" t="s">
        <v>32</v>
      </c>
      <c r="T46" s="8">
        <v>44377.4</v>
      </c>
      <c r="U46" s="8">
        <v>19135.53</v>
      </c>
      <c r="V46" s="8">
        <v>17671.080000000002</v>
      </c>
      <c r="W46" s="6">
        <v>0</v>
      </c>
      <c r="X46" s="8">
        <v>7570.79</v>
      </c>
    </row>
    <row r="47" spans="1:24" ht="24.75" x14ac:dyDescent="0.25">
      <c r="A47" s="6" t="s">
        <v>25</v>
      </c>
      <c r="B47" s="6" t="s">
        <v>26</v>
      </c>
      <c r="C47" s="6" t="s">
        <v>40</v>
      </c>
      <c r="D47" s="6" t="s">
        <v>45</v>
      </c>
      <c r="E47" s="6" t="s">
        <v>27</v>
      </c>
      <c r="F47" s="6" t="s">
        <v>95</v>
      </c>
      <c r="G47" s="6">
        <v>2016</v>
      </c>
      <c r="H47" s="6" t="str">
        <f>CONCATENATE("64780093676")</f>
        <v>64780093676</v>
      </c>
      <c r="I47" s="6" t="s">
        <v>33</v>
      </c>
      <c r="J47" s="6" t="s">
        <v>29</v>
      </c>
      <c r="K47" s="6" t="str">
        <f>CONCATENATE("221")</f>
        <v>221</v>
      </c>
      <c r="L47" s="6" t="str">
        <f>CONCATENATE("8 8.1 5e")</f>
        <v>8 8.1 5e</v>
      </c>
      <c r="M47" s="6" t="str">
        <f>CONCATENATE("MZZRKE86C41L500S")</f>
        <v>MZZRKE86C41L500S</v>
      </c>
      <c r="N47" s="6" t="s">
        <v>112</v>
      </c>
      <c r="O47" s="6" t="s">
        <v>92</v>
      </c>
      <c r="P47" s="7">
        <v>43076</v>
      </c>
      <c r="Q47" s="6" t="s">
        <v>30</v>
      </c>
      <c r="R47" s="6" t="s">
        <v>31</v>
      </c>
      <c r="S47" s="6" t="s">
        <v>32</v>
      </c>
      <c r="T47" s="6">
        <v>834.7</v>
      </c>
      <c r="U47" s="6">
        <v>359.92</v>
      </c>
      <c r="V47" s="6">
        <v>332.38</v>
      </c>
      <c r="W47" s="6">
        <v>0</v>
      </c>
      <c r="X47" s="6">
        <v>142.4</v>
      </c>
    </row>
    <row r="48" spans="1:24" ht="24.75" x14ac:dyDescent="0.25">
      <c r="A48" s="6" t="s">
        <v>25</v>
      </c>
      <c r="B48" s="6" t="s">
        <v>26</v>
      </c>
      <c r="C48" s="6" t="s">
        <v>40</v>
      </c>
      <c r="D48" s="6" t="s">
        <v>45</v>
      </c>
      <c r="E48" s="6" t="s">
        <v>27</v>
      </c>
      <c r="F48" s="6" t="s">
        <v>95</v>
      </c>
      <c r="G48" s="6">
        <v>2016</v>
      </c>
      <c r="H48" s="6" t="str">
        <f>CONCATENATE("64780058315")</f>
        <v>64780058315</v>
      </c>
      <c r="I48" s="6" t="s">
        <v>33</v>
      </c>
      <c r="J48" s="6" t="s">
        <v>29</v>
      </c>
      <c r="K48" s="6" t="str">
        <f>CONCATENATE("221")</f>
        <v>221</v>
      </c>
      <c r="L48" s="6" t="str">
        <f>CONCATENATE("8 8.1 5e")</f>
        <v>8 8.1 5e</v>
      </c>
      <c r="M48" s="6" t="str">
        <f>CONCATENATE("PRFTMS58H27F347W")</f>
        <v>PRFTMS58H27F347W</v>
      </c>
      <c r="N48" s="6" t="s">
        <v>113</v>
      </c>
      <c r="O48" s="6" t="s">
        <v>92</v>
      </c>
      <c r="P48" s="7">
        <v>43076</v>
      </c>
      <c r="Q48" s="6" t="s">
        <v>30</v>
      </c>
      <c r="R48" s="6" t="s">
        <v>31</v>
      </c>
      <c r="S48" s="6" t="s">
        <v>32</v>
      </c>
      <c r="T48" s="8">
        <v>1583</v>
      </c>
      <c r="U48" s="6">
        <v>682.59</v>
      </c>
      <c r="V48" s="6">
        <v>630.35</v>
      </c>
      <c r="W48" s="6">
        <v>0</v>
      </c>
      <c r="X48" s="6">
        <v>270.06</v>
      </c>
    </row>
    <row r="49" spans="1:24" ht="24.75" x14ac:dyDescent="0.25">
      <c r="A49" s="6" t="s">
        <v>25</v>
      </c>
      <c r="B49" s="6" t="s">
        <v>26</v>
      </c>
      <c r="C49" s="6" t="s">
        <v>40</v>
      </c>
      <c r="D49" s="6" t="s">
        <v>45</v>
      </c>
      <c r="E49" s="6" t="s">
        <v>35</v>
      </c>
      <c r="F49" s="6" t="s">
        <v>114</v>
      </c>
      <c r="G49" s="6">
        <v>2016</v>
      </c>
      <c r="H49" s="6" t="str">
        <f>CONCATENATE("64780097644")</f>
        <v>64780097644</v>
      </c>
      <c r="I49" s="6" t="s">
        <v>28</v>
      </c>
      <c r="J49" s="6" t="s">
        <v>29</v>
      </c>
      <c r="K49" s="6" t="str">
        <f>CONCATENATE("221")</f>
        <v>221</v>
      </c>
      <c r="L49" s="6" t="str">
        <f>CONCATENATE("8 8.1 5e")</f>
        <v>8 8.1 5e</v>
      </c>
      <c r="M49" s="6" t="str">
        <f>CONCATENATE("PRCRRT62E25I459X")</f>
        <v>PRCRRT62E25I459X</v>
      </c>
      <c r="N49" s="6" t="s">
        <v>115</v>
      </c>
      <c r="O49" s="6" t="s">
        <v>92</v>
      </c>
      <c r="P49" s="7">
        <v>43076</v>
      </c>
      <c r="Q49" s="6" t="s">
        <v>30</v>
      </c>
      <c r="R49" s="6" t="s">
        <v>31</v>
      </c>
      <c r="S49" s="6" t="s">
        <v>32</v>
      </c>
      <c r="T49" s="6">
        <v>986</v>
      </c>
      <c r="U49" s="6">
        <v>425.16</v>
      </c>
      <c r="V49" s="6">
        <v>392.63</v>
      </c>
      <c r="W49" s="6">
        <v>0</v>
      </c>
      <c r="X49" s="6">
        <v>168.21</v>
      </c>
    </row>
    <row r="50" spans="1:24" ht="24.75" x14ac:dyDescent="0.25">
      <c r="A50" s="6" t="s">
        <v>25</v>
      </c>
      <c r="B50" s="6" t="s">
        <v>26</v>
      </c>
      <c r="C50" s="6" t="s">
        <v>40</v>
      </c>
      <c r="D50" s="6" t="s">
        <v>45</v>
      </c>
      <c r="E50" s="6" t="s">
        <v>34</v>
      </c>
      <c r="F50" s="6" t="s">
        <v>103</v>
      </c>
      <c r="G50" s="6">
        <v>2016</v>
      </c>
      <c r="H50" s="6" t="str">
        <f>CONCATENATE("64780055899")</f>
        <v>64780055899</v>
      </c>
      <c r="I50" s="6" t="s">
        <v>33</v>
      </c>
      <c r="J50" s="6" t="s">
        <v>29</v>
      </c>
      <c r="K50" s="6" t="str">
        <f>CONCATENATE("221")</f>
        <v>221</v>
      </c>
      <c r="L50" s="6" t="str">
        <f>CONCATENATE("8 8.1 5e")</f>
        <v>8 8.1 5e</v>
      </c>
      <c r="M50" s="6" t="str">
        <f>CONCATENATE("BRSNDA48A47Z103Q")</f>
        <v>BRSNDA48A47Z103Q</v>
      </c>
      <c r="N50" s="6" t="s">
        <v>116</v>
      </c>
      <c r="O50" s="6" t="s">
        <v>92</v>
      </c>
      <c r="P50" s="7">
        <v>43076</v>
      </c>
      <c r="Q50" s="6" t="s">
        <v>30</v>
      </c>
      <c r="R50" s="6" t="s">
        <v>31</v>
      </c>
      <c r="S50" s="6" t="s">
        <v>32</v>
      </c>
      <c r="T50" s="8">
        <v>13614.1</v>
      </c>
      <c r="U50" s="8">
        <v>5870.4</v>
      </c>
      <c r="V50" s="8">
        <v>5421.13</v>
      </c>
      <c r="W50" s="6">
        <v>0</v>
      </c>
      <c r="X50" s="8">
        <v>2322.5700000000002</v>
      </c>
    </row>
    <row r="51" spans="1:24" ht="24.75" x14ac:dyDescent="0.25">
      <c r="A51" s="6" t="s">
        <v>25</v>
      </c>
      <c r="B51" s="6" t="s">
        <v>26</v>
      </c>
      <c r="C51" s="6" t="s">
        <v>40</v>
      </c>
      <c r="D51" s="6" t="s">
        <v>48</v>
      </c>
      <c r="E51" s="6" t="s">
        <v>36</v>
      </c>
      <c r="F51" s="6" t="s">
        <v>117</v>
      </c>
      <c r="G51" s="6">
        <v>2015</v>
      </c>
      <c r="H51" s="6" t="str">
        <f>CONCATENATE("54745398872")</f>
        <v>54745398872</v>
      </c>
      <c r="I51" s="6" t="s">
        <v>28</v>
      </c>
      <c r="J51" s="6" t="s">
        <v>29</v>
      </c>
      <c r="K51" s="6" t="str">
        <f>CONCATENATE("212")</f>
        <v>212</v>
      </c>
      <c r="L51" s="6" t="str">
        <f>CONCATENATE("13 13.1 4a")</f>
        <v>13 13.1 4a</v>
      </c>
      <c r="M51" s="6" t="str">
        <f>CONCATENATE("RCCNTN60H13L597P")</f>
        <v>RCCNTN60H13L597P</v>
      </c>
      <c r="N51" s="6" t="s">
        <v>118</v>
      </c>
      <c r="O51" s="6" t="s">
        <v>119</v>
      </c>
      <c r="P51" s="7">
        <v>43076</v>
      </c>
      <c r="Q51" s="6" t="s">
        <v>30</v>
      </c>
      <c r="R51" s="6" t="s">
        <v>31</v>
      </c>
      <c r="S51" s="6" t="s">
        <v>32</v>
      </c>
      <c r="T51" s="8">
        <v>3599.27</v>
      </c>
      <c r="U51" s="8">
        <v>1552.01</v>
      </c>
      <c r="V51" s="8">
        <v>1433.23</v>
      </c>
      <c r="W51" s="6">
        <v>0</v>
      </c>
      <c r="X51" s="6">
        <v>614.03</v>
      </c>
    </row>
    <row r="52" spans="1:24" ht="24.75" x14ac:dyDescent="0.25">
      <c r="A52" s="6" t="s">
        <v>25</v>
      </c>
      <c r="B52" s="6" t="s">
        <v>26</v>
      </c>
      <c r="C52" s="6" t="s">
        <v>40</v>
      </c>
      <c r="D52" s="6" t="s">
        <v>48</v>
      </c>
      <c r="E52" s="6" t="s">
        <v>27</v>
      </c>
      <c r="F52" s="6" t="s">
        <v>80</v>
      </c>
      <c r="G52" s="6">
        <v>2016</v>
      </c>
      <c r="H52" s="6" t="str">
        <f>CONCATENATE("64770295620")</f>
        <v>64770295620</v>
      </c>
      <c r="I52" s="6" t="s">
        <v>33</v>
      </c>
      <c r="J52" s="6" t="s">
        <v>29</v>
      </c>
      <c r="K52" s="6" t="str">
        <f>CONCATENATE("214")</f>
        <v>214</v>
      </c>
      <c r="L52" s="6" t="str">
        <f>CONCATENATE("11 11.2 4b")</f>
        <v>11 11.2 4b</v>
      </c>
      <c r="M52" s="6" t="str">
        <f>CONCATENATE("VLPPLA72T54H769L")</f>
        <v>VLPPLA72T54H769L</v>
      </c>
      <c r="N52" s="6" t="s">
        <v>120</v>
      </c>
      <c r="O52" s="6" t="s">
        <v>77</v>
      </c>
      <c r="P52" s="7">
        <v>43076</v>
      </c>
      <c r="Q52" s="6" t="s">
        <v>30</v>
      </c>
      <c r="R52" s="6" t="s">
        <v>31</v>
      </c>
      <c r="S52" s="6" t="s">
        <v>32</v>
      </c>
      <c r="T52" s="8">
        <v>2121.44</v>
      </c>
      <c r="U52" s="6">
        <v>914.76</v>
      </c>
      <c r="V52" s="6">
        <v>844.76</v>
      </c>
      <c r="W52" s="6">
        <v>0</v>
      </c>
      <c r="X52" s="6">
        <v>361.92</v>
      </c>
    </row>
    <row r="53" spans="1:24" ht="24.75" x14ac:dyDescent="0.25">
      <c r="A53" s="6" t="s">
        <v>25</v>
      </c>
      <c r="B53" s="6" t="s">
        <v>26</v>
      </c>
      <c r="C53" s="6" t="s">
        <v>40</v>
      </c>
      <c r="D53" s="6" t="s">
        <v>45</v>
      </c>
      <c r="E53" s="6" t="s">
        <v>36</v>
      </c>
      <c r="F53" s="6" t="s">
        <v>121</v>
      </c>
      <c r="G53" s="6">
        <v>2014</v>
      </c>
      <c r="H53" s="6" t="str">
        <f>CONCATENATE("44745618205")</f>
        <v>44745618205</v>
      </c>
      <c r="I53" s="6" t="s">
        <v>33</v>
      </c>
      <c r="J53" s="6" t="s">
        <v>29</v>
      </c>
      <c r="K53" s="6" t="str">
        <f>CONCATENATE("211")</f>
        <v>211</v>
      </c>
      <c r="L53" s="6" t="str">
        <f>CONCATENATE("13 13.1 4a")</f>
        <v>13 13.1 4a</v>
      </c>
      <c r="M53" s="6" t="str">
        <f>CONCATENATE("01438640417")</f>
        <v>01438640417</v>
      </c>
      <c r="N53" s="6" t="s">
        <v>122</v>
      </c>
      <c r="O53" s="6" t="s">
        <v>123</v>
      </c>
      <c r="P53" s="7">
        <v>43076</v>
      </c>
      <c r="Q53" s="6" t="s">
        <v>30</v>
      </c>
      <c r="R53" s="6" t="s">
        <v>31</v>
      </c>
      <c r="S53" s="6" t="s">
        <v>32</v>
      </c>
      <c r="T53" s="8">
        <v>11576.46</v>
      </c>
      <c r="U53" s="8">
        <v>4991.7700000000004</v>
      </c>
      <c r="V53" s="8">
        <v>4609.75</v>
      </c>
      <c r="W53" s="6">
        <v>0</v>
      </c>
      <c r="X53" s="8">
        <v>1974.94</v>
      </c>
    </row>
    <row r="54" spans="1:24" ht="24.75" x14ac:dyDescent="0.25">
      <c r="A54" s="6" t="s">
        <v>25</v>
      </c>
      <c r="B54" s="6" t="s">
        <v>26</v>
      </c>
      <c r="C54" s="6" t="s">
        <v>40</v>
      </c>
      <c r="D54" s="6" t="s">
        <v>45</v>
      </c>
      <c r="E54" s="6" t="s">
        <v>36</v>
      </c>
      <c r="F54" s="6" t="s">
        <v>124</v>
      </c>
      <c r="G54" s="6">
        <v>2016</v>
      </c>
      <c r="H54" s="6" t="str">
        <f>CONCATENATE("64780086449")</f>
        <v>64780086449</v>
      </c>
      <c r="I54" s="6" t="s">
        <v>33</v>
      </c>
      <c r="J54" s="6" t="s">
        <v>29</v>
      </c>
      <c r="K54" s="6" t="str">
        <f>CONCATENATE("221")</f>
        <v>221</v>
      </c>
      <c r="L54" s="6" t="str">
        <f>CONCATENATE("8 8.1 5e")</f>
        <v>8 8.1 5e</v>
      </c>
      <c r="M54" s="6" t="str">
        <f>CONCATENATE("VNTNTN61L05F347N")</f>
        <v>VNTNTN61L05F347N</v>
      </c>
      <c r="N54" s="6" t="s">
        <v>125</v>
      </c>
      <c r="O54" s="6" t="s">
        <v>92</v>
      </c>
      <c r="P54" s="7">
        <v>43076</v>
      </c>
      <c r="Q54" s="6" t="s">
        <v>30</v>
      </c>
      <c r="R54" s="6" t="s">
        <v>31</v>
      </c>
      <c r="S54" s="6" t="s">
        <v>32</v>
      </c>
      <c r="T54" s="8">
        <v>1540</v>
      </c>
      <c r="U54" s="6">
        <v>664.05</v>
      </c>
      <c r="V54" s="6">
        <v>613.23</v>
      </c>
      <c r="W54" s="6">
        <v>0</v>
      </c>
      <c r="X54" s="6">
        <v>262.72000000000003</v>
      </c>
    </row>
    <row r="55" spans="1:24" ht="24.75" x14ac:dyDescent="0.25">
      <c r="A55" s="6" t="s">
        <v>25</v>
      </c>
      <c r="B55" s="6" t="s">
        <v>39</v>
      </c>
      <c r="C55" s="6" t="s">
        <v>40</v>
      </c>
      <c r="D55" s="6" t="s">
        <v>48</v>
      </c>
      <c r="E55" s="6" t="s">
        <v>38</v>
      </c>
      <c r="F55" s="6" t="s">
        <v>38</v>
      </c>
      <c r="G55" s="6">
        <v>2008</v>
      </c>
      <c r="H55" s="6" t="str">
        <f>CONCATENATE("84758341279")</f>
        <v>84758341279</v>
      </c>
      <c r="I55" s="6" t="s">
        <v>28</v>
      </c>
      <c r="J55" s="6" t="s">
        <v>29</v>
      </c>
      <c r="K55" s="6" t="str">
        <f>CONCATENATE("121")</f>
        <v>121</v>
      </c>
      <c r="L55" s="6" t="str">
        <f>CONCATENATE("4 4.1 2a")</f>
        <v>4 4.1 2a</v>
      </c>
      <c r="M55" s="6" t="str">
        <f>CONCATENATE("00356320440")</f>
        <v>00356320440</v>
      </c>
      <c r="N55" s="6" t="s">
        <v>126</v>
      </c>
      <c r="O55" s="6" t="s">
        <v>127</v>
      </c>
      <c r="P55" s="7">
        <v>43103</v>
      </c>
      <c r="Q55" s="6" t="s">
        <v>30</v>
      </c>
      <c r="R55" s="6" t="s">
        <v>31</v>
      </c>
      <c r="S55" s="6" t="s">
        <v>32</v>
      </c>
      <c r="T55" s="8">
        <v>14883.27</v>
      </c>
      <c r="U55" s="8">
        <v>6417.67</v>
      </c>
      <c r="V55" s="8">
        <v>5926.52</v>
      </c>
      <c r="W55" s="6">
        <v>0</v>
      </c>
      <c r="X55" s="8">
        <v>2539.08</v>
      </c>
    </row>
    <row r="56" spans="1:24" ht="24.75" x14ac:dyDescent="0.25">
      <c r="A56" s="6" t="s">
        <v>25</v>
      </c>
      <c r="B56" s="6" t="s">
        <v>26</v>
      </c>
      <c r="C56" s="6" t="s">
        <v>40</v>
      </c>
      <c r="D56" s="6" t="s">
        <v>48</v>
      </c>
      <c r="E56" s="6" t="s">
        <v>36</v>
      </c>
      <c r="F56" s="6" t="s">
        <v>117</v>
      </c>
      <c r="G56" s="6">
        <v>2016</v>
      </c>
      <c r="H56" s="6" t="str">
        <f>CONCATENATE("64770368278")</f>
        <v>64770368278</v>
      </c>
      <c r="I56" s="6" t="s">
        <v>33</v>
      </c>
      <c r="J56" s="6" t="s">
        <v>29</v>
      </c>
      <c r="K56" s="6" t="str">
        <f>CONCATENATE("214")</f>
        <v>214</v>
      </c>
      <c r="L56" s="6" t="str">
        <f>CONCATENATE("11 11.1 4b - 11 11.2 4b")</f>
        <v>11 11.1 4b - 11 11.2 4b</v>
      </c>
      <c r="M56" s="6" t="str">
        <f>CONCATENATE("GGLFPP50E25A335E")</f>
        <v>GGLFPP50E25A335E</v>
      </c>
      <c r="N56" s="6" t="s">
        <v>128</v>
      </c>
      <c r="O56" s="6" t="s">
        <v>129</v>
      </c>
      <c r="P56" s="7">
        <v>42830</v>
      </c>
      <c r="Q56" s="6" t="s">
        <v>30</v>
      </c>
      <c r="R56" s="6" t="s">
        <v>31</v>
      </c>
      <c r="S56" s="6" t="s">
        <v>32</v>
      </c>
      <c r="T56" s="6">
        <v>299.81</v>
      </c>
      <c r="U56" s="6">
        <v>129.28</v>
      </c>
      <c r="V56" s="6">
        <v>119.38</v>
      </c>
      <c r="W56" s="6">
        <v>0</v>
      </c>
      <c r="X56" s="6">
        <v>51.15</v>
      </c>
    </row>
    <row r="57" spans="1:24" ht="24.75" x14ac:dyDescent="0.25">
      <c r="A57" s="6" t="s">
        <v>25</v>
      </c>
      <c r="B57" s="6" t="s">
        <v>26</v>
      </c>
      <c r="C57" s="6" t="s">
        <v>40</v>
      </c>
      <c r="D57" s="6" t="s">
        <v>60</v>
      </c>
      <c r="E57" s="6" t="s">
        <v>36</v>
      </c>
      <c r="F57" s="6" t="s">
        <v>130</v>
      </c>
      <c r="G57" s="6">
        <v>2016</v>
      </c>
      <c r="H57" s="6" t="str">
        <f>CONCATENATE("64770274005")</f>
        <v>64770274005</v>
      </c>
      <c r="I57" s="6" t="s">
        <v>33</v>
      </c>
      <c r="J57" s="6" t="s">
        <v>29</v>
      </c>
      <c r="K57" s="6" t="str">
        <f>CONCATENATE("214")</f>
        <v>214</v>
      </c>
      <c r="L57" s="6" t="str">
        <f>CONCATENATE("11 11.1 4b - 11 11.2 4b")</f>
        <v>11 11.1 4b - 11 11.2 4b</v>
      </c>
      <c r="M57" s="6" t="str">
        <f>CONCATENATE("01711320430")</f>
        <v>01711320430</v>
      </c>
      <c r="N57" s="6" t="s">
        <v>131</v>
      </c>
      <c r="O57" s="6" t="s">
        <v>132</v>
      </c>
      <c r="P57" s="7">
        <v>42822</v>
      </c>
      <c r="Q57" s="6" t="s">
        <v>30</v>
      </c>
      <c r="R57" s="6" t="s">
        <v>31</v>
      </c>
      <c r="S57" s="6" t="s">
        <v>32</v>
      </c>
      <c r="T57" s="8">
        <v>1591.44</v>
      </c>
      <c r="U57" s="6">
        <v>686.23</v>
      </c>
      <c r="V57" s="6">
        <v>633.71</v>
      </c>
      <c r="W57" s="6">
        <v>0</v>
      </c>
      <c r="X57" s="6">
        <v>271.5</v>
      </c>
    </row>
    <row r="58" spans="1:24" ht="24.75" x14ac:dyDescent="0.25">
      <c r="A58" s="6" t="s">
        <v>25</v>
      </c>
      <c r="B58" s="6" t="s">
        <v>26</v>
      </c>
      <c r="C58" s="6" t="s">
        <v>40</v>
      </c>
      <c r="D58" s="6" t="s">
        <v>60</v>
      </c>
      <c r="E58" s="6" t="s">
        <v>36</v>
      </c>
      <c r="F58" s="6" t="s">
        <v>97</v>
      </c>
      <c r="G58" s="6">
        <v>2015</v>
      </c>
      <c r="H58" s="6" t="str">
        <f>CONCATENATE("54715329469")</f>
        <v>54715329469</v>
      </c>
      <c r="I58" s="6" t="s">
        <v>28</v>
      </c>
      <c r="J58" s="6" t="s">
        <v>29</v>
      </c>
      <c r="K58" s="6" t="str">
        <f>CONCATENATE("214")</f>
        <v>214</v>
      </c>
      <c r="L58" s="6" t="str">
        <f>CONCATENATE("11 11.2 4b")</f>
        <v>11 11.2 4b</v>
      </c>
      <c r="M58" s="6" t="str">
        <f>CONCATENATE("BTSDBR47H06C267Z")</f>
        <v>BTSDBR47H06C267Z</v>
      </c>
      <c r="N58" s="6" t="s">
        <v>133</v>
      </c>
      <c r="O58" s="6" t="s">
        <v>134</v>
      </c>
      <c r="P58" s="7">
        <v>42919</v>
      </c>
      <c r="Q58" s="6" t="s">
        <v>30</v>
      </c>
      <c r="R58" s="6" t="s">
        <v>31</v>
      </c>
      <c r="S58" s="6" t="s">
        <v>32</v>
      </c>
      <c r="T58" s="6">
        <v>474.9</v>
      </c>
      <c r="U58" s="6">
        <v>204.78</v>
      </c>
      <c r="V58" s="6">
        <v>189.11</v>
      </c>
      <c r="W58" s="6">
        <v>0</v>
      </c>
      <c r="X58" s="6">
        <v>81.010000000000005</v>
      </c>
    </row>
    <row r="59" spans="1:24" ht="24.75" x14ac:dyDescent="0.25">
      <c r="A59" s="6" t="s">
        <v>25</v>
      </c>
      <c r="B59" s="6" t="s">
        <v>26</v>
      </c>
      <c r="C59" s="6" t="s">
        <v>40</v>
      </c>
      <c r="D59" s="6" t="s">
        <v>60</v>
      </c>
      <c r="E59" s="6" t="s">
        <v>36</v>
      </c>
      <c r="F59" s="6" t="s">
        <v>97</v>
      </c>
      <c r="G59" s="6">
        <v>2015</v>
      </c>
      <c r="H59" s="6" t="str">
        <f>CONCATENATE("54715331143")</f>
        <v>54715331143</v>
      </c>
      <c r="I59" s="6" t="s">
        <v>28</v>
      </c>
      <c r="J59" s="6" t="s">
        <v>29</v>
      </c>
      <c r="K59" s="6" t="str">
        <f>CONCATENATE("214")</f>
        <v>214</v>
      </c>
      <c r="L59" s="6" t="str">
        <f>CONCATENATE("11 11.2 4b")</f>
        <v>11 11.2 4b</v>
      </c>
      <c r="M59" s="6" t="str">
        <f>CONCATENATE("BTSDBR47H06C267Z")</f>
        <v>BTSDBR47H06C267Z</v>
      </c>
      <c r="N59" s="6" t="s">
        <v>133</v>
      </c>
      <c r="O59" s="6" t="s">
        <v>134</v>
      </c>
      <c r="P59" s="7">
        <v>42919</v>
      </c>
      <c r="Q59" s="6" t="s">
        <v>30</v>
      </c>
      <c r="R59" s="6" t="s">
        <v>31</v>
      </c>
      <c r="S59" s="6" t="s">
        <v>32</v>
      </c>
      <c r="T59" s="8">
        <v>4635.28</v>
      </c>
      <c r="U59" s="8">
        <v>1998.73</v>
      </c>
      <c r="V59" s="8">
        <v>1845.77</v>
      </c>
      <c r="W59" s="6">
        <v>0</v>
      </c>
      <c r="X59" s="6">
        <v>790.78</v>
      </c>
    </row>
    <row r="60" spans="1:24" ht="24.75" x14ac:dyDescent="0.25">
      <c r="A60" s="6" t="s">
        <v>25</v>
      </c>
      <c r="B60" s="6" t="s">
        <v>26</v>
      </c>
      <c r="C60" s="6" t="s">
        <v>40</v>
      </c>
      <c r="D60" s="6" t="s">
        <v>60</v>
      </c>
      <c r="E60" s="6" t="s">
        <v>36</v>
      </c>
      <c r="F60" s="6" t="s">
        <v>97</v>
      </c>
      <c r="G60" s="6">
        <v>2015</v>
      </c>
      <c r="H60" s="6" t="str">
        <f>CONCATENATE("54715332745")</f>
        <v>54715332745</v>
      </c>
      <c r="I60" s="6" t="s">
        <v>28</v>
      </c>
      <c r="J60" s="6" t="s">
        <v>29</v>
      </c>
      <c r="K60" s="6" t="str">
        <f>CONCATENATE("214")</f>
        <v>214</v>
      </c>
      <c r="L60" s="6" t="str">
        <f>CONCATENATE("11 11.2 4b")</f>
        <v>11 11.2 4b</v>
      </c>
      <c r="M60" s="6" t="str">
        <f>CONCATENATE("BTSDBR47H06C267Z")</f>
        <v>BTSDBR47H06C267Z</v>
      </c>
      <c r="N60" s="6" t="s">
        <v>133</v>
      </c>
      <c r="O60" s="6" t="s">
        <v>134</v>
      </c>
      <c r="P60" s="7">
        <v>42919</v>
      </c>
      <c r="Q60" s="6" t="s">
        <v>30</v>
      </c>
      <c r="R60" s="6" t="s">
        <v>31</v>
      </c>
      <c r="S60" s="6" t="s">
        <v>32</v>
      </c>
      <c r="T60" s="8">
        <v>3400.29</v>
      </c>
      <c r="U60" s="8">
        <v>1466.21</v>
      </c>
      <c r="V60" s="8">
        <v>1354</v>
      </c>
      <c r="W60" s="6">
        <v>0</v>
      </c>
      <c r="X60" s="6">
        <v>580.08000000000004</v>
      </c>
    </row>
  </sheetData>
  <mergeCells count="2">
    <mergeCell ref="A1:X1"/>
    <mergeCell ref="A2:X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2018-01-17T14:04:12Z</dcterms:created>
  <dcterms:modified xsi:type="dcterms:W3CDTF">2018-01-17T14:04:49Z</dcterms:modified>
</cp:coreProperties>
</file>