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4675" windowHeight="10770"/>
  </bookViews>
  <sheets>
    <sheet name="Dettaglio_Domande_Pagabili_AGEA" sheetId="1" r:id="rId1"/>
  </sheets>
  <calcPr calcId="145621"/>
</workbook>
</file>

<file path=xl/calcChain.xml><?xml version="1.0" encoding="utf-8"?>
<calcChain xmlns="http://schemas.openxmlformats.org/spreadsheetml/2006/main">
  <c r="M211" i="1" l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<sst xmlns="http://schemas.openxmlformats.org/spreadsheetml/2006/main" count="2521" uniqueCount="295">
  <si>
    <t>Dettaglio Domande Pagabili Decreto 76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</si>
  <si>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</si>
  <si>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</si>
  <si>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</si>
  <si>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</si>
  <si>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</si>
  <si>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</si>
  <si>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</si>
  <si>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</si>
  <si>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</si>
  <si>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</si>
  <si>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</si>
  <si>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</si>
  <si>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</si>
  <si>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</si>
  <si>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</si>
  <si>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</si>
  <si>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</si>
  <si>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</si>
  <si>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</si>
  <si>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</si>
  <si>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</si>
  <si>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</si>
  <si>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</si>
  <si>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</si>
  <si>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</si>
  <si>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</si>
  <si>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</si>
  <si>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</si>
  <si>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Nuova Programmazione</t>
  </si>
  <si>
    <t>In Liquidazione</t>
  </si>
  <si>
    <t>Anticipo</t>
  </si>
  <si>
    <t>Co-Finanziato</t>
  </si>
  <si>
    <t>CAA CIA srl</t>
  </si>
  <si>
    <t>CAA Confagricoltura srl</t>
  </si>
  <si>
    <t>SI</t>
  </si>
  <si>
    <t>CAA Copagri srl</t>
  </si>
  <si>
    <t>CAA UNSIC s.r.l.</t>
  </si>
  <si>
    <t>CAA UNICAA srl</t>
  </si>
  <si>
    <t>CAA CIA - ASCOLI PICENO - 001</t>
  </si>
  <si>
    <t>CAA LiberiAgricoltori srl già CAA AGCI srl</t>
  </si>
  <si>
    <t>IN PROPRIO</t>
  </si>
  <si>
    <t>MARCHE</t>
  </si>
  <si>
    <t>SERVIZIO DECENTRATO AGRICOLTURA E ALIM. - MACERATA</t>
  </si>
  <si>
    <t>CAA Coldiretti - MACERATA - 017</t>
  </si>
  <si>
    <t>CARUCCI ANGELO</t>
  </si>
  <si>
    <t>SERV. DEC. AGRICOLTURA E ALIMENTAZIONE - PESARO</t>
  </si>
  <si>
    <t>CAA Copagri - PESARO E URBINO - 502</t>
  </si>
  <si>
    <t>BORGOGELLI-OTTAVIANI MATTEO MARIA</t>
  </si>
  <si>
    <t>SERV. DEC. AGRICOLTURA E ALIM. -ASCOLI PICENO</t>
  </si>
  <si>
    <t>D'ERASMO GIOVANNI</t>
  </si>
  <si>
    <t>VITIVINICOLA D'ANGELO DI D'ANGELO PASQUALE E PHILIP SOCIETA' SEMPLICE</t>
  </si>
  <si>
    <t>CAMACCIOLI MARINO</t>
  </si>
  <si>
    <t>SERV. DEC. AGRICOLTURA E ALIMENTAZIONE - ANCONA</t>
  </si>
  <si>
    <t>CAA Coldiretti - ANCONA - 002</t>
  </si>
  <si>
    <t>ARPINI MIRKO</t>
  </si>
  <si>
    <t>ANTONINI FRANCO</t>
  </si>
  <si>
    <t>RICCIONI FRANCESCO</t>
  </si>
  <si>
    <t>STROZZI GIUSEPPINA</t>
  </si>
  <si>
    <t>CAA CIA - PESARO E URBINO - 002</t>
  </si>
  <si>
    <t>ANDREATINI SILVANO</t>
  </si>
  <si>
    <t>TOMASSINI ELENA</t>
  </si>
  <si>
    <t>CAA Coldiretti - FERMO - 001</t>
  </si>
  <si>
    <t>FLAMINI PAOLINO</t>
  </si>
  <si>
    <t>AZIENDA AGRICOLA LE FONTANE DI SAPORITI STEFANO &amp; C. S.N.C.</t>
  </si>
  <si>
    <t>LANCIOTTI ORIANA</t>
  </si>
  <si>
    <t>FIORETTI PATRIZIA</t>
  </si>
  <si>
    <t>CAA Confagricoltura - PESARO E URBINO - 001</t>
  </si>
  <si>
    <t>PIERPAOLI LAMBERTO</t>
  </si>
  <si>
    <t>CAA Coldiretti - PESARO E URBINO - 006</t>
  </si>
  <si>
    <t>RICCI SAMUELE</t>
  </si>
  <si>
    <t>ARGALIA MARIO</t>
  </si>
  <si>
    <t>CAA Confagricoltura - ASCOLI PICENO - 001</t>
  </si>
  <si>
    <t>PROSPERI STEFANO</t>
  </si>
  <si>
    <t>CAA Coldiretti - ANCONA - 005</t>
  </si>
  <si>
    <t>SORCI LUIGINA</t>
  </si>
  <si>
    <t>CAA Coldiretti - ASCOLI PICENO - 010</t>
  </si>
  <si>
    <t>LAURI GIANCARLO</t>
  </si>
  <si>
    <t>PAPILLI MARIO</t>
  </si>
  <si>
    <t>CAA UNICAA - ASCOLI PICENO - 003</t>
  </si>
  <si>
    <t>PERONI ELEONORA</t>
  </si>
  <si>
    <t>MAGNONI DANIELE</t>
  </si>
  <si>
    <t>CAA Copagri - ASCOLI PICENO - 501</t>
  </si>
  <si>
    <t>SESTINI ELISA</t>
  </si>
  <si>
    <t>GUIDARELLI PIERO</t>
  </si>
  <si>
    <t>CAA CIA - ANCONA - 005</t>
  </si>
  <si>
    <t>CIPRIANI UGO</t>
  </si>
  <si>
    <t>CAA Coldiretti - PERUGIA - 011</t>
  </si>
  <si>
    <t>MESSI VALENTINA</t>
  </si>
  <si>
    <t>CAA Coldiretti - MACERATA - 009</t>
  </si>
  <si>
    <t>MINNOZZI SILVIA</t>
  </si>
  <si>
    <t>CAA CIA - PESARO E URBINO - 005</t>
  </si>
  <si>
    <t>FIORELLI SIMONE</t>
  </si>
  <si>
    <t>CAA Coldiretti - ASCOLI PICENO - 040</t>
  </si>
  <si>
    <t>FERRACUTI DOMENICO</t>
  </si>
  <si>
    <t>SPADONI MICHELE</t>
  </si>
  <si>
    <t>MARCOLINI SIMONE</t>
  </si>
  <si>
    <t>CAA Copagri - ANCONA - 502</t>
  </si>
  <si>
    <t>PELATELLI GRAZIANO</t>
  </si>
  <si>
    <t>BARILOTTI FRANCESCO</t>
  </si>
  <si>
    <t>SANTOLINI GABRIELE</t>
  </si>
  <si>
    <t>CAA Copagri - ASCOLI PICENO - 502</t>
  </si>
  <si>
    <t>MARCONI LAVINIA</t>
  </si>
  <si>
    <t>CAA Copagri - PESARO E URBINO - 503</t>
  </si>
  <si>
    <t>TONI TIZIANA</t>
  </si>
  <si>
    <t>CAA LiberiAgricoltori - PESARO E URBINO - 001</t>
  </si>
  <si>
    <t>WEISSANG FRAUKE HEDWIG</t>
  </si>
  <si>
    <t>MORRI MASSIMILIANO</t>
  </si>
  <si>
    <t>MASCITTI NICOLETTA</t>
  </si>
  <si>
    <t>VOLPONI GIANNI</t>
  </si>
  <si>
    <t>GABRIELLI ALBERTO</t>
  </si>
  <si>
    <t>CAA CIA - PESARO E URBINO - 001</t>
  </si>
  <si>
    <t>PIERANTONI OTELLO</t>
  </si>
  <si>
    <t>GALEAZZI ENRICO</t>
  </si>
  <si>
    <t>CAA CIA - ASCOLI PICENO - 002</t>
  </si>
  <si>
    <t>BOCCI LUCIA</t>
  </si>
  <si>
    <t>MARONI LUCIA</t>
  </si>
  <si>
    <t>BUCCI GIACOMO</t>
  </si>
  <si>
    <t>CAA Coldiretti - PESARO E URBINO - 001</t>
  </si>
  <si>
    <t>PIATTELLA RICCARDO</t>
  </si>
  <si>
    <t>PIERAGOSTINI BASILIO E POMPONI LUIGINA SOC. SEMPLICE</t>
  </si>
  <si>
    <t>RASTELLI SILVIA</t>
  </si>
  <si>
    <t>SOCIET? AGRICOLA LE BRECCIOLE S.S.</t>
  </si>
  <si>
    <t>CARLI BEATRICE</t>
  </si>
  <si>
    <t>MARINI GIOVANNA</t>
  </si>
  <si>
    <t>SOCIETA' AGRICOLA GALIARDI S.S.</t>
  </si>
  <si>
    <t>CAA LiberiAgricoltori - PESARO E URBINO - 002</t>
  </si>
  <si>
    <t>MANCINI DANILO</t>
  </si>
  <si>
    <t>LAURI MARIO</t>
  </si>
  <si>
    <t>POLI BARBARA</t>
  </si>
  <si>
    <t>MARINI ANNA MARIA</t>
  </si>
  <si>
    <t>BURATTI ILARIA</t>
  </si>
  <si>
    <t>PESCI FILIPPO</t>
  </si>
  <si>
    <t>BURASCA ANGELA</t>
  </si>
  <si>
    <t>SAUDELLI CELESTINA</t>
  </si>
  <si>
    <t>SOCIETA' AGRICOLA SABBATINI S.S.</t>
  </si>
  <si>
    <t>CARBONARI PATRINA</t>
  </si>
  <si>
    <t>FOSCI ANTONIO</t>
  </si>
  <si>
    <t>FRANCA GINO</t>
  </si>
  <si>
    <t>SOCIETA' AGRICOLA VALTURIO S.S. DI SANTARELLI E GALLI</t>
  </si>
  <si>
    <t>CAA UNICAA - PESARO E URBINO - 003</t>
  </si>
  <si>
    <t>BONAZZOLI GIAMPIETRO</t>
  </si>
  <si>
    <t>CAA Coldiretti - MACERATA - 007</t>
  </si>
  <si>
    <t>SOCIETA' AGRICOLA PAPI ULISSE E PIERO S. S.</t>
  </si>
  <si>
    <t>CAA Copagri - FERMO - 502</t>
  </si>
  <si>
    <t>MARINUCCI CORRADO</t>
  </si>
  <si>
    <t>CAA Coldiretti - ANCONA - 003</t>
  </si>
  <si>
    <t>SILVESTRI NELLO</t>
  </si>
  <si>
    <t>CAA Copagri - MACERATA - 501</t>
  </si>
  <si>
    <t>STAFFOLANI MARCO</t>
  </si>
  <si>
    <t>CAA Coldiretti - PESARO E URBINO - 008</t>
  </si>
  <si>
    <t>SOCIETA' AGRICOLA MINUTELLI S.S. DI BARBIERI MASSIMO &amp; C.</t>
  </si>
  <si>
    <t>CAA CIA - ASCOLI PICENO - 006</t>
  </si>
  <si>
    <t>MATRICARDI MARIA TERESA</t>
  </si>
  <si>
    <t>CAA Coldiretti - ASCOLI PICENO - 025</t>
  </si>
  <si>
    <t>CICCIOLI SABRINA</t>
  </si>
  <si>
    <t>CAA CIA - PESARO E URBINO - 008</t>
  </si>
  <si>
    <t>PAOLUCCI GRAZIELLA</t>
  </si>
  <si>
    <t>PIERSIMONI ANNA</t>
  </si>
  <si>
    <t>SOC.AGR. GREGORI GIOVANNI E LUIGI S.S.</t>
  </si>
  <si>
    <t>CAPECCI FLORIANA</t>
  </si>
  <si>
    <t>MARONI PETRINA ED EREDI MARCHEI DELIO SOCIETA' SEMPLICE AGRICOLA</t>
  </si>
  <si>
    <t>BEI MATTIA</t>
  </si>
  <si>
    <t>BARTOLUCCI DANIELE</t>
  </si>
  <si>
    <t>CAA CIA - PESARO E URBINO - 007</t>
  </si>
  <si>
    <t>CATANI GIULIANA</t>
  </si>
  <si>
    <t>PIGNOLONI NELLO</t>
  </si>
  <si>
    <t>CIARONI GIOVANNI</t>
  </si>
  <si>
    <t>CAA Coldiretti - PESARO E URBINO - 004</t>
  </si>
  <si>
    <t>GIACOMINI LORETTA</t>
  </si>
  <si>
    <t>CAA Coldiretti - ASCOLI PICENO - 030</t>
  </si>
  <si>
    <t>D'ANGELO LIANA</t>
  </si>
  <si>
    <t>CAUCCI SERAFINO</t>
  </si>
  <si>
    <t>BALDACCIONI DAVIDE</t>
  </si>
  <si>
    <t>CAA Coldiretti - PESARO E URBINO - 007</t>
  </si>
  <si>
    <t>ROSSI RITA</t>
  </si>
  <si>
    <t>POMPEI ANNA</t>
  </si>
  <si>
    <t>BUSSAGLIA LUIGI</t>
  </si>
  <si>
    <t>SOCIETA' AGRICOLA CIGNANO SOCIETA' SEMPLICE</t>
  </si>
  <si>
    <t>CAPUTO MARIA GRAZIA</t>
  </si>
  <si>
    <t>SOCIETA' AGRICOLA LA MONTAGNA S.S.</t>
  </si>
  <si>
    <t>FRANCESCONI PAOLO</t>
  </si>
  <si>
    <t>BIOCCO MARIA</t>
  </si>
  <si>
    <t>COCCI CRISTIANO</t>
  </si>
  <si>
    <t>FRANCESCONI ANTONIO</t>
  </si>
  <si>
    <t>LAURI PAOLO</t>
  </si>
  <si>
    <t>PAPI PAOLO CLAUDIO</t>
  </si>
  <si>
    <t>CAA Coldiretti - MACERATA - 008</t>
  </si>
  <si>
    <t>MARIANI FRANCESCO</t>
  </si>
  <si>
    <t>RIGHI FABRIZIO</t>
  </si>
  <si>
    <t>POLITI MATTEO</t>
  </si>
  <si>
    <t>PELUCCHINI SILVANO</t>
  </si>
  <si>
    <t>AMADIO ROSA</t>
  </si>
  <si>
    <t>CAA Coldiretti - MACERATA - 018</t>
  </si>
  <si>
    <t>SENESI ROBERTO</t>
  </si>
  <si>
    <t>BONAVENTURA MASSIMILIANO PIERO VITTORIO</t>
  </si>
  <si>
    <t>AGRICOLA SAN LORENZO S.S. DI SALTARELLI MAURO &amp; C. - SOCIETA'</t>
  </si>
  <si>
    <t>PIERUCCI GIANMICHELE</t>
  </si>
  <si>
    <t>MASILI LUIGI</t>
  </si>
  <si>
    <t>TRIBUZIO IGINO</t>
  </si>
  <si>
    <t>SOLATIO SOCIETA'SEMPLICE DI CAPRETTI MAURIZIO &amp; RITUCCI MICHELE</t>
  </si>
  <si>
    <t>BURATTI ELISEO</t>
  </si>
  <si>
    <t>CAA Confagricoltura - MACERATA - 001</t>
  </si>
  <si>
    <t>COTTINI FRANCESCO EREDI</t>
  </si>
  <si>
    <t>TRECCIOLA GIANFRANCO</t>
  </si>
  <si>
    <t>CAA CIA - PESARO E URBINO - 006</t>
  </si>
  <si>
    <t>AZIENDA AGRICOLA ' SAN MARTINO' SOCIETA' SEMPLICE AGRICOLA</t>
  </si>
  <si>
    <t>LOMBONI DANIELE</t>
  </si>
  <si>
    <t>SOCIETA' AGRICOLA LAGO DI CESARONI ANGELO E C. S.S</t>
  </si>
  <si>
    <t>IONNI SANDRA</t>
  </si>
  <si>
    <t>RADICCHI MARA VALBRUNA</t>
  </si>
  <si>
    <t>CLEMENTI GIUSEPPE</t>
  </si>
  <si>
    <t>CAA Copagri - ASCOLI PICENO - 401</t>
  </si>
  <si>
    <t>VALORI ARNALDO</t>
  </si>
  <si>
    <t>FERRANTI LUCIA</t>
  </si>
  <si>
    <t>VOLPONI MARIA LUISA</t>
  </si>
  <si>
    <t>CAA UNSIC - ASCOLI PICENO - 001</t>
  </si>
  <si>
    <t>ORTOLANI ADRIANO</t>
  </si>
  <si>
    <t>URBINATI LUIGI</t>
  </si>
  <si>
    <t>MACCARONI BRUNO</t>
  </si>
  <si>
    <t>MAGGIOLI ILIANA</t>
  </si>
  <si>
    <t>CAA Coldiretti - PESARO E URBINO - 013</t>
  </si>
  <si>
    <t>BRUNORI GIANFRANCO</t>
  </si>
  <si>
    <t>FERRONI GIUSEPPA</t>
  </si>
  <si>
    <t>FABIANI NAZZARENO</t>
  </si>
  <si>
    <t>BUFARINI MARIA</t>
  </si>
  <si>
    <t>FERRI ALESSANDRA</t>
  </si>
  <si>
    <t>CIACCI GIULIANO</t>
  </si>
  <si>
    <t>CAA CIA - ANCONA - 004</t>
  </si>
  <si>
    <t>BIGNAMI CLAUDIO</t>
  </si>
  <si>
    <t>SOC. AGR. GIORGINI GILBERTO E GUERRINO S.S.</t>
  </si>
  <si>
    <t>MASSITTI OMBRETTA</t>
  </si>
  <si>
    <t>CAA Confagricoltura - ANCONA - 001</t>
  </si>
  <si>
    <t>LAUDAZI MARCO</t>
  </si>
  <si>
    <t>CAA CIA - MACERATA - 001</t>
  </si>
  <si>
    <t>LANCIONI FEDERICO</t>
  </si>
  <si>
    <t>ITALIANO MATTEO</t>
  </si>
  <si>
    <t>PAGLIALUNGA CARLO</t>
  </si>
  <si>
    <t>VITALI FRANCA</t>
  </si>
  <si>
    <t>VICHI WALTER</t>
  </si>
  <si>
    <t>CAA Coldiretti - PESARO E URBINO - 010</t>
  </si>
  <si>
    <t>DONATI FRANCESCO MARIA</t>
  </si>
  <si>
    <t>PENNACCHI DOMENICO</t>
  </si>
  <si>
    <t>MARI ENZO</t>
  </si>
  <si>
    <t>GRILLO PAOLA</t>
  </si>
  <si>
    <t>SOCIETA' AGRICOLA BECCERICA DI BECCERICA MARCO, OTTAVIO E C. S.S.</t>
  </si>
  <si>
    <t>CAA Coldiretti - MACERATA - 010</t>
  </si>
  <si>
    <t>MAURIZI ROBERTO</t>
  </si>
  <si>
    <t>BRUNI NAZZARENO</t>
  </si>
  <si>
    <t>GASPARI ROSANNA</t>
  </si>
  <si>
    <t>SOCIETA' ME.TA. DI MENCAGLI PASQUALE PIETRO &amp; MENCAGLI LUCIANO</t>
  </si>
  <si>
    <t>SOCIETA' AGRICOLA - ALESSANDRI ANGELO E GIUSEPPE SOC. SEMPLICE</t>
  </si>
  <si>
    <t>CAA Liberi Professionisti srl</t>
  </si>
  <si>
    <t>CAA Liberi Prof.- PESARO E URBINO - 001</t>
  </si>
  <si>
    <t>CAPRIOTTI SILVIA</t>
  </si>
  <si>
    <t>DI MULO MASSIMO</t>
  </si>
  <si>
    <t>SOCIETA' AGRICOLA COLLI DEI VASI SOCIETA' SEMPLICE</t>
  </si>
  <si>
    <t>CASAGRANDE VITO</t>
  </si>
  <si>
    <t>GROTTOLI CARLO</t>
  </si>
  <si>
    <t>LE TRE QUERCE SOCIETA' SEMPLICE AGRICOLA DI CARDINALI MARCO &amp; F.LLI CE</t>
  </si>
  <si>
    <t>SOC.AGR. BIOLOGICA ISOLA DELLA PIEVE S.S.</t>
  </si>
  <si>
    <t>ROSA ATTILIO</t>
  </si>
  <si>
    <t>CIACCI ALESSANDRO</t>
  </si>
  <si>
    <t>CAA Copagri - MACERATA - 503</t>
  </si>
  <si>
    <t>CICCONI FRANCESCO</t>
  </si>
  <si>
    <t>FARANO STEFANO</t>
  </si>
  <si>
    <t>MARZIALI MARIA</t>
  </si>
  <si>
    <t>PEZZOLI SILVANA</t>
  </si>
  <si>
    <t>CAA Copagri - PESARO E URBINO - 501</t>
  </si>
  <si>
    <t>AMATI GIANCARLO</t>
  </si>
  <si>
    <t>MERLETTI GIANLUCA</t>
  </si>
  <si>
    <t>IEZZI FRANCESCO E GIOVANNI</t>
  </si>
  <si>
    <t>SCUPPA DIEGO</t>
  </si>
  <si>
    <t>LONGHI DORIANA</t>
  </si>
  <si>
    <t>BECIANI ELIO</t>
  </si>
  <si>
    <t>ZUCCARINI PAOLO</t>
  </si>
  <si>
    <t>VECCHI TOMMASO</t>
  </si>
  <si>
    <t>SOCIETA' AGR.GIRONACCI LUCREZIA E C. S.S</t>
  </si>
  <si>
    <t>DI MATTIA SABATINO</t>
  </si>
  <si>
    <t>SEBASTIANELLI GILBERTO</t>
  </si>
  <si>
    <t>CALENTI DARIO</t>
  </si>
  <si>
    <t>PALMUCCI ROBERTO</t>
  </si>
  <si>
    <t>MONTI GIUSEPPE</t>
  </si>
  <si>
    <t>MINUTELLI SEMIKOLENNYKH ILYA</t>
  </si>
  <si>
    <t>VAGNARELLI MASSIMO</t>
  </si>
  <si>
    <t>CAA CIA - ASCOLI PICENO - 004</t>
  </si>
  <si>
    <t>COLLINA GIUSEPPINA</t>
  </si>
  <si>
    <t>SOCIETA' AGRICOLA D'ERCOLI ROBERTO E DANIELE SOCIETA' SEMPLICE</t>
  </si>
  <si>
    <t>LANCIOTTI MARCO</t>
  </si>
  <si>
    <t>SOCIETA' AGRICOLA ANGELI SOCIETA' SEMPLICE</t>
  </si>
  <si>
    <t>ANNESSI GABRIELE E ANTONIO S.S.</t>
  </si>
  <si>
    <t>CAA UNICAA - ANCONA - 003</t>
  </si>
  <si>
    <t>PAOLETTI FRANCESCO</t>
  </si>
  <si>
    <t>MAGNA MATER SRL SOCIETA' AGRICOLA UNIPER</t>
  </si>
  <si>
    <t>LUCARELLI GIOVANNI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</si>
</sst>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1"/>
  <sheetViews>
    <sheetView showGridLines="0" tabSelected="1" workbookViewId="0">
      <selection activeCell="E220" sqref="E220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8" style="4" bestFit="1" customWidth="1"/>
    <col min="4" max="4" width="36.5703125" style="4" bestFit="1" customWidth="1"/>
    <col min="5" max="5" width="32.42578125" style="4" bestFit="1" customWidth="1"/>
    <col min="6" max="6" width="36.4257812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6.85546875" style="4" bestFit="1" customWidth="1"/>
    <col min="14" max="14" width="36.5703125" style="4" bestFit="1" customWidth="1"/>
    <col min="15" max="15" width="13.14062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26</v>
      </c>
      <c r="C4" s="6" t="s">
        <v>42</v>
      </c>
      <c r="D4" s="6" t="s">
        <v>43</v>
      </c>
      <c r="E4" s="6" t="s">
        <v>27</v>
      </c>
      <c r="F4" s="6" t="s">
        <v>44</v>
      </c>
      <c r="G4" s="6">
        <v>2016</v>
      </c>
      <c r="H4" s="6" t="str">
        <f>CONCATENATE("64240312849")</f>
        <v>64240312849</v>
      </c>
      <c r="I4" s="6" t="s">
        <v>28</v>
      </c>
      <c r="J4" s="6" t="s">
        <v>29</v>
      </c>
      <c r="K4" s="6" t="str">
        <f>CONCATENATE("")</f>
        <v/>
      </c>
      <c r="L4" s="6" t="str">
        <f>CONCATENATE("11 11.2 4b")</f>
        <v>11 11.2 4b</v>
      </c>
      <c r="M4" s="6" t="str">
        <f>CONCATENATE("CRCNGL65R14F051L")</f>
        <v>CRCNGL65R14F051L</v>
      </c>
      <c r="N4" s="6" t="s">
        <v>45</v>
      </c>
      <c r="O4" s="6"/>
      <c r="P4" s="7">
        <v>42877</v>
      </c>
      <c r="Q4" s="6" t="s">
        <v>30</v>
      </c>
      <c r="R4" s="6" t="s">
        <v>31</v>
      </c>
      <c r="S4" s="6" t="s">
        <v>32</v>
      </c>
      <c r="T4" s="8">
        <v>2132.33</v>
      </c>
      <c r="U4" s="6">
        <v>919.46</v>
      </c>
      <c r="V4" s="6">
        <v>849.09</v>
      </c>
      <c r="W4" s="6">
        <v>0</v>
      </c>
      <c r="X4" s="6">
        <v>363.78</v>
      </c>
    </row>
    <row r="5" spans="1:24" ht="24.75" x14ac:dyDescent="0.25">
      <c r="A5" s="6" t="s">
        <v>25</v>
      </c>
      <c r="B5" s="6" t="s">
        <v>26</v>
      </c>
      <c r="C5" s="6" t="s">
        <v>42</v>
      </c>
      <c r="D5" s="6" t="s">
        <v>46</v>
      </c>
      <c r="E5" s="6" t="s">
        <v>36</v>
      </c>
      <c r="F5" s="6" t="s">
        <v>47</v>
      </c>
      <c r="G5" s="6">
        <v>2016</v>
      </c>
      <c r="H5" s="6" t="str">
        <f>CONCATENATE("64240703971")</f>
        <v>64240703971</v>
      </c>
      <c r="I5" s="6" t="s">
        <v>28</v>
      </c>
      <c r="J5" s="6" t="s">
        <v>29</v>
      </c>
      <c r="K5" s="6" t="str">
        <f>CONCATENATE("")</f>
        <v/>
      </c>
      <c r="L5" s="6" t="str">
        <f>CONCATENATE("11 11.1 4b")</f>
        <v>11 11.1 4b</v>
      </c>
      <c r="M5" s="6" t="str">
        <f>CONCATENATE("BRGMTM75R04G702H")</f>
        <v>BRGMTM75R04G702H</v>
      </c>
      <c r="N5" s="6" t="s">
        <v>48</v>
      </c>
      <c r="O5" s="6"/>
      <c r="P5" s="7">
        <v>42879</v>
      </c>
      <c r="Q5" s="6" t="s">
        <v>30</v>
      </c>
      <c r="R5" s="6" t="s">
        <v>31</v>
      </c>
      <c r="S5" s="6" t="s">
        <v>32</v>
      </c>
      <c r="T5" s="6">
        <v>426.47</v>
      </c>
      <c r="U5" s="6">
        <v>183.89</v>
      </c>
      <c r="V5" s="6">
        <v>169.82</v>
      </c>
      <c r="W5" s="6">
        <v>0</v>
      </c>
      <c r="X5" s="6">
        <v>72.760000000000005</v>
      </c>
    </row>
    <row r="6" spans="1:24" ht="24.75" x14ac:dyDescent="0.25">
      <c r="A6" s="6" t="s">
        <v>25</v>
      </c>
      <c r="B6" s="6" t="s">
        <v>26</v>
      </c>
      <c r="C6" s="6" t="s">
        <v>42</v>
      </c>
      <c r="D6" s="6" t="s">
        <v>49</v>
      </c>
      <c r="E6" s="6" t="s">
        <v>41</v>
      </c>
      <c r="F6" s="6" t="s">
        <v>41</v>
      </c>
      <c r="G6" s="6">
        <v>2016</v>
      </c>
      <c r="H6" s="6" t="str">
        <f>CONCATENATE("64240070553")</f>
        <v>64240070553</v>
      </c>
      <c r="I6" s="6" t="s">
        <v>28</v>
      </c>
      <c r="J6" s="6" t="s">
        <v>29</v>
      </c>
      <c r="K6" s="6" t="str">
        <f>CONCATENATE("")</f>
        <v/>
      </c>
      <c r="L6" s="6" t="str">
        <f>CONCATENATE("11 11.2 4b")</f>
        <v>11 11.2 4b</v>
      </c>
      <c r="M6" s="6" t="str">
        <f>CONCATENATE("DRSGNN57T28H321Q")</f>
        <v>DRSGNN57T28H321Q</v>
      </c>
      <c r="N6" s="6" t="s">
        <v>50</v>
      </c>
      <c r="O6" s="6"/>
      <c r="P6" s="7">
        <v>42879</v>
      </c>
      <c r="Q6" s="6" t="s">
        <v>30</v>
      </c>
      <c r="R6" s="6" t="s">
        <v>31</v>
      </c>
      <c r="S6" s="6" t="s">
        <v>32</v>
      </c>
      <c r="T6" s="8">
        <v>1842.24</v>
      </c>
      <c r="U6" s="6">
        <v>794.37</v>
      </c>
      <c r="V6" s="6">
        <v>733.58</v>
      </c>
      <c r="W6" s="6">
        <v>0</v>
      </c>
      <c r="X6" s="6">
        <v>314.29000000000002</v>
      </c>
    </row>
    <row r="7" spans="1:24" ht="24.75" x14ac:dyDescent="0.25">
      <c r="A7" s="6" t="s">
        <v>25</v>
      </c>
      <c r="B7" s="6" t="s">
        <v>26</v>
      </c>
      <c r="C7" s="6" t="s">
        <v>42</v>
      </c>
      <c r="D7" s="6" t="s">
        <v>49</v>
      </c>
      <c r="E7" s="6" t="s">
        <v>41</v>
      </c>
      <c r="F7" s="6" t="s">
        <v>41</v>
      </c>
      <c r="G7" s="6">
        <v>2016</v>
      </c>
      <c r="H7" s="6" t="str">
        <f>CONCATENATE("64240713756")</f>
        <v>64240713756</v>
      </c>
      <c r="I7" s="6" t="s">
        <v>28</v>
      </c>
      <c r="J7" s="6" t="s">
        <v>29</v>
      </c>
      <c r="K7" s="6" t="str">
        <f>CONCATENATE("")</f>
        <v/>
      </c>
      <c r="L7" s="6" t="str">
        <f>CONCATENATE("10 10.1 4b")</f>
        <v>10 10.1 4b</v>
      </c>
      <c r="M7" s="6" t="str">
        <f>CONCATENATE("00435570445")</f>
        <v>00435570445</v>
      </c>
      <c r="N7" s="6" t="s">
        <v>51</v>
      </c>
      <c r="O7" s="6"/>
      <c r="P7" s="7">
        <v>42877</v>
      </c>
      <c r="Q7" s="6" t="s">
        <v>30</v>
      </c>
      <c r="R7" s="6" t="s">
        <v>31</v>
      </c>
      <c r="S7" s="6" t="s">
        <v>32</v>
      </c>
      <c r="T7" s="8">
        <v>11156.56</v>
      </c>
      <c r="U7" s="8">
        <v>4810.71</v>
      </c>
      <c r="V7" s="8">
        <v>4442.54</v>
      </c>
      <c r="W7" s="6">
        <v>0</v>
      </c>
      <c r="X7" s="6">
        <v>1903.31</v>
      </c>
    </row>
    <row r="8" spans="1:24" ht="24.75" x14ac:dyDescent="0.25">
      <c r="A8" s="6" t="s">
        <v>25</v>
      </c>
      <c r="B8" s="6" t="s">
        <v>26</v>
      </c>
      <c r="C8" s="6" t="s">
        <v>42</v>
      </c>
      <c r="D8" s="6" t="s">
        <v>43</v>
      </c>
      <c r="E8" s="6" t="s">
        <v>27</v>
      </c>
      <c r="F8" s="6" t="s">
        <v>44</v>
      </c>
      <c r="G8" s="6">
        <v>2016</v>
      </c>
      <c r="H8" s="6" t="str">
        <f>CONCATENATE("64210567646")</f>
        <v>64210567646</v>
      </c>
      <c r="I8" s="6" t="s">
        <v>28</v>
      </c>
      <c r="J8" s="6" t="s">
        <v>29</v>
      </c>
      <c r="K8" s="6" t="str">
        <f>CONCATENATE("")</f>
        <v/>
      </c>
      <c r="L8" s="6" t="str">
        <f>CONCATENATE("13 13.1 4a")</f>
        <v>13 13.1 4a</v>
      </c>
      <c r="M8" s="6" t="str">
        <f>CONCATENATE("CMCMRN33P09B474L")</f>
        <v>CMCMRN33P09B474L</v>
      </c>
      <c r="N8" s="6" t="s">
        <v>52</v>
      </c>
      <c r="O8" s="6"/>
      <c r="P8" s="7">
        <v>42879</v>
      </c>
      <c r="Q8" s="6" t="s">
        <v>30</v>
      </c>
      <c r="R8" s="6" t="s">
        <v>31</v>
      </c>
      <c r="S8" s="6" t="s">
        <v>32</v>
      </c>
      <c r="T8" s="6">
        <v>887.17</v>
      </c>
      <c r="U8" s="6">
        <v>382.55</v>
      </c>
      <c r="V8" s="6">
        <v>353.27</v>
      </c>
      <c r="W8" s="6">
        <v>0</v>
      </c>
      <c r="X8" s="6">
        <v>151.35</v>
      </c>
    </row>
    <row r="9" spans="1:24" ht="24.75" x14ac:dyDescent="0.25">
      <c r="A9" s="6" t="s">
        <v>25</v>
      </c>
      <c r="B9" s="6" t="s">
        <v>26</v>
      </c>
      <c r="C9" s="6" t="s">
        <v>42</v>
      </c>
      <c r="D9" s="6" t="s">
        <v>53</v>
      </c>
      <c r="E9" s="6" t="s">
        <v>27</v>
      </c>
      <c r="F9" s="6" t="s">
        <v>54</v>
      </c>
      <c r="G9" s="6">
        <v>2016</v>
      </c>
      <c r="H9" s="6" t="str">
        <f>CONCATENATE("64210747826")</f>
        <v>64210747826</v>
      </c>
      <c r="I9" s="6" t="s">
        <v>28</v>
      </c>
      <c r="J9" s="6" t="s">
        <v>29</v>
      </c>
      <c r="K9" s="6" t="str">
        <f>CONCATENATE("")</f>
        <v/>
      </c>
      <c r="L9" s="6" t="str">
        <f>CONCATENATE("13 13.1 4a")</f>
        <v>13 13.1 4a</v>
      </c>
      <c r="M9" s="6" t="str">
        <f>CONCATENATE("RPNMRK79T31B474M")</f>
        <v>RPNMRK79T31B474M</v>
      </c>
      <c r="N9" s="6" t="s">
        <v>55</v>
      </c>
      <c r="O9" s="6"/>
      <c r="P9" s="7">
        <v>42879</v>
      </c>
      <c r="Q9" s="6" t="s">
        <v>30</v>
      </c>
      <c r="R9" s="6" t="s">
        <v>31</v>
      </c>
      <c r="S9" s="6" t="s">
        <v>32</v>
      </c>
      <c r="T9" s="8">
        <v>4042.21</v>
      </c>
      <c r="U9" s="8">
        <v>1743</v>
      </c>
      <c r="V9" s="8">
        <v>1609.61</v>
      </c>
      <c r="W9" s="6">
        <v>0</v>
      </c>
      <c r="X9" s="6">
        <v>689.6</v>
      </c>
    </row>
    <row r="10" spans="1:24" ht="24.75" x14ac:dyDescent="0.25">
      <c r="A10" s="6" t="s">
        <v>25</v>
      </c>
      <c r="B10" s="6" t="s">
        <v>26</v>
      </c>
      <c r="C10" s="6" t="s">
        <v>42</v>
      </c>
      <c r="D10" s="6" t="s">
        <v>53</v>
      </c>
      <c r="E10" s="6" t="s">
        <v>27</v>
      </c>
      <c r="F10" s="6" t="s">
        <v>54</v>
      </c>
      <c r="G10" s="6">
        <v>2016</v>
      </c>
      <c r="H10" s="6" t="str">
        <f>CONCATENATE("64210737090")</f>
        <v>64210737090</v>
      </c>
      <c r="I10" s="6" t="s">
        <v>28</v>
      </c>
      <c r="J10" s="6" t="s">
        <v>29</v>
      </c>
      <c r="K10" s="6" t="str">
        <f>CONCATENATE("")</f>
        <v/>
      </c>
      <c r="L10" s="6" t="str">
        <f>CONCATENATE("13 13.1 4a")</f>
        <v>13 13.1 4a</v>
      </c>
      <c r="M10" s="6" t="str">
        <f>CONCATENATE("NTNFNC52H20D451I")</f>
        <v>NTNFNC52H20D451I</v>
      </c>
      <c r="N10" s="6" t="s">
        <v>56</v>
      </c>
      <c r="O10" s="6"/>
      <c r="P10" s="7">
        <v>42879</v>
      </c>
      <c r="Q10" s="6" t="s">
        <v>30</v>
      </c>
      <c r="R10" s="6" t="s">
        <v>31</v>
      </c>
      <c r="S10" s="6" t="s">
        <v>32</v>
      </c>
      <c r="T10" s="8">
        <v>1197.97</v>
      </c>
      <c r="U10" s="6">
        <v>516.55999999999995</v>
      </c>
      <c r="V10" s="6">
        <v>477.03</v>
      </c>
      <c r="W10" s="6">
        <v>0</v>
      </c>
      <c r="X10" s="6">
        <v>204.38</v>
      </c>
    </row>
    <row r="11" spans="1:24" ht="24.75" x14ac:dyDescent="0.25">
      <c r="A11" s="6" t="s">
        <v>25</v>
      </c>
      <c r="B11" s="6" t="s">
        <v>26</v>
      </c>
      <c r="C11" s="6" t="s">
        <v>42</v>
      </c>
      <c r="D11" s="6" t="s">
        <v>53</v>
      </c>
      <c r="E11" s="6" t="s">
        <v>27</v>
      </c>
      <c r="F11" s="6" t="s">
        <v>54</v>
      </c>
      <c r="G11" s="6">
        <v>2016</v>
      </c>
      <c r="H11" s="6" t="str">
        <f>CONCATENATE("64211003237")</f>
        <v>64211003237</v>
      </c>
      <c r="I11" s="6" t="s">
        <v>28</v>
      </c>
      <c r="J11" s="6" t="s">
        <v>29</v>
      </c>
      <c r="K11" s="6" t="str">
        <f>CONCATENATE("")</f>
        <v/>
      </c>
      <c r="L11" s="6" t="str">
        <f>CONCATENATE("13 13.1 4a")</f>
        <v>13 13.1 4a</v>
      </c>
      <c r="M11" s="6" t="str">
        <f>CONCATENATE("RCCFNC57R13D451R")</f>
        <v>RCCFNC57R13D451R</v>
      </c>
      <c r="N11" s="6" t="s">
        <v>57</v>
      </c>
      <c r="O11" s="6"/>
      <c r="P11" s="7">
        <v>42879</v>
      </c>
      <c r="Q11" s="6" t="s">
        <v>30</v>
      </c>
      <c r="R11" s="6" t="s">
        <v>31</v>
      </c>
      <c r="S11" s="6" t="s">
        <v>32</v>
      </c>
      <c r="T11" s="6">
        <v>487.42</v>
      </c>
      <c r="U11" s="6">
        <v>210.18</v>
      </c>
      <c r="V11" s="6">
        <v>194.09</v>
      </c>
      <c r="W11" s="6">
        <v>0</v>
      </c>
      <c r="X11" s="6">
        <v>83.15</v>
      </c>
    </row>
    <row r="12" spans="1:24" ht="24.75" x14ac:dyDescent="0.25">
      <c r="A12" s="6" t="s">
        <v>25</v>
      </c>
      <c r="B12" s="6" t="s">
        <v>26</v>
      </c>
      <c r="C12" s="6" t="s">
        <v>42</v>
      </c>
      <c r="D12" s="6" t="s">
        <v>53</v>
      </c>
      <c r="E12" s="6" t="s">
        <v>27</v>
      </c>
      <c r="F12" s="6" t="s">
        <v>54</v>
      </c>
      <c r="G12" s="6">
        <v>2016</v>
      </c>
      <c r="H12" s="6" t="str">
        <f>CONCATENATE("64210987257")</f>
        <v>64210987257</v>
      </c>
      <c r="I12" s="6" t="s">
        <v>28</v>
      </c>
      <c r="J12" s="6" t="s">
        <v>29</v>
      </c>
      <c r="K12" s="6" t="str">
        <f>CONCATENATE("")</f>
        <v/>
      </c>
      <c r="L12" s="6" t="str">
        <f>CONCATENATE("13 13.1 4a")</f>
        <v>13 13.1 4a</v>
      </c>
      <c r="M12" s="6" t="str">
        <f>CONCATENATE("STRGPP57P61H501I")</f>
        <v>STRGPP57P61H501I</v>
      </c>
      <c r="N12" s="6" t="s">
        <v>58</v>
      </c>
      <c r="O12" s="6"/>
      <c r="P12" s="7">
        <v>42879</v>
      </c>
      <c r="Q12" s="6" t="s">
        <v>30</v>
      </c>
      <c r="R12" s="6" t="s">
        <v>31</v>
      </c>
      <c r="S12" s="6" t="s">
        <v>32</v>
      </c>
      <c r="T12" s="6">
        <v>431.35</v>
      </c>
      <c r="U12" s="6">
        <v>186</v>
      </c>
      <c r="V12" s="6">
        <v>171.76</v>
      </c>
      <c r="W12" s="6">
        <v>0</v>
      </c>
      <c r="X12" s="6">
        <v>73.59</v>
      </c>
    </row>
    <row r="13" spans="1:24" ht="24.75" x14ac:dyDescent="0.25">
      <c r="A13" s="6" t="s">
        <v>25</v>
      </c>
      <c r="B13" s="6" t="s">
        <v>26</v>
      </c>
      <c r="C13" s="6" t="s">
        <v>42</v>
      </c>
      <c r="D13" s="6" t="s">
        <v>46</v>
      </c>
      <c r="E13" s="6" t="s">
        <v>33</v>
      </c>
      <c r="F13" s="6" t="s">
        <v>59</v>
      </c>
      <c r="G13" s="6">
        <v>2016</v>
      </c>
      <c r="H13" s="6" t="str">
        <f>CONCATENATE("64210357741")</f>
        <v>64210357741</v>
      </c>
      <c r="I13" s="6" t="s">
        <v>28</v>
      </c>
      <c r="J13" s="6" t="s">
        <v>29</v>
      </c>
      <c r="K13" s="6" t="str">
        <f>CONCATENATE("")</f>
        <v/>
      </c>
      <c r="L13" s="6" t="str">
        <f>CONCATENATE("13 13.1 4a")</f>
        <v>13 13.1 4a</v>
      </c>
      <c r="M13" s="6" t="str">
        <f>CONCATENATE("NDRSVN45D28C830J")</f>
        <v>NDRSVN45D28C830J</v>
      </c>
      <c r="N13" s="6" t="s">
        <v>60</v>
      </c>
      <c r="O13" s="6"/>
      <c r="P13" s="7">
        <v>42879</v>
      </c>
      <c r="Q13" s="6" t="s">
        <v>30</v>
      </c>
      <c r="R13" s="6" t="s">
        <v>31</v>
      </c>
      <c r="S13" s="6" t="s">
        <v>32</v>
      </c>
      <c r="T13" s="6">
        <v>268.69</v>
      </c>
      <c r="U13" s="6">
        <v>115.86</v>
      </c>
      <c r="V13" s="6">
        <v>106.99</v>
      </c>
      <c r="W13" s="6">
        <v>0</v>
      </c>
      <c r="X13" s="6">
        <v>45.84</v>
      </c>
    </row>
    <row r="14" spans="1:24" ht="24.75" x14ac:dyDescent="0.25">
      <c r="A14" s="6" t="s">
        <v>25</v>
      </c>
      <c r="B14" s="6" t="s">
        <v>26</v>
      </c>
      <c r="C14" s="6" t="s">
        <v>42</v>
      </c>
      <c r="D14" s="6" t="s">
        <v>46</v>
      </c>
      <c r="E14" s="6" t="s">
        <v>33</v>
      </c>
      <c r="F14" s="6" t="s">
        <v>59</v>
      </c>
      <c r="G14" s="6">
        <v>2016</v>
      </c>
      <c r="H14" s="6" t="str">
        <f>CONCATENATE("64210256687")</f>
        <v>64210256687</v>
      </c>
      <c r="I14" s="6" t="s">
        <v>28</v>
      </c>
      <c r="J14" s="6" t="s">
        <v>29</v>
      </c>
      <c r="K14" s="6" t="str">
        <f>CONCATENATE("")</f>
        <v/>
      </c>
      <c r="L14" s="6" t="str">
        <f>CONCATENATE("13 13.1 4a")</f>
        <v>13 13.1 4a</v>
      </c>
      <c r="M14" s="6" t="str">
        <f>CONCATENATE("TMSLNE53S56E351H")</f>
        <v>TMSLNE53S56E351H</v>
      </c>
      <c r="N14" s="6" t="s">
        <v>61</v>
      </c>
      <c r="O14" s="6"/>
      <c r="P14" s="7">
        <v>42879</v>
      </c>
      <c r="Q14" s="6" t="s">
        <v>30</v>
      </c>
      <c r="R14" s="6" t="s">
        <v>31</v>
      </c>
      <c r="S14" s="6" t="s">
        <v>32</v>
      </c>
      <c r="T14" s="6">
        <v>544.01</v>
      </c>
      <c r="U14" s="6">
        <v>234.58</v>
      </c>
      <c r="V14" s="6">
        <v>216.62</v>
      </c>
      <c r="W14" s="6">
        <v>0</v>
      </c>
      <c r="X14" s="6">
        <v>92.81</v>
      </c>
    </row>
    <row r="15" spans="1:24" ht="24.75" x14ac:dyDescent="0.25">
      <c r="A15" s="6" t="s">
        <v>25</v>
      </c>
      <c r="B15" s="6" t="s">
        <v>26</v>
      </c>
      <c r="C15" s="6" t="s">
        <v>42</v>
      </c>
      <c r="D15" s="6" t="s">
        <v>49</v>
      </c>
      <c r="E15" s="6" t="s">
        <v>27</v>
      </c>
      <c r="F15" s="6" t="s">
        <v>62</v>
      </c>
      <c r="G15" s="6">
        <v>2016</v>
      </c>
      <c r="H15" s="6" t="str">
        <f>CONCATENATE("64210672735")</f>
        <v>64210672735</v>
      </c>
      <c r="I15" s="6" t="s">
        <v>28</v>
      </c>
      <c r="J15" s="6" t="s">
        <v>29</v>
      </c>
      <c r="K15" s="6" t="str">
        <f>CONCATENATE("")</f>
        <v/>
      </c>
      <c r="L15" s="6" t="str">
        <f>CONCATENATE("13 13.1 4a")</f>
        <v>13 13.1 4a</v>
      </c>
      <c r="M15" s="6" t="str">
        <f>CONCATENATE("FLMPLN58P24D691G")</f>
        <v>FLMPLN58P24D691G</v>
      </c>
      <c r="N15" s="6" t="s">
        <v>63</v>
      </c>
      <c r="O15" s="6"/>
      <c r="P15" s="7">
        <v>42877</v>
      </c>
      <c r="Q15" s="6" t="s">
        <v>30</v>
      </c>
      <c r="R15" s="6" t="s">
        <v>31</v>
      </c>
      <c r="S15" s="6" t="s">
        <v>32</v>
      </c>
      <c r="T15" s="8">
        <v>1927.85</v>
      </c>
      <c r="U15" s="6">
        <v>831.29</v>
      </c>
      <c r="V15" s="6">
        <v>767.67</v>
      </c>
      <c r="W15" s="6">
        <v>0</v>
      </c>
      <c r="X15" s="6">
        <v>328.89</v>
      </c>
    </row>
    <row r="16" spans="1:24" ht="24.75" x14ac:dyDescent="0.25">
      <c r="A16" s="6" t="s">
        <v>25</v>
      </c>
      <c r="B16" s="6" t="s">
        <v>26</v>
      </c>
      <c r="C16" s="6" t="s">
        <v>42</v>
      </c>
      <c r="D16" s="6" t="s">
        <v>46</v>
      </c>
      <c r="E16" s="6" t="s">
        <v>33</v>
      </c>
      <c r="F16" s="6" t="s">
        <v>59</v>
      </c>
      <c r="G16" s="6">
        <v>2016</v>
      </c>
      <c r="H16" s="6" t="str">
        <f>CONCATENATE("64240698387")</f>
        <v>64240698387</v>
      </c>
      <c r="I16" s="6" t="s">
        <v>28</v>
      </c>
      <c r="J16" s="6" t="s">
        <v>29</v>
      </c>
      <c r="K16" s="6" t="str">
        <f>CONCATENATE("")</f>
        <v/>
      </c>
      <c r="L16" s="6" t="str">
        <f>CONCATENATE("11 11.2 4b")</f>
        <v>11 11.2 4b</v>
      </c>
      <c r="M16" s="6" t="str">
        <f>CONCATENATE("00645400417")</f>
        <v>00645400417</v>
      </c>
      <c r="N16" s="6" t="s">
        <v>64</v>
      </c>
      <c r="O16" s="6"/>
      <c r="P16" s="7">
        <v>42879</v>
      </c>
      <c r="Q16" s="6" t="s">
        <v>30</v>
      </c>
      <c r="R16" s="6" t="s">
        <v>31</v>
      </c>
      <c r="S16" s="6" t="s">
        <v>32</v>
      </c>
      <c r="T16" s="8">
        <v>6553.9</v>
      </c>
      <c r="U16" s="8">
        <v>2826.04</v>
      </c>
      <c r="V16" s="8">
        <v>2609.7600000000002</v>
      </c>
      <c r="W16" s="6">
        <v>0</v>
      </c>
      <c r="X16" s="6">
        <v>1118.0999999999999</v>
      </c>
    </row>
    <row r="17" spans="1:24" ht="24.75" x14ac:dyDescent="0.25">
      <c r="A17" s="6" t="s">
        <v>25</v>
      </c>
      <c r="B17" s="6" t="s">
        <v>26</v>
      </c>
      <c r="C17" s="6" t="s">
        <v>42</v>
      </c>
      <c r="D17" s="6" t="s">
        <v>49</v>
      </c>
      <c r="E17" s="6" t="s">
        <v>41</v>
      </c>
      <c r="F17" s="6" t="s">
        <v>41</v>
      </c>
      <c r="G17" s="6">
        <v>2016</v>
      </c>
      <c r="H17" s="6" t="str">
        <f>CONCATENATE("64240048336")</f>
        <v>64240048336</v>
      </c>
      <c r="I17" s="6" t="s">
        <v>28</v>
      </c>
      <c r="J17" s="6" t="s">
        <v>29</v>
      </c>
      <c r="K17" s="6" t="str">
        <f>CONCATENATE("")</f>
        <v/>
      </c>
      <c r="L17" s="6" t="str">
        <f>CONCATENATE("11 11.2 4b")</f>
        <v>11 11.2 4b</v>
      </c>
      <c r="M17" s="6" t="str">
        <f>CONCATENATE("LNCRNO69S55G005R")</f>
        <v>LNCRNO69S55G005R</v>
      </c>
      <c r="N17" s="6" t="s">
        <v>65</v>
      </c>
      <c r="O17" s="6"/>
      <c r="P17" s="7">
        <v>42879</v>
      </c>
      <c r="Q17" s="6" t="s">
        <v>30</v>
      </c>
      <c r="R17" s="6" t="s">
        <v>31</v>
      </c>
      <c r="S17" s="6" t="s">
        <v>32</v>
      </c>
      <c r="T17" s="8">
        <v>3623.76</v>
      </c>
      <c r="U17" s="8">
        <v>1562.57</v>
      </c>
      <c r="V17" s="8">
        <v>1442.98</v>
      </c>
      <c r="W17" s="6">
        <v>0</v>
      </c>
      <c r="X17" s="6">
        <v>618.21</v>
      </c>
    </row>
    <row r="18" spans="1:24" ht="24.75" x14ac:dyDescent="0.25">
      <c r="A18" s="6" t="s">
        <v>25</v>
      </c>
      <c r="B18" s="6" t="s">
        <v>26</v>
      </c>
      <c r="C18" s="6" t="s">
        <v>42</v>
      </c>
      <c r="D18" s="6" t="s">
        <v>46</v>
      </c>
      <c r="E18" s="6" t="s">
        <v>36</v>
      </c>
      <c r="F18" s="6" t="s">
        <v>47</v>
      </c>
      <c r="G18" s="6">
        <v>2016</v>
      </c>
      <c r="H18" s="6" t="str">
        <f>CONCATENATE("64240700241")</f>
        <v>64240700241</v>
      </c>
      <c r="I18" s="6" t="s">
        <v>28</v>
      </c>
      <c r="J18" s="6" t="s">
        <v>29</v>
      </c>
      <c r="K18" s="6" t="str">
        <f>CONCATENATE("")</f>
        <v/>
      </c>
      <c r="L18" s="6" t="str">
        <f>CONCATENATE("11 11.2 4b")</f>
        <v>11 11.2 4b</v>
      </c>
      <c r="M18" s="6" t="str">
        <f>CONCATENATE("FRTPRZ59D46A271W")</f>
        <v>FRTPRZ59D46A271W</v>
      </c>
      <c r="N18" s="6" t="s">
        <v>66</v>
      </c>
      <c r="O18" s="6"/>
      <c r="P18" s="7">
        <v>42879</v>
      </c>
      <c r="Q18" s="6" t="s">
        <v>30</v>
      </c>
      <c r="R18" s="6" t="s">
        <v>31</v>
      </c>
      <c r="S18" s="6" t="s">
        <v>32</v>
      </c>
      <c r="T18" s="8">
        <v>1347.03</v>
      </c>
      <c r="U18" s="6">
        <v>580.84</v>
      </c>
      <c r="V18" s="6">
        <v>536.39</v>
      </c>
      <c r="W18" s="6">
        <v>0</v>
      </c>
      <c r="X18" s="6">
        <v>229.8</v>
      </c>
    </row>
    <row r="19" spans="1:24" ht="24.75" x14ac:dyDescent="0.25">
      <c r="A19" s="6" t="s">
        <v>25</v>
      </c>
      <c r="B19" s="6" t="s">
        <v>26</v>
      </c>
      <c r="C19" s="6" t="s">
        <v>42</v>
      </c>
      <c r="D19" s="6" t="s">
        <v>46</v>
      </c>
      <c r="E19" s="6" t="s">
        <v>34</v>
      </c>
      <c r="F19" s="6" t="s">
        <v>67</v>
      </c>
      <c r="G19" s="6">
        <v>2016</v>
      </c>
      <c r="H19" s="6" t="str">
        <f>CONCATENATE("64210617268")</f>
        <v>64210617268</v>
      </c>
      <c r="I19" s="6" t="s">
        <v>28</v>
      </c>
      <c r="J19" s="6" t="s">
        <v>29</v>
      </c>
      <c r="K19" s="6" t="str">
        <f>CONCATENATE("")</f>
        <v/>
      </c>
      <c r="L19" s="6" t="str">
        <f>CONCATENATE("13 13.1 4a")</f>
        <v>13 13.1 4a</v>
      </c>
      <c r="M19" s="6" t="str">
        <f>CONCATENATE("PRPLBR45R14G453G")</f>
        <v>PRPLBR45R14G453G</v>
      </c>
      <c r="N19" s="6" t="s">
        <v>68</v>
      </c>
      <c r="O19" s="6"/>
      <c r="P19" s="7">
        <v>42877</v>
      </c>
      <c r="Q19" s="6" t="s">
        <v>30</v>
      </c>
      <c r="R19" s="6" t="s">
        <v>31</v>
      </c>
      <c r="S19" s="6" t="s">
        <v>32</v>
      </c>
      <c r="T19" s="6">
        <v>532.27</v>
      </c>
      <c r="U19" s="6">
        <v>229.51</v>
      </c>
      <c r="V19" s="6">
        <v>211.95</v>
      </c>
      <c r="W19" s="6">
        <v>0</v>
      </c>
      <c r="X19" s="6">
        <v>90.81</v>
      </c>
    </row>
    <row r="20" spans="1:24" ht="24.75" x14ac:dyDescent="0.25">
      <c r="A20" s="6" t="s">
        <v>25</v>
      </c>
      <c r="B20" s="6" t="s">
        <v>26</v>
      </c>
      <c r="C20" s="6" t="s">
        <v>42</v>
      </c>
      <c r="D20" s="6" t="s">
        <v>46</v>
      </c>
      <c r="E20" s="6" t="s">
        <v>27</v>
      </c>
      <c r="F20" s="6" t="s">
        <v>69</v>
      </c>
      <c r="G20" s="6">
        <v>2016</v>
      </c>
      <c r="H20" s="6" t="str">
        <f>CONCATENATE("64211008343")</f>
        <v>64211008343</v>
      </c>
      <c r="I20" s="6" t="s">
        <v>28</v>
      </c>
      <c r="J20" s="6" t="s">
        <v>29</v>
      </c>
      <c r="K20" s="6" t="str">
        <f>CONCATENATE("")</f>
        <v/>
      </c>
      <c r="L20" s="6" t="str">
        <f>CONCATENATE("13 13.1 4a")</f>
        <v>13 13.1 4a</v>
      </c>
      <c r="M20" s="6" t="str">
        <f>CONCATENATE("RCCSML74T31G453X")</f>
        <v>RCCSML74T31G453X</v>
      </c>
      <c r="N20" s="6" t="s">
        <v>70</v>
      </c>
      <c r="O20" s="6"/>
      <c r="P20" s="7">
        <v>42877</v>
      </c>
      <c r="Q20" s="6" t="s">
        <v>30</v>
      </c>
      <c r="R20" s="6" t="s">
        <v>31</v>
      </c>
      <c r="S20" s="6" t="s">
        <v>32</v>
      </c>
      <c r="T20" s="6">
        <v>846.43</v>
      </c>
      <c r="U20" s="6">
        <v>364.98</v>
      </c>
      <c r="V20" s="6">
        <v>337.05</v>
      </c>
      <c r="W20" s="6">
        <v>0</v>
      </c>
      <c r="X20" s="6">
        <v>144.4</v>
      </c>
    </row>
    <row r="21" spans="1:24" ht="24.75" x14ac:dyDescent="0.25">
      <c r="A21" s="6" t="s">
        <v>25</v>
      </c>
      <c r="B21" s="6" t="s">
        <v>26</v>
      </c>
      <c r="C21" s="6" t="s">
        <v>42</v>
      </c>
      <c r="D21" s="6" t="s">
        <v>53</v>
      </c>
      <c r="E21" s="6" t="s">
        <v>27</v>
      </c>
      <c r="F21" s="6" t="s">
        <v>54</v>
      </c>
      <c r="G21" s="6">
        <v>2016</v>
      </c>
      <c r="H21" s="6" t="str">
        <f>CONCATENATE("64210994345")</f>
        <v>64210994345</v>
      </c>
      <c r="I21" s="6" t="s">
        <v>28</v>
      </c>
      <c r="J21" s="6" t="s">
        <v>29</v>
      </c>
      <c r="K21" s="6" t="str">
        <f>CONCATENATE("")</f>
        <v/>
      </c>
      <c r="L21" s="6" t="str">
        <f>CONCATENATE("13 13.1 4a")</f>
        <v>13 13.1 4a</v>
      </c>
      <c r="M21" s="6" t="str">
        <f>CONCATENATE("RGLMRA53P30I653S")</f>
        <v>RGLMRA53P30I653S</v>
      </c>
      <c r="N21" s="6" t="s">
        <v>71</v>
      </c>
      <c r="O21" s="6"/>
      <c r="P21" s="7">
        <v>42877</v>
      </c>
      <c r="Q21" s="6" t="s">
        <v>30</v>
      </c>
      <c r="R21" s="6" t="s">
        <v>31</v>
      </c>
      <c r="S21" s="6" t="s">
        <v>32</v>
      </c>
      <c r="T21" s="6">
        <v>291.73</v>
      </c>
      <c r="U21" s="6">
        <v>125.79</v>
      </c>
      <c r="V21" s="6">
        <v>116.17</v>
      </c>
      <c r="W21" s="6">
        <v>0</v>
      </c>
      <c r="X21" s="6">
        <v>49.77</v>
      </c>
    </row>
    <row r="22" spans="1:24" ht="24.75" x14ac:dyDescent="0.25">
      <c r="A22" s="6" t="s">
        <v>25</v>
      </c>
      <c r="B22" s="6" t="s">
        <v>26</v>
      </c>
      <c r="C22" s="6" t="s">
        <v>42</v>
      </c>
      <c r="D22" s="6" t="s">
        <v>49</v>
      </c>
      <c r="E22" s="6" t="s">
        <v>34</v>
      </c>
      <c r="F22" s="6" t="s">
        <v>72</v>
      </c>
      <c r="G22" s="6">
        <v>2016</v>
      </c>
      <c r="H22" s="6" t="str">
        <f>CONCATENATE("64240257101")</f>
        <v>64240257101</v>
      </c>
      <c r="I22" s="6" t="s">
        <v>28</v>
      </c>
      <c r="J22" s="6" t="s">
        <v>29</v>
      </c>
      <c r="K22" s="6" t="str">
        <f>CONCATENATE("")</f>
        <v/>
      </c>
      <c r="L22" s="6" t="str">
        <f>CONCATENATE("11 11.2 4b")</f>
        <v>11 11.2 4b</v>
      </c>
      <c r="M22" s="6" t="str">
        <f>CONCATENATE("PRSSFN88A23A462D")</f>
        <v>PRSSFN88A23A462D</v>
      </c>
      <c r="N22" s="6" t="s">
        <v>73</v>
      </c>
      <c r="O22" s="6"/>
      <c r="P22" s="7">
        <v>42879</v>
      </c>
      <c r="Q22" s="6" t="s">
        <v>30</v>
      </c>
      <c r="R22" s="6" t="s">
        <v>31</v>
      </c>
      <c r="S22" s="6" t="s">
        <v>32</v>
      </c>
      <c r="T22" s="8">
        <v>2974.81</v>
      </c>
      <c r="U22" s="8">
        <v>1282.74</v>
      </c>
      <c r="V22" s="8">
        <v>1184.57</v>
      </c>
      <c r="W22" s="6">
        <v>0</v>
      </c>
      <c r="X22" s="6">
        <v>507.5</v>
      </c>
    </row>
    <row r="23" spans="1:24" ht="24.75" x14ac:dyDescent="0.25">
      <c r="A23" s="6" t="s">
        <v>25</v>
      </c>
      <c r="B23" s="6" t="s">
        <v>26</v>
      </c>
      <c r="C23" s="6" t="s">
        <v>42</v>
      </c>
      <c r="D23" s="6" t="s">
        <v>53</v>
      </c>
      <c r="E23" s="6" t="s">
        <v>27</v>
      </c>
      <c r="F23" s="6" t="s">
        <v>74</v>
      </c>
      <c r="G23" s="6">
        <v>2016</v>
      </c>
      <c r="H23" s="6" t="str">
        <f>CONCATENATE("64210985715")</f>
        <v>64210985715</v>
      </c>
      <c r="I23" s="6" t="s">
        <v>28</v>
      </c>
      <c r="J23" s="6" t="s">
        <v>29</v>
      </c>
      <c r="K23" s="6" t="str">
        <f>CONCATENATE("")</f>
        <v/>
      </c>
      <c r="L23" s="6" t="str">
        <f>CONCATENATE("13 13.1 4a")</f>
        <v>13 13.1 4a</v>
      </c>
      <c r="M23" s="6" t="str">
        <f>CONCATENATE("SRCLGN34E63I461Z")</f>
        <v>SRCLGN34E63I461Z</v>
      </c>
      <c r="N23" s="6" t="s">
        <v>75</v>
      </c>
      <c r="O23" s="6"/>
      <c r="P23" s="7">
        <v>42877</v>
      </c>
      <c r="Q23" s="6" t="s">
        <v>30</v>
      </c>
      <c r="R23" s="6" t="s">
        <v>31</v>
      </c>
      <c r="S23" s="6" t="s">
        <v>32</v>
      </c>
      <c r="T23" s="6">
        <v>690.99</v>
      </c>
      <c r="U23" s="6">
        <v>297.95</v>
      </c>
      <c r="V23" s="6">
        <v>275.14999999999998</v>
      </c>
      <c r="W23" s="6">
        <v>0</v>
      </c>
      <c r="X23" s="6">
        <v>117.89</v>
      </c>
    </row>
    <row r="24" spans="1:24" ht="24.75" x14ac:dyDescent="0.25">
      <c r="A24" s="6" t="s">
        <v>25</v>
      </c>
      <c r="B24" s="6" t="s">
        <v>26</v>
      </c>
      <c r="C24" s="6" t="s">
        <v>42</v>
      </c>
      <c r="D24" s="6" t="s">
        <v>49</v>
      </c>
      <c r="E24" s="6" t="s">
        <v>27</v>
      </c>
      <c r="F24" s="6" t="s">
        <v>76</v>
      </c>
      <c r="G24" s="6">
        <v>2016</v>
      </c>
      <c r="H24" s="6" t="str">
        <f>CONCATENATE("64210588295")</f>
        <v>64210588295</v>
      </c>
      <c r="I24" s="6" t="s">
        <v>28</v>
      </c>
      <c r="J24" s="6" t="s">
        <v>29</v>
      </c>
      <c r="K24" s="6" t="str">
        <f>CONCATENATE("")</f>
        <v/>
      </c>
      <c r="L24" s="6" t="str">
        <f>CONCATENATE("13 13.1 4a")</f>
        <v>13 13.1 4a</v>
      </c>
      <c r="M24" s="6" t="str">
        <f>CONCATENATE("LRAGCR73H29A462A")</f>
        <v>LRAGCR73H29A462A</v>
      </c>
      <c r="N24" s="6" t="s">
        <v>77</v>
      </c>
      <c r="O24" s="6"/>
      <c r="P24" s="7">
        <v>42879</v>
      </c>
      <c r="Q24" s="6" t="s">
        <v>30</v>
      </c>
      <c r="R24" s="6" t="s">
        <v>31</v>
      </c>
      <c r="S24" s="6" t="s">
        <v>32</v>
      </c>
      <c r="T24" s="8">
        <v>1914.82</v>
      </c>
      <c r="U24" s="6">
        <v>825.67</v>
      </c>
      <c r="V24" s="6">
        <v>762.48</v>
      </c>
      <c r="W24" s="6">
        <v>0</v>
      </c>
      <c r="X24" s="6">
        <v>326.67</v>
      </c>
    </row>
    <row r="25" spans="1:24" ht="24.75" x14ac:dyDescent="0.25">
      <c r="A25" s="6" t="s">
        <v>25</v>
      </c>
      <c r="B25" s="6" t="s">
        <v>26</v>
      </c>
      <c r="C25" s="6" t="s">
        <v>42</v>
      </c>
      <c r="D25" s="6" t="s">
        <v>43</v>
      </c>
      <c r="E25" s="6" t="s">
        <v>27</v>
      </c>
      <c r="F25" s="6" t="s">
        <v>44</v>
      </c>
      <c r="G25" s="6">
        <v>2016</v>
      </c>
      <c r="H25" s="6" t="str">
        <f>CONCATENATE("64210525727")</f>
        <v>64210525727</v>
      </c>
      <c r="I25" s="6" t="s">
        <v>28</v>
      </c>
      <c r="J25" s="6" t="s">
        <v>29</v>
      </c>
      <c r="K25" s="6" t="str">
        <f>CONCATENATE("")</f>
        <v/>
      </c>
      <c r="L25" s="6" t="str">
        <f>CONCATENATE("13 13.1 4a")</f>
        <v>13 13.1 4a</v>
      </c>
      <c r="M25" s="6" t="str">
        <f>CONCATENATE("PPLMRA57P15B474B")</f>
        <v>PPLMRA57P15B474B</v>
      </c>
      <c r="N25" s="6" t="s">
        <v>78</v>
      </c>
      <c r="O25" s="6"/>
      <c r="P25" s="7">
        <v>42879</v>
      </c>
      <c r="Q25" s="6" t="s">
        <v>30</v>
      </c>
      <c r="R25" s="6" t="s">
        <v>31</v>
      </c>
      <c r="S25" s="6" t="s">
        <v>32</v>
      </c>
      <c r="T25" s="8">
        <v>3796.04</v>
      </c>
      <c r="U25" s="8">
        <v>1636.85</v>
      </c>
      <c r="V25" s="8">
        <v>1511.58</v>
      </c>
      <c r="W25" s="6">
        <v>0</v>
      </c>
      <c r="X25" s="6">
        <v>647.61</v>
      </c>
    </row>
    <row r="26" spans="1:24" ht="24.75" x14ac:dyDescent="0.25">
      <c r="A26" s="6" t="s">
        <v>25</v>
      </c>
      <c r="B26" s="6" t="s">
        <v>26</v>
      </c>
      <c r="C26" s="6" t="s">
        <v>42</v>
      </c>
      <c r="D26" s="6" t="s">
        <v>49</v>
      </c>
      <c r="E26" s="6" t="s">
        <v>38</v>
      </c>
      <c r="F26" s="6" t="s">
        <v>79</v>
      </c>
      <c r="G26" s="6">
        <v>2016</v>
      </c>
      <c r="H26" s="6" t="str">
        <f>CONCATENATE("64210895765")</f>
        <v>64210895765</v>
      </c>
      <c r="I26" s="6" t="s">
        <v>28</v>
      </c>
      <c r="J26" s="6" t="s">
        <v>29</v>
      </c>
      <c r="K26" s="6" t="str">
        <f>CONCATENATE("")</f>
        <v/>
      </c>
      <c r="L26" s="6" t="str">
        <f>CONCATENATE("13 13.1 4a")</f>
        <v>13 13.1 4a</v>
      </c>
      <c r="M26" s="6" t="str">
        <f>CONCATENATE("PRNLNR90B56F522Y")</f>
        <v>PRNLNR90B56F522Y</v>
      </c>
      <c r="N26" s="6" t="s">
        <v>80</v>
      </c>
      <c r="O26" s="6"/>
      <c r="P26" s="7">
        <v>42879</v>
      </c>
      <c r="Q26" s="6" t="s">
        <v>30</v>
      </c>
      <c r="R26" s="6" t="s">
        <v>31</v>
      </c>
      <c r="S26" s="6" t="s">
        <v>32</v>
      </c>
      <c r="T26" s="8">
        <v>3294.96</v>
      </c>
      <c r="U26" s="8">
        <v>1420.79</v>
      </c>
      <c r="V26" s="8">
        <v>1312.05</v>
      </c>
      <c r="W26" s="6">
        <v>0</v>
      </c>
      <c r="X26" s="6">
        <v>562.12</v>
      </c>
    </row>
    <row r="27" spans="1:24" ht="24.75" x14ac:dyDescent="0.25">
      <c r="A27" s="6" t="s">
        <v>25</v>
      </c>
      <c r="B27" s="6" t="s">
        <v>26</v>
      </c>
      <c r="C27" s="6" t="s">
        <v>42</v>
      </c>
      <c r="D27" s="6" t="s">
        <v>53</v>
      </c>
      <c r="E27" s="6" t="s">
        <v>27</v>
      </c>
      <c r="F27" s="6" t="s">
        <v>74</v>
      </c>
      <c r="G27" s="6">
        <v>2016</v>
      </c>
      <c r="H27" s="6" t="str">
        <f>CONCATENATE("64210873945")</f>
        <v>64210873945</v>
      </c>
      <c r="I27" s="6" t="s">
        <v>28</v>
      </c>
      <c r="J27" s="6" t="s">
        <v>29</v>
      </c>
      <c r="K27" s="6" t="str">
        <f>CONCATENATE("")</f>
        <v/>
      </c>
      <c r="L27" s="6" t="str">
        <f>CONCATENATE("13 13.1 4a")</f>
        <v>13 13.1 4a</v>
      </c>
      <c r="M27" s="6" t="str">
        <f>CONCATENATE("MGNDNL85T25D451S")</f>
        <v>MGNDNL85T25D451S</v>
      </c>
      <c r="N27" s="6" t="s">
        <v>81</v>
      </c>
      <c r="O27" s="6"/>
      <c r="P27" s="7">
        <v>42879</v>
      </c>
      <c r="Q27" s="6" t="s">
        <v>30</v>
      </c>
      <c r="R27" s="6" t="s">
        <v>31</v>
      </c>
      <c r="S27" s="6" t="s">
        <v>32</v>
      </c>
      <c r="T27" s="6">
        <v>762.26</v>
      </c>
      <c r="U27" s="6">
        <v>328.69</v>
      </c>
      <c r="V27" s="6">
        <v>303.52999999999997</v>
      </c>
      <c r="W27" s="6">
        <v>0</v>
      </c>
      <c r="X27" s="6">
        <v>130.04</v>
      </c>
    </row>
    <row r="28" spans="1:24" ht="24.75" x14ac:dyDescent="0.25">
      <c r="A28" s="6" t="s">
        <v>25</v>
      </c>
      <c r="B28" s="6" t="s">
        <v>26</v>
      </c>
      <c r="C28" s="6" t="s">
        <v>42</v>
      </c>
      <c r="D28" s="6" t="s">
        <v>49</v>
      </c>
      <c r="E28" s="6" t="s">
        <v>36</v>
      </c>
      <c r="F28" s="6" t="s">
        <v>82</v>
      </c>
      <c r="G28" s="6">
        <v>2016</v>
      </c>
      <c r="H28" s="6" t="str">
        <f>CONCATENATE("64210898751")</f>
        <v>64210898751</v>
      </c>
      <c r="I28" s="6" t="s">
        <v>28</v>
      </c>
      <c r="J28" s="6" t="s">
        <v>29</v>
      </c>
      <c r="K28" s="6" t="str">
        <f>CONCATENATE("")</f>
        <v/>
      </c>
      <c r="L28" s="6" t="str">
        <f>CONCATENATE("13 13.1 4a")</f>
        <v>13 13.1 4a</v>
      </c>
      <c r="M28" s="6" t="str">
        <f>CONCATENATE("SSTLSE63R49C935F")</f>
        <v>SSTLSE63R49C935F</v>
      </c>
      <c r="N28" s="6" t="s">
        <v>83</v>
      </c>
      <c r="O28" s="6"/>
      <c r="P28" s="7">
        <v>42877</v>
      </c>
      <c r="Q28" s="6" t="s">
        <v>30</v>
      </c>
      <c r="R28" s="6" t="s">
        <v>31</v>
      </c>
      <c r="S28" s="6" t="s">
        <v>32</v>
      </c>
      <c r="T28" s="6">
        <v>316.18</v>
      </c>
      <c r="U28" s="6">
        <v>136.34</v>
      </c>
      <c r="V28" s="6">
        <v>125.9</v>
      </c>
      <c r="W28" s="6">
        <v>0</v>
      </c>
      <c r="X28" s="6">
        <v>53.94</v>
      </c>
    </row>
    <row r="29" spans="1:24" ht="24.75" x14ac:dyDescent="0.25">
      <c r="A29" s="6" t="s">
        <v>25</v>
      </c>
      <c r="B29" s="6" t="s">
        <v>26</v>
      </c>
      <c r="C29" s="6" t="s">
        <v>42</v>
      </c>
      <c r="D29" s="6" t="s">
        <v>53</v>
      </c>
      <c r="E29" s="6" t="s">
        <v>27</v>
      </c>
      <c r="F29" s="6" t="s">
        <v>54</v>
      </c>
      <c r="G29" s="6">
        <v>2016</v>
      </c>
      <c r="H29" s="6" t="str">
        <f>CONCATENATE("64240245163")</f>
        <v>64240245163</v>
      </c>
      <c r="I29" s="6" t="s">
        <v>28</v>
      </c>
      <c r="J29" s="6" t="s">
        <v>29</v>
      </c>
      <c r="K29" s="6" t="str">
        <f>CONCATENATE("")</f>
        <v/>
      </c>
      <c r="L29" s="6" t="str">
        <f>CONCATENATE("11 11.2 4b")</f>
        <v>11 11.2 4b</v>
      </c>
      <c r="M29" s="6" t="str">
        <f>CONCATENATE("GDRPRI54M28E783T")</f>
        <v>GDRPRI54M28E783T</v>
      </c>
      <c r="N29" s="6" t="s">
        <v>84</v>
      </c>
      <c r="O29" s="6"/>
      <c r="P29" s="7">
        <v>42879</v>
      </c>
      <c r="Q29" s="6" t="s">
        <v>30</v>
      </c>
      <c r="R29" s="6" t="s">
        <v>31</v>
      </c>
      <c r="S29" s="6" t="s">
        <v>32</v>
      </c>
      <c r="T29" s="8">
        <v>3415.31</v>
      </c>
      <c r="U29" s="8">
        <v>1472.68</v>
      </c>
      <c r="V29" s="8">
        <v>1359.98</v>
      </c>
      <c r="W29" s="6">
        <v>0</v>
      </c>
      <c r="X29" s="6">
        <v>582.65</v>
      </c>
    </row>
    <row r="30" spans="1:24" ht="24.75" x14ac:dyDescent="0.25">
      <c r="A30" s="6" t="s">
        <v>25</v>
      </c>
      <c r="B30" s="6" t="s">
        <v>26</v>
      </c>
      <c r="C30" s="6" t="s">
        <v>42</v>
      </c>
      <c r="D30" s="6" t="s">
        <v>53</v>
      </c>
      <c r="E30" s="6" t="s">
        <v>33</v>
      </c>
      <c r="F30" s="6" t="s">
        <v>85</v>
      </c>
      <c r="G30" s="6">
        <v>2016</v>
      </c>
      <c r="H30" s="6" t="str">
        <f>CONCATENATE("64210768350")</f>
        <v>64210768350</v>
      </c>
      <c r="I30" s="6" t="s">
        <v>28</v>
      </c>
      <c r="J30" s="6" t="s">
        <v>29</v>
      </c>
      <c r="K30" s="6" t="str">
        <f>CONCATENATE("")</f>
        <v/>
      </c>
      <c r="L30" s="6" t="str">
        <f>CONCATENATE("13 13.1 4a")</f>
        <v>13 13.1 4a</v>
      </c>
      <c r="M30" s="6" t="str">
        <f>CONCATENATE("CPRGUO73A29I461B")</f>
        <v>CPRGUO73A29I461B</v>
      </c>
      <c r="N30" s="6" t="s">
        <v>86</v>
      </c>
      <c r="O30" s="6"/>
      <c r="P30" s="7">
        <v>42877</v>
      </c>
      <c r="Q30" s="6" t="s">
        <v>30</v>
      </c>
      <c r="R30" s="6" t="s">
        <v>31</v>
      </c>
      <c r="S30" s="6" t="s">
        <v>32</v>
      </c>
      <c r="T30" s="8">
        <v>4056.57</v>
      </c>
      <c r="U30" s="8">
        <v>1749.19</v>
      </c>
      <c r="V30" s="8">
        <v>1615.33</v>
      </c>
      <c r="W30" s="6">
        <v>0</v>
      </c>
      <c r="X30" s="6">
        <v>692.05</v>
      </c>
    </row>
    <row r="31" spans="1:24" ht="24.75" x14ac:dyDescent="0.25">
      <c r="A31" s="6" t="s">
        <v>25</v>
      </c>
      <c r="B31" s="6" t="s">
        <v>26</v>
      </c>
      <c r="C31" s="6" t="s">
        <v>42</v>
      </c>
      <c r="D31" s="6" t="s">
        <v>43</v>
      </c>
      <c r="E31" s="6" t="s">
        <v>27</v>
      </c>
      <c r="F31" s="6" t="s">
        <v>87</v>
      </c>
      <c r="G31" s="6">
        <v>2016</v>
      </c>
      <c r="H31" s="6" t="str">
        <f>CONCATENATE("64211017161")</f>
        <v>64211017161</v>
      </c>
      <c r="I31" s="6" t="s">
        <v>28</v>
      </c>
      <c r="J31" s="6" t="s">
        <v>29</v>
      </c>
      <c r="K31" s="6" t="str">
        <f>CONCATENATE("")</f>
        <v/>
      </c>
      <c r="L31" s="6" t="str">
        <f>CONCATENATE("13 13.1 4a")</f>
        <v>13 13.1 4a</v>
      </c>
      <c r="M31" s="6" t="str">
        <f>CONCATENATE("MSSVNT85P42B474O")</f>
        <v>MSSVNT85P42B474O</v>
      </c>
      <c r="N31" s="6" t="s">
        <v>88</v>
      </c>
      <c r="O31" s="6"/>
      <c r="P31" s="7">
        <v>42877</v>
      </c>
      <c r="Q31" s="6" t="s">
        <v>30</v>
      </c>
      <c r="R31" s="6" t="s">
        <v>31</v>
      </c>
      <c r="S31" s="6" t="s">
        <v>32</v>
      </c>
      <c r="T31" s="8">
        <v>2407.87</v>
      </c>
      <c r="U31" s="8">
        <v>1038.27</v>
      </c>
      <c r="V31" s="6">
        <v>958.81</v>
      </c>
      <c r="W31" s="6">
        <v>0</v>
      </c>
      <c r="X31" s="6">
        <v>410.79</v>
      </c>
    </row>
    <row r="32" spans="1:24" ht="24.75" x14ac:dyDescent="0.25">
      <c r="A32" s="6" t="s">
        <v>25</v>
      </c>
      <c r="B32" s="6" t="s">
        <v>26</v>
      </c>
      <c r="C32" s="6" t="s">
        <v>42</v>
      </c>
      <c r="D32" s="6" t="s">
        <v>43</v>
      </c>
      <c r="E32" s="6" t="s">
        <v>27</v>
      </c>
      <c r="F32" s="6" t="s">
        <v>89</v>
      </c>
      <c r="G32" s="6">
        <v>2016</v>
      </c>
      <c r="H32" s="6" t="str">
        <f>CONCATENATE("64210840084")</f>
        <v>64210840084</v>
      </c>
      <c r="I32" s="6" t="s">
        <v>28</v>
      </c>
      <c r="J32" s="6" t="s">
        <v>29</v>
      </c>
      <c r="K32" s="6" t="str">
        <f>CONCATENATE("")</f>
        <v/>
      </c>
      <c r="L32" s="6" t="str">
        <f>CONCATENATE("13 13.1 4a")</f>
        <v>13 13.1 4a</v>
      </c>
      <c r="M32" s="6" t="str">
        <f>CONCATENATE("MNNSLV60B47E783K")</f>
        <v>MNNSLV60B47E783K</v>
      </c>
      <c r="N32" s="6" t="s">
        <v>90</v>
      </c>
      <c r="O32" s="6"/>
      <c r="P32" s="7">
        <v>42879</v>
      </c>
      <c r="Q32" s="6" t="s">
        <v>30</v>
      </c>
      <c r="R32" s="6" t="s">
        <v>31</v>
      </c>
      <c r="S32" s="6" t="s">
        <v>32</v>
      </c>
      <c r="T32" s="8">
        <v>1926.48</v>
      </c>
      <c r="U32" s="6">
        <v>830.7</v>
      </c>
      <c r="V32" s="6">
        <v>767.12</v>
      </c>
      <c r="W32" s="6">
        <v>0</v>
      </c>
      <c r="X32" s="6">
        <v>328.66</v>
      </c>
    </row>
    <row r="33" spans="1:24" ht="24.75" x14ac:dyDescent="0.25">
      <c r="A33" s="6" t="s">
        <v>25</v>
      </c>
      <c r="B33" s="6" t="s">
        <v>26</v>
      </c>
      <c r="C33" s="6" t="s">
        <v>42</v>
      </c>
      <c r="D33" s="6" t="s">
        <v>46</v>
      </c>
      <c r="E33" s="6" t="s">
        <v>33</v>
      </c>
      <c r="F33" s="6" t="s">
        <v>91</v>
      </c>
      <c r="G33" s="6">
        <v>2016</v>
      </c>
      <c r="H33" s="6" t="str">
        <f>CONCATENATE("64210252611")</f>
        <v>64210252611</v>
      </c>
      <c r="I33" s="6" t="s">
        <v>28</v>
      </c>
      <c r="J33" s="6" t="s">
        <v>29</v>
      </c>
      <c r="K33" s="6" t="str">
        <f>CONCATENATE("")</f>
        <v/>
      </c>
      <c r="L33" s="6" t="str">
        <f>CONCATENATE("13 13.1 4a")</f>
        <v>13 13.1 4a</v>
      </c>
      <c r="M33" s="6" t="str">
        <f>CONCATENATE("FRLSMN70T06D488M")</f>
        <v>FRLSMN70T06D488M</v>
      </c>
      <c r="N33" s="6" t="s">
        <v>92</v>
      </c>
      <c r="O33" s="6"/>
      <c r="P33" s="7">
        <v>42877</v>
      </c>
      <c r="Q33" s="6" t="s">
        <v>30</v>
      </c>
      <c r="R33" s="6" t="s">
        <v>31</v>
      </c>
      <c r="S33" s="6" t="s">
        <v>32</v>
      </c>
      <c r="T33" s="8">
        <v>1929</v>
      </c>
      <c r="U33" s="6">
        <v>831.78</v>
      </c>
      <c r="V33" s="6">
        <v>768.13</v>
      </c>
      <c r="W33" s="6">
        <v>0</v>
      </c>
      <c r="X33" s="6">
        <v>329.09</v>
      </c>
    </row>
    <row r="34" spans="1:24" ht="24.75" x14ac:dyDescent="0.25">
      <c r="A34" s="6" t="s">
        <v>25</v>
      </c>
      <c r="B34" s="6" t="s">
        <v>26</v>
      </c>
      <c r="C34" s="6" t="s">
        <v>42</v>
      </c>
      <c r="D34" s="6" t="s">
        <v>49</v>
      </c>
      <c r="E34" s="6" t="s">
        <v>27</v>
      </c>
      <c r="F34" s="6" t="s">
        <v>93</v>
      </c>
      <c r="G34" s="6">
        <v>2016</v>
      </c>
      <c r="H34" s="6" t="str">
        <f>CONCATENATE("64240315982")</f>
        <v>64240315982</v>
      </c>
      <c r="I34" s="6" t="s">
        <v>28</v>
      </c>
      <c r="J34" s="6" t="s">
        <v>29</v>
      </c>
      <c r="K34" s="6" t="str">
        <f>CONCATENATE("")</f>
        <v/>
      </c>
      <c r="L34" s="6" t="str">
        <f>CONCATENATE("11 11.2 4b")</f>
        <v>11 11.2 4b</v>
      </c>
      <c r="M34" s="6" t="str">
        <f>CONCATENATE("FRRDNC53A18F044P")</f>
        <v>FRRDNC53A18F044P</v>
      </c>
      <c r="N34" s="6" t="s">
        <v>94</v>
      </c>
      <c r="O34" s="6"/>
      <c r="P34" s="7">
        <v>42879</v>
      </c>
      <c r="Q34" s="6" t="s">
        <v>30</v>
      </c>
      <c r="R34" s="6" t="s">
        <v>31</v>
      </c>
      <c r="S34" s="6" t="s">
        <v>32</v>
      </c>
      <c r="T34" s="8">
        <v>2619.7199999999998</v>
      </c>
      <c r="U34" s="8">
        <v>1129.6199999999999</v>
      </c>
      <c r="V34" s="8">
        <v>1043.17</v>
      </c>
      <c r="W34" s="6">
        <v>0</v>
      </c>
      <c r="X34" s="6">
        <v>446.93</v>
      </c>
    </row>
    <row r="35" spans="1:24" ht="24.75" x14ac:dyDescent="0.25">
      <c r="A35" s="6" t="s">
        <v>25</v>
      </c>
      <c r="B35" s="6" t="s">
        <v>26</v>
      </c>
      <c r="C35" s="6" t="s">
        <v>42</v>
      </c>
      <c r="D35" s="6" t="s">
        <v>46</v>
      </c>
      <c r="E35" s="6" t="s">
        <v>33</v>
      </c>
      <c r="F35" s="6" t="s">
        <v>91</v>
      </c>
      <c r="G35" s="6">
        <v>2016</v>
      </c>
      <c r="H35" s="6" t="str">
        <f>CONCATENATE("64210261471")</f>
        <v>64210261471</v>
      </c>
      <c r="I35" s="6" t="s">
        <v>28</v>
      </c>
      <c r="J35" s="6" t="s">
        <v>29</v>
      </c>
      <c r="K35" s="6" t="str">
        <f>CONCATENATE("")</f>
        <v/>
      </c>
      <c r="L35" s="6" t="str">
        <f>CONCATENATE("13 13.1 4a")</f>
        <v>13 13.1 4a</v>
      </c>
      <c r="M35" s="6" t="str">
        <f>CONCATENATE("SPDMHL66H24D749M")</f>
        <v>SPDMHL66H24D749M</v>
      </c>
      <c r="N35" s="6" t="s">
        <v>95</v>
      </c>
      <c r="O35" s="6"/>
      <c r="P35" s="7">
        <v>42879</v>
      </c>
      <c r="Q35" s="6" t="s">
        <v>30</v>
      </c>
      <c r="R35" s="6" t="s">
        <v>31</v>
      </c>
      <c r="S35" s="6" t="s">
        <v>32</v>
      </c>
      <c r="T35" s="6">
        <v>372.79</v>
      </c>
      <c r="U35" s="6">
        <v>160.75</v>
      </c>
      <c r="V35" s="6">
        <v>148.44</v>
      </c>
      <c r="W35" s="6">
        <v>0</v>
      </c>
      <c r="X35" s="6">
        <v>63.6</v>
      </c>
    </row>
    <row r="36" spans="1:24" ht="24.75" x14ac:dyDescent="0.25">
      <c r="A36" s="6" t="s">
        <v>25</v>
      </c>
      <c r="B36" s="6" t="s">
        <v>26</v>
      </c>
      <c r="C36" s="6" t="s">
        <v>42</v>
      </c>
      <c r="D36" s="6" t="s">
        <v>46</v>
      </c>
      <c r="E36" s="6" t="s">
        <v>41</v>
      </c>
      <c r="F36" s="6" t="s">
        <v>41</v>
      </c>
      <c r="G36" s="6">
        <v>2016</v>
      </c>
      <c r="H36" s="6" t="str">
        <f>CONCATENATE("64240355764")</f>
        <v>64240355764</v>
      </c>
      <c r="I36" s="6" t="s">
        <v>28</v>
      </c>
      <c r="J36" s="6" t="s">
        <v>29</v>
      </c>
      <c r="K36" s="6" t="str">
        <f>CONCATENATE("")</f>
        <v/>
      </c>
      <c r="L36" s="6" t="str">
        <f>CONCATENATE("11 11.2 4b")</f>
        <v>11 11.2 4b</v>
      </c>
      <c r="M36" s="6" t="str">
        <f>CONCATENATE("MRCSMN71P15G479L")</f>
        <v>MRCSMN71P15G479L</v>
      </c>
      <c r="N36" s="6" t="s">
        <v>96</v>
      </c>
      <c r="O36" s="6"/>
      <c r="P36" s="7">
        <v>42879</v>
      </c>
      <c r="Q36" s="6" t="s">
        <v>30</v>
      </c>
      <c r="R36" s="6" t="s">
        <v>31</v>
      </c>
      <c r="S36" s="6" t="s">
        <v>32</v>
      </c>
      <c r="T36" s="8">
        <v>8127.06</v>
      </c>
      <c r="U36" s="8">
        <v>3504.39</v>
      </c>
      <c r="V36" s="8">
        <v>3236.2</v>
      </c>
      <c r="W36" s="6">
        <v>0</v>
      </c>
      <c r="X36" s="6">
        <v>1386.47</v>
      </c>
    </row>
    <row r="37" spans="1:24" ht="24.75" x14ac:dyDescent="0.25">
      <c r="A37" s="6" t="s">
        <v>25</v>
      </c>
      <c r="B37" s="6" t="s">
        <v>26</v>
      </c>
      <c r="C37" s="6" t="s">
        <v>42</v>
      </c>
      <c r="D37" s="6" t="s">
        <v>53</v>
      </c>
      <c r="E37" s="6" t="s">
        <v>36</v>
      </c>
      <c r="F37" s="6" t="s">
        <v>97</v>
      </c>
      <c r="G37" s="6">
        <v>2016</v>
      </c>
      <c r="H37" s="6" t="str">
        <f>CONCATENATE("64211029075")</f>
        <v>64211029075</v>
      </c>
      <c r="I37" s="6" t="s">
        <v>28</v>
      </c>
      <c r="J37" s="6" t="s">
        <v>29</v>
      </c>
      <c r="K37" s="6" t="str">
        <f>CONCATENATE("")</f>
        <v/>
      </c>
      <c r="L37" s="6" t="str">
        <f>CONCATENATE("13 13.1 4a")</f>
        <v>13 13.1 4a</v>
      </c>
      <c r="M37" s="6" t="str">
        <f>CONCATENATE("PLTGZN65R17D211V")</f>
        <v>PLTGZN65R17D211V</v>
      </c>
      <c r="N37" s="6" t="s">
        <v>98</v>
      </c>
      <c r="O37" s="6"/>
      <c r="P37" s="7">
        <v>42879</v>
      </c>
      <c r="Q37" s="6" t="s">
        <v>30</v>
      </c>
      <c r="R37" s="6" t="s">
        <v>31</v>
      </c>
      <c r="S37" s="6" t="s">
        <v>32</v>
      </c>
      <c r="T37" s="6">
        <v>585.35</v>
      </c>
      <c r="U37" s="6">
        <v>252.4</v>
      </c>
      <c r="V37" s="6">
        <v>233.09</v>
      </c>
      <c r="W37" s="6">
        <v>0</v>
      </c>
      <c r="X37" s="6">
        <v>99.86</v>
      </c>
    </row>
    <row r="38" spans="1:24" ht="24.75" x14ac:dyDescent="0.25">
      <c r="A38" s="6" t="s">
        <v>25</v>
      </c>
      <c r="B38" s="6" t="s">
        <v>26</v>
      </c>
      <c r="C38" s="6" t="s">
        <v>42</v>
      </c>
      <c r="D38" s="6" t="s">
        <v>46</v>
      </c>
      <c r="E38" s="6" t="s">
        <v>34</v>
      </c>
      <c r="F38" s="6" t="s">
        <v>67</v>
      </c>
      <c r="G38" s="6">
        <v>2016</v>
      </c>
      <c r="H38" s="6" t="str">
        <f>CONCATENATE("64210789802")</f>
        <v>64210789802</v>
      </c>
      <c r="I38" s="6" t="s">
        <v>28</v>
      </c>
      <c r="J38" s="6" t="s">
        <v>29</v>
      </c>
      <c r="K38" s="6" t="str">
        <f>CONCATENATE("")</f>
        <v/>
      </c>
      <c r="L38" s="6" t="str">
        <f>CONCATENATE("13 13.1 4a")</f>
        <v>13 13.1 4a</v>
      </c>
      <c r="M38" s="6" t="str">
        <f>CONCATENATE("BRLFNC52H02I654S")</f>
        <v>BRLFNC52H02I654S</v>
      </c>
      <c r="N38" s="6" t="s">
        <v>99</v>
      </c>
      <c r="O38" s="6"/>
      <c r="P38" s="7">
        <v>42877</v>
      </c>
      <c r="Q38" s="6" t="s">
        <v>30</v>
      </c>
      <c r="R38" s="6" t="s">
        <v>31</v>
      </c>
      <c r="S38" s="6" t="s">
        <v>32</v>
      </c>
      <c r="T38" s="8">
        <v>1718.03</v>
      </c>
      <c r="U38" s="6">
        <v>740.81</v>
      </c>
      <c r="V38" s="6">
        <v>684.12</v>
      </c>
      <c r="W38" s="6">
        <v>0</v>
      </c>
      <c r="X38" s="6">
        <v>293.10000000000002</v>
      </c>
    </row>
    <row r="39" spans="1:24" ht="24.75" x14ac:dyDescent="0.25">
      <c r="A39" s="6" t="s">
        <v>25</v>
      </c>
      <c r="B39" s="6" t="s">
        <v>26</v>
      </c>
      <c r="C39" s="6" t="s">
        <v>42</v>
      </c>
      <c r="D39" s="6" t="s">
        <v>49</v>
      </c>
      <c r="E39" s="6" t="s">
        <v>27</v>
      </c>
      <c r="F39" s="6" t="s">
        <v>76</v>
      </c>
      <c r="G39" s="6">
        <v>2016</v>
      </c>
      <c r="H39" s="6" t="str">
        <f>CONCATENATE("64240692877")</f>
        <v>64240692877</v>
      </c>
      <c r="I39" s="6" t="s">
        <v>28</v>
      </c>
      <c r="J39" s="6" t="s">
        <v>29</v>
      </c>
      <c r="K39" s="6" t="str">
        <f>CONCATENATE("")</f>
        <v/>
      </c>
      <c r="L39" s="6" t="str">
        <f>CONCATENATE("11 11.2 4b")</f>
        <v>11 11.2 4b</v>
      </c>
      <c r="M39" s="6" t="str">
        <f>CONCATENATE("SNTGRL64T09A437R")</f>
        <v>SNTGRL64T09A437R</v>
      </c>
      <c r="N39" s="6" t="s">
        <v>100</v>
      </c>
      <c r="O39" s="6"/>
      <c r="P39" s="7">
        <v>42879</v>
      </c>
      <c r="Q39" s="6" t="s">
        <v>30</v>
      </c>
      <c r="R39" s="6" t="s">
        <v>31</v>
      </c>
      <c r="S39" s="6" t="s">
        <v>32</v>
      </c>
      <c r="T39" s="8">
        <v>4252.5200000000004</v>
      </c>
      <c r="U39" s="8">
        <v>1833.69</v>
      </c>
      <c r="V39" s="8">
        <v>1693.35</v>
      </c>
      <c r="W39" s="6">
        <v>0</v>
      </c>
      <c r="X39" s="6">
        <v>725.48</v>
      </c>
    </row>
    <row r="40" spans="1:24" ht="24.75" x14ac:dyDescent="0.25">
      <c r="A40" s="6" t="s">
        <v>25</v>
      </c>
      <c r="B40" s="6" t="s">
        <v>26</v>
      </c>
      <c r="C40" s="6" t="s">
        <v>42</v>
      </c>
      <c r="D40" s="6" t="s">
        <v>49</v>
      </c>
      <c r="E40" s="6" t="s">
        <v>36</v>
      </c>
      <c r="F40" s="6" t="s">
        <v>101</v>
      </c>
      <c r="G40" s="6">
        <v>2016</v>
      </c>
      <c r="H40" s="6" t="str">
        <f>CONCATENATE("64240599916")</f>
        <v>64240599916</v>
      </c>
      <c r="I40" s="6" t="s">
        <v>28</v>
      </c>
      <c r="J40" s="6" t="s">
        <v>29</v>
      </c>
      <c r="K40" s="6" t="str">
        <f>CONCATENATE("")</f>
        <v/>
      </c>
      <c r="L40" s="6" t="str">
        <f>CONCATENATE("11 11.2 4b")</f>
        <v>11 11.2 4b</v>
      </c>
      <c r="M40" s="6" t="str">
        <f>CONCATENATE("MRCLVN63M69E207H")</f>
        <v>MRCLVN63M69E207H</v>
      </c>
      <c r="N40" s="6" t="s">
        <v>102</v>
      </c>
      <c r="O40" s="6"/>
      <c r="P40" s="7">
        <v>42879</v>
      </c>
      <c r="Q40" s="6" t="s">
        <v>30</v>
      </c>
      <c r="R40" s="6" t="s">
        <v>31</v>
      </c>
      <c r="S40" s="6" t="s">
        <v>32</v>
      </c>
      <c r="T40" s="8">
        <v>2540.4</v>
      </c>
      <c r="U40" s="8">
        <v>1095.42</v>
      </c>
      <c r="V40" s="8">
        <v>1011.59</v>
      </c>
      <c r="W40" s="6">
        <v>0</v>
      </c>
      <c r="X40" s="6">
        <v>433.39</v>
      </c>
    </row>
    <row r="41" spans="1:24" ht="24.75" x14ac:dyDescent="0.25">
      <c r="A41" s="6" t="s">
        <v>25</v>
      </c>
      <c r="B41" s="6" t="s">
        <v>26</v>
      </c>
      <c r="C41" s="6" t="s">
        <v>42</v>
      </c>
      <c r="D41" s="6" t="s">
        <v>46</v>
      </c>
      <c r="E41" s="6" t="s">
        <v>36</v>
      </c>
      <c r="F41" s="6" t="s">
        <v>103</v>
      </c>
      <c r="G41" s="6">
        <v>2016</v>
      </c>
      <c r="H41" s="6" t="str">
        <f>CONCATENATE("64240848057")</f>
        <v>64240848057</v>
      </c>
      <c r="I41" s="6" t="s">
        <v>35</v>
      </c>
      <c r="J41" s="6" t="s">
        <v>29</v>
      </c>
      <c r="K41" s="6" t="str">
        <f>CONCATENATE("")</f>
        <v/>
      </c>
      <c r="L41" s="6" t="str">
        <f>CONCATENATE("11 11.2 4b")</f>
        <v>11 11.2 4b</v>
      </c>
      <c r="M41" s="6" t="str">
        <f>CONCATENATE("TNOTZN72S43L219R")</f>
        <v>TNOTZN72S43L219R</v>
      </c>
      <c r="N41" s="6" t="s">
        <v>104</v>
      </c>
      <c r="O41" s="6"/>
      <c r="P41" s="7">
        <v>42879</v>
      </c>
      <c r="Q41" s="6" t="s">
        <v>30</v>
      </c>
      <c r="R41" s="6" t="s">
        <v>31</v>
      </c>
      <c r="S41" s="6" t="s">
        <v>32</v>
      </c>
      <c r="T41" s="8">
        <v>1322.96</v>
      </c>
      <c r="U41" s="6">
        <v>570.46</v>
      </c>
      <c r="V41" s="6">
        <v>526.79999999999995</v>
      </c>
      <c r="W41" s="6">
        <v>0</v>
      </c>
      <c r="X41" s="6">
        <v>225.7</v>
      </c>
    </row>
    <row r="42" spans="1:24" ht="24.75" x14ac:dyDescent="0.25">
      <c r="A42" s="6" t="s">
        <v>25</v>
      </c>
      <c r="B42" s="6" t="s">
        <v>26</v>
      </c>
      <c r="C42" s="6" t="s">
        <v>42</v>
      </c>
      <c r="D42" s="6" t="s">
        <v>46</v>
      </c>
      <c r="E42" s="6" t="s">
        <v>40</v>
      </c>
      <c r="F42" s="6" t="s">
        <v>105</v>
      </c>
      <c r="G42" s="6">
        <v>2016</v>
      </c>
      <c r="H42" s="6" t="str">
        <f>CONCATENATE("64211098872")</f>
        <v>64211098872</v>
      </c>
      <c r="I42" s="6" t="s">
        <v>28</v>
      </c>
      <c r="J42" s="6" t="s">
        <v>29</v>
      </c>
      <c r="K42" s="6" t="str">
        <f>CONCATENATE("")</f>
        <v/>
      </c>
      <c r="L42" s="6" t="str">
        <f>CONCATENATE("13 13.1 4a")</f>
        <v>13 13.1 4a</v>
      </c>
      <c r="M42" s="6" t="str">
        <f>CONCATENATE("WSSFKH58C70Z112B")</f>
        <v>WSSFKH58C70Z112B</v>
      </c>
      <c r="N42" s="6" t="s">
        <v>106</v>
      </c>
      <c r="O42" s="6"/>
      <c r="P42" s="7">
        <v>42879</v>
      </c>
      <c r="Q42" s="6" t="s">
        <v>30</v>
      </c>
      <c r="R42" s="6" t="s">
        <v>31</v>
      </c>
      <c r="S42" s="6" t="s">
        <v>32</v>
      </c>
      <c r="T42" s="8">
        <v>2163.1999999999998</v>
      </c>
      <c r="U42" s="6">
        <v>932.77</v>
      </c>
      <c r="V42" s="6">
        <v>861.39</v>
      </c>
      <c r="W42" s="6">
        <v>0</v>
      </c>
      <c r="X42" s="6">
        <v>369.04</v>
      </c>
    </row>
    <row r="43" spans="1:24" ht="24.75" x14ac:dyDescent="0.25">
      <c r="A43" s="6" t="s">
        <v>25</v>
      </c>
      <c r="B43" s="6" t="s">
        <v>26</v>
      </c>
      <c r="C43" s="6" t="s">
        <v>42</v>
      </c>
      <c r="D43" s="6" t="s">
        <v>53</v>
      </c>
      <c r="E43" s="6" t="s">
        <v>27</v>
      </c>
      <c r="F43" s="6" t="s">
        <v>54</v>
      </c>
      <c r="G43" s="6">
        <v>2016</v>
      </c>
      <c r="H43" s="6" t="str">
        <f>CONCATENATE("64210984254")</f>
        <v>64210984254</v>
      </c>
      <c r="I43" s="6" t="s">
        <v>28</v>
      </c>
      <c r="J43" s="6" t="s">
        <v>29</v>
      </c>
      <c r="K43" s="6" t="str">
        <f>CONCATENATE("")</f>
        <v/>
      </c>
      <c r="L43" s="6" t="str">
        <f>CONCATENATE("13 13.1 4a")</f>
        <v>13 13.1 4a</v>
      </c>
      <c r="M43" s="6" t="str">
        <f>CONCATENATE("MRRMSM70M02D451G")</f>
        <v>MRRMSM70M02D451G</v>
      </c>
      <c r="N43" s="6" t="s">
        <v>107</v>
      </c>
      <c r="O43" s="6"/>
      <c r="P43" s="7">
        <v>42879</v>
      </c>
      <c r="Q43" s="6" t="s">
        <v>30</v>
      </c>
      <c r="R43" s="6" t="s">
        <v>31</v>
      </c>
      <c r="S43" s="6" t="s">
        <v>32</v>
      </c>
      <c r="T43" s="8">
        <v>5133.24</v>
      </c>
      <c r="U43" s="8">
        <v>2213.4499999999998</v>
      </c>
      <c r="V43" s="8">
        <v>2044.06</v>
      </c>
      <c r="W43" s="6">
        <v>0</v>
      </c>
      <c r="X43" s="6">
        <v>875.73</v>
      </c>
    </row>
    <row r="44" spans="1:24" ht="24.75" x14ac:dyDescent="0.25">
      <c r="A44" s="6" t="s">
        <v>25</v>
      </c>
      <c r="B44" s="6" t="s">
        <v>26</v>
      </c>
      <c r="C44" s="6" t="s">
        <v>42</v>
      </c>
      <c r="D44" s="6" t="s">
        <v>49</v>
      </c>
      <c r="E44" s="6" t="s">
        <v>34</v>
      </c>
      <c r="F44" s="6" t="s">
        <v>72</v>
      </c>
      <c r="G44" s="6">
        <v>2016</v>
      </c>
      <c r="H44" s="6" t="str">
        <f>CONCATENATE("64240484663")</f>
        <v>64240484663</v>
      </c>
      <c r="I44" s="6" t="s">
        <v>28</v>
      </c>
      <c r="J44" s="6" t="s">
        <v>29</v>
      </c>
      <c r="K44" s="6" t="str">
        <f>CONCATENATE("")</f>
        <v/>
      </c>
      <c r="L44" s="6" t="str">
        <f>CONCATENATE("11 11.2 4b")</f>
        <v>11 11.2 4b</v>
      </c>
      <c r="M44" s="6" t="str">
        <f>CONCATENATE("MSCNLT64S50H769J")</f>
        <v>MSCNLT64S50H769J</v>
      </c>
      <c r="N44" s="6" t="s">
        <v>108</v>
      </c>
      <c r="O44" s="6"/>
      <c r="P44" s="7">
        <v>42879</v>
      </c>
      <c r="Q44" s="6" t="s">
        <v>30</v>
      </c>
      <c r="R44" s="6" t="s">
        <v>31</v>
      </c>
      <c r="S44" s="6" t="s">
        <v>32</v>
      </c>
      <c r="T44" s="8">
        <v>4509.22</v>
      </c>
      <c r="U44" s="8">
        <v>1944.38</v>
      </c>
      <c r="V44" s="8">
        <v>1795.57</v>
      </c>
      <c r="W44" s="6">
        <v>0</v>
      </c>
      <c r="X44" s="6">
        <v>769.27</v>
      </c>
    </row>
    <row r="45" spans="1:24" ht="24.75" x14ac:dyDescent="0.25">
      <c r="A45" s="6" t="s">
        <v>25</v>
      </c>
      <c r="B45" s="6" t="s">
        <v>26</v>
      </c>
      <c r="C45" s="6" t="s">
        <v>42</v>
      </c>
      <c r="D45" s="6" t="s">
        <v>46</v>
      </c>
      <c r="E45" s="6" t="s">
        <v>33</v>
      </c>
      <c r="F45" s="6" t="s">
        <v>59</v>
      </c>
      <c r="G45" s="6">
        <v>2016</v>
      </c>
      <c r="H45" s="6" t="str">
        <f>CONCATENATE("64210403966")</f>
        <v>64210403966</v>
      </c>
      <c r="I45" s="6" t="s">
        <v>28</v>
      </c>
      <c r="J45" s="6" t="s">
        <v>29</v>
      </c>
      <c r="K45" s="6" t="str">
        <f>CONCATENATE("")</f>
        <v/>
      </c>
      <c r="L45" s="6" t="str">
        <f>CONCATENATE("13 13.1 4a")</f>
        <v>13 13.1 4a</v>
      </c>
      <c r="M45" s="6" t="str">
        <f>CONCATENATE("VLPGNN60L18C830X")</f>
        <v>VLPGNN60L18C830X</v>
      </c>
      <c r="N45" s="6" t="s">
        <v>109</v>
      </c>
      <c r="O45" s="6"/>
      <c r="P45" s="7">
        <v>42879</v>
      </c>
      <c r="Q45" s="6" t="s">
        <v>30</v>
      </c>
      <c r="R45" s="6" t="s">
        <v>31</v>
      </c>
      <c r="S45" s="6" t="s">
        <v>32</v>
      </c>
      <c r="T45" s="6">
        <v>272.51</v>
      </c>
      <c r="U45" s="6">
        <v>117.51</v>
      </c>
      <c r="V45" s="6">
        <v>108.51</v>
      </c>
      <c r="W45" s="6">
        <v>0</v>
      </c>
      <c r="X45" s="6">
        <v>46.49</v>
      </c>
    </row>
    <row r="46" spans="1:24" ht="24.75" x14ac:dyDescent="0.25">
      <c r="A46" s="6" t="s">
        <v>25</v>
      </c>
      <c r="B46" s="6" t="s">
        <v>26</v>
      </c>
      <c r="C46" s="6" t="s">
        <v>42</v>
      </c>
      <c r="D46" s="6" t="s">
        <v>53</v>
      </c>
      <c r="E46" s="6" t="s">
        <v>27</v>
      </c>
      <c r="F46" s="6" t="s">
        <v>54</v>
      </c>
      <c r="G46" s="6">
        <v>2016</v>
      </c>
      <c r="H46" s="6" t="str">
        <f>CONCATENATE("64210985061")</f>
        <v>64210985061</v>
      </c>
      <c r="I46" s="6" t="s">
        <v>28</v>
      </c>
      <c r="J46" s="6" t="s">
        <v>29</v>
      </c>
      <c r="K46" s="6" t="str">
        <f>CONCATENATE("")</f>
        <v/>
      </c>
      <c r="L46" s="6" t="str">
        <f>CONCATENATE("13 13.1 4a")</f>
        <v>13 13.1 4a</v>
      </c>
      <c r="M46" s="6" t="str">
        <f>CONCATENATE("GBRLRT55A12D451A")</f>
        <v>GBRLRT55A12D451A</v>
      </c>
      <c r="N46" s="6" t="s">
        <v>110</v>
      </c>
      <c r="O46" s="6"/>
      <c r="P46" s="7">
        <v>42879</v>
      </c>
      <c r="Q46" s="6" t="s">
        <v>30</v>
      </c>
      <c r="R46" s="6" t="s">
        <v>31</v>
      </c>
      <c r="S46" s="6" t="s">
        <v>32</v>
      </c>
      <c r="T46" s="6">
        <v>608.16999999999996</v>
      </c>
      <c r="U46" s="6">
        <v>262.24</v>
      </c>
      <c r="V46" s="6">
        <v>242.17</v>
      </c>
      <c r="W46" s="6">
        <v>0</v>
      </c>
      <c r="X46" s="6">
        <v>103.76</v>
      </c>
    </row>
    <row r="47" spans="1:24" ht="24.75" x14ac:dyDescent="0.25">
      <c r="A47" s="6" t="s">
        <v>25</v>
      </c>
      <c r="B47" s="6" t="s">
        <v>26</v>
      </c>
      <c r="C47" s="6" t="s">
        <v>42</v>
      </c>
      <c r="D47" s="6" t="s">
        <v>46</v>
      </c>
      <c r="E47" s="6" t="s">
        <v>33</v>
      </c>
      <c r="F47" s="6" t="s">
        <v>111</v>
      </c>
      <c r="G47" s="6">
        <v>2016</v>
      </c>
      <c r="H47" s="6" t="str">
        <f>CONCATENATE("64240609269")</f>
        <v>64240609269</v>
      </c>
      <c r="I47" s="6" t="s">
        <v>28</v>
      </c>
      <c r="J47" s="6" t="s">
        <v>29</v>
      </c>
      <c r="K47" s="6" t="str">
        <f>CONCATENATE("")</f>
        <v/>
      </c>
      <c r="L47" s="6" t="str">
        <f>CONCATENATE("11 11.1 4b")</f>
        <v>11 11.1 4b</v>
      </c>
      <c r="M47" s="6" t="str">
        <f>CONCATENATE("PRNTLL49M17I285G")</f>
        <v>PRNTLL49M17I285G</v>
      </c>
      <c r="N47" s="6" t="s">
        <v>112</v>
      </c>
      <c r="O47" s="6"/>
      <c r="P47" s="7">
        <v>42879</v>
      </c>
      <c r="Q47" s="6" t="s">
        <v>30</v>
      </c>
      <c r="R47" s="6" t="s">
        <v>31</v>
      </c>
      <c r="S47" s="6" t="s">
        <v>32</v>
      </c>
      <c r="T47" s="6">
        <v>919.06</v>
      </c>
      <c r="U47" s="6">
        <v>396.3</v>
      </c>
      <c r="V47" s="6">
        <v>365.97</v>
      </c>
      <c r="W47" s="6">
        <v>0</v>
      </c>
      <c r="X47" s="6">
        <v>156.79</v>
      </c>
    </row>
    <row r="48" spans="1:24" ht="24.75" x14ac:dyDescent="0.25">
      <c r="A48" s="6" t="s">
        <v>25</v>
      </c>
      <c r="B48" s="6" t="s">
        <v>26</v>
      </c>
      <c r="C48" s="6" t="s">
        <v>42</v>
      </c>
      <c r="D48" s="6" t="s">
        <v>46</v>
      </c>
      <c r="E48" s="6" t="s">
        <v>33</v>
      </c>
      <c r="F48" s="6" t="s">
        <v>59</v>
      </c>
      <c r="G48" s="6">
        <v>2016</v>
      </c>
      <c r="H48" s="6" t="str">
        <f>CONCATENATE("64210510901")</f>
        <v>64210510901</v>
      </c>
      <c r="I48" s="6" t="s">
        <v>28</v>
      </c>
      <c r="J48" s="6" t="s">
        <v>29</v>
      </c>
      <c r="K48" s="6" t="str">
        <f>CONCATENATE("")</f>
        <v/>
      </c>
      <c r="L48" s="6" t="str">
        <f>CONCATENATE("13 13.1 4a")</f>
        <v>13 13.1 4a</v>
      </c>
      <c r="M48" s="6" t="str">
        <f>CONCATENATE("GLZNRC81E29L500T")</f>
        <v>GLZNRC81E29L500T</v>
      </c>
      <c r="N48" s="6" t="s">
        <v>113</v>
      </c>
      <c r="O48" s="6"/>
      <c r="P48" s="7">
        <v>42879</v>
      </c>
      <c r="Q48" s="6" t="s">
        <v>30</v>
      </c>
      <c r="R48" s="6" t="s">
        <v>31</v>
      </c>
      <c r="S48" s="6" t="s">
        <v>32</v>
      </c>
      <c r="T48" s="6">
        <v>927.77</v>
      </c>
      <c r="U48" s="6">
        <v>400.05</v>
      </c>
      <c r="V48" s="6">
        <v>369.44</v>
      </c>
      <c r="W48" s="6">
        <v>0</v>
      </c>
      <c r="X48" s="6">
        <v>158.28</v>
      </c>
    </row>
    <row r="49" spans="1:24" ht="24.75" x14ac:dyDescent="0.25">
      <c r="A49" s="6" t="s">
        <v>25</v>
      </c>
      <c r="B49" s="6" t="s">
        <v>26</v>
      </c>
      <c r="C49" s="6" t="s">
        <v>42</v>
      </c>
      <c r="D49" s="6" t="s">
        <v>49</v>
      </c>
      <c r="E49" s="6" t="s">
        <v>33</v>
      </c>
      <c r="F49" s="6" t="s">
        <v>114</v>
      </c>
      <c r="G49" s="6">
        <v>2016</v>
      </c>
      <c r="H49" s="6" t="str">
        <f>CONCATENATE("64210566077")</f>
        <v>64210566077</v>
      </c>
      <c r="I49" s="6" t="s">
        <v>28</v>
      </c>
      <c r="J49" s="6" t="s">
        <v>29</v>
      </c>
      <c r="K49" s="6" t="str">
        <f>CONCATENATE("")</f>
        <v/>
      </c>
      <c r="L49" s="6" t="str">
        <f>CONCATENATE("13 13.1 4a")</f>
        <v>13 13.1 4a</v>
      </c>
      <c r="M49" s="6" t="str">
        <f>CONCATENATE("BCCLCU61P50F509D")</f>
        <v>BCCLCU61P50F509D</v>
      </c>
      <c r="N49" s="6" t="s">
        <v>115</v>
      </c>
      <c r="O49" s="6"/>
      <c r="P49" s="7">
        <v>42879</v>
      </c>
      <c r="Q49" s="6" t="s">
        <v>30</v>
      </c>
      <c r="R49" s="6" t="s">
        <v>31</v>
      </c>
      <c r="S49" s="6" t="s">
        <v>32</v>
      </c>
      <c r="T49" s="6">
        <v>240.69</v>
      </c>
      <c r="U49" s="6">
        <v>103.79</v>
      </c>
      <c r="V49" s="6">
        <v>95.84</v>
      </c>
      <c r="W49" s="6">
        <v>0</v>
      </c>
      <c r="X49" s="6">
        <v>41.06</v>
      </c>
    </row>
    <row r="50" spans="1:24" ht="24.75" x14ac:dyDescent="0.25">
      <c r="A50" s="6" t="s">
        <v>25</v>
      </c>
      <c r="B50" s="6" t="s">
        <v>26</v>
      </c>
      <c r="C50" s="6" t="s">
        <v>42</v>
      </c>
      <c r="D50" s="6" t="s">
        <v>49</v>
      </c>
      <c r="E50" s="6" t="s">
        <v>41</v>
      </c>
      <c r="F50" s="6" t="s">
        <v>41</v>
      </c>
      <c r="G50" s="6">
        <v>2016</v>
      </c>
      <c r="H50" s="6" t="str">
        <f>CONCATENATE("64240098125")</f>
        <v>64240098125</v>
      </c>
      <c r="I50" s="6" t="s">
        <v>28</v>
      </c>
      <c r="J50" s="6" t="s">
        <v>29</v>
      </c>
      <c r="K50" s="6" t="str">
        <f>CONCATENATE("")</f>
        <v/>
      </c>
      <c r="L50" s="6" t="str">
        <f>CONCATENATE("11 11.2 4b")</f>
        <v>11 11.2 4b</v>
      </c>
      <c r="M50" s="6" t="str">
        <f>CONCATENATE("MRNLCU57S64H321Y")</f>
        <v>MRNLCU57S64H321Y</v>
      </c>
      <c r="N50" s="6" t="s">
        <v>116</v>
      </c>
      <c r="O50" s="6"/>
      <c r="P50" s="7">
        <v>42879</v>
      </c>
      <c r="Q50" s="6" t="s">
        <v>30</v>
      </c>
      <c r="R50" s="6" t="s">
        <v>31</v>
      </c>
      <c r="S50" s="6" t="s">
        <v>32</v>
      </c>
      <c r="T50" s="8">
        <v>3817.38</v>
      </c>
      <c r="U50" s="8">
        <v>1646.05</v>
      </c>
      <c r="V50" s="8">
        <v>1520.08</v>
      </c>
      <c r="W50" s="6">
        <v>0</v>
      </c>
      <c r="X50" s="6">
        <v>651.25</v>
      </c>
    </row>
    <row r="51" spans="1:24" ht="24.75" x14ac:dyDescent="0.25">
      <c r="A51" s="6" t="s">
        <v>25</v>
      </c>
      <c r="B51" s="6" t="s">
        <v>26</v>
      </c>
      <c r="C51" s="6" t="s">
        <v>42</v>
      </c>
      <c r="D51" s="6" t="s">
        <v>49</v>
      </c>
      <c r="E51" s="6" t="s">
        <v>27</v>
      </c>
      <c r="F51" s="6" t="s">
        <v>76</v>
      </c>
      <c r="G51" s="6">
        <v>2016</v>
      </c>
      <c r="H51" s="6" t="str">
        <f>CONCATENATE("64210733537")</f>
        <v>64210733537</v>
      </c>
      <c r="I51" s="6" t="s">
        <v>28</v>
      </c>
      <c r="J51" s="6" t="s">
        <v>29</v>
      </c>
      <c r="K51" s="6" t="str">
        <f>CONCATENATE("")</f>
        <v/>
      </c>
      <c r="L51" s="6" t="str">
        <f>CONCATENATE("13 13.1 4a")</f>
        <v>13 13.1 4a</v>
      </c>
      <c r="M51" s="6" t="str">
        <f>CONCATENATE("BCCGCM46A01H390S")</f>
        <v>BCCGCM46A01H390S</v>
      </c>
      <c r="N51" s="6" t="s">
        <v>117</v>
      </c>
      <c r="O51" s="6"/>
      <c r="P51" s="7">
        <v>42879</v>
      </c>
      <c r="Q51" s="6" t="s">
        <v>30</v>
      </c>
      <c r="R51" s="6" t="s">
        <v>31</v>
      </c>
      <c r="S51" s="6" t="s">
        <v>32</v>
      </c>
      <c r="T51" s="6">
        <v>927.23</v>
      </c>
      <c r="U51" s="6">
        <v>399.82</v>
      </c>
      <c r="V51" s="6">
        <v>369.22</v>
      </c>
      <c r="W51" s="6">
        <v>0</v>
      </c>
      <c r="X51" s="6">
        <v>158.19</v>
      </c>
    </row>
    <row r="52" spans="1:24" ht="24.75" x14ac:dyDescent="0.25">
      <c r="A52" s="6" t="s">
        <v>25</v>
      </c>
      <c r="B52" s="6" t="s">
        <v>26</v>
      </c>
      <c r="C52" s="6" t="s">
        <v>42</v>
      </c>
      <c r="D52" s="6" t="s">
        <v>46</v>
      </c>
      <c r="E52" s="6" t="s">
        <v>27</v>
      </c>
      <c r="F52" s="6" t="s">
        <v>118</v>
      </c>
      <c r="G52" s="6">
        <v>2016</v>
      </c>
      <c r="H52" s="6" t="str">
        <f>CONCATENATE("64211027509")</f>
        <v>64211027509</v>
      </c>
      <c r="I52" s="6" t="s">
        <v>28</v>
      </c>
      <c r="J52" s="6" t="s">
        <v>29</v>
      </c>
      <c r="K52" s="6" t="str">
        <f>CONCATENATE("")</f>
        <v/>
      </c>
      <c r="L52" s="6" t="str">
        <f>CONCATENATE("13 13.1 4a")</f>
        <v>13 13.1 4a</v>
      </c>
      <c r="M52" s="6" t="str">
        <f>CONCATENATE("PTTRCR90E10D749W")</f>
        <v>PTTRCR90E10D749W</v>
      </c>
      <c r="N52" s="6" t="s">
        <v>119</v>
      </c>
      <c r="O52" s="6"/>
      <c r="P52" s="7">
        <v>42879</v>
      </c>
      <c r="Q52" s="6" t="s">
        <v>30</v>
      </c>
      <c r="R52" s="6" t="s">
        <v>31</v>
      </c>
      <c r="S52" s="6" t="s">
        <v>32</v>
      </c>
      <c r="T52" s="8">
        <v>1228</v>
      </c>
      <c r="U52" s="6">
        <v>529.51</v>
      </c>
      <c r="V52" s="6">
        <v>488.99</v>
      </c>
      <c r="W52" s="6">
        <v>0</v>
      </c>
      <c r="X52" s="6">
        <v>209.5</v>
      </c>
    </row>
    <row r="53" spans="1:24" ht="24.75" x14ac:dyDescent="0.25">
      <c r="A53" s="6" t="s">
        <v>25</v>
      </c>
      <c r="B53" s="6" t="s">
        <v>26</v>
      </c>
      <c r="C53" s="6" t="s">
        <v>42</v>
      </c>
      <c r="D53" s="6" t="s">
        <v>49</v>
      </c>
      <c r="E53" s="6" t="s">
        <v>27</v>
      </c>
      <c r="F53" s="6" t="s">
        <v>62</v>
      </c>
      <c r="G53" s="6">
        <v>2016</v>
      </c>
      <c r="H53" s="6" t="str">
        <f>CONCATENATE("64210257750")</f>
        <v>64210257750</v>
      </c>
      <c r="I53" s="6" t="s">
        <v>28</v>
      </c>
      <c r="J53" s="6" t="s">
        <v>29</v>
      </c>
      <c r="K53" s="6" t="str">
        <f>CONCATENATE("")</f>
        <v/>
      </c>
      <c r="L53" s="6" t="str">
        <f>CONCATENATE("13 13.1 4a")</f>
        <v>13 13.1 4a</v>
      </c>
      <c r="M53" s="6" t="str">
        <f>CONCATENATE("01235990445")</f>
        <v>01235990445</v>
      </c>
      <c r="N53" s="6" t="s">
        <v>120</v>
      </c>
      <c r="O53" s="6"/>
      <c r="P53" s="7">
        <v>42879</v>
      </c>
      <c r="Q53" s="6" t="s">
        <v>30</v>
      </c>
      <c r="R53" s="6" t="s">
        <v>31</v>
      </c>
      <c r="S53" s="6" t="s">
        <v>32</v>
      </c>
      <c r="T53" s="8">
        <v>3695.32</v>
      </c>
      <c r="U53" s="8">
        <v>1593.42</v>
      </c>
      <c r="V53" s="8">
        <v>1471.48</v>
      </c>
      <c r="W53" s="6">
        <v>0</v>
      </c>
      <c r="X53" s="6">
        <v>630.41999999999996</v>
      </c>
    </row>
    <row r="54" spans="1:24" ht="24.75" x14ac:dyDescent="0.25">
      <c r="A54" s="6" t="s">
        <v>25</v>
      </c>
      <c r="B54" s="6" t="s">
        <v>26</v>
      </c>
      <c r="C54" s="6" t="s">
        <v>42</v>
      </c>
      <c r="D54" s="6" t="s">
        <v>46</v>
      </c>
      <c r="E54" s="6" t="s">
        <v>33</v>
      </c>
      <c r="F54" s="6" t="s">
        <v>59</v>
      </c>
      <c r="G54" s="6">
        <v>2016</v>
      </c>
      <c r="H54" s="6" t="str">
        <f>CONCATENATE("64210800039")</f>
        <v>64210800039</v>
      </c>
      <c r="I54" s="6" t="s">
        <v>28</v>
      </c>
      <c r="J54" s="6" t="s">
        <v>29</v>
      </c>
      <c r="K54" s="6" t="str">
        <f>CONCATENATE("")</f>
        <v/>
      </c>
      <c r="L54" s="6" t="str">
        <f>CONCATENATE("13 13.1 4a")</f>
        <v>13 13.1 4a</v>
      </c>
      <c r="M54" s="6" t="str">
        <f>CONCATENATE("RSTSLV77L43H294W")</f>
        <v>RSTSLV77L43H294W</v>
      </c>
      <c r="N54" s="6" t="s">
        <v>121</v>
      </c>
      <c r="O54" s="6"/>
      <c r="P54" s="7">
        <v>42879</v>
      </c>
      <c r="Q54" s="6" t="s">
        <v>30</v>
      </c>
      <c r="R54" s="6" t="s">
        <v>31</v>
      </c>
      <c r="S54" s="6" t="s">
        <v>32</v>
      </c>
      <c r="T54" s="8">
        <v>4991.55</v>
      </c>
      <c r="U54" s="8">
        <v>2152.36</v>
      </c>
      <c r="V54" s="8">
        <v>1987.64</v>
      </c>
      <c r="W54" s="6">
        <v>0</v>
      </c>
      <c r="X54" s="6">
        <v>851.55</v>
      </c>
    </row>
    <row r="55" spans="1:24" ht="24.75" x14ac:dyDescent="0.25">
      <c r="A55" s="6" t="s">
        <v>25</v>
      </c>
      <c r="B55" s="6" t="s">
        <v>26</v>
      </c>
      <c r="C55" s="6" t="s">
        <v>42</v>
      </c>
      <c r="D55" s="6" t="s">
        <v>53</v>
      </c>
      <c r="E55" s="6" t="s">
        <v>36</v>
      </c>
      <c r="F55" s="6" t="s">
        <v>97</v>
      </c>
      <c r="G55" s="6">
        <v>2016</v>
      </c>
      <c r="H55" s="6" t="str">
        <f>CONCATENATE("64240558813")</f>
        <v>64240558813</v>
      </c>
      <c r="I55" s="6" t="s">
        <v>28</v>
      </c>
      <c r="J55" s="6" t="s">
        <v>29</v>
      </c>
      <c r="K55" s="6" t="str">
        <f>CONCATENATE("")</f>
        <v/>
      </c>
      <c r="L55" s="6" t="str">
        <f>CONCATENATE("11 11.1 4b")</f>
        <v>11 11.1 4b</v>
      </c>
      <c r="M55" s="6" t="str">
        <f>CONCATENATE("02575130428")</f>
        <v>02575130428</v>
      </c>
      <c r="N55" s="6" t="s">
        <v>122</v>
      </c>
      <c r="O55" s="6"/>
      <c r="P55" s="7">
        <v>42879</v>
      </c>
      <c r="Q55" s="6" t="s">
        <v>30</v>
      </c>
      <c r="R55" s="6" t="s">
        <v>31</v>
      </c>
      <c r="S55" s="6" t="s">
        <v>32</v>
      </c>
      <c r="T55" s="8">
        <v>28567.13</v>
      </c>
      <c r="U55" s="8">
        <v>12318.15</v>
      </c>
      <c r="V55" s="8">
        <v>11375.43</v>
      </c>
      <c r="W55" s="6">
        <v>0</v>
      </c>
      <c r="X55" s="6">
        <v>4873.55</v>
      </c>
    </row>
    <row r="56" spans="1:24" ht="24.75" x14ac:dyDescent="0.25">
      <c r="A56" s="6" t="s">
        <v>25</v>
      </c>
      <c r="B56" s="6" t="s">
        <v>26</v>
      </c>
      <c r="C56" s="6" t="s">
        <v>42</v>
      </c>
      <c r="D56" s="6" t="s">
        <v>49</v>
      </c>
      <c r="E56" s="6" t="s">
        <v>27</v>
      </c>
      <c r="F56" s="6" t="s">
        <v>76</v>
      </c>
      <c r="G56" s="6">
        <v>2016</v>
      </c>
      <c r="H56" s="6" t="str">
        <f>CONCATENATE("64210394959")</f>
        <v>64210394959</v>
      </c>
      <c r="I56" s="6" t="s">
        <v>28</v>
      </c>
      <c r="J56" s="6" t="s">
        <v>29</v>
      </c>
      <c r="K56" s="6" t="str">
        <f>CONCATENATE("")</f>
        <v/>
      </c>
      <c r="L56" s="6" t="str">
        <f>CONCATENATE("13 13.1 4a")</f>
        <v>13 13.1 4a</v>
      </c>
      <c r="M56" s="6" t="str">
        <f>CONCATENATE("CRLBRC64A71L597K")</f>
        <v>CRLBRC64A71L597K</v>
      </c>
      <c r="N56" s="6" t="s">
        <v>123</v>
      </c>
      <c r="O56" s="6"/>
      <c r="P56" s="7">
        <v>42879</v>
      </c>
      <c r="Q56" s="6" t="s">
        <v>30</v>
      </c>
      <c r="R56" s="6" t="s">
        <v>31</v>
      </c>
      <c r="S56" s="6" t="s">
        <v>32</v>
      </c>
      <c r="T56" s="8">
        <v>1870.49</v>
      </c>
      <c r="U56" s="6">
        <v>806.56</v>
      </c>
      <c r="V56" s="6">
        <v>744.83</v>
      </c>
      <c r="W56" s="6">
        <v>0</v>
      </c>
      <c r="X56" s="6">
        <v>319.10000000000002</v>
      </c>
    </row>
    <row r="57" spans="1:24" ht="24.75" x14ac:dyDescent="0.25">
      <c r="A57" s="6" t="s">
        <v>25</v>
      </c>
      <c r="B57" s="6" t="s">
        <v>26</v>
      </c>
      <c r="C57" s="6" t="s">
        <v>42</v>
      </c>
      <c r="D57" s="6" t="s">
        <v>49</v>
      </c>
      <c r="E57" s="6" t="s">
        <v>27</v>
      </c>
      <c r="F57" s="6" t="s">
        <v>76</v>
      </c>
      <c r="G57" s="6">
        <v>2016</v>
      </c>
      <c r="H57" s="6" t="str">
        <f>CONCATENATE("64210939381")</f>
        <v>64210939381</v>
      </c>
      <c r="I57" s="6" t="s">
        <v>28</v>
      </c>
      <c r="J57" s="6" t="s">
        <v>29</v>
      </c>
      <c r="K57" s="6" t="str">
        <f>CONCATENATE("")</f>
        <v/>
      </c>
      <c r="L57" s="6" t="str">
        <f>CONCATENATE("13 13.1 4a")</f>
        <v>13 13.1 4a</v>
      </c>
      <c r="M57" s="6" t="str">
        <f>CONCATENATE("MRNGNN38T67H390O")</f>
        <v>MRNGNN38T67H390O</v>
      </c>
      <c r="N57" s="6" t="s">
        <v>124</v>
      </c>
      <c r="O57" s="6"/>
      <c r="P57" s="7">
        <v>42879</v>
      </c>
      <c r="Q57" s="6" t="s">
        <v>30</v>
      </c>
      <c r="R57" s="6" t="s">
        <v>31</v>
      </c>
      <c r="S57" s="6" t="s">
        <v>32</v>
      </c>
      <c r="T57" s="6">
        <v>319.25</v>
      </c>
      <c r="U57" s="6">
        <v>137.66</v>
      </c>
      <c r="V57" s="6">
        <v>127.13</v>
      </c>
      <c r="W57" s="6">
        <v>0</v>
      </c>
      <c r="X57" s="6">
        <v>54.46</v>
      </c>
    </row>
    <row r="58" spans="1:24" ht="24.75" x14ac:dyDescent="0.25">
      <c r="A58" s="6" t="s">
        <v>25</v>
      </c>
      <c r="B58" s="6" t="s">
        <v>26</v>
      </c>
      <c r="C58" s="6" t="s">
        <v>42</v>
      </c>
      <c r="D58" s="6" t="s">
        <v>46</v>
      </c>
      <c r="E58" s="6" t="s">
        <v>36</v>
      </c>
      <c r="F58" s="6" t="s">
        <v>47</v>
      </c>
      <c r="G58" s="6">
        <v>2016</v>
      </c>
      <c r="H58" s="6" t="str">
        <f>CONCATENATE("64240927364")</f>
        <v>64240927364</v>
      </c>
      <c r="I58" s="6" t="s">
        <v>28</v>
      </c>
      <c r="J58" s="6" t="s">
        <v>29</v>
      </c>
      <c r="K58" s="6" t="str">
        <f>CONCATENATE("")</f>
        <v/>
      </c>
      <c r="L58" s="6" t="str">
        <f>CONCATENATE("11 11.2 4b")</f>
        <v>11 11.2 4b</v>
      </c>
      <c r="M58" s="6" t="str">
        <f>CONCATENATE("02383210412")</f>
        <v>02383210412</v>
      </c>
      <c r="N58" s="6" t="s">
        <v>125</v>
      </c>
      <c r="O58" s="6"/>
      <c r="P58" s="7">
        <v>42879</v>
      </c>
      <c r="Q58" s="6" t="s">
        <v>30</v>
      </c>
      <c r="R58" s="6" t="s">
        <v>31</v>
      </c>
      <c r="S58" s="6" t="s">
        <v>32</v>
      </c>
      <c r="T58" s="8">
        <v>17135.150000000001</v>
      </c>
      <c r="U58" s="8">
        <v>7388.68</v>
      </c>
      <c r="V58" s="8">
        <v>6823.22</v>
      </c>
      <c r="W58" s="6">
        <v>0</v>
      </c>
      <c r="X58" s="6">
        <v>2923.25</v>
      </c>
    </row>
    <row r="59" spans="1:24" ht="24.75" x14ac:dyDescent="0.25">
      <c r="A59" s="6" t="s">
        <v>25</v>
      </c>
      <c r="B59" s="6" t="s">
        <v>26</v>
      </c>
      <c r="C59" s="6" t="s">
        <v>42</v>
      </c>
      <c r="D59" s="6" t="s">
        <v>46</v>
      </c>
      <c r="E59" s="6" t="s">
        <v>40</v>
      </c>
      <c r="F59" s="6" t="s">
        <v>126</v>
      </c>
      <c r="G59" s="6">
        <v>2016</v>
      </c>
      <c r="H59" s="6" t="str">
        <f>CONCATENATE("64240648945")</f>
        <v>64240648945</v>
      </c>
      <c r="I59" s="6" t="s">
        <v>28</v>
      </c>
      <c r="J59" s="6" t="s">
        <v>29</v>
      </c>
      <c r="K59" s="6" t="str">
        <f>CONCATENATE("")</f>
        <v/>
      </c>
      <c r="L59" s="6" t="str">
        <f>CONCATENATE("11 11.2 4b")</f>
        <v>11 11.2 4b</v>
      </c>
      <c r="M59" s="6" t="str">
        <f>CONCATENATE("MNCDNL71E11L081O")</f>
        <v>MNCDNL71E11L081O</v>
      </c>
      <c r="N59" s="6" t="s">
        <v>127</v>
      </c>
      <c r="O59" s="6"/>
      <c r="P59" s="7">
        <v>42879</v>
      </c>
      <c r="Q59" s="6" t="s">
        <v>30</v>
      </c>
      <c r="R59" s="6" t="s">
        <v>31</v>
      </c>
      <c r="S59" s="6" t="s">
        <v>32</v>
      </c>
      <c r="T59" s="8">
        <v>2064.5700000000002</v>
      </c>
      <c r="U59" s="6">
        <v>890.24</v>
      </c>
      <c r="V59" s="6">
        <v>822.11</v>
      </c>
      <c r="W59" s="6">
        <v>0</v>
      </c>
      <c r="X59" s="6">
        <v>352.22</v>
      </c>
    </row>
    <row r="60" spans="1:24" ht="24.75" x14ac:dyDescent="0.25">
      <c r="A60" s="6" t="s">
        <v>25</v>
      </c>
      <c r="B60" s="6" t="s">
        <v>26</v>
      </c>
      <c r="C60" s="6" t="s">
        <v>42</v>
      </c>
      <c r="D60" s="6" t="s">
        <v>49</v>
      </c>
      <c r="E60" s="6" t="s">
        <v>27</v>
      </c>
      <c r="F60" s="6" t="s">
        <v>76</v>
      </c>
      <c r="G60" s="6">
        <v>2016</v>
      </c>
      <c r="H60" s="6" t="str">
        <f>CONCATENATE("64240340535")</f>
        <v>64240340535</v>
      </c>
      <c r="I60" s="6" t="s">
        <v>28</v>
      </c>
      <c r="J60" s="6" t="s">
        <v>29</v>
      </c>
      <c r="K60" s="6" t="str">
        <f>CONCATENATE("")</f>
        <v/>
      </c>
      <c r="L60" s="6" t="str">
        <f>CONCATENATE("11 11.2 4b")</f>
        <v>11 11.2 4b</v>
      </c>
      <c r="M60" s="6" t="str">
        <f>CONCATENATE("LRAMRA57E22A437D")</f>
        <v>LRAMRA57E22A437D</v>
      </c>
      <c r="N60" s="6" t="s">
        <v>128</v>
      </c>
      <c r="O60" s="6"/>
      <c r="P60" s="7">
        <v>42879</v>
      </c>
      <c r="Q60" s="6" t="s">
        <v>30</v>
      </c>
      <c r="R60" s="6" t="s">
        <v>31</v>
      </c>
      <c r="S60" s="6" t="s">
        <v>32</v>
      </c>
      <c r="T60" s="8">
        <v>3996.32</v>
      </c>
      <c r="U60" s="8">
        <v>1723.21</v>
      </c>
      <c r="V60" s="8">
        <v>1591.33</v>
      </c>
      <c r="W60" s="6">
        <v>0</v>
      </c>
      <c r="X60" s="6">
        <v>681.78</v>
      </c>
    </row>
    <row r="61" spans="1:24" ht="24.75" x14ac:dyDescent="0.25">
      <c r="A61" s="6" t="s">
        <v>25</v>
      </c>
      <c r="B61" s="6" t="s">
        <v>26</v>
      </c>
      <c r="C61" s="6" t="s">
        <v>42</v>
      </c>
      <c r="D61" s="6" t="s">
        <v>49</v>
      </c>
      <c r="E61" s="6" t="s">
        <v>34</v>
      </c>
      <c r="F61" s="6" t="s">
        <v>72</v>
      </c>
      <c r="G61" s="6">
        <v>2016</v>
      </c>
      <c r="H61" s="6" t="str">
        <f>CONCATENATE("64240669842")</f>
        <v>64240669842</v>
      </c>
      <c r="I61" s="6" t="s">
        <v>28</v>
      </c>
      <c r="J61" s="6" t="s">
        <v>29</v>
      </c>
      <c r="K61" s="6" t="str">
        <f>CONCATENATE("")</f>
        <v/>
      </c>
      <c r="L61" s="6" t="str">
        <f>CONCATENATE("11 11.1 4b")</f>
        <v>11 11.1 4b</v>
      </c>
      <c r="M61" s="6" t="str">
        <f>CONCATENATE("PLOBBR91B42H769V")</f>
        <v>PLOBBR91B42H769V</v>
      </c>
      <c r="N61" s="6" t="s">
        <v>129</v>
      </c>
      <c r="O61" s="6"/>
      <c r="P61" s="7">
        <v>42879</v>
      </c>
      <c r="Q61" s="6" t="s">
        <v>30</v>
      </c>
      <c r="R61" s="6" t="s">
        <v>31</v>
      </c>
      <c r="S61" s="6" t="s">
        <v>32</v>
      </c>
      <c r="T61" s="8">
        <v>8705.2900000000009</v>
      </c>
      <c r="U61" s="8">
        <v>3753.72</v>
      </c>
      <c r="V61" s="8">
        <v>3466.45</v>
      </c>
      <c r="W61" s="6">
        <v>0</v>
      </c>
      <c r="X61" s="6">
        <v>1485.12</v>
      </c>
    </row>
    <row r="62" spans="1:24" ht="24.75" x14ac:dyDescent="0.25">
      <c r="A62" s="6" t="s">
        <v>25</v>
      </c>
      <c r="B62" s="6" t="s">
        <v>26</v>
      </c>
      <c r="C62" s="6" t="s">
        <v>42</v>
      </c>
      <c r="D62" s="6" t="s">
        <v>49</v>
      </c>
      <c r="E62" s="6" t="s">
        <v>27</v>
      </c>
      <c r="F62" s="6" t="s">
        <v>76</v>
      </c>
      <c r="G62" s="6">
        <v>2016</v>
      </c>
      <c r="H62" s="6" t="str">
        <f>CONCATENATE("64240811907")</f>
        <v>64240811907</v>
      </c>
      <c r="I62" s="6" t="s">
        <v>28</v>
      </c>
      <c r="J62" s="6" t="s">
        <v>29</v>
      </c>
      <c r="K62" s="6" t="str">
        <f>CONCATENATE("")</f>
        <v/>
      </c>
      <c r="L62" s="6" t="str">
        <f>CONCATENATE("11 11.2 4b")</f>
        <v>11 11.2 4b</v>
      </c>
      <c r="M62" s="6" t="str">
        <f>CONCATENATE("MRNNMR56L50C321N")</f>
        <v>MRNNMR56L50C321N</v>
      </c>
      <c r="N62" s="6" t="s">
        <v>130</v>
      </c>
      <c r="O62" s="6"/>
      <c r="P62" s="7">
        <v>42879</v>
      </c>
      <c r="Q62" s="6" t="s">
        <v>30</v>
      </c>
      <c r="R62" s="6" t="s">
        <v>31</v>
      </c>
      <c r="S62" s="6" t="s">
        <v>32</v>
      </c>
      <c r="T62" s="8">
        <v>2025.51</v>
      </c>
      <c r="U62" s="6">
        <v>873.4</v>
      </c>
      <c r="V62" s="6">
        <v>806.56</v>
      </c>
      <c r="W62" s="6">
        <v>0</v>
      </c>
      <c r="X62" s="6">
        <v>345.55</v>
      </c>
    </row>
    <row r="63" spans="1:24" ht="24.75" x14ac:dyDescent="0.25">
      <c r="A63" s="6" t="s">
        <v>25</v>
      </c>
      <c r="B63" s="6" t="s">
        <v>26</v>
      </c>
      <c r="C63" s="6" t="s">
        <v>42</v>
      </c>
      <c r="D63" s="6" t="s">
        <v>49</v>
      </c>
      <c r="E63" s="6" t="s">
        <v>36</v>
      </c>
      <c r="F63" s="6" t="s">
        <v>82</v>
      </c>
      <c r="G63" s="6">
        <v>2016</v>
      </c>
      <c r="H63" s="6" t="str">
        <f>CONCATENATE("64210779498")</f>
        <v>64210779498</v>
      </c>
      <c r="I63" s="6" t="s">
        <v>28</v>
      </c>
      <c r="J63" s="6" t="s">
        <v>29</v>
      </c>
      <c r="K63" s="6" t="str">
        <f>CONCATENATE("")</f>
        <v/>
      </c>
      <c r="L63" s="6" t="str">
        <f>CONCATENATE("13 13.1 4a")</f>
        <v>13 13.1 4a</v>
      </c>
      <c r="M63" s="6" t="str">
        <f>CONCATENATE("BRTLRI86P48A252U")</f>
        <v>BRTLRI86P48A252U</v>
      </c>
      <c r="N63" s="6" t="s">
        <v>131</v>
      </c>
      <c r="O63" s="6"/>
      <c r="P63" s="7">
        <v>42879</v>
      </c>
      <c r="Q63" s="6" t="s">
        <v>30</v>
      </c>
      <c r="R63" s="6" t="s">
        <v>31</v>
      </c>
      <c r="S63" s="6" t="s">
        <v>32</v>
      </c>
      <c r="T63" s="8">
        <v>4056.4</v>
      </c>
      <c r="U63" s="8">
        <v>1749.12</v>
      </c>
      <c r="V63" s="8">
        <v>1615.26</v>
      </c>
      <c r="W63" s="6">
        <v>0</v>
      </c>
      <c r="X63" s="6">
        <v>692.02</v>
      </c>
    </row>
    <row r="64" spans="1:24" ht="24.75" x14ac:dyDescent="0.25">
      <c r="A64" s="6" t="s">
        <v>25</v>
      </c>
      <c r="B64" s="6" t="s">
        <v>26</v>
      </c>
      <c r="C64" s="6" t="s">
        <v>42</v>
      </c>
      <c r="D64" s="6" t="s">
        <v>53</v>
      </c>
      <c r="E64" s="6" t="s">
        <v>27</v>
      </c>
      <c r="F64" s="6" t="s">
        <v>54</v>
      </c>
      <c r="G64" s="6">
        <v>2016</v>
      </c>
      <c r="H64" s="6" t="str">
        <f>CONCATENATE("64210928079")</f>
        <v>64210928079</v>
      </c>
      <c r="I64" s="6" t="s">
        <v>28</v>
      </c>
      <c r="J64" s="6" t="s">
        <v>29</v>
      </c>
      <c r="K64" s="6" t="str">
        <f>CONCATENATE("")</f>
        <v/>
      </c>
      <c r="L64" s="6" t="str">
        <f>CONCATENATE("13 13.1 4a")</f>
        <v>13 13.1 4a</v>
      </c>
      <c r="M64" s="6" t="str">
        <f>CONCATENATE("GDRPRI54M28E783T")</f>
        <v>GDRPRI54M28E783T</v>
      </c>
      <c r="N64" s="6" t="s">
        <v>84</v>
      </c>
      <c r="O64" s="6"/>
      <c r="P64" s="7">
        <v>42879</v>
      </c>
      <c r="Q64" s="6" t="s">
        <v>30</v>
      </c>
      <c r="R64" s="6" t="s">
        <v>31</v>
      </c>
      <c r="S64" s="6" t="s">
        <v>32</v>
      </c>
      <c r="T64" s="8">
        <v>2554.44</v>
      </c>
      <c r="U64" s="8">
        <v>1101.47</v>
      </c>
      <c r="V64" s="8">
        <v>1017.18</v>
      </c>
      <c r="W64" s="6">
        <v>0</v>
      </c>
      <c r="X64" s="6">
        <v>435.79</v>
      </c>
    </row>
    <row r="65" spans="1:24" ht="24.75" x14ac:dyDescent="0.25">
      <c r="A65" s="6" t="s">
        <v>25</v>
      </c>
      <c r="B65" s="6" t="s">
        <v>26</v>
      </c>
      <c r="C65" s="6" t="s">
        <v>42</v>
      </c>
      <c r="D65" s="6" t="s">
        <v>49</v>
      </c>
      <c r="E65" s="6" t="s">
        <v>27</v>
      </c>
      <c r="F65" s="6" t="s">
        <v>76</v>
      </c>
      <c r="G65" s="6">
        <v>2016</v>
      </c>
      <c r="H65" s="6" t="str">
        <f>CONCATENATE("64210943458")</f>
        <v>64210943458</v>
      </c>
      <c r="I65" s="6" t="s">
        <v>28</v>
      </c>
      <c r="J65" s="6" t="s">
        <v>29</v>
      </c>
      <c r="K65" s="6" t="str">
        <f>CONCATENATE("")</f>
        <v/>
      </c>
      <c r="L65" s="6" t="str">
        <f>CONCATENATE("13 13.1 4a")</f>
        <v>13 13.1 4a</v>
      </c>
      <c r="M65" s="6" t="str">
        <f>CONCATENATE("PSCFPP55C17H390K")</f>
        <v>PSCFPP55C17H390K</v>
      </c>
      <c r="N65" s="6" t="s">
        <v>132</v>
      </c>
      <c r="O65" s="6"/>
      <c r="P65" s="7">
        <v>42879</v>
      </c>
      <c r="Q65" s="6" t="s">
        <v>30</v>
      </c>
      <c r="R65" s="6" t="s">
        <v>31</v>
      </c>
      <c r="S65" s="6" t="s">
        <v>32</v>
      </c>
      <c r="T65" s="6">
        <v>258.32</v>
      </c>
      <c r="U65" s="6">
        <v>111.39</v>
      </c>
      <c r="V65" s="6">
        <v>102.86</v>
      </c>
      <c r="W65" s="6">
        <v>0</v>
      </c>
      <c r="X65" s="6">
        <v>44.07</v>
      </c>
    </row>
    <row r="66" spans="1:24" ht="24.75" x14ac:dyDescent="0.25">
      <c r="A66" s="6" t="s">
        <v>25</v>
      </c>
      <c r="B66" s="6" t="s">
        <v>26</v>
      </c>
      <c r="C66" s="6" t="s">
        <v>42</v>
      </c>
      <c r="D66" s="6" t="s">
        <v>46</v>
      </c>
      <c r="E66" s="6" t="s">
        <v>27</v>
      </c>
      <c r="F66" s="6" t="s">
        <v>69</v>
      </c>
      <c r="G66" s="6">
        <v>2016</v>
      </c>
      <c r="H66" s="6" t="str">
        <f>CONCATENATE("64240767760")</f>
        <v>64240767760</v>
      </c>
      <c r="I66" s="6" t="s">
        <v>28</v>
      </c>
      <c r="J66" s="6" t="s">
        <v>29</v>
      </c>
      <c r="K66" s="6" t="str">
        <f>CONCATENATE("")</f>
        <v/>
      </c>
      <c r="L66" s="6" t="str">
        <f>CONCATENATE("10 10.1 4a")</f>
        <v>10 10.1 4a</v>
      </c>
      <c r="M66" s="6" t="str">
        <f>CONCATENATE("BRSNGL39H51A639P")</f>
        <v>BRSNGL39H51A639P</v>
      </c>
      <c r="N66" s="6" t="s">
        <v>133</v>
      </c>
      <c r="O66" s="6"/>
      <c r="P66" s="7">
        <v>42877</v>
      </c>
      <c r="Q66" s="6" t="s">
        <v>30</v>
      </c>
      <c r="R66" s="6" t="s">
        <v>31</v>
      </c>
      <c r="S66" s="6" t="s">
        <v>32</v>
      </c>
      <c r="T66" s="6">
        <v>277.94</v>
      </c>
      <c r="U66" s="6">
        <v>119.85</v>
      </c>
      <c r="V66" s="6">
        <v>110.68</v>
      </c>
      <c r="W66" s="6">
        <v>0</v>
      </c>
      <c r="X66" s="6">
        <v>47.41</v>
      </c>
    </row>
    <row r="67" spans="1:24" ht="24.75" x14ac:dyDescent="0.25">
      <c r="A67" s="6" t="s">
        <v>25</v>
      </c>
      <c r="B67" s="6" t="s">
        <v>26</v>
      </c>
      <c r="C67" s="6" t="s">
        <v>42</v>
      </c>
      <c r="D67" s="6" t="s">
        <v>46</v>
      </c>
      <c r="E67" s="6" t="s">
        <v>33</v>
      </c>
      <c r="F67" s="6" t="s">
        <v>59</v>
      </c>
      <c r="G67" s="6">
        <v>2016</v>
      </c>
      <c r="H67" s="6" t="str">
        <f>CONCATENATE("64210526519")</f>
        <v>64210526519</v>
      </c>
      <c r="I67" s="6" t="s">
        <v>28</v>
      </c>
      <c r="J67" s="6" t="s">
        <v>29</v>
      </c>
      <c r="K67" s="6" t="str">
        <f>CONCATENATE("")</f>
        <v/>
      </c>
      <c r="L67" s="6" t="str">
        <f>CONCATENATE("13 13.1 4a")</f>
        <v>13 13.1 4a</v>
      </c>
      <c r="M67" s="6" t="str">
        <f>CONCATENATE("SDLCST24L70I287H")</f>
        <v>SDLCST24L70I287H</v>
      </c>
      <c r="N67" s="6" t="s">
        <v>134</v>
      </c>
      <c r="O67" s="6"/>
      <c r="P67" s="7">
        <v>42879</v>
      </c>
      <c r="Q67" s="6" t="s">
        <v>30</v>
      </c>
      <c r="R67" s="6" t="s">
        <v>31</v>
      </c>
      <c r="S67" s="6" t="s">
        <v>32</v>
      </c>
      <c r="T67" s="8">
        <v>1888.28</v>
      </c>
      <c r="U67" s="6">
        <v>814.23</v>
      </c>
      <c r="V67" s="6">
        <v>751.91</v>
      </c>
      <c r="W67" s="6">
        <v>0</v>
      </c>
      <c r="X67" s="6">
        <v>322.14</v>
      </c>
    </row>
    <row r="68" spans="1:24" ht="24.75" x14ac:dyDescent="0.25">
      <c r="A68" s="6" t="s">
        <v>25</v>
      </c>
      <c r="B68" s="6" t="s">
        <v>26</v>
      </c>
      <c r="C68" s="6" t="s">
        <v>42</v>
      </c>
      <c r="D68" s="6" t="s">
        <v>46</v>
      </c>
      <c r="E68" s="6" t="s">
        <v>34</v>
      </c>
      <c r="F68" s="6" t="s">
        <v>67</v>
      </c>
      <c r="G68" s="6">
        <v>2016</v>
      </c>
      <c r="H68" s="6" t="str">
        <f>CONCATENATE("64210863169")</f>
        <v>64210863169</v>
      </c>
      <c r="I68" s="6" t="s">
        <v>28</v>
      </c>
      <c r="J68" s="6" t="s">
        <v>29</v>
      </c>
      <c r="K68" s="6" t="str">
        <f>CONCATENATE("")</f>
        <v/>
      </c>
      <c r="L68" s="6" t="str">
        <f>CONCATENATE("13 13.1 4a")</f>
        <v>13 13.1 4a</v>
      </c>
      <c r="M68" s="6" t="str">
        <f>CONCATENATE("02468780412")</f>
        <v>02468780412</v>
      </c>
      <c r="N68" s="6" t="s">
        <v>135</v>
      </c>
      <c r="O68" s="6"/>
      <c r="P68" s="7">
        <v>42877</v>
      </c>
      <c r="Q68" s="6" t="s">
        <v>30</v>
      </c>
      <c r="R68" s="6" t="s">
        <v>31</v>
      </c>
      <c r="S68" s="6" t="s">
        <v>32</v>
      </c>
      <c r="T68" s="8">
        <v>2311.25</v>
      </c>
      <c r="U68" s="6">
        <v>996.61</v>
      </c>
      <c r="V68" s="6">
        <v>920.34</v>
      </c>
      <c r="W68" s="6">
        <v>0</v>
      </c>
      <c r="X68" s="6">
        <v>394.3</v>
      </c>
    </row>
    <row r="69" spans="1:24" ht="24.75" x14ac:dyDescent="0.25">
      <c r="A69" s="6" t="s">
        <v>25</v>
      </c>
      <c r="B69" s="6" t="s">
        <v>26</v>
      </c>
      <c r="C69" s="6" t="s">
        <v>42</v>
      </c>
      <c r="D69" s="6" t="s">
        <v>46</v>
      </c>
      <c r="E69" s="6" t="s">
        <v>36</v>
      </c>
      <c r="F69" s="6" t="s">
        <v>103</v>
      </c>
      <c r="G69" s="6">
        <v>2016</v>
      </c>
      <c r="H69" s="6" t="str">
        <f>CONCATENATE("64210742728")</f>
        <v>64210742728</v>
      </c>
      <c r="I69" s="6" t="s">
        <v>28</v>
      </c>
      <c r="J69" s="6" t="s">
        <v>29</v>
      </c>
      <c r="K69" s="6" t="str">
        <f>CONCATENATE("")</f>
        <v/>
      </c>
      <c r="L69" s="6" t="str">
        <f>CONCATENATE("13 13.1 4a")</f>
        <v>13 13.1 4a</v>
      </c>
      <c r="M69" s="6" t="str">
        <f>CONCATENATE("CRBPRN33C57D749K")</f>
        <v>CRBPRN33C57D749K</v>
      </c>
      <c r="N69" s="6" t="s">
        <v>136</v>
      </c>
      <c r="O69" s="6"/>
      <c r="P69" s="7">
        <v>42879</v>
      </c>
      <c r="Q69" s="6" t="s">
        <v>30</v>
      </c>
      <c r="R69" s="6" t="s">
        <v>31</v>
      </c>
      <c r="S69" s="6" t="s">
        <v>32</v>
      </c>
      <c r="T69" s="6">
        <v>280.58</v>
      </c>
      <c r="U69" s="6">
        <v>120.99</v>
      </c>
      <c r="V69" s="6">
        <v>111.73</v>
      </c>
      <c r="W69" s="6">
        <v>0</v>
      </c>
      <c r="X69" s="6">
        <v>47.86</v>
      </c>
    </row>
    <row r="70" spans="1:24" ht="24.75" x14ac:dyDescent="0.25">
      <c r="A70" s="6" t="s">
        <v>25</v>
      </c>
      <c r="B70" s="6" t="s">
        <v>26</v>
      </c>
      <c r="C70" s="6" t="s">
        <v>42</v>
      </c>
      <c r="D70" s="6" t="s">
        <v>46</v>
      </c>
      <c r="E70" s="6" t="s">
        <v>33</v>
      </c>
      <c r="F70" s="6" t="s">
        <v>59</v>
      </c>
      <c r="G70" s="6">
        <v>2016</v>
      </c>
      <c r="H70" s="6" t="str">
        <f>CONCATENATE("64210137754")</f>
        <v>64210137754</v>
      </c>
      <c r="I70" s="6" t="s">
        <v>28</v>
      </c>
      <c r="J70" s="6" t="s">
        <v>29</v>
      </c>
      <c r="K70" s="6" t="str">
        <f>CONCATENATE("")</f>
        <v/>
      </c>
      <c r="L70" s="6" t="str">
        <f>CONCATENATE("13 13.1 4a")</f>
        <v>13 13.1 4a</v>
      </c>
      <c r="M70" s="6" t="str">
        <f>CONCATENATE("FSCNTN55C23L498A")</f>
        <v>FSCNTN55C23L498A</v>
      </c>
      <c r="N70" s="6" t="s">
        <v>137</v>
      </c>
      <c r="O70" s="6"/>
      <c r="P70" s="7">
        <v>42879</v>
      </c>
      <c r="Q70" s="6" t="s">
        <v>30</v>
      </c>
      <c r="R70" s="6" t="s">
        <v>31</v>
      </c>
      <c r="S70" s="6" t="s">
        <v>32</v>
      </c>
      <c r="T70" s="6">
        <v>654.76</v>
      </c>
      <c r="U70" s="6">
        <v>282.33</v>
      </c>
      <c r="V70" s="6">
        <v>260.73</v>
      </c>
      <c r="W70" s="6">
        <v>0</v>
      </c>
      <c r="X70" s="6">
        <v>111.7</v>
      </c>
    </row>
    <row r="71" spans="1:24" ht="24.75" x14ac:dyDescent="0.25">
      <c r="A71" s="6" t="s">
        <v>25</v>
      </c>
      <c r="B71" s="6" t="s">
        <v>26</v>
      </c>
      <c r="C71" s="6" t="s">
        <v>42</v>
      </c>
      <c r="D71" s="6" t="s">
        <v>49</v>
      </c>
      <c r="E71" s="6" t="s">
        <v>27</v>
      </c>
      <c r="F71" s="6" t="s">
        <v>62</v>
      </c>
      <c r="G71" s="6">
        <v>2016</v>
      </c>
      <c r="H71" s="6" t="str">
        <f>CONCATENATE("64210680522")</f>
        <v>64210680522</v>
      </c>
      <c r="I71" s="6" t="s">
        <v>28</v>
      </c>
      <c r="J71" s="6" t="s">
        <v>29</v>
      </c>
      <c r="K71" s="6" t="str">
        <f>CONCATENATE("")</f>
        <v/>
      </c>
      <c r="L71" s="6" t="str">
        <f>CONCATENATE("13 13.1 4a")</f>
        <v>13 13.1 4a</v>
      </c>
      <c r="M71" s="6" t="str">
        <f>CONCATENATE("FRNGNI51S11F549Y")</f>
        <v>FRNGNI51S11F549Y</v>
      </c>
      <c r="N71" s="6" t="s">
        <v>138</v>
      </c>
      <c r="O71" s="6"/>
      <c r="P71" s="7">
        <v>42877</v>
      </c>
      <c r="Q71" s="6" t="s">
        <v>30</v>
      </c>
      <c r="R71" s="6" t="s">
        <v>31</v>
      </c>
      <c r="S71" s="6" t="s">
        <v>32</v>
      </c>
      <c r="T71" s="6">
        <v>867.44</v>
      </c>
      <c r="U71" s="6">
        <v>374.04</v>
      </c>
      <c r="V71" s="6">
        <v>345.41</v>
      </c>
      <c r="W71" s="6">
        <v>0</v>
      </c>
      <c r="X71" s="6">
        <v>147.99</v>
      </c>
    </row>
    <row r="72" spans="1:24" ht="24.75" x14ac:dyDescent="0.25">
      <c r="A72" s="6" t="s">
        <v>25</v>
      </c>
      <c r="B72" s="6" t="s">
        <v>26</v>
      </c>
      <c r="C72" s="6" t="s">
        <v>42</v>
      </c>
      <c r="D72" s="6" t="s">
        <v>46</v>
      </c>
      <c r="E72" s="6" t="s">
        <v>34</v>
      </c>
      <c r="F72" s="6" t="s">
        <v>67</v>
      </c>
      <c r="G72" s="6">
        <v>2016</v>
      </c>
      <c r="H72" s="6" t="str">
        <f>CONCATENATE("64210510257")</f>
        <v>64210510257</v>
      </c>
      <c r="I72" s="6" t="s">
        <v>35</v>
      </c>
      <c r="J72" s="6" t="s">
        <v>29</v>
      </c>
      <c r="K72" s="6" t="str">
        <f>CONCATENATE("")</f>
        <v/>
      </c>
      <c r="L72" s="6" t="str">
        <f>CONCATENATE("13 13.1 4a")</f>
        <v>13 13.1 4a</v>
      </c>
      <c r="M72" s="6" t="str">
        <f>CONCATENATE("02090800414")</f>
        <v>02090800414</v>
      </c>
      <c r="N72" s="6" t="s">
        <v>139</v>
      </c>
      <c r="O72" s="6"/>
      <c r="P72" s="7">
        <v>42879</v>
      </c>
      <c r="Q72" s="6" t="s">
        <v>30</v>
      </c>
      <c r="R72" s="6" t="s">
        <v>31</v>
      </c>
      <c r="S72" s="6" t="s">
        <v>32</v>
      </c>
      <c r="T72" s="8">
        <v>1480.76</v>
      </c>
      <c r="U72" s="6">
        <v>638.5</v>
      </c>
      <c r="V72" s="6">
        <v>589.64</v>
      </c>
      <c r="W72" s="6">
        <v>0</v>
      </c>
      <c r="X72" s="6">
        <v>252.62</v>
      </c>
    </row>
    <row r="73" spans="1:24" ht="24.75" x14ac:dyDescent="0.25">
      <c r="A73" s="6" t="s">
        <v>25</v>
      </c>
      <c r="B73" s="6" t="s">
        <v>26</v>
      </c>
      <c r="C73" s="6" t="s">
        <v>42</v>
      </c>
      <c r="D73" s="6" t="s">
        <v>46</v>
      </c>
      <c r="E73" s="6" t="s">
        <v>38</v>
      </c>
      <c r="F73" s="6" t="s">
        <v>140</v>
      </c>
      <c r="G73" s="6">
        <v>2016</v>
      </c>
      <c r="H73" s="6" t="str">
        <f>CONCATENATE("64211019399")</f>
        <v>64211019399</v>
      </c>
      <c r="I73" s="6" t="s">
        <v>28</v>
      </c>
      <c r="J73" s="6" t="s">
        <v>29</v>
      </c>
      <c r="K73" s="6" t="str">
        <f>CONCATENATE("")</f>
        <v/>
      </c>
      <c r="L73" s="6" t="str">
        <f>CONCATENATE("13 13.1 4a")</f>
        <v>13 13.1 4a</v>
      </c>
      <c r="M73" s="6" t="str">
        <f>CONCATENATE("BNZGPT63B19G479R")</f>
        <v>BNZGPT63B19G479R</v>
      </c>
      <c r="N73" s="6" t="s">
        <v>141</v>
      </c>
      <c r="O73" s="6"/>
      <c r="P73" s="7">
        <v>42879</v>
      </c>
      <c r="Q73" s="6" t="s">
        <v>30</v>
      </c>
      <c r="R73" s="6" t="s">
        <v>31</v>
      </c>
      <c r="S73" s="6" t="s">
        <v>32</v>
      </c>
      <c r="T73" s="8">
        <v>1544.16</v>
      </c>
      <c r="U73" s="6">
        <v>665.84</v>
      </c>
      <c r="V73" s="6">
        <v>614.88</v>
      </c>
      <c r="W73" s="6">
        <v>0</v>
      </c>
      <c r="X73" s="6">
        <v>263.44</v>
      </c>
    </row>
    <row r="74" spans="1:24" ht="24.75" x14ac:dyDescent="0.25">
      <c r="A74" s="6" t="s">
        <v>25</v>
      </c>
      <c r="B74" s="6" t="s">
        <v>26</v>
      </c>
      <c r="C74" s="6" t="s">
        <v>42</v>
      </c>
      <c r="D74" s="6" t="s">
        <v>43</v>
      </c>
      <c r="E74" s="6" t="s">
        <v>27</v>
      </c>
      <c r="F74" s="6" t="s">
        <v>142</v>
      </c>
      <c r="G74" s="6">
        <v>2016</v>
      </c>
      <c r="H74" s="6" t="str">
        <f>CONCATENATE("64210246191")</f>
        <v>64210246191</v>
      </c>
      <c r="I74" s="6" t="s">
        <v>28</v>
      </c>
      <c r="J74" s="6" t="s">
        <v>29</v>
      </c>
      <c r="K74" s="6" t="str">
        <f>CONCATENATE("")</f>
        <v/>
      </c>
      <c r="L74" s="6" t="str">
        <f>CONCATENATE("13 13.1 4a")</f>
        <v>13 13.1 4a</v>
      </c>
      <c r="M74" s="6" t="str">
        <f>CONCATENATE("01039860430")</f>
        <v>01039860430</v>
      </c>
      <c r="N74" s="6" t="s">
        <v>143</v>
      </c>
      <c r="O74" s="6"/>
      <c r="P74" s="7">
        <v>42877</v>
      </c>
      <c r="Q74" s="6" t="s">
        <v>30</v>
      </c>
      <c r="R74" s="6" t="s">
        <v>31</v>
      </c>
      <c r="S74" s="6" t="s">
        <v>32</v>
      </c>
      <c r="T74" s="6">
        <v>735.1</v>
      </c>
      <c r="U74" s="6">
        <v>316.98</v>
      </c>
      <c r="V74" s="6">
        <v>292.72000000000003</v>
      </c>
      <c r="W74" s="6">
        <v>0</v>
      </c>
      <c r="X74" s="6">
        <v>125.4</v>
      </c>
    </row>
    <row r="75" spans="1:24" ht="24.75" x14ac:dyDescent="0.25">
      <c r="A75" s="6" t="s">
        <v>25</v>
      </c>
      <c r="B75" s="6" t="s">
        <v>26</v>
      </c>
      <c r="C75" s="6" t="s">
        <v>42</v>
      </c>
      <c r="D75" s="6" t="s">
        <v>49</v>
      </c>
      <c r="E75" s="6" t="s">
        <v>36</v>
      </c>
      <c r="F75" s="6" t="s">
        <v>144</v>
      </c>
      <c r="G75" s="6">
        <v>2016</v>
      </c>
      <c r="H75" s="6" t="str">
        <f>CONCATENATE("64240449088")</f>
        <v>64240449088</v>
      </c>
      <c r="I75" s="6" t="s">
        <v>35</v>
      </c>
      <c r="J75" s="6" t="s">
        <v>29</v>
      </c>
      <c r="K75" s="6" t="str">
        <f>CONCATENATE("")</f>
        <v/>
      </c>
      <c r="L75" s="6" t="str">
        <f>CONCATENATE("10 10.1 4b")</f>
        <v>10 10.1 4b</v>
      </c>
      <c r="M75" s="6" t="str">
        <f>CONCATENATE("MRNCRD70H08H769Q")</f>
        <v>MRNCRD70H08H769Q</v>
      </c>
      <c r="N75" s="6" t="s">
        <v>145</v>
      </c>
      <c r="O75" s="6"/>
      <c r="P75" s="7">
        <v>42879</v>
      </c>
      <c r="Q75" s="6" t="s">
        <v>30</v>
      </c>
      <c r="R75" s="6" t="s">
        <v>31</v>
      </c>
      <c r="S75" s="6" t="s">
        <v>32</v>
      </c>
      <c r="T75" s="8">
        <v>4413.0200000000004</v>
      </c>
      <c r="U75" s="8">
        <v>1902.89</v>
      </c>
      <c r="V75" s="8">
        <v>1757.26</v>
      </c>
      <c r="W75" s="6">
        <v>0</v>
      </c>
      <c r="X75" s="6">
        <v>752.87</v>
      </c>
    </row>
    <row r="76" spans="1:24" ht="24.75" x14ac:dyDescent="0.25">
      <c r="A76" s="6" t="s">
        <v>25</v>
      </c>
      <c r="B76" s="6" t="s">
        <v>26</v>
      </c>
      <c r="C76" s="6" t="s">
        <v>42</v>
      </c>
      <c r="D76" s="6" t="s">
        <v>53</v>
      </c>
      <c r="E76" s="6" t="s">
        <v>27</v>
      </c>
      <c r="F76" s="6" t="s">
        <v>146</v>
      </c>
      <c r="G76" s="6">
        <v>2016</v>
      </c>
      <c r="H76" s="6" t="str">
        <f>CONCATENATE("64240736492")</f>
        <v>64240736492</v>
      </c>
      <c r="I76" s="6" t="s">
        <v>28</v>
      </c>
      <c r="J76" s="6" t="s">
        <v>29</v>
      </c>
      <c r="K76" s="6" t="str">
        <f>CONCATENATE("")</f>
        <v/>
      </c>
      <c r="L76" s="6" t="str">
        <f>CONCATENATE("10 10.1 4a")</f>
        <v>10 10.1 4a</v>
      </c>
      <c r="M76" s="6" t="str">
        <f>CONCATENATE("SLVNLL32C27A092F")</f>
        <v>SLVNLL32C27A092F</v>
      </c>
      <c r="N76" s="6" t="s">
        <v>147</v>
      </c>
      <c r="O76" s="6"/>
      <c r="P76" s="7">
        <v>42879</v>
      </c>
      <c r="Q76" s="6" t="s">
        <v>30</v>
      </c>
      <c r="R76" s="6" t="s">
        <v>31</v>
      </c>
      <c r="S76" s="6" t="s">
        <v>32</v>
      </c>
      <c r="T76" s="6">
        <v>400.1</v>
      </c>
      <c r="U76" s="6">
        <v>172.52</v>
      </c>
      <c r="V76" s="6">
        <v>159.32</v>
      </c>
      <c r="W76" s="6">
        <v>0</v>
      </c>
      <c r="X76" s="6">
        <v>68.260000000000005</v>
      </c>
    </row>
    <row r="77" spans="1:24" ht="24.75" x14ac:dyDescent="0.25">
      <c r="A77" s="6" t="s">
        <v>25</v>
      </c>
      <c r="B77" s="6" t="s">
        <v>26</v>
      </c>
      <c r="C77" s="6" t="s">
        <v>42</v>
      </c>
      <c r="D77" s="6" t="s">
        <v>43</v>
      </c>
      <c r="E77" s="6" t="s">
        <v>36</v>
      </c>
      <c r="F77" s="6" t="s">
        <v>148</v>
      </c>
      <c r="G77" s="6">
        <v>2016</v>
      </c>
      <c r="H77" s="6" t="str">
        <f>CONCATENATE("64240590238")</f>
        <v>64240590238</v>
      </c>
      <c r="I77" s="6" t="s">
        <v>28</v>
      </c>
      <c r="J77" s="6" t="s">
        <v>29</v>
      </c>
      <c r="K77" s="6" t="str">
        <f>CONCATENATE("")</f>
        <v/>
      </c>
      <c r="L77" s="6" t="str">
        <f>CONCATENATE("11 11.2 4b")</f>
        <v>11 11.2 4b</v>
      </c>
      <c r="M77" s="6" t="str">
        <f>CONCATENATE("STFMRC70A19L366P")</f>
        <v>STFMRC70A19L366P</v>
      </c>
      <c r="N77" s="6" t="s">
        <v>149</v>
      </c>
      <c r="O77" s="6"/>
      <c r="P77" s="7">
        <v>42879</v>
      </c>
      <c r="Q77" s="6" t="s">
        <v>30</v>
      </c>
      <c r="R77" s="6" t="s">
        <v>31</v>
      </c>
      <c r="S77" s="6" t="s">
        <v>32</v>
      </c>
      <c r="T77" s="8">
        <v>9853.5400000000009</v>
      </c>
      <c r="U77" s="8">
        <v>4248.8500000000004</v>
      </c>
      <c r="V77" s="8">
        <v>3923.68</v>
      </c>
      <c r="W77" s="6">
        <v>0</v>
      </c>
      <c r="X77" s="6">
        <v>1681.01</v>
      </c>
    </row>
    <row r="78" spans="1:24" ht="24.75" x14ac:dyDescent="0.25">
      <c r="A78" s="6" t="s">
        <v>25</v>
      </c>
      <c r="B78" s="6" t="s">
        <v>26</v>
      </c>
      <c r="C78" s="6" t="s">
        <v>42</v>
      </c>
      <c r="D78" s="6" t="s">
        <v>46</v>
      </c>
      <c r="E78" s="6" t="s">
        <v>27</v>
      </c>
      <c r="F78" s="6" t="s">
        <v>150</v>
      </c>
      <c r="G78" s="6">
        <v>2016</v>
      </c>
      <c r="H78" s="6" t="str">
        <f>CONCATENATE("64240615282")</f>
        <v>64240615282</v>
      </c>
      <c r="I78" s="6" t="s">
        <v>28</v>
      </c>
      <c r="J78" s="6" t="s">
        <v>29</v>
      </c>
      <c r="K78" s="6" t="str">
        <f>CONCATENATE("")</f>
        <v/>
      </c>
      <c r="L78" s="6" t="str">
        <f>CONCATENATE("11 11.2 4b")</f>
        <v>11 11.2 4b</v>
      </c>
      <c r="M78" s="6" t="str">
        <f>CONCATENATE("02393300419")</f>
        <v>02393300419</v>
      </c>
      <c r="N78" s="6" t="s">
        <v>151</v>
      </c>
      <c r="O78" s="6"/>
      <c r="P78" s="7">
        <v>42877</v>
      </c>
      <c r="Q78" s="6" t="s">
        <v>30</v>
      </c>
      <c r="R78" s="6" t="s">
        <v>31</v>
      </c>
      <c r="S78" s="6" t="s">
        <v>32</v>
      </c>
      <c r="T78" s="8">
        <v>28530.06</v>
      </c>
      <c r="U78" s="8">
        <v>12302.16</v>
      </c>
      <c r="V78" s="8">
        <v>11360.67</v>
      </c>
      <c r="W78" s="6">
        <v>0</v>
      </c>
      <c r="X78" s="6">
        <v>4867.2299999999996</v>
      </c>
    </row>
    <row r="79" spans="1:24" ht="24.75" x14ac:dyDescent="0.25">
      <c r="A79" s="6" t="s">
        <v>25</v>
      </c>
      <c r="B79" s="6" t="s">
        <v>26</v>
      </c>
      <c r="C79" s="6" t="s">
        <v>42</v>
      </c>
      <c r="D79" s="6" t="s">
        <v>49</v>
      </c>
      <c r="E79" s="6" t="s">
        <v>33</v>
      </c>
      <c r="F79" s="6" t="s">
        <v>152</v>
      </c>
      <c r="G79" s="6">
        <v>2016</v>
      </c>
      <c r="H79" s="6" t="str">
        <f>CONCATENATE("64210155269")</f>
        <v>64210155269</v>
      </c>
      <c r="I79" s="6" t="s">
        <v>28</v>
      </c>
      <c r="J79" s="6" t="s">
        <v>29</v>
      </c>
      <c r="K79" s="6" t="str">
        <f>CONCATENATE("")</f>
        <v/>
      </c>
      <c r="L79" s="6" t="str">
        <f>CONCATENATE("13 13.1 4a")</f>
        <v>13 13.1 4a</v>
      </c>
      <c r="M79" s="6" t="str">
        <f>CONCATENATE("MTRMTR44M59D691Q")</f>
        <v>MTRMTR44M59D691Q</v>
      </c>
      <c r="N79" s="6" t="s">
        <v>153</v>
      </c>
      <c r="O79" s="6"/>
      <c r="P79" s="7">
        <v>42879</v>
      </c>
      <c r="Q79" s="6" t="s">
        <v>30</v>
      </c>
      <c r="R79" s="6" t="s">
        <v>31</v>
      </c>
      <c r="S79" s="6" t="s">
        <v>32</v>
      </c>
      <c r="T79" s="8">
        <v>1098.54</v>
      </c>
      <c r="U79" s="6">
        <v>473.69</v>
      </c>
      <c r="V79" s="6">
        <v>437.44</v>
      </c>
      <c r="W79" s="6">
        <v>0</v>
      </c>
      <c r="X79" s="6">
        <v>187.41</v>
      </c>
    </row>
    <row r="80" spans="1:24" ht="24.75" x14ac:dyDescent="0.25">
      <c r="A80" s="6" t="s">
        <v>25</v>
      </c>
      <c r="B80" s="6" t="s">
        <v>26</v>
      </c>
      <c r="C80" s="6" t="s">
        <v>42</v>
      </c>
      <c r="D80" s="6" t="s">
        <v>43</v>
      </c>
      <c r="E80" s="6" t="s">
        <v>27</v>
      </c>
      <c r="F80" s="6" t="s">
        <v>154</v>
      </c>
      <c r="G80" s="6">
        <v>2016</v>
      </c>
      <c r="H80" s="6" t="str">
        <f>CONCATENATE("64240464277")</f>
        <v>64240464277</v>
      </c>
      <c r="I80" s="6" t="s">
        <v>28</v>
      </c>
      <c r="J80" s="6" t="s">
        <v>29</v>
      </c>
      <c r="K80" s="6" t="str">
        <f>CONCATENATE("")</f>
        <v/>
      </c>
      <c r="L80" s="6" t="str">
        <f>CONCATENATE("11 11.2 4b")</f>
        <v>11 11.2 4b</v>
      </c>
      <c r="M80" s="6" t="str">
        <f>CONCATENATE("CCCSRN67S64E783G")</f>
        <v>CCCSRN67S64E783G</v>
      </c>
      <c r="N80" s="6" t="s">
        <v>155</v>
      </c>
      <c r="O80" s="6"/>
      <c r="P80" s="7">
        <v>42879</v>
      </c>
      <c r="Q80" s="6" t="s">
        <v>30</v>
      </c>
      <c r="R80" s="6" t="s">
        <v>31</v>
      </c>
      <c r="S80" s="6" t="s">
        <v>32</v>
      </c>
      <c r="T80" s="8">
        <v>8114.18</v>
      </c>
      <c r="U80" s="8">
        <v>3498.83</v>
      </c>
      <c r="V80" s="8">
        <v>3231.07</v>
      </c>
      <c r="W80" s="6">
        <v>0</v>
      </c>
      <c r="X80" s="6">
        <v>1384.28</v>
      </c>
    </row>
    <row r="81" spans="1:24" ht="24.75" x14ac:dyDescent="0.25">
      <c r="A81" s="6" t="s">
        <v>25</v>
      </c>
      <c r="B81" s="6" t="s">
        <v>26</v>
      </c>
      <c r="C81" s="6" t="s">
        <v>42</v>
      </c>
      <c r="D81" s="6" t="s">
        <v>46</v>
      </c>
      <c r="E81" s="6" t="s">
        <v>33</v>
      </c>
      <c r="F81" s="6" t="s">
        <v>156</v>
      </c>
      <c r="G81" s="6">
        <v>2016</v>
      </c>
      <c r="H81" s="6" t="str">
        <f>CONCATENATE("64210331621")</f>
        <v>64210331621</v>
      </c>
      <c r="I81" s="6" t="s">
        <v>35</v>
      </c>
      <c r="J81" s="6" t="s">
        <v>29</v>
      </c>
      <c r="K81" s="6" t="str">
        <f>CONCATENATE("")</f>
        <v/>
      </c>
      <c r="L81" s="6" t="str">
        <f>CONCATENATE("13 13.1 4a")</f>
        <v>13 13.1 4a</v>
      </c>
      <c r="M81" s="6" t="str">
        <f>CONCATENATE("PLCGZL64T62I459Q")</f>
        <v>PLCGZL64T62I459Q</v>
      </c>
      <c r="N81" s="6" t="s">
        <v>157</v>
      </c>
      <c r="O81" s="6"/>
      <c r="P81" s="7">
        <v>42877</v>
      </c>
      <c r="Q81" s="6" t="s">
        <v>30</v>
      </c>
      <c r="R81" s="6" t="s">
        <v>31</v>
      </c>
      <c r="S81" s="6" t="s">
        <v>32</v>
      </c>
      <c r="T81" s="8">
        <v>2093.7800000000002</v>
      </c>
      <c r="U81" s="6">
        <v>902.84</v>
      </c>
      <c r="V81" s="6">
        <v>833.74</v>
      </c>
      <c r="W81" s="6">
        <v>0</v>
      </c>
      <c r="X81" s="6">
        <v>357.2</v>
      </c>
    </row>
    <row r="82" spans="1:24" ht="24.75" x14ac:dyDescent="0.25">
      <c r="A82" s="6" t="s">
        <v>25</v>
      </c>
      <c r="B82" s="6" t="s">
        <v>26</v>
      </c>
      <c r="C82" s="6" t="s">
        <v>42</v>
      </c>
      <c r="D82" s="6" t="s">
        <v>49</v>
      </c>
      <c r="E82" s="6" t="s">
        <v>27</v>
      </c>
      <c r="F82" s="6" t="s">
        <v>76</v>
      </c>
      <c r="G82" s="6">
        <v>2016</v>
      </c>
      <c r="H82" s="6" t="str">
        <f>CONCATENATE("64240339123")</f>
        <v>64240339123</v>
      </c>
      <c r="I82" s="6" t="s">
        <v>28</v>
      </c>
      <c r="J82" s="6" t="s">
        <v>29</v>
      </c>
      <c r="K82" s="6" t="str">
        <f>CONCATENATE("")</f>
        <v/>
      </c>
      <c r="L82" s="6" t="str">
        <f>CONCATENATE("11 11.2 4b")</f>
        <v>11 11.2 4b</v>
      </c>
      <c r="M82" s="6" t="str">
        <f>CONCATENATE("LRAGCR73H29A462A")</f>
        <v>LRAGCR73H29A462A</v>
      </c>
      <c r="N82" s="6" t="s">
        <v>77</v>
      </c>
      <c r="O82" s="6"/>
      <c r="P82" s="7">
        <v>42879</v>
      </c>
      <c r="Q82" s="6" t="s">
        <v>30</v>
      </c>
      <c r="R82" s="6" t="s">
        <v>31</v>
      </c>
      <c r="S82" s="6" t="s">
        <v>32</v>
      </c>
      <c r="T82" s="8">
        <v>4541.18</v>
      </c>
      <c r="U82" s="8">
        <v>1958.16</v>
      </c>
      <c r="V82" s="8">
        <v>1808.3</v>
      </c>
      <c r="W82" s="6">
        <v>0</v>
      </c>
      <c r="X82" s="6">
        <v>774.72</v>
      </c>
    </row>
    <row r="83" spans="1:24" ht="24.75" x14ac:dyDescent="0.25">
      <c r="A83" s="6" t="s">
        <v>25</v>
      </c>
      <c r="B83" s="6" t="s">
        <v>26</v>
      </c>
      <c r="C83" s="6" t="s">
        <v>42</v>
      </c>
      <c r="D83" s="6" t="s">
        <v>53</v>
      </c>
      <c r="E83" s="6" t="s">
        <v>27</v>
      </c>
      <c r="F83" s="6" t="s">
        <v>54</v>
      </c>
      <c r="G83" s="6">
        <v>2016</v>
      </c>
      <c r="H83" s="6" t="str">
        <f>CONCATENATE("64211002775")</f>
        <v>64211002775</v>
      </c>
      <c r="I83" s="6" t="s">
        <v>28</v>
      </c>
      <c r="J83" s="6" t="s">
        <v>29</v>
      </c>
      <c r="K83" s="6" t="str">
        <f>CONCATENATE("")</f>
        <v/>
      </c>
      <c r="L83" s="6" t="str">
        <f>CONCATENATE("13 13.1 4a")</f>
        <v>13 13.1 4a</v>
      </c>
      <c r="M83" s="6" t="str">
        <f>CONCATENATE("PRSNNA32D41I653Q")</f>
        <v>PRSNNA32D41I653Q</v>
      </c>
      <c r="N83" s="6" t="s">
        <v>158</v>
      </c>
      <c r="O83" s="6"/>
      <c r="P83" s="7">
        <v>42877</v>
      </c>
      <c r="Q83" s="6" t="s">
        <v>30</v>
      </c>
      <c r="R83" s="6" t="s">
        <v>31</v>
      </c>
      <c r="S83" s="6" t="s">
        <v>32</v>
      </c>
      <c r="T83" s="6">
        <v>431.16</v>
      </c>
      <c r="U83" s="6">
        <v>185.92</v>
      </c>
      <c r="V83" s="6">
        <v>171.69</v>
      </c>
      <c r="W83" s="6">
        <v>0</v>
      </c>
      <c r="X83" s="6">
        <v>73.55</v>
      </c>
    </row>
    <row r="84" spans="1:24" ht="24.75" x14ac:dyDescent="0.25">
      <c r="A84" s="6" t="s">
        <v>25</v>
      </c>
      <c r="B84" s="6" t="s">
        <v>26</v>
      </c>
      <c r="C84" s="6" t="s">
        <v>42</v>
      </c>
      <c r="D84" s="6" t="s">
        <v>49</v>
      </c>
      <c r="E84" s="6" t="s">
        <v>41</v>
      </c>
      <c r="F84" s="6" t="s">
        <v>41</v>
      </c>
      <c r="G84" s="6">
        <v>2016</v>
      </c>
      <c r="H84" s="6" t="str">
        <f>CONCATENATE("64240270211")</f>
        <v>64240270211</v>
      </c>
      <c r="I84" s="6" t="s">
        <v>28</v>
      </c>
      <c r="J84" s="6" t="s">
        <v>29</v>
      </c>
      <c r="K84" s="6" t="str">
        <f>CONCATENATE("")</f>
        <v/>
      </c>
      <c r="L84" s="6" t="str">
        <f>CONCATENATE("11 11.2 4b")</f>
        <v>11 11.2 4b</v>
      </c>
      <c r="M84" s="6" t="str">
        <f>CONCATENATE("01507720447")</f>
        <v>01507720447</v>
      </c>
      <c r="N84" s="6" t="s">
        <v>159</v>
      </c>
      <c r="O84" s="6"/>
      <c r="P84" s="7">
        <v>42879</v>
      </c>
      <c r="Q84" s="6" t="s">
        <v>30</v>
      </c>
      <c r="R84" s="6" t="s">
        <v>31</v>
      </c>
      <c r="S84" s="6" t="s">
        <v>32</v>
      </c>
      <c r="T84" s="8">
        <v>12186.59</v>
      </c>
      <c r="U84" s="8">
        <v>5254.86</v>
      </c>
      <c r="V84" s="8">
        <v>4852.7</v>
      </c>
      <c r="W84" s="6">
        <v>0</v>
      </c>
      <c r="X84" s="6">
        <v>2079.0300000000002</v>
      </c>
    </row>
    <row r="85" spans="1:24" ht="24.75" x14ac:dyDescent="0.25">
      <c r="A85" s="6" t="s">
        <v>25</v>
      </c>
      <c r="B85" s="6" t="s">
        <v>26</v>
      </c>
      <c r="C85" s="6" t="s">
        <v>42</v>
      </c>
      <c r="D85" s="6" t="s">
        <v>49</v>
      </c>
      <c r="E85" s="6" t="s">
        <v>41</v>
      </c>
      <c r="F85" s="6" t="s">
        <v>41</v>
      </c>
      <c r="G85" s="6">
        <v>2016</v>
      </c>
      <c r="H85" s="6" t="str">
        <f>CONCATENATE("64240758769")</f>
        <v>64240758769</v>
      </c>
      <c r="I85" s="6" t="s">
        <v>28</v>
      </c>
      <c r="J85" s="6" t="s">
        <v>29</v>
      </c>
      <c r="K85" s="6" t="str">
        <f>CONCATENATE("")</f>
        <v/>
      </c>
      <c r="L85" s="6" t="str">
        <f>CONCATENATE("10 10.1 4b")</f>
        <v>10 10.1 4b</v>
      </c>
      <c r="M85" s="6" t="str">
        <f>CONCATENATE("CPCFRN66T53G005O")</f>
        <v>CPCFRN66T53G005O</v>
      </c>
      <c r="N85" s="6" t="s">
        <v>160</v>
      </c>
      <c r="O85" s="6"/>
      <c r="P85" s="7">
        <v>42879</v>
      </c>
      <c r="Q85" s="6" t="s">
        <v>30</v>
      </c>
      <c r="R85" s="6" t="s">
        <v>31</v>
      </c>
      <c r="S85" s="6" t="s">
        <v>32</v>
      </c>
      <c r="T85" s="8">
        <v>1709.18</v>
      </c>
      <c r="U85" s="6">
        <v>737</v>
      </c>
      <c r="V85" s="6">
        <v>680.6</v>
      </c>
      <c r="W85" s="6">
        <v>0</v>
      </c>
      <c r="X85" s="6">
        <v>291.58</v>
      </c>
    </row>
    <row r="86" spans="1:24" ht="24.75" x14ac:dyDescent="0.25">
      <c r="A86" s="6" t="s">
        <v>25</v>
      </c>
      <c r="B86" s="6" t="s">
        <v>26</v>
      </c>
      <c r="C86" s="6" t="s">
        <v>42</v>
      </c>
      <c r="D86" s="6" t="s">
        <v>49</v>
      </c>
      <c r="E86" s="6" t="s">
        <v>41</v>
      </c>
      <c r="F86" s="6" t="s">
        <v>41</v>
      </c>
      <c r="G86" s="6">
        <v>2016</v>
      </c>
      <c r="H86" s="6" t="str">
        <f>CONCATENATE("64240048864")</f>
        <v>64240048864</v>
      </c>
      <c r="I86" s="6" t="s">
        <v>28</v>
      </c>
      <c r="J86" s="6" t="s">
        <v>29</v>
      </c>
      <c r="K86" s="6" t="str">
        <f>CONCATENATE("")</f>
        <v/>
      </c>
      <c r="L86" s="6" t="str">
        <f>CONCATENATE("11 11.2 4b")</f>
        <v>11 11.2 4b</v>
      </c>
      <c r="M86" s="6" t="str">
        <f>CONCATENATE("00857500441")</f>
        <v>00857500441</v>
      </c>
      <c r="N86" s="6" t="s">
        <v>161</v>
      </c>
      <c r="O86" s="6"/>
      <c r="P86" s="7">
        <v>42879</v>
      </c>
      <c r="Q86" s="6" t="s">
        <v>30</v>
      </c>
      <c r="R86" s="6" t="s">
        <v>31</v>
      </c>
      <c r="S86" s="6" t="s">
        <v>32</v>
      </c>
      <c r="T86" s="8">
        <v>5130.0600000000004</v>
      </c>
      <c r="U86" s="8">
        <v>2212.08</v>
      </c>
      <c r="V86" s="8">
        <v>2042.79</v>
      </c>
      <c r="W86" s="6">
        <v>0</v>
      </c>
      <c r="X86" s="6">
        <v>875.19</v>
      </c>
    </row>
    <row r="87" spans="1:24" ht="24.75" x14ac:dyDescent="0.25">
      <c r="A87" s="6" t="s">
        <v>25</v>
      </c>
      <c r="B87" s="6" t="s">
        <v>26</v>
      </c>
      <c r="C87" s="6" t="s">
        <v>42</v>
      </c>
      <c r="D87" s="6" t="s">
        <v>46</v>
      </c>
      <c r="E87" s="6" t="s">
        <v>40</v>
      </c>
      <c r="F87" s="6" t="s">
        <v>105</v>
      </c>
      <c r="G87" s="6">
        <v>2016</v>
      </c>
      <c r="H87" s="6" t="str">
        <f>CONCATENATE("64240871299")</f>
        <v>64240871299</v>
      </c>
      <c r="I87" s="6" t="s">
        <v>28</v>
      </c>
      <c r="J87" s="6" t="s">
        <v>29</v>
      </c>
      <c r="K87" s="6" t="str">
        <f>CONCATENATE("")</f>
        <v/>
      </c>
      <c r="L87" s="6" t="str">
        <f>CONCATENATE("11 11.2 4b")</f>
        <v>11 11.2 4b</v>
      </c>
      <c r="M87" s="6" t="str">
        <f>CONCATENATE("WSSFKH58C70Z112B")</f>
        <v>WSSFKH58C70Z112B</v>
      </c>
      <c r="N87" s="6" t="s">
        <v>106</v>
      </c>
      <c r="O87" s="6"/>
      <c r="P87" s="7">
        <v>42879</v>
      </c>
      <c r="Q87" s="6" t="s">
        <v>30</v>
      </c>
      <c r="R87" s="6" t="s">
        <v>31</v>
      </c>
      <c r="S87" s="6" t="s">
        <v>32</v>
      </c>
      <c r="T87" s="8">
        <v>4762.75</v>
      </c>
      <c r="U87" s="8">
        <v>2053.6999999999998</v>
      </c>
      <c r="V87" s="8">
        <v>1896.53</v>
      </c>
      <c r="W87" s="6">
        <v>0</v>
      </c>
      <c r="X87" s="6">
        <v>812.52</v>
      </c>
    </row>
    <row r="88" spans="1:24" ht="24.75" x14ac:dyDescent="0.25">
      <c r="A88" s="6" t="s">
        <v>25</v>
      </c>
      <c r="B88" s="6" t="s">
        <v>26</v>
      </c>
      <c r="C88" s="6" t="s">
        <v>42</v>
      </c>
      <c r="D88" s="6" t="s">
        <v>46</v>
      </c>
      <c r="E88" s="6" t="s">
        <v>27</v>
      </c>
      <c r="F88" s="6" t="s">
        <v>118</v>
      </c>
      <c r="G88" s="6">
        <v>2016</v>
      </c>
      <c r="H88" s="6" t="str">
        <f>CONCATENATE("64211128257")</f>
        <v>64211128257</v>
      </c>
      <c r="I88" s="6" t="s">
        <v>28</v>
      </c>
      <c r="J88" s="6" t="s">
        <v>29</v>
      </c>
      <c r="K88" s="6" t="str">
        <f>CONCATENATE("")</f>
        <v/>
      </c>
      <c r="L88" s="6" t="str">
        <f>CONCATENATE("13 13.1 4a")</f>
        <v>13 13.1 4a</v>
      </c>
      <c r="M88" s="6" t="str">
        <f>CONCATENATE("BEIMTT88R07A271C")</f>
        <v>BEIMTT88R07A271C</v>
      </c>
      <c r="N88" s="6" t="s">
        <v>162</v>
      </c>
      <c r="O88" s="6"/>
      <c r="P88" s="7">
        <v>42879</v>
      </c>
      <c r="Q88" s="6" t="s">
        <v>30</v>
      </c>
      <c r="R88" s="6" t="s">
        <v>31</v>
      </c>
      <c r="S88" s="6" t="s">
        <v>32</v>
      </c>
      <c r="T88" s="6">
        <v>873.75</v>
      </c>
      <c r="U88" s="6">
        <v>376.76</v>
      </c>
      <c r="V88" s="6">
        <v>347.93</v>
      </c>
      <c r="W88" s="6">
        <v>0</v>
      </c>
      <c r="X88" s="6">
        <v>149.06</v>
      </c>
    </row>
    <row r="89" spans="1:24" ht="24.75" x14ac:dyDescent="0.25">
      <c r="A89" s="6" t="s">
        <v>25</v>
      </c>
      <c r="B89" s="6" t="s">
        <v>26</v>
      </c>
      <c r="C89" s="6" t="s">
        <v>42</v>
      </c>
      <c r="D89" s="6" t="s">
        <v>46</v>
      </c>
      <c r="E89" s="6" t="s">
        <v>27</v>
      </c>
      <c r="F89" s="6" t="s">
        <v>150</v>
      </c>
      <c r="G89" s="6">
        <v>2016</v>
      </c>
      <c r="H89" s="6" t="str">
        <f>CONCATENATE("64210922601")</f>
        <v>64210922601</v>
      </c>
      <c r="I89" s="6" t="s">
        <v>28</v>
      </c>
      <c r="J89" s="6" t="s">
        <v>29</v>
      </c>
      <c r="K89" s="6" t="str">
        <f>CONCATENATE("")</f>
        <v/>
      </c>
      <c r="L89" s="6" t="str">
        <f>CONCATENATE("13 13.1 4a")</f>
        <v>13 13.1 4a</v>
      </c>
      <c r="M89" s="6" t="str">
        <f>CONCATENATE("BRTDNL76A26L500B")</f>
        <v>BRTDNL76A26L500B</v>
      </c>
      <c r="N89" s="6" t="s">
        <v>163</v>
      </c>
      <c r="O89" s="6"/>
      <c r="P89" s="7">
        <v>42879</v>
      </c>
      <c r="Q89" s="6" t="s">
        <v>30</v>
      </c>
      <c r="R89" s="6" t="s">
        <v>31</v>
      </c>
      <c r="S89" s="6" t="s">
        <v>32</v>
      </c>
      <c r="T89" s="8">
        <v>4154.05</v>
      </c>
      <c r="U89" s="8">
        <v>1791.23</v>
      </c>
      <c r="V89" s="8">
        <v>1654.14</v>
      </c>
      <c r="W89" s="6">
        <v>0</v>
      </c>
      <c r="X89" s="6">
        <v>708.68</v>
      </c>
    </row>
    <row r="90" spans="1:24" ht="24.75" x14ac:dyDescent="0.25">
      <c r="A90" s="6" t="s">
        <v>25</v>
      </c>
      <c r="B90" s="6" t="s">
        <v>26</v>
      </c>
      <c r="C90" s="6" t="s">
        <v>42</v>
      </c>
      <c r="D90" s="6" t="s">
        <v>46</v>
      </c>
      <c r="E90" s="6" t="s">
        <v>33</v>
      </c>
      <c r="F90" s="6" t="s">
        <v>164</v>
      </c>
      <c r="G90" s="6">
        <v>2016</v>
      </c>
      <c r="H90" s="6" t="str">
        <f>CONCATENATE("64210824351")</f>
        <v>64210824351</v>
      </c>
      <c r="I90" s="6" t="s">
        <v>28</v>
      </c>
      <c r="J90" s="6" t="s">
        <v>29</v>
      </c>
      <c r="K90" s="6" t="str">
        <f>CONCATENATE("")</f>
        <v/>
      </c>
      <c r="L90" s="6" t="str">
        <f>CONCATENATE("13 13.1 4a")</f>
        <v>13 13.1 4a</v>
      </c>
      <c r="M90" s="6" t="str">
        <f>CONCATENATE("CTNGLN59A56I654R")</f>
        <v>CTNGLN59A56I654R</v>
      </c>
      <c r="N90" s="6" t="s">
        <v>165</v>
      </c>
      <c r="O90" s="6"/>
      <c r="P90" s="7">
        <v>42877</v>
      </c>
      <c r="Q90" s="6" t="s">
        <v>30</v>
      </c>
      <c r="R90" s="6" t="s">
        <v>31</v>
      </c>
      <c r="S90" s="6" t="s">
        <v>32</v>
      </c>
      <c r="T90" s="8">
        <v>1098.72</v>
      </c>
      <c r="U90" s="6">
        <v>473.77</v>
      </c>
      <c r="V90" s="6">
        <v>437.51</v>
      </c>
      <c r="W90" s="6">
        <v>0</v>
      </c>
      <c r="X90" s="6">
        <v>187.44</v>
      </c>
    </row>
    <row r="91" spans="1:24" ht="24.75" x14ac:dyDescent="0.25">
      <c r="A91" s="6" t="s">
        <v>25</v>
      </c>
      <c r="B91" s="6" t="s">
        <v>26</v>
      </c>
      <c r="C91" s="6" t="s">
        <v>42</v>
      </c>
      <c r="D91" s="6" t="s">
        <v>49</v>
      </c>
      <c r="E91" s="6" t="s">
        <v>27</v>
      </c>
      <c r="F91" s="6" t="s">
        <v>76</v>
      </c>
      <c r="G91" s="6">
        <v>2016</v>
      </c>
      <c r="H91" s="6" t="str">
        <f>CONCATENATE("64210896904")</f>
        <v>64210896904</v>
      </c>
      <c r="I91" s="6" t="s">
        <v>28</v>
      </c>
      <c r="J91" s="6" t="s">
        <v>29</v>
      </c>
      <c r="K91" s="6" t="str">
        <f>CONCATENATE("")</f>
        <v/>
      </c>
      <c r="L91" s="6" t="str">
        <f>CONCATENATE("13 13.1 4a")</f>
        <v>13 13.1 4a</v>
      </c>
      <c r="M91" s="6" t="str">
        <f>CONCATENATE("PGNNLL55H21H390O")</f>
        <v>PGNNLL55H21H390O</v>
      </c>
      <c r="N91" s="6" t="s">
        <v>166</v>
      </c>
      <c r="O91" s="6"/>
      <c r="P91" s="7">
        <v>42877</v>
      </c>
      <c r="Q91" s="6" t="s">
        <v>30</v>
      </c>
      <c r="R91" s="6" t="s">
        <v>31</v>
      </c>
      <c r="S91" s="6" t="s">
        <v>32</v>
      </c>
      <c r="T91" s="8">
        <v>1023.4</v>
      </c>
      <c r="U91" s="6">
        <v>441.29</v>
      </c>
      <c r="V91" s="6">
        <v>407.52</v>
      </c>
      <c r="W91" s="6">
        <v>0</v>
      </c>
      <c r="X91" s="6">
        <v>174.59</v>
      </c>
    </row>
    <row r="92" spans="1:24" ht="24.75" x14ac:dyDescent="0.25">
      <c r="A92" s="6" t="s">
        <v>25</v>
      </c>
      <c r="B92" s="6" t="s">
        <v>26</v>
      </c>
      <c r="C92" s="6" t="s">
        <v>42</v>
      </c>
      <c r="D92" s="6" t="s">
        <v>46</v>
      </c>
      <c r="E92" s="6" t="s">
        <v>33</v>
      </c>
      <c r="F92" s="6" t="s">
        <v>59</v>
      </c>
      <c r="G92" s="6">
        <v>2016</v>
      </c>
      <c r="H92" s="6" t="str">
        <f>CONCATENATE("64240321063")</f>
        <v>64240321063</v>
      </c>
      <c r="I92" s="6" t="s">
        <v>28</v>
      </c>
      <c r="J92" s="6" t="s">
        <v>29</v>
      </c>
      <c r="K92" s="6" t="str">
        <f>CONCATENATE("")</f>
        <v/>
      </c>
      <c r="L92" s="6" t="str">
        <f>CONCATENATE("11 11.1 4b")</f>
        <v>11 11.1 4b</v>
      </c>
      <c r="M92" s="6" t="str">
        <f>CONCATENATE("CRNGNN83D20L500I")</f>
        <v>CRNGNN83D20L500I</v>
      </c>
      <c r="N92" s="6" t="s">
        <v>167</v>
      </c>
      <c r="O92" s="6"/>
      <c r="P92" s="7">
        <v>42879</v>
      </c>
      <c r="Q92" s="6" t="s">
        <v>30</v>
      </c>
      <c r="R92" s="6" t="s">
        <v>31</v>
      </c>
      <c r="S92" s="6" t="s">
        <v>32</v>
      </c>
      <c r="T92" s="8">
        <v>3807.17</v>
      </c>
      <c r="U92" s="8">
        <v>1641.65</v>
      </c>
      <c r="V92" s="8">
        <v>1516.02</v>
      </c>
      <c r="W92" s="6">
        <v>0</v>
      </c>
      <c r="X92" s="6">
        <v>649.5</v>
      </c>
    </row>
    <row r="93" spans="1:24" ht="24.75" x14ac:dyDescent="0.25">
      <c r="A93" s="6" t="s">
        <v>25</v>
      </c>
      <c r="B93" s="6" t="s">
        <v>26</v>
      </c>
      <c r="C93" s="6" t="s">
        <v>42</v>
      </c>
      <c r="D93" s="6" t="s">
        <v>46</v>
      </c>
      <c r="E93" s="6" t="s">
        <v>27</v>
      </c>
      <c r="F93" s="6" t="s">
        <v>168</v>
      </c>
      <c r="G93" s="6">
        <v>2016</v>
      </c>
      <c r="H93" s="6" t="str">
        <f>CONCATENATE("64210139875")</f>
        <v>64210139875</v>
      </c>
      <c r="I93" s="6" t="s">
        <v>35</v>
      </c>
      <c r="J93" s="6" t="s">
        <v>29</v>
      </c>
      <c r="K93" s="6" t="str">
        <f>CONCATENATE("")</f>
        <v/>
      </c>
      <c r="L93" s="6" t="str">
        <f>CONCATENATE("13 13.1 4a")</f>
        <v>13 13.1 4a</v>
      </c>
      <c r="M93" s="6" t="str">
        <f>CONCATENATE("GCMLTT63B68A493R")</f>
        <v>GCMLTT63B68A493R</v>
      </c>
      <c r="N93" s="6" t="s">
        <v>169</v>
      </c>
      <c r="O93" s="6"/>
      <c r="P93" s="7">
        <v>42877</v>
      </c>
      <c r="Q93" s="6" t="s">
        <v>30</v>
      </c>
      <c r="R93" s="6" t="s">
        <v>31</v>
      </c>
      <c r="S93" s="6" t="s">
        <v>32</v>
      </c>
      <c r="T93" s="8">
        <v>2687.44</v>
      </c>
      <c r="U93" s="8">
        <v>1158.82</v>
      </c>
      <c r="V93" s="8">
        <v>1070.1400000000001</v>
      </c>
      <c r="W93" s="6">
        <v>0</v>
      </c>
      <c r="X93" s="6">
        <v>458.48</v>
      </c>
    </row>
    <row r="94" spans="1:24" ht="24.75" x14ac:dyDescent="0.25">
      <c r="A94" s="6" t="s">
        <v>25</v>
      </c>
      <c r="B94" s="6" t="s">
        <v>26</v>
      </c>
      <c r="C94" s="6" t="s">
        <v>42</v>
      </c>
      <c r="D94" s="6" t="s">
        <v>49</v>
      </c>
      <c r="E94" s="6" t="s">
        <v>27</v>
      </c>
      <c r="F94" s="6" t="s">
        <v>170</v>
      </c>
      <c r="G94" s="6">
        <v>2016</v>
      </c>
      <c r="H94" s="6" t="str">
        <f>CONCATENATE("64240482014")</f>
        <v>64240482014</v>
      </c>
      <c r="I94" s="6" t="s">
        <v>28</v>
      </c>
      <c r="J94" s="6" t="s">
        <v>29</v>
      </c>
      <c r="K94" s="6" t="str">
        <f>CONCATENATE("")</f>
        <v/>
      </c>
      <c r="L94" s="6" t="str">
        <f>CONCATENATE("11 11.2 4b")</f>
        <v>11 11.2 4b</v>
      </c>
      <c r="M94" s="6" t="str">
        <f>CONCATENATE("DNGLNI57L41G005S")</f>
        <v>DNGLNI57L41G005S</v>
      </c>
      <c r="N94" s="6" t="s">
        <v>171</v>
      </c>
      <c r="O94" s="6"/>
      <c r="P94" s="7">
        <v>42879</v>
      </c>
      <c r="Q94" s="6" t="s">
        <v>30</v>
      </c>
      <c r="R94" s="6" t="s">
        <v>31</v>
      </c>
      <c r="S94" s="6" t="s">
        <v>32</v>
      </c>
      <c r="T94" s="8">
        <v>3983.33</v>
      </c>
      <c r="U94" s="8">
        <v>1717.61</v>
      </c>
      <c r="V94" s="8">
        <v>1586.16</v>
      </c>
      <c r="W94" s="6">
        <v>0</v>
      </c>
      <c r="X94" s="6">
        <v>679.56</v>
      </c>
    </row>
    <row r="95" spans="1:24" ht="24.75" x14ac:dyDescent="0.25">
      <c r="A95" s="6" t="s">
        <v>25</v>
      </c>
      <c r="B95" s="6" t="s">
        <v>26</v>
      </c>
      <c r="C95" s="6" t="s">
        <v>42</v>
      </c>
      <c r="D95" s="6" t="s">
        <v>49</v>
      </c>
      <c r="E95" s="6" t="s">
        <v>33</v>
      </c>
      <c r="F95" s="6" t="s">
        <v>39</v>
      </c>
      <c r="G95" s="6">
        <v>2016</v>
      </c>
      <c r="H95" s="6" t="str">
        <f>CONCATENATE("64210619074")</f>
        <v>64210619074</v>
      </c>
      <c r="I95" s="6" t="s">
        <v>28</v>
      </c>
      <c r="J95" s="6" t="s">
        <v>29</v>
      </c>
      <c r="K95" s="6" t="str">
        <f>CONCATENATE("")</f>
        <v/>
      </c>
      <c r="L95" s="6" t="str">
        <f>CONCATENATE("13 13.1 4a")</f>
        <v>13 13.1 4a</v>
      </c>
      <c r="M95" s="6" t="str">
        <f>CONCATENATE("CCCSFN56P16A462K")</f>
        <v>CCCSFN56P16A462K</v>
      </c>
      <c r="N95" s="6" t="s">
        <v>172</v>
      </c>
      <c r="O95" s="6"/>
      <c r="P95" s="7">
        <v>42879</v>
      </c>
      <c r="Q95" s="6" t="s">
        <v>30</v>
      </c>
      <c r="R95" s="6" t="s">
        <v>31</v>
      </c>
      <c r="S95" s="6" t="s">
        <v>32</v>
      </c>
      <c r="T95" s="6">
        <v>876.83</v>
      </c>
      <c r="U95" s="6">
        <v>378.09</v>
      </c>
      <c r="V95" s="6">
        <v>349.15</v>
      </c>
      <c r="W95" s="6">
        <v>0</v>
      </c>
      <c r="X95" s="6">
        <v>149.59</v>
      </c>
    </row>
    <row r="96" spans="1:24" ht="24.75" x14ac:dyDescent="0.25">
      <c r="A96" s="6" t="s">
        <v>25</v>
      </c>
      <c r="B96" s="6" t="s">
        <v>26</v>
      </c>
      <c r="C96" s="6" t="s">
        <v>42</v>
      </c>
      <c r="D96" s="6" t="s">
        <v>46</v>
      </c>
      <c r="E96" s="6" t="s">
        <v>27</v>
      </c>
      <c r="F96" s="6" t="s">
        <v>168</v>
      </c>
      <c r="G96" s="6">
        <v>2016</v>
      </c>
      <c r="H96" s="6" t="str">
        <f>CONCATENATE("64210518946")</f>
        <v>64210518946</v>
      </c>
      <c r="I96" s="6" t="s">
        <v>28</v>
      </c>
      <c r="J96" s="6" t="s">
        <v>29</v>
      </c>
      <c r="K96" s="6" t="str">
        <f>CONCATENATE("")</f>
        <v/>
      </c>
      <c r="L96" s="6" t="str">
        <f>CONCATENATE("13 13.1 4a")</f>
        <v>13 13.1 4a</v>
      </c>
      <c r="M96" s="6" t="str">
        <f>CONCATENATE("BLDDVD91L29I459W")</f>
        <v>BLDDVD91L29I459W</v>
      </c>
      <c r="N96" s="6" t="s">
        <v>173</v>
      </c>
      <c r="O96" s="6"/>
      <c r="P96" s="7">
        <v>42877</v>
      </c>
      <c r="Q96" s="6" t="s">
        <v>30</v>
      </c>
      <c r="R96" s="6" t="s">
        <v>31</v>
      </c>
      <c r="S96" s="6" t="s">
        <v>32</v>
      </c>
      <c r="T96" s="6">
        <v>906.04</v>
      </c>
      <c r="U96" s="6">
        <v>390.68</v>
      </c>
      <c r="V96" s="6">
        <v>360.79</v>
      </c>
      <c r="W96" s="6">
        <v>0</v>
      </c>
      <c r="X96" s="6">
        <v>154.57</v>
      </c>
    </row>
    <row r="97" spans="1:24" ht="24.75" x14ac:dyDescent="0.25">
      <c r="A97" s="6" t="s">
        <v>25</v>
      </c>
      <c r="B97" s="6" t="s">
        <v>26</v>
      </c>
      <c r="C97" s="6" t="s">
        <v>42</v>
      </c>
      <c r="D97" s="6" t="s">
        <v>46</v>
      </c>
      <c r="E97" s="6" t="s">
        <v>27</v>
      </c>
      <c r="F97" s="6" t="s">
        <v>174</v>
      </c>
      <c r="G97" s="6">
        <v>2016</v>
      </c>
      <c r="H97" s="6" t="str">
        <f>CONCATENATE("64240725727")</f>
        <v>64240725727</v>
      </c>
      <c r="I97" s="6" t="s">
        <v>28</v>
      </c>
      <c r="J97" s="6" t="s">
        <v>29</v>
      </c>
      <c r="K97" s="6" t="str">
        <f>CONCATENATE("")</f>
        <v/>
      </c>
      <c r="L97" s="6" t="str">
        <f>CONCATENATE("11 11.2 4b")</f>
        <v>11 11.2 4b</v>
      </c>
      <c r="M97" s="6" t="str">
        <f>CONCATENATE("RSSRTI69A53I287W")</f>
        <v>RSSRTI69A53I287W</v>
      </c>
      <c r="N97" s="6" t="s">
        <v>175</v>
      </c>
      <c r="O97" s="6"/>
      <c r="P97" s="7">
        <v>42879</v>
      </c>
      <c r="Q97" s="6" t="s">
        <v>30</v>
      </c>
      <c r="R97" s="6" t="s">
        <v>31</v>
      </c>
      <c r="S97" s="6" t="s">
        <v>32</v>
      </c>
      <c r="T97" s="6">
        <v>545.58000000000004</v>
      </c>
      <c r="U97" s="6">
        <v>235.25</v>
      </c>
      <c r="V97" s="6">
        <v>217.25</v>
      </c>
      <c r="W97" s="6">
        <v>0</v>
      </c>
      <c r="X97" s="6">
        <v>93.08</v>
      </c>
    </row>
    <row r="98" spans="1:24" ht="24.75" x14ac:dyDescent="0.25">
      <c r="A98" s="6" t="s">
        <v>25</v>
      </c>
      <c r="B98" s="6" t="s">
        <v>26</v>
      </c>
      <c r="C98" s="6" t="s">
        <v>42</v>
      </c>
      <c r="D98" s="6" t="s">
        <v>46</v>
      </c>
      <c r="E98" s="6" t="s">
        <v>27</v>
      </c>
      <c r="F98" s="6" t="s">
        <v>168</v>
      </c>
      <c r="G98" s="6">
        <v>2016</v>
      </c>
      <c r="H98" s="6" t="str">
        <f>CONCATENATE("64210091498")</f>
        <v>64210091498</v>
      </c>
      <c r="I98" s="6" t="s">
        <v>28</v>
      </c>
      <c r="J98" s="6" t="s">
        <v>29</v>
      </c>
      <c r="K98" s="6" t="str">
        <f>CONCATENATE("")</f>
        <v/>
      </c>
      <c r="L98" s="6" t="str">
        <f>CONCATENATE("13 13.1 4a")</f>
        <v>13 13.1 4a</v>
      </c>
      <c r="M98" s="6" t="str">
        <f>CONCATENATE("PMPNNA68H47E785Y")</f>
        <v>PMPNNA68H47E785Y</v>
      </c>
      <c r="N98" s="6" t="s">
        <v>176</v>
      </c>
      <c r="O98" s="6"/>
      <c r="P98" s="7">
        <v>42877</v>
      </c>
      <c r="Q98" s="6" t="s">
        <v>30</v>
      </c>
      <c r="R98" s="6" t="s">
        <v>31</v>
      </c>
      <c r="S98" s="6" t="s">
        <v>32</v>
      </c>
      <c r="T98" s="8">
        <v>3141.25</v>
      </c>
      <c r="U98" s="8">
        <v>1354.51</v>
      </c>
      <c r="V98" s="8">
        <v>1250.8499999999999</v>
      </c>
      <c r="W98" s="6">
        <v>0</v>
      </c>
      <c r="X98" s="6">
        <v>535.89</v>
      </c>
    </row>
    <row r="99" spans="1:24" ht="24.75" x14ac:dyDescent="0.25">
      <c r="A99" s="6" t="s">
        <v>25</v>
      </c>
      <c r="B99" s="6" t="s">
        <v>26</v>
      </c>
      <c r="C99" s="6" t="s">
        <v>42</v>
      </c>
      <c r="D99" s="6" t="s">
        <v>46</v>
      </c>
      <c r="E99" s="6" t="s">
        <v>33</v>
      </c>
      <c r="F99" s="6" t="s">
        <v>164</v>
      </c>
      <c r="G99" s="6">
        <v>2016</v>
      </c>
      <c r="H99" s="6" t="str">
        <f>CONCATENATE("64210285264")</f>
        <v>64210285264</v>
      </c>
      <c r="I99" s="6" t="s">
        <v>28</v>
      </c>
      <c r="J99" s="6" t="s">
        <v>29</v>
      </c>
      <c r="K99" s="6" t="str">
        <f>CONCATENATE("")</f>
        <v/>
      </c>
      <c r="L99" s="6" t="str">
        <f>CONCATENATE("13 13.1 4a")</f>
        <v>13 13.1 4a</v>
      </c>
      <c r="M99" s="6" t="str">
        <f>CONCATENATE("BSSLGU34E12G453Z")</f>
        <v>BSSLGU34E12G453Z</v>
      </c>
      <c r="N99" s="6" t="s">
        <v>177</v>
      </c>
      <c r="O99" s="6"/>
      <c r="P99" s="7">
        <v>42879</v>
      </c>
      <c r="Q99" s="6" t="s">
        <v>30</v>
      </c>
      <c r="R99" s="6" t="s">
        <v>31</v>
      </c>
      <c r="S99" s="6" t="s">
        <v>32</v>
      </c>
      <c r="T99" s="6">
        <v>608.69000000000005</v>
      </c>
      <c r="U99" s="6">
        <v>262.47000000000003</v>
      </c>
      <c r="V99" s="6">
        <v>242.38</v>
      </c>
      <c r="W99" s="6">
        <v>0</v>
      </c>
      <c r="X99" s="6">
        <v>103.84</v>
      </c>
    </row>
    <row r="100" spans="1:24" ht="24.75" x14ac:dyDescent="0.25">
      <c r="A100" s="6" t="s">
        <v>25</v>
      </c>
      <c r="B100" s="6" t="s">
        <v>26</v>
      </c>
      <c r="C100" s="6" t="s">
        <v>42</v>
      </c>
      <c r="D100" s="6" t="s">
        <v>46</v>
      </c>
      <c r="E100" s="6" t="s">
        <v>36</v>
      </c>
      <c r="F100" s="6" t="s">
        <v>103</v>
      </c>
      <c r="G100" s="6">
        <v>2016</v>
      </c>
      <c r="H100" s="6" t="str">
        <f>CONCATENATE("64210718264")</f>
        <v>64210718264</v>
      </c>
      <c r="I100" s="6" t="s">
        <v>28</v>
      </c>
      <c r="J100" s="6" t="s">
        <v>29</v>
      </c>
      <c r="K100" s="6" t="str">
        <f>CONCATENATE("")</f>
        <v/>
      </c>
      <c r="L100" s="6" t="str">
        <f>CONCATENATE("13 13.1 4a")</f>
        <v>13 13.1 4a</v>
      </c>
      <c r="M100" s="6" t="str">
        <f>CONCATENATE("00600040414")</f>
        <v>00600040414</v>
      </c>
      <c r="N100" s="6" t="s">
        <v>178</v>
      </c>
      <c r="O100" s="6"/>
      <c r="P100" s="7">
        <v>42879</v>
      </c>
      <c r="Q100" s="6" t="s">
        <v>30</v>
      </c>
      <c r="R100" s="6" t="s">
        <v>31</v>
      </c>
      <c r="S100" s="6" t="s">
        <v>32</v>
      </c>
      <c r="T100" s="8">
        <v>5400</v>
      </c>
      <c r="U100" s="8">
        <v>2328.48</v>
      </c>
      <c r="V100" s="8">
        <v>2150.2800000000002</v>
      </c>
      <c r="W100" s="6">
        <v>0</v>
      </c>
      <c r="X100" s="6">
        <v>921.24</v>
      </c>
    </row>
    <row r="101" spans="1:24" ht="24.75" x14ac:dyDescent="0.25">
      <c r="A101" s="6" t="s">
        <v>25</v>
      </c>
      <c r="B101" s="6" t="s">
        <v>26</v>
      </c>
      <c r="C101" s="6" t="s">
        <v>42</v>
      </c>
      <c r="D101" s="6" t="s">
        <v>49</v>
      </c>
      <c r="E101" s="6" t="s">
        <v>33</v>
      </c>
      <c r="F101" s="6" t="s">
        <v>39</v>
      </c>
      <c r="G101" s="6">
        <v>2016</v>
      </c>
      <c r="H101" s="6" t="str">
        <f>CONCATENATE("64210618910")</f>
        <v>64210618910</v>
      </c>
      <c r="I101" s="6" t="s">
        <v>28</v>
      </c>
      <c r="J101" s="6" t="s">
        <v>29</v>
      </c>
      <c r="K101" s="6" t="str">
        <f>CONCATENATE("")</f>
        <v/>
      </c>
      <c r="L101" s="6" t="str">
        <f>CONCATENATE("13 13.1 4a")</f>
        <v>13 13.1 4a</v>
      </c>
      <c r="M101" s="6" t="str">
        <f>CONCATENATE("CPTMGR68B41A462V")</f>
        <v>CPTMGR68B41A462V</v>
      </c>
      <c r="N101" s="6" t="s">
        <v>179</v>
      </c>
      <c r="O101" s="6"/>
      <c r="P101" s="7">
        <v>42879</v>
      </c>
      <c r="Q101" s="6" t="s">
        <v>30</v>
      </c>
      <c r="R101" s="6" t="s">
        <v>31</v>
      </c>
      <c r="S101" s="6" t="s">
        <v>32</v>
      </c>
      <c r="T101" s="6">
        <v>274.39</v>
      </c>
      <c r="U101" s="6">
        <v>118.32</v>
      </c>
      <c r="V101" s="6">
        <v>109.26</v>
      </c>
      <c r="W101" s="6">
        <v>0</v>
      </c>
      <c r="X101" s="6">
        <v>46.81</v>
      </c>
    </row>
    <row r="102" spans="1:24" ht="24.75" x14ac:dyDescent="0.25">
      <c r="A102" s="6" t="s">
        <v>25</v>
      </c>
      <c r="B102" s="6" t="s">
        <v>26</v>
      </c>
      <c r="C102" s="6" t="s">
        <v>42</v>
      </c>
      <c r="D102" s="6" t="s">
        <v>43</v>
      </c>
      <c r="E102" s="6" t="s">
        <v>36</v>
      </c>
      <c r="F102" s="6" t="s">
        <v>97</v>
      </c>
      <c r="G102" s="6">
        <v>2016</v>
      </c>
      <c r="H102" s="6" t="str">
        <f>CONCATENATE("64210749780")</f>
        <v>64210749780</v>
      </c>
      <c r="I102" s="6" t="s">
        <v>28</v>
      </c>
      <c r="J102" s="6" t="s">
        <v>29</v>
      </c>
      <c r="K102" s="6" t="str">
        <f>CONCATENATE("")</f>
        <v/>
      </c>
      <c r="L102" s="6" t="str">
        <f>CONCATENATE("13 13.1 4a")</f>
        <v>13 13.1 4a</v>
      </c>
      <c r="M102" s="6" t="str">
        <f>CONCATENATE("01746530433")</f>
        <v>01746530433</v>
      </c>
      <c r="N102" s="6" t="s">
        <v>180</v>
      </c>
      <c r="O102" s="6"/>
      <c r="P102" s="7">
        <v>42877</v>
      </c>
      <c r="Q102" s="6" t="s">
        <v>30</v>
      </c>
      <c r="R102" s="6" t="s">
        <v>31</v>
      </c>
      <c r="S102" s="6" t="s">
        <v>32</v>
      </c>
      <c r="T102" s="6">
        <v>970.39</v>
      </c>
      <c r="U102" s="6">
        <v>418.43</v>
      </c>
      <c r="V102" s="6">
        <v>386.41</v>
      </c>
      <c r="W102" s="6">
        <v>0</v>
      </c>
      <c r="X102" s="6">
        <v>165.55</v>
      </c>
    </row>
    <row r="103" spans="1:24" ht="24.75" x14ac:dyDescent="0.25">
      <c r="A103" s="6" t="s">
        <v>25</v>
      </c>
      <c r="B103" s="6" t="s">
        <v>26</v>
      </c>
      <c r="C103" s="6" t="s">
        <v>42</v>
      </c>
      <c r="D103" s="6" t="s">
        <v>46</v>
      </c>
      <c r="E103" s="6" t="s">
        <v>36</v>
      </c>
      <c r="F103" s="6" t="s">
        <v>103</v>
      </c>
      <c r="G103" s="6">
        <v>2016</v>
      </c>
      <c r="H103" s="6" t="str">
        <f>CONCATENATE("64211058702")</f>
        <v>64211058702</v>
      </c>
      <c r="I103" s="6" t="s">
        <v>35</v>
      </c>
      <c r="J103" s="6" t="s">
        <v>29</v>
      </c>
      <c r="K103" s="6" t="str">
        <f>CONCATENATE("")</f>
        <v/>
      </c>
      <c r="L103" s="6" t="str">
        <f>CONCATENATE("13 13.1 4a")</f>
        <v>13 13.1 4a</v>
      </c>
      <c r="M103" s="6" t="str">
        <f>CONCATENATE("TNOTZN72S43L219R")</f>
        <v>TNOTZN72S43L219R</v>
      </c>
      <c r="N103" s="6" t="s">
        <v>104</v>
      </c>
      <c r="O103" s="6"/>
      <c r="P103" s="7">
        <v>42879</v>
      </c>
      <c r="Q103" s="6" t="s">
        <v>30</v>
      </c>
      <c r="R103" s="6" t="s">
        <v>31</v>
      </c>
      <c r="S103" s="6" t="s">
        <v>32</v>
      </c>
      <c r="T103" s="8">
        <v>1327.95</v>
      </c>
      <c r="U103" s="6">
        <v>572.61</v>
      </c>
      <c r="V103" s="6">
        <v>528.79</v>
      </c>
      <c r="W103" s="6">
        <v>0</v>
      </c>
      <c r="X103" s="6">
        <v>226.55</v>
      </c>
    </row>
    <row r="104" spans="1:24" ht="24.75" x14ac:dyDescent="0.25">
      <c r="A104" s="6" t="s">
        <v>25</v>
      </c>
      <c r="B104" s="6" t="s">
        <v>26</v>
      </c>
      <c r="C104" s="6" t="s">
        <v>42</v>
      </c>
      <c r="D104" s="6" t="s">
        <v>46</v>
      </c>
      <c r="E104" s="6" t="s">
        <v>33</v>
      </c>
      <c r="F104" s="6" t="s">
        <v>59</v>
      </c>
      <c r="G104" s="6">
        <v>2016</v>
      </c>
      <c r="H104" s="6" t="str">
        <f>CONCATENATE("64210140808")</f>
        <v>64210140808</v>
      </c>
      <c r="I104" s="6" t="s">
        <v>35</v>
      </c>
      <c r="J104" s="6" t="s">
        <v>29</v>
      </c>
      <c r="K104" s="6" t="str">
        <f>CONCATENATE("")</f>
        <v/>
      </c>
      <c r="L104" s="6" t="str">
        <f>CONCATENATE("13 13.1 4a")</f>
        <v>13 13.1 4a</v>
      </c>
      <c r="M104" s="6" t="str">
        <f>CONCATENATE("FRNPLA66A13F715F")</f>
        <v>FRNPLA66A13F715F</v>
      </c>
      <c r="N104" s="6" t="s">
        <v>181</v>
      </c>
      <c r="O104" s="6"/>
      <c r="P104" s="7">
        <v>42879</v>
      </c>
      <c r="Q104" s="6" t="s">
        <v>30</v>
      </c>
      <c r="R104" s="6" t="s">
        <v>31</v>
      </c>
      <c r="S104" s="6" t="s">
        <v>32</v>
      </c>
      <c r="T104" s="6">
        <v>795.13</v>
      </c>
      <c r="U104" s="6">
        <v>342.86</v>
      </c>
      <c r="V104" s="6">
        <v>316.62</v>
      </c>
      <c r="W104" s="6">
        <v>0</v>
      </c>
      <c r="X104" s="6">
        <v>135.65</v>
      </c>
    </row>
    <row r="105" spans="1:24" ht="24.75" x14ac:dyDescent="0.25">
      <c r="A105" s="6" t="s">
        <v>25</v>
      </c>
      <c r="B105" s="6" t="s">
        <v>26</v>
      </c>
      <c r="C105" s="6" t="s">
        <v>42</v>
      </c>
      <c r="D105" s="6" t="s">
        <v>53</v>
      </c>
      <c r="E105" s="6" t="s">
        <v>27</v>
      </c>
      <c r="F105" s="6" t="s">
        <v>54</v>
      </c>
      <c r="G105" s="6">
        <v>2016</v>
      </c>
      <c r="H105" s="6" t="str">
        <f>CONCATENATE("64210790073")</f>
        <v>64210790073</v>
      </c>
      <c r="I105" s="6" t="s">
        <v>28</v>
      </c>
      <c r="J105" s="6" t="s">
        <v>29</v>
      </c>
      <c r="K105" s="6" t="str">
        <f>CONCATENATE("")</f>
        <v/>
      </c>
      <c r="L105" s="6" t="str">
        <f>CONCATENATE("13 13.1 4a")</f>
        <v>13 13.1 4a</v>
      </c>
      <c r="M105" s="6" t="str">
        <f>CONCATENATE("BCCMRA88E66D451X")</f>
        <v>BCCMRA88E66D451X</v>
      </c>
      <c r="N105" s="6" t="s">
        <v>182</v>
      </c>
      <c r="O105" s="6"/>
      <c r="P105" s="7">
        <v>42879</v>
      </c>
      <c r="Q105" s="6" t="s">
        <v>30</v>
      </c>
      <c r="R105" s="6" t="s">
        <v>31</v>
      </c>
      <c r="S105" s="6" t="s">
        <v>32</v>
      </c>
      <c r="T105" s="8">
        <v>5400</v>
      </c>
      <c r="U105" s="8">
        <v>2328.48</v>
      </c>
      <c r="V105" s="8">
        <v>2150.2800000000002</v>
      </c>
      <c r="W105" s="6">
        <v>0</v>
      </c>
      <c r="X105" s="6">
        <v>921.24</v>
      </c>
    </row>
    <row r="106" spans="1:24" ht="24.75" x14ac:dyDescent="0.25">
      <c r="A106" s="6" t="s">
        <v>25</v>
      </c>
      <c r="B106" s="6" t="s">
        <v>26</v>
      </c>
      <c r="C106" s="6" t="s">
        <v>42</v>
      </c>
      <c r="D106" s="6" t="s">
        <v>49</v>
      </c>
      <c r="E106" s="6" t="s">
        <v>27</v>
      </c>
      <c r="F106" s="6" t="s">
        <v>76</v>
      </c>
      <c r="G106" s="6">
        <v>2016</v>
      </c>
      <c r="H106" s="6" t="str">
        <f>CONCATENATE("64240808275")</f>
        <v>64240808275</v>
      </c>
      <c r="I106" s="6" t="s">
        <v>28</v>
      </c>
      <c r="J106" s="6" t="s">
        <v>29</v>
      </c>
      <c r="K106" s="6" t="str">
        <f>CONCATENATE("")</f>
        <v/>
      </c>
      <c r="L106" s="6" t="str">
        <f>CONCATENATE("10 10.1 4a")</f>
        <v>10 10.1 4a</v>
      </c>
      <c r="M106" s="6" t="str">
        <f>CONCATENATE("CCCCST68R01A462S")</f>
        <v>CCCCST68R01A462S</v>
      </c>
      <c r="N106" s="6" t="s">
        <v>183</v>
      </c>
      <c r="O106" s="6"/>
      <c r="P106" s="7">
        <v>42879</v>
      </c>
      <c r="Q106" s="6" t="s">
        <v>30</v>
      </c>
      <c r="R106" s="6" t="s">
        <v>31</v>
      </c>
      <c r="S106" s="6" t="s">
        <v>32</v>
      </c>
      <c r="T106" s="8">
        <v>1752.74</v>
      </c>
      <c r="U106" s="6">
        <v>755.78</v>
      </c>
      <c r="V106" s="6">
        <v>697.94</v>
      </c>
      <c r="W106" s="6">
        <v>0</v>
      </c>
      <c r="X106" s="6">
        <v>299.02</v>
      </c>
    </row>
    <row r="107" spans="1:24" ht="24.75" x14ac:dyDescent="0.25">
      <c r="A107" s="6" t="s">
        <v>25</v>
      </c>
      <c r="B107" s="6" t="s">
        <v>26</v>
      </c>
      <c r="C107" s="6" t="s">
        <v>42</v>
      </c>
      <c r="D107" s="6" t="s">
        <v>46</v>
      </c>
      <c r="E107" s="6" t="s">
        <v>33</v>
      </c>
      <c r="F107" s="6" t="s">
        <v>59</v>
      </c>
      <c r="G107" s="6">
        <v>2016</v>
      </c>
      <c r="H107" s="6" t="str">
        <f>CONCATENATE("64210202707")</f>
        <v>64210202707</v>
      </c>
      <c r="I107" s="6" t="s">
        <v>35</v>
      </c>
      <c r="J107" s="6" t="s">
        <v>29</v>
      </c>
      <c r="K107" s="6" t="str">
        <f>CONCATENATE("")</f>
        <v/>
      </c>
      <c r="L107" s="6" t="str">
        <f>CONCATENATE("13 13.1 4a")</f>
        <v>13 13.1 4a</v>
      </c>
      <c r="M107" s="6" t="str">
        <f>CONCATENATE("FRNNTN47D01L191D")</f>
        <v>FRNNTN47D01L191D</v>
      </c>
      <c r="N107" s="6" t="s">
        <v>184</v>
      </c>
      <c r="O107" s="6"/>
      <c r="P107" s="7">
        <v>42879</v>
      </c>
      <c r="Q107" s="6" t="s">
        <v>30</v>
      </c>
      <c r="R107" s="6" t="s">
        <v>31</v>
      </c>
      <c r="S107" s="6" t="s">
        <v>32</v>
      </c>
      <c r="T107" s="8">
        <v>1013.05</v>
      </c>
      <c r="U107" s="6">
        <v>436.83</v>
      </c>
      <c r="V107" s="6">
        <v>403.4</v>
      </c>
      <c r="W107" s="6">
        <v>0</v>
      </c>
      <c r="X107" s="6">
        <v>172.82</v>
      </c>
    </row>
    <row r="108" spans="1:24" ht="24.75" x14ac:dyDescent="0.25">
      <c r="A108" s="6" t="s">
        <v>25</v>
      </c>
      <c r="B108" s="6" t="s">
        <v>26</v>
      </c>
      <c r="C108" s="6" t="s">
        <v>42</v>
      </c>
      <c r="D108" s="6" t="s">
        <v>49</v>
      </c>
      <c r="E108" s="6" t="s">
        <v>27</v>
      </c>
      <c r="F108" s="6" t="s">
        <v>76</v>
      </c>
      <c r="G108" s="6">
        <v>2016</v>
      </c>
      <c r="H108" s="6" t="str">
        <f>CONCATENATE("64240339917")</f>
        <v>64240339917</v>
      </c>
      <c r="I108" s="6" t="s">
        <v>28</v>
      </c>
      <c r="J108" s="6" t="s">
        <v>29</v>
      </c>
      <c r="K108" s="6" t="str">
        <f>CONCATENATE("")</f>
        <v/>
      </c>
      <c r="L108" s="6" t="str">
        <f>CONCATENATE("11 11.2 4b")</f>
        <v>11 11.2 4b</v>
      </c>
      <c r="M108" s="6" t="str">
        <f>CONCATENATE("LRAPLA59H05A437S")</f>
        <v>LRAPLA59H05A437S</v>
      </c>
      <c r="N108" s="6" t="s">
        <v>185</v>
      </c>
      <c r="O108" s="6"/>
      <c r="P108" s="7">
        <v>42879</v>
      </c>
      <c r="Q108" s="6" t="s">
        <v>30</v>
      </c>
      <c r="R108" s="6" t="s">
        <v>31</v>
      </c>
      <c r="S108" s="6" t="s">
        <v>32</v>
      </c>
      <c r="T108" s="8">
        <v>4267.38</v>
      </c>
      <c r="U108" s="8">
        <v>1840.09</v>
      </c>
      <c r="V108" s="8">
        <v>1699.27</v>
      </c>
      <c r="W108" s="6">
        <v>0</v>
      </c>
      <c r="X108" s="6">
        <v>728.02</v>
      </c>
    </row>
    <row r="109" spans="1:24" ht="24.75" x14ac:dyDescent="0.25">
      <c r="A109" s="6" t="s">
        <v>25</v>
      </c>
      <c r="B109" s="6" t="s">
        <v>26</v>
      </c>
      <c r="C109" s="6" t="s">
        <v>42</v>
      </c>
      <c r="D109" s="6" t="s">
        <v>46</v>
      </c>
      <c r="E109" s="6" t="s">
        <v>34</v>
      </c>
      <c r="F109" s="6" t="s">
        <v>67</v>
      </c>
      <c r="G109" s="6">
        <v>2016</v>
      </c>
      <c r="H109" s="6" t="str">
        <f>CONCATENATE("64210758229")</f>
        <v>64210758229</v>
      </c>
      <c r="I109" s="6" t="s">
        <v>28</v>
      </c>
      <c r="J109" s="6" t="s">
        <v>29</v>
      </c>
      <c r="K109" s="6" t="str">
        <f>CONCATENATE("")</f>
        <v/>
      </c>
      <c r="L109" s="6" t="str">
        <f>CONCATENATE("13 13.1 4a")</f>
        <v>13 13.1 4a</v>
      </c>
      <c r="M109" s="6" t="str">
        <f>CONCATENATE("PPAPCL53T11L500C")</f>
        <v>PPAPCL53T11L500C</v>
      </c>
      <c r="N109" s="6" t="s">
        <v>186</v>
      </c>
      <c r="O109" s="6"/>
      <c r="P109" s="7">
        <v>42877</v>
      </c>
      <c r="Q109" s="6" t="s">
        <v>30</v>
      </c>
      <c r="R109" s="6" t="s">
        <v>31</v>
      </c>
      <c r="S109" s="6" t="s">
        <v>32</v>
      </c>
      <c r="T109" s="8">
        <v>5400</v>
      </c>
      <c r="U109" s="8">
        <v>2328.48</v>
      </c>
      <c r="V109" s="8">
        <v>2150.2800000000002</v>
      </c>
      <c r="W109" s="6">
        <v>0</v>
      </c>
      <c r="X109" s="6">
        <v>921.24</v>
      </c>
    </row>
    <row r="110" spans="1:24" ht="24.75" x14ac:dyDescent="0.25">
      <c r="A110" s="6" t="s">
        <v>25</v>
      </c>
      <c r="B110" s="6" t="s">
        <v>26</v>
      </c>
      <c r="C110" s="6" t="s">
        <v>42</v>
      </c>
      <c r="D110" s="6" t="s">
        <v>43</v>
      </c>
      <c r="E110" s="6" t="s">
        <v>27</v>
      </c>
      <c r="F110" s="6" t="s">
        <v>187</v>
      </c>
      <c r="G110" s="6">
        <v>2016</v>
      </c>
      <c r="H110" s="6" t="str">
        <f>CONCATENATE("64240462024")</f>
        <v>64240462024</v>
      </c>
      <c r="I110" s="6" t="s">
        <v>35</v>
      </c>
      <c r="J110" s="6" t="s">
        <v>29</v>
      </c>
      <c r="K110" s="6" t="str">
        <f>CONCATENATE("")</f>
        <v/>
      </c>
      <c r="L110" s="6" t="str">
        <f>CONCATENATE("11 11.2 4b")</f>
        <v>11 11.2 4b</v>
      </c>
      <c r="M110" s="6" t="str">
        <f>CONCATENATE("MRNFNC81T03B041Z")</f>
        <v>MRNFNC81T03B041Z</v>
      </c>
      <c r="N110" s="6" t="s">
        <v>188</v>
      </c>
      <c r="O110" s="6"/>
      <c r="P110" s="7">
        <v>42879</v>
      </c>
      <c r="Q110" s="6" t="s">
        <v>30</v>
      </c>
      <c r="R110" s="6" t="s">
        <v>31</v>
      </c>
      <c r="S110" s="6" t="s">
        <v>32</v>
      </c>
      <c r="T110" s="8">
        <v>2897.57</v>
      </c>
      <c r="U110" s="8">
        <v>1249.43</v>
      </c>
      <c r="V110" s="8">
        <v>1153.81</v>
      </c>
      <c r="W110" s="6">
        <v>0</v>
      </c>
      <c r="X110" s="6">
        <v>494.33</v>
      </c>
    </row>
    <row r="111" spans="1:24" ht="24.75" x14ac:dyDescent="0.25">
      <c r="A111" s="6" t="s">
        <v>25</v>
      </c>
      <c r="B111" s="6" t="s">
        <v>26</v>
      </c>
      <c r="C111" s="6" t="s">
        <v>42</v>
      </c>
      <c r="D111" s="6" t="s">
        <v>46</v>
      </c>
      <c r="E111" s="6" t="s">
        <v>33</v>
      </c>
      <c r="F111" s="6" t="s">
        <v>59</v>
      </c>
      <c r="G111" s="6">
        <v>2016</v>
      </c>
      <c r="H111" s="6" t="str">
        <f>CONCATENATE("64210869786")</f>
        <v>64210869786</v>
      </c>
      <c r="I111" s="6" t="s">
        <v>28</v>
      </c>
      <c r="J111" s="6" t="s">
        <v>29</v>
      </c>
      <c r="K111" s="6" t="str">
        <f>CONCATENATE("")</f>
        <v/>
      </c>
      <c r="L111" s="6" t="str">
        <f>CONCATENATE("13 13.1 4a")</f>
        <v>13 13.1 4a</v>
      </c>
      <c r="M111" s="6" t="str">
        <f>CONCATENATE("RGHFRZ66R19E785G")</f>
        <v>RGHFRZ66R19E785G</v>
      </c>
      <c r="N111" s="6" t="s">
        <v>189</v>
      </c>
      <c r="O111" s="6"/>
      <c r="P111" s="7">
        <v>42879</v>
      </c>
      <c r="Q111" s="6" t="s">
        <v>30</v>
      </c>
      <c r="R111" s="6" t="s">
        <v>31</v>
      </c>
      <c r="S111" s="6" t="s">
        <v>32</v>
      </c>
      <c r="T111" s="6">
        <v>619.55999999999995</v>
      </c>
      <c r="U111" s="6">
        <v>267.14999999999998</v>
      </c>
      <c r="V111" s="6">
        <v>246.71</v>
      </c>
      <c r="W111" s="6">
        <v>0</v>
      </c>
      <c r="X111" s="6">
        <v>105.7</v>
      </c>
    </row>
    <row r="112" spans="1:24" ht="24.75" x14ac:dyDescent="0.25">
      <c r="A112" s="6" t="s">
        <v>25</v>
      </c>
      <c r="B112" s="6" t="s">
        <v>26</v>
      </c>
      <c r="C112" s="6" t="s">
        <v>42</v>
      </c>
      <c r="D112" s="6" t="s">
        <v>46</v>
      </c>
      <c r="E112" s="6" t="s">
        <v>33</v>
      </c>
      <c r="F112" s="6" t="s">
        <v>59</v>
      </c>
      <c r="G112" s="6">
        <v>2016</v>
      </c>
      <c r="H112" s="6" t="str">
        <f>CONCATENATE("64240518510")</f>
        <v>64240518510</v>
      </c>
      <c r="I112" s="6" t="s">
        <v>28</v>
      </c>
      <c r="J112" s="6" t="s">
        <v>29</v>
      </c>
      <c r="K112" s="6" t="str">
        <f>CONCATENATE("")</f>
        <v/>
      </c>
      <c r="L112" s="6" t="str">
        <f>CONCATENATE("11 11.1 4b")</f>
        <v>11 11.1 4b</v>
      </c>
      <c r="M112" s="6" t="str">
        <f>CONCATENATE("PLTMTT81D07L500M")</f>
        <v>PLTMTT81D07L500M</v>
      </c>
      <c r="N112" s="6" t="s">
        <v>190</v>
      </c>
      <c r="O112" s="6"/>
      <c r="P112" s="7">
        <v>42879</v>
      </c>
      <c r="Q112" s="6" t="s">
        <v>30</v>
      </c>
      <c r="R112" s="6" t="s">
        <v>31</v>
      </c>
      <c r="S112" s="6" t="s">
        <v>32</v>
      </c>
      <c r="T112" s="8">
        <v>37574.57</v>
      </c>
      <c r="U112" s="8">
        <v>16202.15</v>
      </c>
      <c r="V112" s="8">
        <v>14962.19</v>
      </c>
      <c r="W112" s="6">
        <v>0</v>
      </c>
      <c r="X112" s="6">
        <v>6410.23</v>
      </c>
    </row>
    <row r="113" spans="1:24" ht="24.75" x14ac:dyDescent="0.25">
      <c r="A113" s="6" t="s">
        <v>25</v>
      </c>
      <c r="B113" s="6" t="s">
        <v>26</v>
      </c>
      <c r="C113" s="6" t="s">
        <v>42</v>
      </c>
      <c r="D113" s="6" t="s">
        <v>53</v>
      </c>
      <c r="E113" s="6" t="s">
        <v>27</v>
      </c>
      <c r="F113" s="6" t="s">
        <v>54</v>
      </c>
      <c r="G113" s="6">
        <v>2016</v>
      </c>
      <c r="H113" s="6" t="str">
        <f>CONCATENATE("64210962953")</f>
        <v>64210962953</v>
      </c>
      <c r="I113" s="6" t="s">
        <v>28</v>
      </c>
      <c r="J113" s="6" t="s">
        <v>29</v>
      </c>
      <c r="K113" s="6" t="str">
        <f>CONCATENATE("")</f>
        <v/>
      </c>
      <c r="L113" s="6" t="str">
        <f>CONCATENATE("13 13.1 4a")</f>
        <v>13 13.1 4a</v>
      </c>
      <c r="M113" s="6" t="str">
        <f>CONCATENATE("PLCSVN59M06D451C")</f>
        <v>PLCSVN59M06D451C</v>
      </c>
      <c r="N113" s="6" t="s">
        <v>191</v>
      </c>
      <c r="O113" s="6"/>
      <c r="P113" s="7">
        <v>42879</v>
      </c>
      <c r="Q113" s="6" t="s">
        <v>30</v>
      </c>
      <c r="R113" s="6" t="s">
        <v>31</v>
      </c>
      <c r="S113" s="6" t="s">
        <v>32</v>
      </c>
      <c r="T113" s="6">
        <v>480.82</v>
      </c>
      <c r="U113" s="6">
        <v>207.33</v>
      </c>
      <c r="V113" s="6">
        <v>191.46</v>
      </c>
      <c r="W113" s="6">
        <v>0</v>
      </c>
      <c r="X113" s="6">
        <v>82.03</v>
      </c>
    </row>
    <row r="114" spans="1:24" ht="24.75" x14ac:dyDescent="0.25">
      <c r="A114" s="6" t="s">
        <v>25</v>
      </c>
      <c r="B114" s="6" t="s">
        <v>26</v>
      </c>
      <c r="C114" s="6" t="s">
        <v>42</v>
      </c>
      <c r="D114" s="6" t="s">
        <v>49</v>
      </c>
      <c r="E114" s="6" t="s">
        <v>27</v>
      </c>
      <c r="F114" s="6" t="s">
        <v>93</v>
      </c>
      <c r="G114" s="6">
        <v>2016</v>
      </c>
      <c r="H114" s="6" t="str">
        <f>CONCATENATE("64240321881")</f>
        <v>64240321881</v>
      </c>
      <c r="I114" s="6" t="s">
        <v>28</v>
      </c>
      <c r="J114" s="6" t="s">
        <v>29</v>
      </c>
      <c r="K114" s="6" t="str">
        <f>CONCATENATE("")</f>
        <v/>
      </c>
      <c r="L114" s="6" t="str">
        <f>CONCATENATE("11 11.2 4b")</f>
        <v>11 11.2 4b</v>
      </c>
      <c r="M114" s="6" t="str">
        <f>CONCATENATE("MDARSO40S65G005V")</f>
        <v>MDARSO40S65G005V</v>
      </c>
      <c r="N114" s="6" t="s">
        <v>192</v>
      </c>
      <c r="O114" s="6"/>
      <c r="P114" s="7">
        <v>42879</v>
      </c>
      <c r="Q114" s="6" t="s">
        <v>30</v>
      </c>
      <c r="R114" s="6" t="s">
        <v>31</v>
      </c>
      <c r="S114" s="6" t="s">
        <v>32</v>
      </c>
      <c r="T114" s="8">
        <v>16546.86</v>
      </c>
      <c r="U114" s="8">
        <v>7135.01</v>
      </c>
      <c r="V114" s="8">
        <v>6588.96</v>
      </c>
      <c r="W114" s="6">
        <v>0</v>
      </c>
      <c r="X114" s="6">
        <v>2822.89</v>
      </c>
    </row>
    <row r="115" spans="1:24" ht="24.75" x14ac:dyDescent="0.25">
      <c r="A115" s="6" t="s">
        <v>25</v>
      </c>
      <c r="B115" s="6" t="s">
        <v>26</v>
      </c>
      <c r="C115" s="6" t="s">
        <v>42</v>
      </c>
      <c r="D115" s="6" t="s">
        <v>43</v>
      </c>
      <c r="E115" s="6" t="s">
        <v>27</v>
      </c>
      <c r="F115" s="6" t="s">
        <v>193</v>
      </c>
      <c r="G115" s="6">
        <v>2016</v>
      </c>
      <c r="H115" s="6" t="str">
        <f>CONCATENATE("64240717898")</f>
        <v>64240717898</v>
      </c>
      <c r="I115" s="6" t="s">
        <v>28</v>
      </c>
      <c r="J115" s="6" t="s">
        <v>29</v>
      </c>
      <c r="K115" s="6" t="str">
        <f>CONCATENATE("")</f>
        <v/>
      </c>
      <c r="L115" s="6" t="str">
        <f>CONCATENATE("11 11.2 4b")</f>
        <v>11 11.2 4b</v>
      </c>
      <c r="M115" s="6" t="str">
        <f>CONCATENATE("SNSRRT68R12E783Y")</f>
        <v>SNSRRT68R12E783Y</v>
      </c>
      <c r="N115" s="6" t="s">
        <v>194</v>
      </c>
      <c r="O115" s="6"/>
      <c r="P115" s="7">
        <v>42879</v>
      </c>
      <c r="Q115" s="6" t="s">
        <v>30</v>
      </c>
      <c r="R115" s="6" t="s">
        <v>31</v>
      </c>
      <c r="S115" s="6" t="s">
        <v>32</v>
      </c>
      <c r="T115" s="8">
        <v>1720.23</v>
      </c>
      <c r="U115" s="6">
        <v>741.76</v>
      </c>
      <c r="V115" s="6">
        <v>685</v>
      </c>
      <c r="W115" s="6">
        <v>0</v>
      </c>
      <c r="X115" s="6">
        <v>293.47000000000003</v>
      </c>
    </row>
    <row r="116" spans="1:24" ht="24.75" x14ac:dyDescent="0.25">
      <c r="A116" s="6" t="s">
        <v>25</v>
      </c>
      <c r="B116" s="6" t="s">
        <v>26</v>
      </c>
      <c r="C116" s="6" t="s">
        <v>42</v>
      </c>
      <c r="D116" s="6" t="s">
        <v>49</v>
      </c>
      <c r="E116" s="6" t="s">
        <v>27</v>
      </c>
      <c r="F116" s="6" t="s">
        <v>93</v>
      </c>
      <c r="G116" s="6">
        <v>2016</v>
      </c>
      <c r="H116" s="6" t="str">
        <f>CONCATENATE("64240652269")</f>
        <v>64240652269</v>
      </c>
      <c r="I116" s="6" t="s">
        <v>28</v>
      </c>
      <c r="J116" s="6" t="s">
        <v>29</v>
      </c>
      <c r="K116" s="6" t="str">
        <f>CONCATENATE("")</f>
        <v/>
      </c>
      <c r="L116" s="6" t="str">
        <f>CONCATENATE("11 11.2 4b")</f>
        <v>11 11.2 4b</v>
      </c>
      <c r="M116" s="6" t="str">
        <f>CONCATENATE("BNVMSM82R21F205J")</f>
        <v>BNVMSM82R21F205J</v>
      </c>
      <c r="N116" s="6" t="s">
        <v>195</v>
      </c>
      <c r="O116" s="6"/>
      <c r="P116" s="7">
        <v>42879</v>
      </c>
      <c r="Q116" s="6" t="s">
        <v>30</v>
      </c>
      <c r="R116" s="6" t="s">
        <v>31</v>
      </c>
      <c r="S116" s="6" t="s">
        <v>32</v>
      </c>
      <c r="T116" s="8">
        <v>3752.78</v>
      </c>
      <c r="U116" s="8">
        <v>1618.2</v>
      </c>
      <c r="V116" s="8">
        <v>1494.36</v>
      </c>
      <c r="W116" s="6">
        <v>0</v>
      </c>
      <c r="X116" s="6">
        <v>640.22</v>
      </c>
    </row>
    <row r="117" spans="1:24" ht="24.75" x14ac:dyDescent="0.25">
      <c r="A117" s="6" t="s">
        <v>25</v>
      </c>
      <c r="B117" s="6" t="s">
        <v>26</v>
      </c>
      <c r="C117" s="6" t="s">
        <v>42</v>
      </c>
      <c r="D117" s="6" t="s">
        <v>46</v>
      </c>
      <c r="E117" s="6" t="s">
        <v>34</v>
      </c>
      <c r="F117" s="6" t="s">
        <v>67</v>
      </c>
      <c r="G117" s="6">
        <v>2016</v>
      </c>
      <c r="H117" s="6" t="str">
        <f>CONCATENATE("64210677288")</f>
        <v>64210677288</v>
      </c>
      <c r="I117" s="6" t="s">
        <v>28</v>
      </c>
      <c r="J117" s="6" t="s">
        <v>29</v>
      </c>
      <c r="K117" s="6" t="str">
        <f>CONCATENATE("")</f>
        <v/>
      </c>
      <c r="L117" s="6" t="str">
        <f>CONCATENATE("13 13.1 4a")</f>
        <v>13 13.1 4a</v>
      </c>
      <c r="M117" s="6" t="str">
        <f>CONCATENATE("02465610414")</f>
        <v>02465610414</v>
      </c>
      <c r="N117" s="6" t="s">
        <v>196</v>
      </c>
      <c r="O117" s="6"/>
      <c r="P117" s="7">
        <v>42877</v>
      </c>
      <c r="Q117" s="6" t="s">
        <v>30</v>
      </c>
      <c r="R117" s="6" t="s">
        <v>31</v>
      </c>
      <c r="S117" s="6" t="s">
        <v>32</v>
      </c>
      <c r="T117" s="6">
        <v>915.96</v>
      </c>
      <c r="U117" s="6">
        <v>394.96</v>
      </c>
      <c r="V117" s="6">
        <v>364.74</v>
      </c>
      <c r="W117" s="6">
        <v>0</v>
      </c>
      <c r="X117" s="6">
        <v>156.26</v>
      </c>
    </row>
    <row r="118" spans="1:24" ht="24.75" x14ac:dyDescent="0.25">
      <c r="A118" s="6" t="s">
        <v>25</v>
      </c>
      <c r="B118" s="6" t="s">
        <v>26</v>
      </c>
      <c r="C118" s="6" t="s">
        <v>42</v>
      </c>
      <c r="D118" s="6" t="s">
        <v>46</v>
      </c>
      <c r="E118" s="6" t="s">
        <v>27</v>
      </c>
      <c r="F118" s="6" t="s">
        <v>69</v>
      </c>
      <c r="G118" s="6">
        <v>2016</v>
      </c>
      <c r="H118" s="6" t="str">
        <f>CONCATENATE("64210988974")</f>
        <v>64210988974</v>
      </c>
      <c r="I118" s="6" t="s">
        <v>28</v>
      </c>
      <c r="J118" s="6" t="s">
        <v>29</v>
      </c>
      <c r="K118" s="6" t="str">
        <f>CONCATENATE("")</f>
        <v/>
      </c>
      <c r="L118" s="6" t="str">
        <f>CONCATENATE("13 13.1 4a")</f>
        <v>13 13.1 4a</v>
      </c>
      <c r="M118" s="6" t="str">
        <f>CONCATENATE("PRCGMC59A12D808R")</f>
        <v>PRCGMC59A12D808R</v>
      </c>
      <c r="N118" s="6" t="s">
        <v>197</v>
      </c>
      <c r="O118" s="6"/>
      <c r="P118" s="7">
        <v>42877</v>
      </c>
      <c r="Q118" s="6" t="s">
        <v>30</v>
      </c>
      <c r="R118" s="6" t="s">
        <v>31</v>
      </c>
      <c r="S118" s="6" t="s">
        <v>32</v>
      </c>
      <c r="T118" s="6">
        <v>109.7</v>
      </c>
      <c r="U118" s="6">
        <v>47.3</v>
      </c>
      <c r="V118" s="6">
        <v>43.68</v>
      </c>
      <c r="W118" s="6">
        <v>0</v>
      </c>
      <c r="X118" s="6">
        <v>18.72</v>
      </c>
    </row>
    <row r="119" spans="1:24" ht="24.75" x14ac:dyDescent="0.25">
      <c r="A119" s="6" t="s">
        <v>25</v>
      </c>
      <c r="B119" s="6" t="s">
        <v>26</v>
      </c>
      <c r="C119" s="6" t="s">
        <v>42</v>
      </c>
      <c r="D119" s="6" t="s">
        <v>49</v>
      </c>
      <c r="E119" s="6" t="s">
        <v>27</v>
      </c>
      <c r="F119" s="6" t="s">
        <v>62</v>
      </c>
      <c r="G119" s="6">
        <v>2016</v>
      </c>
      <c r="H119" s="6" t="str">
        <f>CONCATENATE("64210422487")</f>
        <v>64210422487</v>
      </c>
      <c r="I119" s="6" t="s">
        <v>28</v>
      </c>
      <c r="J119" s="6" t="s">
        <v>29</v>
      </c>
      <c r="K119" s="6" t="str">
        <f>CONCATENATE("")</f>
        <v/>
      </c>
      <c r="L119" s="6" t="str">
        <f>CONCATENATE("13 13.1 4a")</f>
        <v>13 13.1 4a</v>
      </c>
      <c r="M119" s="6" t="str">
        <f>CONCATENATE("MSLLGU58H18L992I")</f>
        <v>MSLLGU58H18L992I</v>
      </c>
      <c r="N119" s="6" t="s">
        <v>198</v>
      </c>
      <c r="O119" s="6"/>
      <c r="P119" s="7">
        <v>42879</v>
      </c>
      <c r="Q119" s="6" t="s">
        <v>30</v>
      </c>
      <c r="R119" s="6" t="s">
        <v>31</v>
      </c>
      <c r="S119" s="6" t="s">
        <v>32</v>
      </c>
      <c r="T119" s="8">
        <v>2759.2</v>
      </c>
      <c r="U119" s="8">
        <v>1189.77</v>
      </c>
      <c r="V119" s="8">
        <v>1098.71</v>
      </c>
      <c r="W119" s="6">
        <v>0</v>
      </c>
      <c r="X119" s="6">
        <v>470.72</v>
      </c>
    </row>
    <row r="120" spans="1:24" ht="24.75" x14ac:dyDescent="0.25">
      <c r="A120" s="6" t="s">
        <v>25</v>
      </c>
      <c r="B120" s="6" t="s">
        <v>26</v>
      </c>
      <c r="C120" s="6" t="s">
        <v>42</v>
      </c>
      <c r="D120" s="6" t="s">
        <v>53</v>
      </c>
      <c r="E120" s="6" t="s">
        <v>27</v>
      </c>
      <c r="F120" s="6" t="s">
        <v>54</v>
      </c>
      <c r="G120" s="6">
        <v>2016</v>
      </c>
      <c r="H120" s="6" t="str">
        <f>CONCATENATE("64210983934")</f>
        <v>64210983934</v>
      </c>
      <c r="I120" s="6" t="s">
        <v>28</v>
      </c>
      <c r="J120" s="6" t="s">
        <v>29</v>
      </c>
      <c r="K120" s="6" t="str">
        <f>CONCATENATE("")</f>
        <v/>
      </c>
      <c r="L120" s="6" t="str">
        <f>CONCATENATE("13 13.1 4a")</f>
        <v>13 13.1 4a</v>
      </c>
      <c r="M120" s="6" t="str">
        <f>CONCATENATE("TRBGNI50S14F616G")</f>
        <v>TRBGNI50S14F616G</v>
      </c>
      <c r="N120" s="6" t="s">
        <v>199</v>
      </c>
      <c r="O120" s="6"/>
      <c r="P120" s="7">
        <v>42877</v>
      </c>
      <c r="Q120" s="6" t="s">
        <v>30</v>
      </c>
      <c r="R120" s="6" t="s">
        <v>31</v>
      </c>
      <c r="S120" s="6" t="s">
        <v>32</v>
      </c>
      <c r="T120" s="6">
        <v>302.14</v>
      </c>
      <c r="U120" s="6">
        <v>130.28</v>
      </c>
      <c r="V120" s="6">
        <v>120.31</v>
      </c>
      <c r="W120" s="6">
        <v>0</v>
      </c>
      <c r="X120" s="6">
        <v>51.55</v>
      </c>
    </row>
    <row r="121" spans="1:24" ht="24.75" x14ac:dyDescent="0.25">
      <c r="A121" s="6" t="s">
        <v>25</v>
      </c>
      <c r="B121" s="6" t="s">
        <v>26</v>
      </c>
      <c r="C121" s="6" t="s">
        <v>42</v>
      </c>
      <c r="D121" s="6" t="s">
        <v>49</v>
      </c>
      <c r="E121" s="6" t="s">
        <v>36</v>
      </c>
      <c r="F121" s="6" t="s">
        <v>82</v>
      </c>
      <c r="G121" s="6">
        <v>2016</v>
      </c>
      <c r="H121" s="6" t="str">
        <f>CONCATENATE("64240533170")</f>
        <v>64240533170</v>
      </c>
      <c r="I121" s="6" t="s">
        <v>28</v>
      </c>
      <c r="J121" s="6" t="s">
        <v>29</v>
      </c>
      <c r="K121" s="6" t="str">
        <f>CONCATENATE("")</f>
        <v/>
      </c>
      <c r="L121" s="6" t="str">
        <f>CONCATENATE("11 11.2 4b")</f>
        <v>11 11.2 4b</v>
      </c>
      <c r="M121" s="6" t="str">
        <f>CONCATENATE("BRTLRI86P48A252U")</f>
        <v>BRTLRI86P48A252U</v>
      </c>
      <c r="N121" s="6" t="s">
        <v>131</v>
      </c>
      <c r="O121" s="6"/>
      <c r="P121" s="7">
        <v>42879</v>
      </c>
      <c r="Q121" s="6" t="s">
        <v>30</v>
      </c>
      <c r="R121" s="6" t="s">
        <v>31</v>
      </c>
      <c r="S121" s="6" t="s">
        <v>32</v>
      </c>
      <c r="T121" s="8">
        <v>3348.9</v>
      </c>
      <c r="U121" s="8">
        <v>1444.05</v>
      </c>
      <c r="V121" s="8">
        <v>1333.53</v>
      </c>
      <c r="W121" s="6">
        <v>0</v>
      </c>
      <c r="X121" s="6">
        <v>571.32000000000005</v>
      </c>
    </row>
    <row r="122" spans="1:24" ht="24.75" x14ac:dyDescent="0.25">
      <c r="A122" s="6" t="s">
        <v>25</v>
      </c>
      <c r="B122" s="6" t="s">
        <v>26</v>
      </c>
      <c r="C122" s="6" t="s">
        <v>42</v>
      </c>
      <c r="D122" s="6" t="s">
        <v>49</v>
      </c>
      <c r="E122" s="6" t="s">
        <v>41</v>
      </c>
      <c r="F122" s="6" t="s">
        <v>41</v>
      </c>
      <c r="G122" s="6">
        <v>2016</v>
      </c>
      <c r="H122" s="6" t="str">
        <f>CONCATENATE("64240049953")</f>
        <v>64240049953</v>
      </c>
      <c r="I122" s="6" t="s">
        <v>28</v>
      </c>
      <c r="J122" s="6" t="s">
        <v>29</v>
      </c>
      <c r="K122" s="6" t="str">
        <f>CONCATENATE("")</f>
        <v/>
      </c>
      <c r="L122" s="6" t="str">
        <f>CONCATENATE("11 11.2 4b")</f>
        <v>11 11.2 4b</v>
      </c>
      <c r="M122" s="6" t="str">
        <f>CONCATENATE("01655530440")</f>
        <v>01655530440</v>
      </c>
      <c r="N122" s="6" t="s">
        <v>200</v>
      </c>
      <c r="O122" s="6"/>
      <c r="P122" s="7">
        <v>42879</v>
      </c>
      <c r="Q122" s="6" t="s">
        <v>30</v>
      </c>
      <c r="R122" s="6" t="s">
        <v>31</v>
      </c>
      <c r="S122" s="6" t="s">
        <v>32</v>
      </c>
      <c r="T122" s="8">
        <v>2372.4</v>
      </c>
      <c r="U122" s="8">
        <v>1022.98</v>
      </c>
      <c r="V122" s="6">
        <v>944.69</v>
      </c>
      <c r="W122" s="6">
        <v>0</v>
      </c>
      <c r="X122" s="6">
        <v>404.73</v>
      </c>
    </row>
    <row r="123" spans="1:24" ht="24.75" x14ac:dyDescent="0.25">
      <c r="A123" s="6" t="s">
        <v>25</v>
      </c>
      <c r="B123" s="6" t="s">
        <v>26</v>
      </c>
      <c r="C123" s="6" t="s">
        <v>42</v>
      </c>
      <c r="D123" s="6" t="s">
        <v>49</v>
      </c>
      <c r="E123" s="6" t="s">
        <v>36</v>
      </c>
      <c r="F123" s="6" t="s">
        <v>82</v>
      </c>
      <c r="G123" s="6">
        <v>2016</v>
      </c>
      <c r="H123" s="6" t="str">
        <f>CONCATENATE("64210654410")</f>
        <v>64210654410</v>
      </c>
      <c r="I123" s="6" t="s">
        <v>28</v>
      </c>
      <c r="J123" s="6" t="s">
        <v>29</v>
      </c>
      <c r="K123" s="6" t="str">
        <f>CONCATENATE("")</f>
        <v/>
      </c>
      <c r="L123" s="6" t="str">
        <f>CONCATENATE("13 13.1 4a")</f>
        <v>13 13.1 4a</v>
      </c>
      <c r="M123" s="6" t="str">
        <f>CONCATENATE("BRTLSE75T03A252M")</f>
        <v>BRTLSE75T03A252M</v>
      </c>
      <c r="N123" s="6" t="s">
        <v>201</v>
      </c>
      <c r="O123" s="6"/>
      <c r="P123" s="7">
        <v>42879</v>
      </c>
      <c r="Q123" s="6" t="s">
        <v>30</v>
      </c>
      <c r="R123" s="6" t="s">
        <v>31</v>
      </c>
      <c r="S123" s="6" t="s">
        <v>32</v>
      </c>
      <c r="T123" s="8">
        <v>1451.48</v>
      </c>
      <c r="U123" s="6">
        <v>625.88</v>
      </c>
      <c r="V123" s="6">
        <v>577.98</v>
      </c>
      <c r="W123" s="6">
        <v>0</v>
      </c>
      <c r="X123" s="6">
        <v>247.62</v>
      </c>
    </row>
    <row r="124" spans="1:24" ht="24.75" x14ac:dyDescent="0.25">
      <c r="A124" s="6" t="s">
        <v>25</v>
      </c>
      <c r="B124" s="6" t="s">
        <v>26</v>
      </c>
      <c r="C124" s="6" t="s">
        <v>42</v>
      </c>
      <c r="D124" s="6" t="s">
        <v>43</v>
      </c>
      <c r="E124" s="6" t="s">
        <v>34</v>
      </c>
      <c r="F124" s="6" t="s">
        <v>202</v>
      </c>
      <c r="G124" s="6">
        <v>2016</v>
      </c>
      <c r="H124" s="6" t="str">
        <f>CONCATENATE("64211096603")</f>
        <v>64211096603</v>
      </c>
      <c r="I124" s="6" t="s">
        <v>28</v>
      </c>
      <c r="J124" s="6" t="s">
        <v>29</v>
      </c>
      <c r="K124" s="6" t="str">
        <f>CONCATENATE("")</f>
        <v/>
      </c>
      <c r="L124" s="6" t="str">
        <f>CONCATENATE("13 13.1 4a")</f>
        <v>13 13.1 4a</v>
      </c>
      <c r="M124" s="6" t="str">
        <f>CONCATENATE("01013470438")</f>
        <v>01013470438</v>
      </c>
      <c r="N124" s="6" t="s">
        <v>203</v>
      </c>
      <c r="O124" s="6"/>
      <c r="P124" s="7">
        <v>42877</v>
      </c>
      <c r="Q124" s="6" t="s">
        <v>30</v>
      </c>
      <c r="R124" s="6" t="s">
        <v>31</v>
      </c>
      <c r="S124" s="6" t="s">
        <v>32</v>
      </c>
      <c r="T124" s="8">
        <v>3863.97</v>
      </c>
      <c r="U124" s="8">
        <v>1666.14</v>
      </c>
      <c r="V124" s="8">
        <v>1538.63</v>
      </c>
      <c r="W124" s="6">
        <v>0</v>
      </c>
      <c r="X124" s="6">
        <v>659.2</v>
      </c>
    </row>
    <row r="125" spans="1:24" ht="24.75" x14ac:dyDescent="0.25">
      <c r="A125" s="6" t="s">
        <v>25</v>
      </c>
      <c r="B125" s="6" t="s">
        <v>26</v>
      </c>
      <c r="C125" s="6" t="s">
        <v>42</v>
      </c>
      <c r="D125" s="6" t="s">
        <v>43</v>
      </c>
      <c r="E125" s="6" t="s">
        <v>27</v>
      </c>
      <c r="F125" s="6" t="s">
        <v>44</v>
      </c>
      <c r="G125" s="6">
        <v>2016</v>
      </c>
      <c r="H125" s="6" t="str">
        <f>CONCATENATE("64240321410")</f>
        <v>64240321410</v>
      </c>
      <c r="I125" s="6" t="s">
        <v>28</v>
      </c>
      <c r="J125" s="6" t="s">
        <v>29</v>
      </c>
      <c r="K125" s="6" t="str">
        <f>CONCATENATE("")</f>
        <v/>
      </c>
      <c r="L125" s="6" t="str">
        <f>CONCATENATE("11 11.1 4b")</f>
        <v>11 11.1 4b</v>
      </c>
      <c r="M125" s="6" t="str">
        <f>CONCATENATE("TRCGFR70S03H223Z")</f>
        <v>TRCGFR70S03H223Z</v>
      </c>
      <c r="N125" s="6" t="s">
        <v>204</v>
      </c>
      <c r="O125" s="6"/>
      <c r="P125" s="7">
        <v>42879</v>
      </c>
      <c r="Q125" s="6" t="s">
        <v>30</v>
      </c>
      <c r="R125" s="6" t="s">
        <v>31</v>
      </c>
      <c r="S125" s="6" t="s">
        <v>32</v>
      </c>
      <c r="T125" s="6">
        <v>185.89</v>
      </c>
      <c r="U125" s="6">
        <v>80.16</v>
      </c>
      <c r="V125" s="6">
        <v>74.02</v>
      </c>
      <c r="W125" s="6">
        <v>0</v>
      </c>
      <c r="X125" s="6">
        <v>31.71</v>
      </c>
    </row>
    <row r="126" spans="1:24" ht="24.75" x14ac:dyDescent="0.25">
      <c r="A126" s="6" t="s">
        <v>25</v>
      </c>
      <c r="B126" s="6" t="s">
        <v>26</v>
      </c>
      <c r="C126" s="6" t="s">
        <v>42</v>
      </c>
      <c r="D126" s="6" t="s">
        <v>46</v>
      </c>
      <c r="E126" s="6" t="s">
        <v>33</v>
      </c>
      <c r="F126" s="6" t="s">
        <v>205</v>
      </c>
      <c r="G126" s="6">
        <v>2016</v>
      </c>
      <c r="H126" s="6" t="str">
        <f>CONCATENATE("64240500054")</f>
        <v>64240500054</v>
      </c>
      <c r="I126" s="6" t="s">
        <v>28</v>
      </c>
      <c r="J126" s="6" t="s">
        <v>29</v>
      </c>
      <c r="K126" s="6" t="str">
        <f>CONCATENATE("")</f>
        <v/>
      </c>
      <c r="L126" s="6" t="str">
        <f>CONCATENATE("11 11.2 4b")</f>
        <v>11 11.2 4b</v>
      </c>
      <c r="M126" s="6" t="str">
        <f>CONCATENATE("02284860414")</f>
        <v>02284860414</v>
      </c>
      <c r="N126" s="6" t="s">
        <v>206</v>
      </c>
      <c r="O126" s="6"/>
      <c r="P126" s="7">
        <v>42879</v>
      </c>
      <c r="Q126" s="6" t="s">
        <v>30</v>
      </c>
      <c r="R126" s="6" t="s">
        <v>31</v>
      </c>
      <c r="S126" s="6" t="s">
        <v>32</v>
      </c>
      <c r="T126" s="8">
        <v>15436.2</v>
      </c>
      <c r="U126" s="8">
        <v>6656.09</v>
      </c>
      <c r="V126" s="8">
        <v>6146.69</v>
      </c>
      <c r="W126" s="6">
        <v>0</v>
      </c>
      <c r="X126" s="6">
        <v>2633.42</v>
      </c>
    </row>
    <row r="127" spans="1:24" ht="24.75" x14ac:dyDescent="0.25">
      <c r="A127" s="6" t="s">
        <v>25</v>
      </c>
      <c r="B127" s="6" t="s">
        <v>26</v>
      </c>
      <c r="C127" s="6" t="s">
        <v>42</v>
      </c>
      <c r="D127" s="6" t="s">
        <v>43</v>
      </c>
      <c r="E127" s="6" t="s">
        <v>27</v>
      </c>
      <c r="F127" s="6" t="s">
        <v>142</v>
      </c>
      <c r="G127" s="6">
        <v>2016</v>
      </c>
      <c r="H127" s="6" t="str">
        <f>CONCATENATE("64240353900")</f>
        <v>64240353900</v>
      </c>
      <c r="I127" s="6" t="s">
        <v>28</v>
      </c>
      <c r="J127" s="6" t="s">
        <v>29</v>
      </c>
      <c r="K127" s="6" t="str">
        <f>CONCATENATE("")</f>
        <v/>
      </c>
      <c r="L127" s="6" t="str">
        <f>CONCATENATE("11 11.2 4b")</f>
        <v>11 11.2 4b</v>
      </c>
      <c r="M127" s="6" t="str">
        <f>CONCATENATE("LMBDNL76T30H501H")</f>
        <v>LMBDNL76T30H501H</v>
      </c>
      <c r="N127" s="6" t="s">
        <v>207</v>
      </c>
      <c r="O127" s="6"/>
      <c r="P127" s="7">
        <v>42879</v>
      </c>
      <c r="Q127" s="6" t="s">
        <v>30</v>
      </c>
      <c r="R127" s="6" t="s">
        <v>31</v>
      </c>
      <c r="S127" s="6" t="s">
        <v>32</v>
      </c>
      <c r="T127" s="8">
        <v>1983.15</v>
      </c>
      <c r="U127" s="6">
        <v>855.13</v>
      </c>
      <c r="V127" s="6">
        <v>789.69</v>
      </c>
      <c r="W127" s="6">
        <v>0</v>
      </c>
      <c r="X127" s="6">
        <v>338.33</v>
      </c>
    </row>
    <row r="128" spans="1:24" ht="24.75" x14ac:dyDescent="0.25">
      <c r="A128" s="6" t="s">
        <v>25</v>
      </c>
      <c r="B128" s="6" t="s">
        <v>26</v>
      </c>
      <c r="C128" s="6" t="s">
        <v>42</v>
      </c>
      <c r="D128" s="6" t="s">
        <v>43</v>
      </c>
      <c r="E128" s="6" t="s">
        <v>27</v>
      </c>
      <c r="F128" s="6" t="s">
        <v>142</v>
      </c>
      <c r="G128" s="6">
        <v>2016</v>
      </c>
      <c r="H128" s="6" t="str">
        <f>CONCATENATE("64240760385")</f>
        <v>64240760385</v>
      </c>
      <c r="I128" s="6" t="s">
        <v>28</v>
      </c>
      <c r="J128" s="6" t="s">
        <v>29</v>
      </c>
      <c r="K128" s="6" t="str">
        <f>CONCATENATE("")</f>
        <v/>
      </c>
      <c r="L128" s="6" t="str">
        <f>CONCATENATE("11 11.1 4b")</f>
        <v>11 11.1 4b</v>
      </c>
      <c r="M128" s="6" t="str">
        <f>CONCATENATE("01727870436")</f>
        <v>01727870436</v>
      </c>
      <c r="N128" s="6" t="s">
        <v>208</v>
      </c>
      <c r="O128" s="6"/>
      <c r="P128" s="7">
        <v>42879</v>
      </c>
      <c r="Q128" s="6" t="s">
        <v>30</v>
      </c>
      <c r="R128" s="6" t="s">
        <v>31</v>
      </c>
      <c r="S128" s="6" t="s">
        <v>32</v>
      </c>
      <c r="T128" s="8">
        <v>4754.91</v>
      </c>
      <c r="U128" s="8">
        <v>2050.3200000000002</v>
      </c>
      <c r="V128" s="8">
        <v>1893.41</v>
      </c>
      <c r="W128" s="6">
        <v>0</v>
      </c>
      <c r="X128" s="6">
        <v>811.18</v>
      </c>
    </row>
    <row r="129" spans="1:24" ht="24.75" x14ac:dyDescent="0.25">
      <c r="A129" s="6" t="s">
        <v>25</v>
      </c>
      <c r="B129" s="6" t="s">
        <v>26</v>
      </c>
      <c r="C129" s="6" t="s">
        <v>42</v>
      </c>
      <c r="D129" s="6" t="s">
        <v>49</v>
      </c>
      <c r="E129" s="6" t="s">
        <v>27</v>
      </c>
      <c r="F129" s="6" t="s">
        <v>76</v>
      </c>
      <c r="G129" s="6">
        <v>2016</v>
      </c>
      <c r="H129" s="6" t="str">
        <f>CONCATENATE("64210744682")</f>
        <v>64210744682</v>
      </c>
      <c r="I129" s="6" t="s">
        <v>28</v>
      </c>
      <c r="J129" s="6" t="s">
        <v>29</v>
      </c>
      <c r="K129" s="6" t="str">
        <f>CONCATENATE("")</f>
        <v/>
      </c>
      <c r="L129" s="6" t="str">
        <f>CONCATENATE("13 13.1 4a")</f>
        <v>13 13.1 4a</v>
      </c>
      <c r="M129" s="6" t="str">
        <f>CONCATENATE("NNISDR62S63A462A")</f>
        <v>NNISDR62S63A462A</v>
      </c>
      <c r="N129" s="6" t="s">
        <v>209</v>
      </c>
      <c r="O129" s="6"/>
      <c r="P129" s="7">
        <v>42879</v>
      </c>
      <c r="Q129" s="6" t="s">
        <v>30</v>
      </c>
      <c r="R129" s="6" t="s">
        <v>31</v>
      </c>
      <c r="S129" s="6" t="s">
        <v>32</v>
      </c>
      <c r="T129" s="8">
        <v>2385.2199999999998</v>
      </c>
      <c r="U129" s="8">
        <v>1028.51</v>
      </c>
      <c r="V129" s="6">
        <v>949.79</v>
      </c>
      <c r="W129" s="6">
        <v>0</v>
      </c>
      <c r="X129" s="6">
        <v>406.92</v>
      </c>
    </row>
    <row r="130" spans="1:24" ht="24.75" x14ac:dyDescent="0.25">
      <c r="A130" s="6" t="s">
        <v>25</v>
      </c>
      <c r="B130" s="6" t="s">
        <v>26</v>
      </c>
      <c r="C130" s="6" t="s">
        <v>42</v>
      </c>
      <c r="D130" s="6" t="s">
        <v>46</v>
      </c>
      <c r="E130" s="6" t="s">
        <v>34</v>
      </c>
      <c r="F130" s="6" t="s">
        <v>67</v>
      </c>
      <c r="G130" s="6">
        <v>2016</v>
      </c>
      <c r="H130" s="6" t="str">
        <f>CONCATENATE("64210683096")</f>
        <v>64210683096</v>
      </c>
      <c r="I130" s="6" t="s">
        <v>28</v>
      </c>
      <c r="J130" s="6" t="s">
        <v>29</v>
      </c>
      <c r="K130" s="6" t="str">
        <f>CONCATENATE("")</f>
        <v/>
      </c>
      <c r="L130" s="6" t="str">
        <f>CONCATENATE("13 13.1 4a")</f>
        <v>13 13.1 4a</v>
      </c>
      <c r="M130" s="6" t="str">
        <f>CONCATENATE("RDCMVL29D48D488C")</f>
        <v>RDCMVL29D48D488C</v>
      </c>
      <c r="N130" s="6" t="s">
        <v>210</v>
      </c>
      <c r="O130" s="6"/>
      <c r="P130" s="7">
        <v>42879</v>
      </c>
      <c r="Q130" s="6" t="s">
        <v>30</v>
      </c>
      <c r="R130" s="6" t="s">
        <v>31</v>
      </c>
      <c r="S130" s="6" t="s">
        <v>32</v>
      </c>
      <c r="T130" s="6">
        <v>517.20000000000005</v>
      </c>
      <c r="U130" s="6">
        <v>223.02</v>
      </c>
      <c r="V130" s="6">
        <v>205.95</v>
      </c>
      <c r="W130" s="6">
        <v>0</v>
      </c>
      <c r="X130" s="6">
        <v>88.23</v>
      </c>
    </row>
    <row r="131" spans="1:24" ht="24.75" x14ac:dyDescent="0.25">
      <c r="A131" s="6" t="s">
        <v>25</v>
      </c>
      <c r="B131" s="6" t="s">
        <v>26</v>
      </c>
      <c r="C131" s="6" t="s">
        <v>42</v>
      </c>
      <c r="D131" s="6" t="s">
        <v>49</v>
      </c>
      <c r="E131" s="6" t="s">
        <v>33</v>
      </c>
      <c r="F131" s="6" t="s">
        <v>39</v>
      </c>
      <c r="G131" s="6">
        <v>2016</v>
      </c>
      <c r="H131" s="6" t="str">
        <f>CONCATENATE("64210620064")</f>
        <v>64210620064</v>
      </c>
      <c r="I131" s="6" t="s">
        <v>28</v>
      </c>
      <c r="J131" s="6" t="s">
        <v>29</v>
      </c>
      <c r="K131" s="6" t="str">
        <f>CONCATENATE("")</f>
        <v/>
      </c>
      <c r="L131" s="6" t="str">
        <f>CONCATENATE("13 13.1 4a")</f>
        <v>13 13.1 4a</v>
      </c>
      <c r="M131" s="6" t="str">
        <f>CONCATENATE("CLMGPP33A01H390P")</f>
        <v>CLMGPP33A01H390P</v>
      </c>
      <c r="N131" s="6" t="s">
        <v>211</v>
      </c>
      <c r="O131" s="6"/>
      <c r="P131" s="7">
        <v>42879</v>
      </c>
      <c r="Q131" s="6" t="s">
        <v>30</v>
      </c>
      <c r="R131" s="6" t="s">
        <v>31</v>
      </c>
      <c r="S131" s="6" t="s">
        <v>32</v>
      </c>
      <c r="T131" s="6">
        <v>550.70000000000005</v>
      </c>
      <c r="U131" s="6">
        <v>237.46</v>
      </c>
      <c r="V131" s="6">
        <v>219.29</v>
      </c>
      <c r="W131" s="6">
        <v>0</v>
      </c>
      <c r="X131" s="6">
        <v>93.95</v>
      </c>
    </row>
    <row r="132" spans="1:24" ht="24.75" x14ac:dyDescent="0.25">
      <c r="A132" s="6" t="s">
        <v>25</v>
      </c>
      <c r="B132" s="6" t="s">
        <v>26</v>
      </c>
      <c r="C132" s="6" t="s">
        <v>42</v>
      </c>
      <c r="D132" s="6" t="s">
        <v>49</v>
      </c>
      <c r="E132" s="6" t="s">
        <v>36</v>
      </c>
      <c r="F132" s="6" t="s">
        <v>212</v>
      </c>
      <c r="G132" s="6">
        <v>2016</v>
      </c>
      <c r="H132" s="6" t="str">
        <f>CONCATENATE("64210575706")</f>
        <v>64210575706</v>
      </c>
      <c r="I132" s="6" t="s">
        <v>28</v>
      </c>
      <c r="J132" s="6" t="s">
        <v>29</v>
      </c>
      <c r="K132" s="6" t="str">
        <f>CONCATENATE("")</f>
        <v/>
      </c>
      <c r="L132" s="6" t="str">
        <f>CONCATENATE("13 13.1 4a")</f>
        <v>13 13.1 4a</v>
      </c>
      <c r="M132" s="6" t="str">
        <f>CONCATENATE("VLRRLD72A24H390E")</f>
        <v>VLRRLD72A24H390E</v>
      </c>
      <c r="N132" s="6" t="s">
        <v>213</v>
      </c>
      <c r="O132" s="6"/>
      <c r="P132" s="7">
        <v>42879</v>
      </c>
      <c r="Q132" s="6" t="s">
        <v>30</v>
      </c>
      <c r="R132" s="6" t="s">
        <v>31</v>
      </c>
      <c r="S132" s="6" t="s">
        <v>32</v>
      </c>
      <c r="T132" s="6">
        <v>825.08</v>
      </c>
      <c r="U132" s="6">
        <v>355.77</v>
      </c>
      <c r="V132" s="6">
        <v>328.55</v>
      </c>
      <c r="W132" s="6">
        <v>0</v>
      </c>
      <c r="X132" s="6">
        <v>140.76</v>
      </c>
    </row>
    <row r="133" spans="1:24" ht="24.75" x14ac:dyDescent="0.25">
      <c r="A133" s="6" t="s">
        <v>25</v>
      </c>
      <c r="B133" s="6" t="s">
        <v>26</v>
      </c>
      <c r="C133" s="6" t="s">
        <v>42</v>
      </c>
      <c r="D133" s="6" t="s">
        <v>43</v>
      </c>
      <c r="E133" s="6" t="s">
        <v>27</v>
      </c>
      <c r="F133" s="6" t="s">
        <v>89</v>
      </c>
      <c r="G133" s="6">
        <v>2016</v>
      </c>
      <c r="H133" s="6" t="str">
        <f>CONCATENATE("64240603684")</f>
        <v>64240603684</v>
      </c>
      <c r="I133" s="6" t="s">
        <v>28</v>
      </c>
      <c r="J133" s="6" t="s">
        <v>29</v>
      </c>
      <c r="K133" s="6" t="str">
        <f>CONCATENATE("")</f>
        <v/>
      </c>
      <c r="L133" s="6" t="str">
        <f>CONCATENATE("11 11.2 4b")</f>
        <v>11 11.2 4b</v>
      </c>
      <c r="M133" s="6" t="str">
        <f>CONCATENATE("MNNSLV60B47E783K")</f>
        <v>MNNSLV60B47E783K</v>
      </c>
      <c r="N133" s="6" t="s">
        <v>90</v>
      </c>
      <c r="O133" s="6"/>
      <c r="P133" s="7">
        <v>42879</v>
      </c>
      <c r="Q133" s="6" t="s">
        <v>30</v>
      </c>
      <c r="R133" s="6" t="s">
        <v>31</v>
      </c>
      <c r="S133" s="6" t="s">
        <v>32</v>
      </c>
      <c r="T133" s="8">
        <v>8039.53</v>
      </c>
      <c r="U133" s="8">
        <v>3466.65</v>
      </c>
      <c r="V133" s="8">
        <v>3201.34</v>
      </c>
      <c r="W133" s="6">
        <v>0</v>
      </c>
      <c r="X133" s="6">
        <v>1371.54</v>
      </c>
    </row>
    <row r="134" spans="1:24" ht="24.75" x14ac:dyDescent="0.25">
      <c r="A134" s="6" t="s">
        <v>25</v>
      </c>
      <c r="B134" s="6" t="s">
        <v>26</v>
      </c>
      <c r="C134" s="6" t="s">
        <v>42</v>
      </c>
      <c r="D134" s="6" t="s">
        <v>43</v>
      </c>
      <c r="E134" s="6" t="s">
        <v>27</v>
      </c>
      <c r="F134" s="6" t="s">
        <v>89</v>
      </c>
      <c r="G134" s="6">
        <v>2016</v>
      </c>
      <c r="H134" s="6" t="str">
        <f>CONCATENATE("64240537619")</f>
        <v>64240537619</v>
      </c>
      <c r="I134" s="6" t="s">
        <v>28</v>
      </c>
      <c r="J134" s="6" t="s">
        <v>29</v>
      </c>
      <c r="K134" s="6" t="str">
        <f>CONCATENATE("")</f>
        <v/>
      </c>
      <c r="L134" s="6" t="str">
        <f>CONCATENATE("11 11.2 4b")</f>
        <v>11 11.2 4b</v>
      </c>
      <c r="M134" s="6" t="str">
        <f>CONCATENATE("FRRLCU49A41L191N")</f>
        <v>FRRLCU49A41L191N</v>
      </c>
      <c r="N134" s="6" t="s">
        <v>214</v>
      </c>
      <c r="O134" s="6"/>
      <c r="P134" s="7">
        <v>42879</v>
      </c>
      <c r="Q134" s="6" t="s">
        <v>30</v>
      </c>
      <c r="R134" s="6" t="s">
        <v>31</v>
      </c>
      <c r="S134" s="6" t="s">
        <v>32</v>
      </c>
      <c r="T134" s="8">
        <v>1626.3</v>
      </c>
      <c r="U134" s="6">
        <v>701.26</v>
      </c>
      <c r="V134" s="6">
        <v>647.59</v>
      </c>
      <c r="W134" s="6">
        <v>0</v>
      </c>
      <c r="X134" s="6">
        <v>277.45</v>
      </c>
    </row>
    <row r="135" spans="1:24" ht="24.75" x14ac:dyDescent="0.25">
      <c r="A135" s="6" t="s">
        <v>25</v>
      </c>
      <c r="B135" s="6" t="s">
        <v>26</v>
      </c>
      <c r="C135" s="6" t="s">
        <v>42</v>
      </c>
      <c r="D135" s="6" t="s">
        <v>46</v>
      </c>
      <c r="E135" s="6" t="s">
        <v>33</v>
      </c>
      <c r="F135" s="6" t="s">
        <v>59</v>
      </c>
      <c r="G135" s="6">
        <v>2016</v>
      </c>
      <c r="H135" s="6" t="str">
        <f>CONCATENATE("64210530297")</f>
        <v>64210530297</v>
      </c>
      <c r="I135" s="6" t="s">
        <v>28</v>
      </c>
      <c r="J135" s="6" t="s">
        <v>29</v>
      </c>
      <c r="K135" s="6" t="str">
        <f>CONCATENATE("")</f>
        <v/>
      </c>
      <c r="L135" s="6" t="str">
        <f>CONCATENATE("13 13.1 4a")</f>
        <v>13 13.1 4a</v>
      </c>
      <c r="M135" s="6" t="str">
        <f>CONCATENATE("CRNGNN83D20L500I")</f>
        <v>CRNGNN83D20L500I</v>
      </c>
      <c r="N135" s="6" t="s">
        <v>167</v>
      </c>
      <c r="O135" s="6"/>
      <c r="P135" s="7">
        <v>42879</v>
      </c>
      <c r="Q135" s="6" t="s">
        <v>30</v>
      </c>
      <c r="R135" s="6" t="s">
        <v>31</v>
      </c>
      <c r="S135" s="6" t="s">
        <v>32</v>
      </c>
      <c r="T135" s="8">
        <v>2125.7800000000002</v>
      </c>
      <c r="U135" s="6">
        <v>916.64</v>
      </c>
      <c r="V135" s="6">
        <v>846.49</v>
      </c>
      <c r="W135" s="6">
        <v>0</v>
      </c>
      <c r="X135" s="6">
        <v>362.65</v>
      </c>
    </row>
    <row r="136" spans="1:24" ht="24.75" x14ac:dyDescent="0.25">
      <c r="A136" s="6" t="s">
        <v>25</v>
      </c>
      <c r="B136" s="6" t="s">
        <v>26</v>
      </c>
      <c r="C136" s="6" t="s">
        <v>42</v>
      </c>
      <c r="D136" s="6" t="s">
        <v>49</v>
      </c>
      <c r="E136" s="6" t="s">
        <v>34</v>
      </c>
      <c r="F136" s="6" t="s">
        <v>72</v>
      </c>
      <c r="G136" s="6">
        <v>2016</v>
      </c>
      <c r="H136" s="6" t="str">
        <f>CONCATENATE("64240395687")</f>
        <v>64240395687</v>
      </c>
      <c r="I136" s="6" t="s">
        <v>28</v>
      </c>
      <c r="J136" s="6" t="s">
        <v>29</v>
      </c>
      <c r="K136" s="6" t="str">
        <f>CONCATENATE("")</f>
        <v/>
      </c>
      <c r="L136" s="6" t="str">
        <f>CONCATENATE("11 11.2 4b")</f>
        <v>11 11.2 4b</v>
      </c>
      <c r="M136" s="6" t="str">
        <f>CONCATENATE("VLPMLS59D68A462C")</f>
        <v>VLPMLS59D68A462C</v>
      </c>
      <c r="N136" s="6" t="s">
        <v>215</v>
      </c>
      <c r="O136" s="6"/>
      <c r="P136" s="7">
        <v>42879</v>
      </c>
      <c r="Q136" s="6" t="s">
        <v>30</v>
      </c>
      <c r="R136" s="6" t="s">
        <v>31</v>
      </c>
      <c r="S136" s="6" t="s">
        <v>32</v>
      </c>
      <c r="T136" s="8">
        <v>2339.16</v>
      </c>
      <c r="U136" s="8">
        <v>1008.65</v>
      </c>
      <c r="V136" s="6">
        <v>931.45</v>
      </c>
      <c r="W136" s="6">
        <v>0</v>
      </c>
      <c r="X136" s="6">
        <v>399.06</v>
      </c>
    </row>
    <row r="137" spans="1:24" ht="24.75" x14ac:dyDescent="0.25">
      <c r="A137" s="6" t="s">
        <v>25</v>
      </c>
      <c r="B137" s="6" t="s">
        <v>26</v>
      </c>
      <c r="C137" s="6" t="s">
        <v>42</v>
      </c>
      <c r="D137" s="6" t="s">
        <v>49</v>
      </c>
      <c r="E137" s="6" t="s">
        <v>37</v>
      </c>
      <c r="F137" s="6" t="s">
        <v>216</v>
      </c>
      <c r="G137" s="6">
        <v>2016</v>
      </c>
      <c r="H137" s="6" t="str">
        <f>CONCATENATE("64211092420")</f>
        <v>64211092420</v>
      </c>
      <c r="I137" s="6" t="s">
        <v>28</v>
      </c>
      <c r="J137" s="6" t="s">
        <v>29</v>
      </c>
      <c r="K137" s="6" t="str">
        <f>CONCATENATE("")</f>
        <v/>
      </c>
      <c r="L137" s="6" t="str">
        <f>CONCATENATE("13 13.1 4a")</f>
        <v>13 13.1 4a</v>
      </c>
      <c r="M137" s="6" t="str">
        <f>CONCATENATE("RTLDRN71E30H588D")</f>
        <v>RTLDRN71E30H588D</v>
      </c>
      <c r="N137" s="6" t="s">
        <v>217</v>
      </c>
      <c r="O137" s="6"/>
      <c r="P137" s="7">
        <v>42877</v>
      </c>
      <c r="Q137" s="6" t="s">
        <v>30</v>
      </c>
      <c r="R137" s="6" t="s">
        <v>31</v>
      </c>
      <c r="S137" s="6" t="s">
        <v>32</v>
      </c>
      <c r="T137" s="6">
        <v>517.72</v>
      </c>
      <c r="U137" s="6">
        <v>223.24</v>
      </c>
      <c r="V137" s="6">
        <v>206.16</v>
      </c>
      <c r="W137" s="6">
        <v>0</v>
      </c>
      <c r="X137" s="6">
        <v>88.32</v>
      </c>
    </row>
    <row r="138" spans="1:24" ht="24.75" x14ac:dyDescent="0.25">
      <c r="A138" s="6" t="s">
        <v>25</v>
      </c>
      <c r="B138" s="6" t="s">
        <v>26</v>
      </c>
      <c r="C138" s="6" t="s">
        <v>42</v>
      </c>
      <c r="D138" s="6" t="s">
        <v>46</v>
      </c>
      <c r="E138" s="6" t="s">
        <v>34</v>
      </c>
      <c r="F138" s="6" t="s">
        <v>67</v>
      </c>
      <c r="G138" s="6">
        <v>2016</v>
      </c>
      <c r="H138" s="6" t="str">
        <f>CONCATENATE("64240345351")</f>
        <v>64240345351</v>
      </c>
      <c r="I138" s="6" t="s">
        <v>28</v>
      </c>
      <c r="J138" s="6" t="s">
        <v>29</v>
      </c>
      <c r="K138" s="6" t="str">
        <f>CONCATENATE("")</f>
        <v/>
      </c>
      <c r="L138" s="6" t="str">
        <f>CONCATENATE("11 11.2 4b")</f>
        <v>11 11.2 4b</v>
      </c>
      <c r="M138" s="6" t="str">
        <f>CONCATENATE("RBNLGU29B22G479J")</f>
        <v>RBNLGU29B22G479J</v>
      </c>
      <c r="N138" s="6" t="s">
        <v>218</v>
      </c>
      <c r="O138" s="6"/>
      <c r="P138" s="7">
        <v>42879</v>
      </c>
      <c r="Q138" s="6" t="s">
        <v>30</v>
      </c>
      <c r="R138" s="6" t="s">
        <v>31</v>
      </c>
      <c r="S138" s="6" t="s">
        <v>32</v>
      </c>
      <c r="T138" s="8">
        <v>1674.14</v>
      </c>
      <c r="U138" s="6">
        <v>721.89</v>
      </c>
      <c r="V138" s="6">
        <v>666.64</v>
      </c>
      <c r="W138" s="6">
        <v>0</v>
      </c>
      <c r="X138" s="6">
        <v>285.61</v>
      </c>
    </row>
    <row r="139" spans="1:24" ht="24.75" x14ac:dyDescent="0.25">
      <c r="A139" s="6" t="s">
        <v>25</v>
      </c>
      <c r="B139" s="6" t="s">
        <v>26</v>
      </c>
      <c r="C139" s="6" t="s">
        <v>42</v>
      </c>
      <c r="D139" s="6" t="s">
        <v>46</v>
      </c>
      <c r="E139" s="6" t="s">
        <v>33</v>
      </c>
      <c r="F139" s="6" t="s">
        <v>59</v>
      </c>
      <c r="G139" s="6">
        <v>2016</v>
      </c>
      <c r="H139" s="6" t="str">
        <f>CONCATENATE("64210354573")</f>
        <v>64210354573</v>
      </c>
      <c r="I139" s="6" t="s">
        <v>28</v>
      </c>
      <c r="J139" s="6" t="s">
        <v>29</v>
      </c>
      <c r="K139" s="6" t="str">
        <f>CONCATENATE("")</f>
        <v/>
      </c>
      <c r="L139" s="6" t="str">
        <f>CONCATENATE("13 13.1 4a")</f>
        <v>13 13.1 4a</v>
      </c>
      <c r="M139" s="6" t="str">
        <f>CONCATENATE("MCCBRN56L05L500E")</f>
        <v>MCCBRN56L05L500E</v>
      </c>
      <c r="N139" s="6" t="s">
        <v>219</v>
      </c>
      <c r="O139" s="6"/>
      <c r="P139" s="7">
        <v>42879</v>
      </c>
      <c r="Q139" s="6" t="s">
        <v>30</v>
      </c>
      <c r="R139" s="6" t="s">
        <v>31</v>
      </c>
      <c r="S139" s="6" t="s">
        <v>32</v>
      </c>
      <c r="T139" s="8">
        <v>2059.91</v>
      </c>
      <c r="U139" s="6">
        <v>888.23</v>
      </c>
      <c r="V139" s="6">
        <v>820.26</v>
      </c>
      <c r="W139" s="6">
        <v>0</v>
      </c>
      <c r="X139" s="6">
        <v>351.42</v>
      </c>
    </row>
    <row r="140" spans="1:24" ht="24.75" x14ac:dyDescent="0.25">
      <c r="A140" s="6" t="s">
        <v>25</v>
      </c>
      <c r="B140" s="6" t="s">
        <v>26</v>
      </c>
      <c r="C140" s="6" t="s">
        <v>42</v>
      </c>
      <c r="D140" s="6" t="s">
        <v>46</v>
      </c>
      <c r="E140" s="6" t="s">
        <v>38</v>
      </c>
      <c r="F140" s="6" t="s">
        <v>140</v>
      </c>
      <c r="G140" s="6">
        <v>2016</v>
      </c>
      <c r="H140" s="6" t="str">
        <f>CONCATENATE("64211102393")</f>
        <v>64211102393</v>
      </c>
      <c r="I140" s="6" t="s">
        <v>28</v>
      </c>
      <c r="J140" s="6" t="s">
        <v>29</v>
      </c>
      <c r="K140" s="6" t="str">
        <f>CONCATENATE("")</f>
        <v/>
      </c>
      <c r="L140" s="6" t="str">
        <f>CONCATENATE("13 13.1 4a")</f>
        <v>13 13.1 4a</v>
      </c>
      <c r="M140" s="6" t="str">
        <f>CONCATENATE("MGGLNI58T51G479F")</f>
        <v>MGGLNI58T51G479F</v>
      </c>
      <c r="N140" s="6" t="s">
        <v>220</v>
      </c>
      <c r="O140" s="6"/>
      <c r="P140" s="7">
        <v>42879</v>
      </c>
      <c r="Q140" s="6" t="s">
        <v>30</v>
      </c>
      <c r="R140" s="6" t="s">
        <v>31</v>
      </c>
      <c r="S140" s="6" t="s">
        <v>32</v>
      </c>
      <c r="T140" s="6">
        <v>444.01</v>
      </c>
      <c r="U140" s="6">
        <v>191.46</v>
      </c>
      <c r="V140" s="6">
        <v>176.8</v>
      </c>
      <c r="W140" s="6">
        <v>0</v>
      </c>
      <c r="X140" s="6">
        <v>75.75</v>
      </c>
    </row>
    <row r="141" spans="1:24" ht="24.75" x14ac:dyDescent="0.25">
      <c r="A141" s="6" t="s">
        <v>25</v>
      </c>
      <c r="B141" s="6" t="s">
        <v>26</v>
      </c>
      <c r="C141" s="6" t="s">
        <v>42</v>
      </c>
      <c r="D141" s="6" t="s">
        <v>46</v>
      </c>
      <c r="E141" s="6" t="s">
        <v>27</v>
      </c>
      <c r="F141" s="6" t="s">
        <v>221</v>
      </c>
      <c r="G141" s="6">
        <v>2016</v>
      </c>
      <c r="H141" s="6" t="str">
        <f>CONCATENATE("64210669020")</f>
        <v>64210669020</v>
      </c>
      <c r="I141" s="6" t="s">
        <v>28</v>
      </c>
      <c r="J141" s="6" t="s">
        <v>29</v>
      </c>
      <c r="K141" s="6" t="str">
        <f>CONCATENATE("")</f>
        <v/>
      </c>
      <c r="L141" s="6" t="str">
        <f>CONCATENATE("13 13.1 4a")</f>
        <v>13 13.1 4a</v>
      </c>
      <c r="M141" s="6" t="str">
        <f>CONCATENATE("BRNGFR48D27E351C")</f>
        <v>BRNGFR48D27E351C</v>
      </c>
      <c r="N141" s="6" t="s">
        <v>222</v>
      </c>
      <c r="O141" s="6"/>
      <c r="P141" s="7">
        <v>42879</v>
      </c>
      <c r="Q141" s="6" t="s">
        <v>30</v>
      </c>
      <c r="R141" s="6" t="s">
        <v>31</v>
      </c>
      <c r="S141" s="6" t="s">
        <v>32</v>
      </c>
      <c r="T141" s="6">
        <v>678.79</v>
      </c>
      <c r="U141" s="6">
        <v>292.69</v>
      </c>
      <c r="V141" s="6">
        <v>270.29000000000002</v>
      </c>
      <c r="W141" s="6">
        <v>0</v>
      </c>
      <c r="X141" s="6">
        <v>115.81</v>
      </c>
    </row>
    <row r="142" spans="1:24" ht="24.75" x14ac:dyDescent="0.25">
      <c r="A142" s="6" t="s">
        <v>25</v>
      </c>
      <c r="B142" s="6" t="s">
        <v>26</v>
      </c>
      <c r="C142" s="6" t="s">
        <v>42</v>
      </c>
      <c r="D142" s="6" t="s">
        <v>46</v>
      </c>
      <c r="E142" s="6" t="s">
        <v>33</v>
      </c>
      <c r="F142" s="6" t="s">
        <v>59</v>
      </c>
      <c r="G142" s="6">
        <v>2016</v>
      </c>
      <c r="H142" s="6" t="str">
        <f>CONCATENATE("64210746182")</f>
        <v>64210746182</v>
      </c>
      <c r="I142" s="6" t="s">
        <v>28</v>
      </c>
      <c r="J142" s="6" t="s">
        <v>29</v>
      </c>
      <c r="K142" s="6" t="str">
        <f>CONCATENATE("")</f>
        <v/>
      </c>
      <c r="L142" s="6" t="str">
        <f>CONCATENATE("13 13.1 4a")</f>
        <v>13 13.1 4a</v>
      </c>
      <c r="M142" s="6" t="str">
        <f>CONCATENATE("PLTMTT81D07L500M")</f>
        <v>PLTMTT81D07L500M</v>
      </c>
      <c r="N142" s="6" t="s">
        <v>190</v>
      </c>
      <c r="O142" s="6"/>
      <c r="P142" s="7">
        <v>42879</v>
      </c>
      <c r="Q142" s="6" t="s">
        <v>30</v>
      </c>
      <c r="R142" s="6" t="s">
        <v>31</v>
      </c>
      <c r="S142" s="6" t="s">
        <v>32</v>
      </c>
      <c r="T142" s="8">
        <v>5400</v>
      </c>
      <c r="U142" s="8">
        <v>2328.48</v>
      </c>
      <c r="V142" s="8">
        <v>2150.2800000000002</v>
      </c>
      <c r="W142" s="6">
        <v>0</v>
      </c>
      <c r="X142" s="6">
        <v>921.24</v>
      </c>
    </row>
    <row r="143" spans="1:24" ht="24.75" x14ac:dyDescent="0.25">
      <c r="A143" s="6" t="s">
        <v>25</v>
      </c>
      <c r="B143" s="6" t="s">
        <v>26</v>
      </c>
      <c r="C143" s="6" t="s">
        <v>42</v>
      </c>
      <c r="D143" s="6" t="s">
        <v>53</v>
      </c>
      <c r="E143" s="6" t="s">
        <v>27</v>
      </c>
      <c r="F143" s="6" t="s">
        <v>74</v>
      </c>
      <c r="G143" s="6">
        <v>2016</v>
      </c>
      <c r="H143" s="6" t="str">
        <f>CONCATENATE("64210982928")</f>
        <v>64210982928</v>
      </c>
      <c r="I143" s="6" t="s">
        <v>28</v>
      </c>
      <c r="J143" s="6" t="s">
        <v>29</v>
      </c>
      <c r="K143" s="6" t="str">
        <f>CONCATENATE("")</f>
        <v/>
      </c>
      <c r="L143" s="6" t="str">
        <f>CONCATENATE("13 13.1 4a")</f>
        <v>13 13.1 4a</v>
      </c>
      <c r="M143" s="6" t="str">
        <f>CONCATENATE("FRRGPP60D45I461U")</f>
        <v>FRRGPP60D45I461U</v>
      </c>
      <c r="N143" s="6" t="s">
        <v>223</v>
      </c>
      <c r="O143" s="6"/>
      <c r="P143" s="7">
        <v>42879</v>
      </c>
      <c r="Q143" s="6" t="s">
        <v>30</v>
      </c>
      <c r="R143" s="6" t="s">
        <v>31</v>
      </c>
      <c r="S143" s="6" t="s">
        <v>32</v>
      </c>
      <c r="T143" s="6">
        <v>627.77</v>
      </c>
      <c r="U143" s="6">
        <v>270.69</v>
      </c>
      <c r="V143" s="6">
        <v>249.98</v>
      </c>
      <c r="W143" s="6">
        <v>0</v>
      </c>
      <c r="X143" s="6">
        <v>107.1</v>
      </c>
    </row>
    <row r="144" spans="1:24" ht="24.75" x14ac:dyDescent="0.25">
      <c r="A144" s="6" t="s">
        <v>25</v>
      </c>
      <c r="B144" s="6" t="s">
        <v>26</v>
      </c>
      <c r="C144" s="6" t="s">
        <v>42</v>
      </c>
      <c r="D144" s="6" t="s">
        <v>49</v>
      </c>
      <c r="E144" s="6" t="s">
        <v>27</v>
      </c>
      <c r="F144" s="6" t="s">
        <v>76</v>
      </c>
      <c r="G144" s="6">
        <v>2016</v>
      </c>
      <c r="H144" s="6" t="str">
        <f>CONCATENATE("64210495418")</f>
        <v>64210495418</v>
      </c>
      <c r="I144" s="6" t="s">
        <v>28</v>
      </c>
      <c r="J144" s="6" t="s">
        <v>29</v>
      </c>
      <c r="K144" s="6" t="str">
        <f>CONCATENATE("")</f>
        <v/>
      </c>
      <c r="L144" s="6" t="str">
        <f>CONCATENATE("13 13.1 4a")</f>
        <v>13 13.1 4a</v>
      </c>
      <c r="M144" s="6" t="str">
        <f>CONCATENATE("FBNNZR64M16H588F")</f>
        <v>FBNNZR64M16H588F</v>
      </c>
      <c r="N144" s="6" t="s">
        <v>224</v>
      </c>
      <c r="O144" s="6"/>
      <c r="P144" s="7">
        <v>42879</v>
      </c>
      <c r="Q144" s="6" t="s">
        <v>30</v>
      </c>
      <c r="R144" s="6" t="s">
        <v>31</v>
      </c>
      <c r="S144" s="6" t="s">
        <v>32</v>
      </c>
      <c r="T144" s="8">
        <v>1445.76</v>
      </c>
      <c r="U144" s="6">
        <v>623.41</v>
      </c>
      <c r="V144" s="6">
        <v>575.70000000000005</v>
      </c>
      <c r="W144" s="6">
        <v>0</v>
      </c>
      <c r="X144" s="6">
        <v>246.65</v>
      </c>
    </row>
    <row r="145" spans="1:24" ht="24.75" x14ac:dyDescent="0.25">
      <c r="A145" s="6" t="s">
        <v>25</v>
      </c>
      <c r="B145" s="6" t="s">
        <v>26</v>
      </c>
      <c r="C145" s="6" t="s">
        <v>42</v>
      </c>
      <c r="D145" s="6" t="s">
        <v>43</v>
      </c>
      <c r="E145" s="6" t="s">
        <v>27</v>
      </c>
      <c r="F145" s="6" t="s">
        <v>44</v>
      </c>
      <c r="G145" s="6">
        <v>2016</v>
      </c>
      <c r="H145" s="6" t="str">
        <f>CONCATENATE("64210538522")</f>
        <v>64210538522</v>
      </c>
      <c r="I145" s="6" t="s">
        <v>28</v>
      </c>
      <c r="J145" s="6" t="s">
        <v>29</v>
      </c>
      <c r="K145" s="6" t="str">
        <f>CONCATENATE("")</f>
        <v/>
      </c>
      <c r="L145" s="6" t="str">
        <f>CONCATENATE("13 13.1 4a")</f>
        <v>13 13.1 4a</v>
      </c>
      <c r="M145" s="6" t="str">
        <f>CONCATENATE("BFRMRA66C71F051Z")</f>
        <v>BFRMRA66C71F051Z</v>
      </c>
      <c r="N145" s="6" t="s">
        <v>225</v>
      </c>
      <c r="O145" s="6"/>
      <c r="P145" s="7">
        <v>42879</v>
      </c>
      <c r="Q145" s="6" t="s">
        <v>30</v>
      </c>
      <c r="R145" s="6" t="s">
        <v>31</v>
      </c>
      <c r="S145" s="6" t="s">
        <v>32</v>
      </c>
      <c r="T145" s="8">
        <v>1152.5</v>
      </c>
      <c r="U145" s="6">
        <v>496.96</v>
      </c>
      <c r="V145" s="6">
        <v>458.93</v>
      </c>
      <c r="W145" s="6">
        <v>0</v>
      </c>
      <c r="X145" s="6">
        <v>196.61</v>
      </c>
    </row>
    <row r="146" spans="1:24" ht="24.75" x14ac:dyDescent="0.25">
      <c r="A146" s="6" t="s">
        <v>25</v>
      </c>
      <c r="B146" s="6" t="s">
        <v>26</v>
      </c>
      <c r="C146" s="6" t="s">
        <v>42</v>
      </c>
      <c r="D146" s="6" t="s">
        <v>46</v>
      </c>
      <c r="E146" s="6" t="s">
        <v>40</v>
      </c>
      <c r="F146" s="6" t="s">
        <v>126</v>
      </c>
      <c r="G146" s="6">
        <v>2016</v>
      </c>
      <c r="H146" s="6" t="str">
        <f>CONCATENATE("64210872103")</f>
        <v>64210872103</v>
      </c>
      <c r="I146" s="6" t="s">
        <v>28</v>
      </c>
      <c r="J146" s="6" t="s">
        <v>29</v>
      </c>
      <c r="K146" s="6" t="str">
        <f>CONCATENATE("")</f>
        <v/>
      </c>
      <c r="L146" s="6" t="str">
        <f>CONCATENATE("13 13.1 4a")</f>
        <v>13 13.1 4a</v>
      </c>
      <c r="M146" s="6" t="str">
        <f>CONCATENATE("MNCDNL71E11L081O")</f>
        <v>MNCDNL71E11L081O</v>
      </c>
      <c r="N146" s="6" t="s">
        <v>127</v>
      </c>
      <c r="O146" s="6"/>
      <c r="P146" s="7">
        <v>42879</v>
      </c>
      <c r="Q146" s="6" t="s">
        <v>30</v>
      </c>
      <c r="R146" s="6" t="s">
        <v>31</v>
      </c>
      <c r="S146" s="6" t="s">
        <v>32</v>
      </c>
      <c r="T146" s="8">
        <v>1308.49</v>
      </c>
      <c r="U146" s="6">
        <v>564.22</v>
      </c>
      <c r="V146" s="6">
        <v>521.04</v>
      </c>
      <c r="W146" s="6">
        <v>0</v>
      </c>
      <c r="X146" s="6">
        <v>223.23</v>
      </c>
    </row>
    <row r="147" spans="1:24" ht="24.75" x14ac:dyDescent="0.25">
      <c r="A147" s="6" t="s">
        <v>25</v>
      </c>
      <c r="B147" s="6" t="s">
        <v>26</v>
      </c>
      <c r="C147" s="6" t="s">
        <v>42</v>
      </c>
      <c r="D147" s="6" t="s">
        <v>46</v>
      </c>
      <c r="E147" s="6" t="s">
        <v>34</v>
      </c>
      <c r="F147" s="6" t="s">
        <v>67</v>
      </c>
      <c r="G147" s="6">
        <v>2016</v>
      </c>
      <c r="H147" s="6" t="str">
        <f>CONCATENATE("64240253241")</f>
        <v>64240253241</v>
      </c>
      <c r="I147" s="6" t="s">
        <v>28</v>
      </c>
      <c r="J147" s="6" t="s">
        <v>29</v>
      </c>
      <c r="K147" s="6" t="str">
        <f>CONCATENATE("")</f>
        <v/>
      </c>
      <c r="L147" s="6" t="str">
        <f>CONCATENATE("11 11.2 4b")</f>
        <v>11 11.2 4b</v>
      </c>
      <c r="M147" s="6" t="str">
        <f>CONCATENATE("FRRLSN62A68G479E")</f>
        <v>FRRLSN62A68G479E</v>
      </c>
      <c r="N147" s="6" t="s">
        <v>226</v>
      </c>
      <c r="O147" s="6"/>
      <c r="P147" s="7">
        <v>42879</v>
      </c>
      <c r="Q147" s="6" t="s">
        <v>30</v>
      </c>
      <c r="R147" s="6" t="s">
        <v>31</v>
      </c>
      <c r="S147" s="6" t="s">
        <v>32</v>
      </c>
      <c r="T147" s="6">
        <v>924.53</v>
      </c>
      <c r="U147" s="6">
        <v>398.66</v>
      </c>
      <c r="V147" s="6">
        <v>368.15</v>
      </c>
      <c r="W147" s="6">
        <v>0</v>
      </c>
      <c r="X147" s="6">
        <v>157.72</v>
      </c>
    </row>
    <row r="148" spans="1:24" ht="24.75" x14ac:dyDescent="0.25">
      <c r="A148" s="6" t="s">
        <v>25</v>
      </c>
      <c r="B148" s="6" t="s">
        <v>26</v>
      </c>
      <c r="C148" s="6" t="s">
        <v>42</v>
      </c>
      <c r="D148" s="6" t="s">
        <v>46</v>
      </c>
      <c r="E148" s="6" t="s">
        <v>33</v>
      </c>
      <c r="F148" s="6" t="s">
        <v>59</v>
      </c>
      <c r="G148" s="6">
        <v>2016</v>
      </c>
      <c r="H148" s="6" t="str">
        <f>CONCATENATE("64210625493")</f>
        <v>64210625493</v>
      </c>
      <c r="I148" s="6" t="s">
        <v>35</v>
      </c>
      <c r="J148" s="6" t="s">
        <v>29</v>
      </c>
      <c r="K148" s="6" t="str">
        <f>CONCATENATE("")</f>
        <v/>
      </c>
      <c r="L148" s="6" t="str">
        <f>CONCATENATE("13 13.1 4a")</f>
        <v>13 13.1 4a</v>
      </c>
      <c r="M148" s="6" t="str">
        <f>CONCATENATE("CCCGLN71T01I459G")</f>
        <v>CCCGLN71T01I459G</v>
      </c>
      <c r="N148" s="6" t="s">
        <v>227</v>
      </c>
      <c r="O148" s="6"/>
      <c r="P148" s="7">
        <v>42879</v>
      </c>
      <c r="Q148" s="6" t="s">
        <v>30</v>
      </c>
      <c r="R148" s="6" t="s">
        <v>31</v>
      </c>
      <c r="S148" s="6" t="s">
        <v>32</v>
      </c>
      <c r="T148" s="8">
        <v>2199.48</v>
      </c>
      <c r="U148" s="6">
        <v>948.42</v>
      </c>
      <c r="V148" s="6">
        <v>875.83</v>
      </c>
      <c r="W148" s="6">
        <v>0</v>
      </c>
      <c r="X148" s="6">
        <v>375.23</v>
      </c>
    </row>
    <row r="149" spans="1:24" ht="24.75" x14ac:dyDescent="0.25">
      <c r="A149" s="6" t="s">
        <v>25</v>
      </c>
      <c r="B149" s="6" t="s">
        <v>26</v>
      </c>
      <c r="C149" s="6" t="s">
        <v>42</v>
      </c>
      <c r="D149" s="6" t="s">
        <v>53</v>
      </c>
      <c r="E149" s="6" t="s">
        <v>33</v>
      </c>
      <c r="F149" s="6" t="s">
        <v>228</v>
      </c>
      <c r="G149" s="6">
        <v>2016</v>
      </c>
      <c r="H149" s="6" t="str">
        <f>CONCATENATE("64240485710")</f>
        <v>64240485710</v>
      </c>
      <c r="I149" s="6" t="s">
        <v>28</v>
      </c>
      <c r="J149" s="6" t="s">
        <v>29</v>
      </c>
      <c r="K149" s="6" t="str">
        <f>CONCATENATE("")</f>
        <v/>
      </c>
      <c r="L149" s="6" t="str">
        <f>CONCATENATE("11 11.2 4b")</f>
        <v>11 11.2 4b</v>
      </c>
      <c r="M149" s="6" t="str">
        <f>CONCATENATE("BGNCLD64E27F205B")</f>
        <v>BGNCLD64E27F205B</v>
      </c>
      <c r="N149" s="6" t="s">
        <v>229</v>
      </c>
      <c r="O149" s="6"/>
      <c r="P149" s="7">
        <v>42879</v>
      </c>
      <c r="Q149" s="6" t="s">
        <v>30</v>
      </c>
      <c r="R149" s="6" t="s">
        <v>31</v>
      </c>
      <c r="S149" s="6" t="s">
        <v>32</v>
      </c>
      <c r="T149" s="8">
        <v>4379.63</v>
      </c>
      <c r="U149" s="8">
        <v>1888.5</v>
      </c>
      <c r="V149" s="8">
        <v>1743.97</v>
      </c>
      <c r="W149" s="6">
        <v>0</v>
      </c>
      <c r="X149" s="6">
        <v>747.16</v>
      </c>
    </row>
    <row r="150" spans="1:24" ht="24.75" x14ac:dyDescent="0.25">
      <c r="A150" s="6" t="s">
        <v>25</v>
      </c>
      <c r="B150" s="6" t="s">
        <v>26</v>
      </c>
      <c r="C150" s="6" t="s">
        <v>42</v>
      </c>
      <c r="D150" s="6" t="s">
        <v>49</v>
      </c>
      <c r="E150" s="6" t="s">
        <v>27</v>
      </c>
      <c r="F150" s="6" t="s">
        <v>76</v>
      </c>
      <c r="G150" s="6">
        <v>2016</v>
      </c>
      <c r="H150" s="6" t="str">
        <f>CONCATENATE("64210503088")</f>
        <v>64210503088</v>
      </c>
      <c r="I150" s="6" t="s">
        <v>28</v>
      </c>
      <c r="J150" s="6" t="s">
        <v>29</v>
      </c>
      <c r="K150" s="6" t="str">
        <f>CONCATENATE("")</f>
        <v/>
      </c>
      <c r="L150" s="6" t="str">
        <f>CONCATENATE("13 13.1 4a")</f>
        <v>13 13.1 4a</v>
      </c>
      <c r="M150" s="6" t="str">
        <f>CONCATENATE("SNTGRL64T09A437R")</f>
        <v>SNTGRL64T09A437R</v>
      </c>
      <c r="N150" s="6" t="s">
        <v>100</v>
      </c>
      <c r="O150" s="6"/>
      <c r="P150" s="7">
        <v>42879</v>
      </c>
      <c r="Q150" s="6" t="s">
        <v>30</v>
      </c>
      <c r="R150" s="6" t="s">
        <v>31</v>
      </c>
      <c r="S150" s="6" t="s">
        <v>32</v>
      </c>
      <c r="T150" s="8">
        <v>2556.29</v>
      </c>
      <c r="U150" s="8">
        <v>1102.27</v>
      </c>
      <c r="V150" s="8">
        <v>1017.91</v>
      </c>
      <c r="W150" s="6">
        <v>0</v>
      </c>
      <c r="X150" s="6">
        <v>436.11</v>
      </c>
    </row>
    <row r="151" spans="1:24" ht="24.75" x14ac:dyDescent="0.25">
      <c r="A151" s="6" t="s">
        <v>25</v>
      </c>
      <c r="B151" s="6" t="s">
        <v>26</v>
      </c>
      <c r="C151" s="6" t="s">
        <v>42</v>
      </c>
      <c r="D151" s="6" t="s">
        <v>46</v>
      </c>
      <c r="E151" s="6" t="s">
        <v>27</v>
      </c>
      <c r="F151" s="6" t="s">
        <v>150</v>
      </c>
      <c r="G151" s="6">
        <v>2016</v>
      </c>
      <c r="H151" s="6" t="str">
        <f>CONCATENATE("64210745010")</f>
        <v>64210745010</v>
      </c>
      <c r="I151" s="6" t="s">
        <v>28</v>
      </c>
      <c r="J151" s="6" t="s">
        <v>29</v>
      </c>
      <c r="K151" s="6" t="str">
        <f>CONCATENATE("")</f>
        <v/>
      </c>
      <c r="L151" s="6" t="str">
        <f>CONCATENATE("13 13.1 4a")</f>
        <v>13 13.1 4a</v>
      </c>
      <c r="M151" s="6" t="str">
        <f>CONCATENATE("00654310416")</f>
        <v>00654310416</v>
      </c>
      <c r="N151" s="6" t="s">
        <v>230</v>
      </c>
      <c r="O151" s="6"/>
      <c r="P151" s="7">
        <v>42879</v>
      </c>
      <c r="Q151" s="6" t="s">
        <v>30</v>
      </c>
      <c r="R151" s="6" t="s">
        <v>31</v>
      </c>
      <c r="S151" s="6" t="s">
        <v>32</v>
      </c>
      <c r="T151" s="8">
        <v>1332.94</v>
      </c>
      <c r="U151" s="6">
        <v>574.76</v>
      </c>
      <c r="V151" s="6">
        <v>530.78</v>
      </c>
      <c r="W151" s="6">
        <v>0</v>
      </c>
      <c r="X151" s="6">
        <v>227.4</v>
      </c>
    </row>
    <row r="152" spans="1:24" ht="24.75" x14ac:dyDescent="0.25">
      <c r="A152" s="6" t="s">
        <v>25</v>
      </c>
      <c r="B152" s="6" t="s">
        <v>26</v>
      </c>
      <c r="C152" s="6" t="s">
        <v>42</v>
      </c>
      <c r="D152" s="6" t="s">
        <v>49</v>
      </c>
      <c r="E152" s="6" t="s">
        <v>27</v>
      </c>
      <c r="F152" s="6" t="s">
        <v>76</v>
      </c>
      <c r="G152" s="6">
        <v>2016</v>
      </c>
      <c r="H152" s="6" t="str">
        <f>CONCATENATE("64210934457")</f>
        <v>64210934457</v>
      </c>
      <c r="I152" s="6" t="s">
        <v>28</v>
      </c>
      <c r="J152" s="6" t="s">
        <v>29</v>
      </c>
      <c r="K152" s="6" t="str">
        <f>CONCATENATE("")</f>
        <v/>
      </c>
      <c r="L152" s="6" t="str">
        <f>CONCATENATE("13 13.1 4a")</f>
        <v>13 13.1 4a</v>
      </c>
      <c r="M152" s="6" t="str">
        <f>CONCATENATE("MSSMRT73M59H501P")</f>
        <v>MSSMRT73M59H501P</v>
      </c>
      <c r="N152" s="6" t="s">
        <v>231</v>
      </c>
      <c r="O152" s="6"/>
      <c r="P152" s="7">
        <v>42879</v>
      </c>
      <c r="Q152" s="6" t="s">
        <v>30</v>
      </c>
      <c r="R152" s="6" t="s">
        <v>31</v>
      </c>
      <c r="S152" s="6" t="s">
        <v>32</v>
      </c>
      <c r="T152" s="6">
        <v>364.99</v>
      </c>
      <c r="U152" s="6">
        <v>157.38</v>
      </c>
      <c r="V152" s="6">
        <v>145.34</v>
      </c>
      <c r="W152" s="6">
        <v>0</v>
      </c>
      <c r="X152" s="6">
        <v>62.27</v>
      </c>
    </row>
    <row r="153" spans="1:24" ht="24.75" x14ac:dyDescent="0.25">
      <c r="A153" s="6" t="s">
        <v>25</v>
      </c>
      <c r="B153" s="6" t="s">
        <v>26</v>
      </c>
      <c r="C153" s="6" t="s">
        <v>42</v>
      </c>
      <c r="D153" s="6" t="s">
        <v>53</v>
      </c>
      <c r="E153" s="6" t="s">
        <v>34</v>
      </c>
      <c r="F153" s="6" t="s">
        <v>232</v>
      </c>
      <c r="G153" s="6">
        <v>2016</v>
      </c>
      <c r="H153" s="6" t="str">
        <f>CONCATENATE("64240611364")</f>
        <v>64240611364</v>
      </c>
      <c r="I153" s="6" t="s">
        <v>28</v>
      </c>
      <c r="J153" s="6" t="s">
        <v>29</v>
      </c>
      <c r="K153" s="6" t="str">
        <f>CONCATENATE("")</f>
        <v/>
      </c>
      <c r="L153" s="6" t="str">
        <f>CONCATENATE("11 11.2 4b")</f>
        <v>11 11.2 4b</v>
      </c>
      <c r="M153" s="6" t="str">
        <f>CONCATENATE("LDZMRC56S04E388A")</f>
        <v>LDZMRC56S04E388A</v>
      </c>
      <c r="N153" s="6" t="s">
        <v>233</v>
      </c>
      <c r="O153" s="6"/>
      <c r="P153" s="7">
        <v>42877</v>
      </c>
      <c r="Q153" s="6" t="s">
        <v>30</v>
      </c>
      <c r="R153" s="6" t="s">
        <v>31</v>
      </c>
      <c r="S153" s="6" t="s">
        <v>32</v>
      </c>
      <c r="T153" s="8">
        <v>17189.810000000001</v>
      </c>
      <c r="U153" s="8">
        <v>7412.25</v>
      </c>
      <c r="V153" s="8">
        <v>6844.98</v>
      </c>
      <c r="W153" s="6">
        <v>0</v>
      </c>
      <c r="X153" s="6">
        <v>2932.58</v>
      </c>
    </row>
    <row r="154" spans="1:24" ht="24.75" x14ac:dyDescent="0.25">
      <c r="A154" s="6" t="s">
        <v>25</v>
      </c>
      <c r="B154" s="6" t="s">
        <v>26</v>
      </c>
      <c r="C154" s="6" t="s">
        <v>42</v>
      </c>
      <c r="D154" s="6" t="s">
        <v>43</v>
      </c>
      <c r="E154" s="6" t="s">
        <v>33</v>
      </c>
      <c r="F154" s="6" t="s">
        <v>234</v>
      </c>
      <c r="G154" s="6">
        <v>2016</v>
      </c>
      <c r="H154" s="6" t="str">
        <f>CONCATENATE("64240674552")</f>
        <v>64240674552</v>
      </c>
      <c r="I154" s="6" t="s">
        <v>28</v>
      </c>
      <c r="J154" s="6" t="s">
        <v>29</v>
      </c>
      <c r="K154" s="6" t="str">
        <f>CONCATENATE("")</f>
        <v/>
      </c>
      <c r="L154" s="6" t="str">
        <f>CONCATENATE("11 11.2 4b")</f>
        <v>11 11.2 4b</v>
      </c>
      <c r="M154" s="6" t="str">
        <f>CONCATENATE("LNCFRC87A26L191X")</f>
        <v>LNCFRC87A26L191X</v>
      </c>
      <c r="N154" s="6" t="s">
        <v>235</v>
      </c>
      <c r="O154" s="6"/>
      <c r="P154" s="7">
        <v>42879</v>
      </c>
      <c r="Q154" s="6" t="s">
        <v>30</v>
      </c>
      <c r="R154" s="6" t="s">
        <v>31</v>
      </c>
      <c r="S154" s="6" t="s">
        <v>32</v>
      </c>
      <c r="T154" s="6">
        <v>881.82</v>
      </c>
      <c r="U154" s="6">
        <v>380.24</v>
      </c>
      <c r="V154" s="6">
        <v>351.14</v>
      </c>
      <c r="W154" s="6">
        <v>0</v>
      </c>
      <c r="X154" s="6">
        <v>150.44</v>
      </c>
    </row>
    <row r="155" spans="1:24" ht="24.75" x14ac:dyDescent="0.25">
      <c r="A155" s="6" t="s">
        <v>25</v>
      </c>
      <c r="B155" s="6" t="s">
        <v>26</v>
      </c>
      <c r="C155" s="6" t="s">
        <v>42</v>
      </c>
      <c r="D155" s="6" t="s">
        <v>46</v>
      </c>
      <c r="E155" s="6" t="s">
        <v>38</v>
      </c>
      <c r="F155" s="6" t="s">
        <v>140</v>
      </c>
      <c r="G155" s="6">
        <v>2016</v>
      </c>
      <c r="H155" s="6" t="str">
        <f>CONCATENATE("64240536041")</f>
        <v>64240536041</v>
      </c>
      <c r="I155" s="6" t="s">
        <v>28</v>
      </c>
      <c r="J155" s="6" t="s">
        <v>29</v>
      </c>
      <c r="K155" s="6" t="str">
        <f>CONCATENATE("")</f>
        <v/>
      </c>
      <c r="L155" s="6" t="str">
        <f>CONCATENATE("11 11.1 4b")</f>
        <v>11 11.1 4b</v>
      </c>
      <c r="M155" s="6" t="str">
        <f>CONCATENATE("TLNMTT78B04G479L")</f>
        <v>TLNMTT78B04G479L</v>
      </c>
      <c r="N155" s="6" t="s">
        <v>236</v>
      </c>
      <c r="O155" s="6"/>
      <c r="P155" s="7">
        <v>42879</v>
      </c>
      <c r="Q155" s="6" t="s">
        <v>30</v>
      </c>
      <c r="R155" s="6" t="s">
        <v>31</v>
      </c>
      <c r="S155" s="6" t="s">
        <v>32</v>
      </c>
      <c r="T155" s="8">
        <v>2800.37</v>
      </c>
      <c r="U155" s="8">
        <v>1207.52</v>
      </c>
      <c r="V155" s="8">
        <v>1115.1099999999999</v>
      </c>
      <c r="W155" s="6">
        <v>0</v>
      </c>
      <c r="X155" s="6">
        <v>477.74</v>
      </c>
    </row>
    <row r="156" spans="1:24" ht="24.75" x14ac:dyDescent="0.25">
      <c r="A156" s="6" t="s">
        <v>25</v>
      </c>
      <c r="B156" s="6" t="s">
        <v>26</v>
      </c>
      <c r="C156" s="6" t="s">
        <v>42</v>
      </c>
      <c r="D156" s="6" t="s">
        <v>43</v>
      </c>
      <c r="E156" s="6" t="s">
        <v>27</v>
      </c>
      <c r="F156" s="6" t="s">
        <v>44</v>
      </c>
      <c r="G156" s="6">
        <v>2016</v>
      </c>
      <c r="H156" s="6" t="str">
        <f>CONCATENATE("64210588147")</f>
        <v>64210588147</v>
      </c>
      <c r="I156" s="6" t="s">
        <v>28</v>
      </c>
      <c r="J156" s="6" t="s">
        <v>29</v>
      </c>
      <c r="K156" s="6" t="str">
        <f>CONCATENATE("")</f>
        <v/>
      </c>
      <c r="L156" s="6" t="str">
        <f>CONCATENATE("13 13.1 4a")</f>
        <v>13 13.1 4a</v>
      </c>
      <c r="M156" s="6" t="str">
        <f>CONCATENATE("PGLCRL49P29D429J")</f>
        <v>PGLCRL49P29D429J</v>
      </c>
      <c r="N156" s="6" t="s">
        <v>237</v>
      </c>
      <c r="O156" s="6"/>
      <c r="P156" s="7">
        <v>42879</v>
      </c>
      <c r="Q156" s="6" t="s">
        <v>30</v>
      </c>
      <c r="R156" s="6" t="s">
        <v>31</v>
      </c>
      <c r="S156" s="6" t="s">
        <v>32</v>
      </c>
      <c r="T156" s="6">
        <v>401.3</v>
      </c>
      <c r="U156" s="6">
        <v>173.04</v>
      </c>
      <c r="V156" s="6">
        <v>159.80000000000001</v>
      </c>
      <c r="W156" s="6">
        <v>0</v>
      </c>
      <c r="X156" s="6">
        <v>68.459999999999994</v>
      </c>
    </row>
    <row r="157" spans="1:24" ht="24.75" x14ac:dyDescent="0.25">
      <c r="A157" s="6" t="s">
        <v>25</v>
      </c>
      <c r="B157" s="6" t="s">
        <v>26</v>
      </c>
      <c r="C157" s="6" t="s">
        <v>42</v>
      </c>
      <c r="D157" s="6" t="s">
        <v>53</v>
      </c>
      <c r="E157" s="6" t="s">
        <v>27</v>
      </c>
      <c r="F157" s="6" t="s">
        <v>54</v>
      </c>
      <c r="G157" s="6">
        <v>2016</v>
      </c>
      <c r="H157" s="6" t="str">
        <f>CONCATENATE("64210993628")</f>
        <v>64210993628</v>
      </c>
      <c r="I157" s="6" t="s">
        <v>28</v>
      </c>
      <c r="J157" s="6" t="s">
        <v>29</v>
      </c>
      <c r="K157" s="6" t="str">
        <f>CONCATENATE("")</f>
        <v/>
      </c>
      <c r="L157" s="6" t="str">
        <f>CONCATENATE("13 13.1 4a")</f>
        <v>13 13.1 4a</v>
      </c>
      <c r="M157" s="6" t="str">
        <f>CONCATENATE("VTLFNC54R64A329A")</f>
        <v>VTLFNC54R64A329A</v>
      </c>
      <c r="N157" s="6" t="s">
        <v>238</v>
      </c>
      <c r="O157" s="6"/>
      <c r="P157" s="7">
        <v>42879</v>
      </c>
      <c r="Q157" s="6" t="s">
        <v>30</v>
      </c>
      <c r="R157" s="6" t="s">
        <v>31</v>
      </c>
      <c r="S157" s="6" t="s">
        <v>32</v>
      </c>
      <c r="T157" s="6">
        <v>575.52</v>
      </c>
      <c r="U157" s="6">
        <v>248.16</v>
      </c>
      <c r="V157" s="6">
        <v>229.17</v>
      </c>
      <c r="W157" s="6">
        <v>0</v>
      </c>
      <c r="X157" s="6">
        <v>98.19</v>
      </c>
    </row>
    <row r="158" spans="1:24" ht="24.75" x14ac:dyDescent="0.25">
      <c r="A158" s="6" t="s">
        <v>25</v>
      </c>
      <c r="B158" s="6" t="s">
        <v>26</v>
      </c>
      <c r="C158" s="6" t="s">
        <v>42</v>
      </c>
      <c r="D158" s="6" t="s">
        <v>46</v>
      </c>
      <c r="E158" s="6" t="s">
        <v>33</v>
      </c>
      <c r="F158" s="6" t="s">
        <v>59</v>
      </c>
      <c r="G158" s="6">
        <v>2016</v>
      </c>
      <c r="H158" s="6" t="str">
        <f>CONCATENATE("64210426512")</f>
        <v>64210426512</v>
      </c>
      <c r="I158" s="6" t="s">
        <v>28</v>
      </c>
      <c r="J158" s="6" t="s">
        <v>29</v>
      </c>
      <c r="K158" s="6" t="str">
        <f>CONCATENATE("")</f>
        <v/>
      </c>
      <c r="L158" s="6" t="str">
        <f>CONCATENATE("13 13.1 4a")</f>
        <v>13 13.1 4a</v>
      </c>
      <c r="M158" s="6" t="str">
        <f>CONCATENATE("VCHWTR75E13L500Q")</f>
        <v>VCHWTR75E13L500Q</v>
      </c>
      <c r="N158" s="6" t="s">
        <v>239</v>
      </c>
      <c r="O158" s="6"/>
      <c r="P158" s="7">
        <v>42879</v>
      </c>
      <c r="Q158" s="6" t="s">
        <v>30</v>
      </c>
      <c r="R158" s="6" t="s">
        <v>31</v>
      </c>
      <c r="S158" s="6" t="s">
        <v>32</v>
      </c>
      <c r="T158" s="8">
        <v>1735.27</v>
      </c>
      <c r="U158" s="6">
        <v>748.25</v>
      </c>
      <c r="V158" s="6">
        <v>690.98</v>
      </c>
      <c r="W158" s="6">
        <v>0</v>
      </c>
      <c r="X158" s="6">
        <v>296.04000000000002</v>
      </c>
    </row>
    <row r="159" spans="1:24" ht="24.75" x14ac:dyDescent="0.25">
      <c r="A159" s="6" t="s">
        <v>25</v>
      </c>
      <c r="B159" s="6" t="s">
        <v>26</v>
      </c>
      <c r="C159" s="6" t="s">
        <v>42</v>
      </c>
      <c r="D159" s="6" t="s">
        <v>46</v>
      </c>
      <c r="E159" s="6" t="s">
        <v>27</v>
      </c>
      <c r="F159" s="6" t="s">
        <v>240</v>
      </c>
      <c r="G159" s="6">
        <v>2016</v>
      </c>
      <c r="H159" s="6" t="str">
        <f>CONCATENATE("64211062217")</f>
        <v>64211062217</v>
      </c>
      <c r="I159" s="6" t="s">
        <v>28</v>
      </c>
      <c r="J159" s="6" t="s">
        <v>29</v>
      </c>
      <c r="K159" s="6" t="str">
        <f>CONCATENATE("")</f>
        <v/>
      </c>
      <c r="L159" s="6" t="str">
        <f>CONCATENATE("13 13.1 4a")</f>
        <v>13 13.1 4a</v>
      </c>
      <c r="M159" s="6" t="str">
        <f>CONCATENATE("DNTFNC89E11L500U")</f>
        <v>DNTFNC89E11L500U</v>
      </c>
      <c r="N159" s="6" t="s">
        <v>241</v>
      </c>
      <c r="O159" s="6"/>
      <c r="P159" s="7">
        <v>42877</v>
      </c>
      <c r="Q159" s="6" t="s">
        <v>30</v>
      </c>
      <c r="R159" s="6" t="s">
        <v>31</v>
      </c>
      <c r="S159" s="6" t="s">
        <v>32</v>
      </c>
      <c r="T159" s="6">
        <v>421.23</v>
      </c>
      <c r="U159" s="6">
        <v>181.63</v>
      </c>
      <c r="V159" s="6">
        <v>167.73</v>
      </c>
      <c r="W159" s="6">
        <v>0</v>
      </c>
      <c r="X159" s="6">
        <v>71.87</v>
      </c>
    </row>
    <row r="160" spans="1:24" ht="24.75" x14ac:dyDescent="0.25">
      <c r="A160" s="6" t="s">
        <v>25</v>
      </c>
      <c r="B160" s="6" t="s">
        <v>26</v>
      </c>
      <c r="C160" s="6" t="s">
        <v>42</v>
      </c>
      <c r="D160" s="6" t="s">
        <v>46</v>
      </c>
      <c r="E160" s="6" t="s">
        <v>33</v>
      </c>
      <c r="F160" s="6" t="s">
        <v>59</v>
      </c>
      <c r="G160" s="6">
        <v>2016</v>
      </c>
      <c r="H160" s="6" t="str">
        <f>CONCATENATE("64210173148")</f>
        <v>64210173148</v>
      </c>
      <c r="I160" s="6" t="s">
        <v>28</v>
      </c>
      <c r="J160" s="6" t="s">
        <v>29</v>
      </c>
      <c r="K160" s="6" t="str">
        <f>CONCATENATE("")</f>
        <v/>
      </c>
      <c r="L160" s="6" t="str">
        <f>CONCATENATE("13 13.1 4a")</f>
        <v>13 13.1 4a</v>
      </c>
      <c r="M160" s="6" t="str">
        <f>CONCATENATE("PNNDNC50M18I921N")</f>
        <v>PNNDNC50M18I921N</v>
      </c>
      <c r="N160" s="6" t="s">
        <v>242</v>
      </c>
      <c r="O160" s="6"/>
      <c r="P160" s="7">
        <v>42879</v>
      </c>
      <c r="Q160" s="6" t="s">
        <v>30</v>
      </c>
      <c r="R160" s="6" t="s">
        <v>31</v>
      </c>
      <c r="S160" s="6" t="s">
        <v>32</v>
      </c>
      <c r="T160" s="6">
        <v>953.69</v>
      </c>
      <c r="U160" s="6">
        <v>411.23</v>
      </c>
      <c r="V160" s="6">
        <v>379.76</v>
      </c>
      <c r="W160" s="6">
        <v>0</v>
      </c>
      <c r="X160" s="6">
        <v>162.69999999999999</v>
      </c>
    </row>
    <row r="161" spans="1:24" ht="24.75" x14ac:dyDescent="0.25">
      <c r="A161" s="6" t="s">
        <v>25</v>
      </c>
      <c r="B161" s="6" t="s">
        <v>26</v>
      </c>
      <c r="C161" s="6" t="s">
        <v>42</v>
      </c>
      <c r="D161" s="6" t="s">
        <v>46</v>
      </c>
      <c r="E161" s="6" t="s">
        <v>27</v>
      </c>
      <c r="F161" s="6" t="s">
        <v>150</v>
      </c>
      <c r="G161" s="6">
        <v>2016</v>
      </c>
      <c r="H161" s="6" t="str">
        <f>CONCATENATE("64210954752")</f>
        <v>64210954752</v>
      </c>
      <c r="I161" s="6" t="s">
        <v>28</v>
      </c>
      <c r="J161" s="6" t="s">
        <v>29</v>
      </c>
      <c r="K161" s="6" t="str">
        <f>CONCATENATE("")</f>
        <v/>
      </c>
      <c r="L161" s="6" t="str">
        <f>CONCATENATE("13 13.1 4a")</f>
        <v>13 13.1 4a</v>
      </c>
      <c r="M161" s="6" t="str">
        <f>CONCATENATE("MRANZE36L04L500X")</f>
        <v>MRANZE36L04L500X</v>
      </c>
      <c r="N161" s="6" t="s">
        <v>243</v>
      </c>
      <c r="O161" s="6"/>
      <c r="P161" s="7">
        <v>42877</v>
      </c>
      <c r="Q161" s="6" t="s">
        <v>30</v>
      </c>
      <c r="R161" s="6" t="s">
        <v>31</v>
      </c>
      <c r="S161" s="6" t="s">
        <v>32</v>
      </c>
      <c r="T161" s="6">
        <v>697.37</v>
      </c>
      <c r="U161" s="6">
        <v>300.70999999999998</v>
      </c>
      <c r="V161" s="6">
        <v>277.69</v>
      </c>
      <c r="W161" s="6">
        <v>0</v>
      </c>
      <c r="X161" s="6">
        <v>118.97</v>
      </c>
    </row>
    <row r="162" spans="1:24" ht="24.75" x14ac:dyDescent="0.25">
      <c r="A162" s="6" t="s">
        <v>25</v>
      </c>
      <c r="B162" s="6" t="s">
        <v>26</v>
      </c>
      <c r="C162" s="6" t="s">
        <v>42</v>
      </c>
      <c r="D162" s="6" t="s">
        <v>46</v>
      </c>
      <c r="E162" s="6" t="s">
        <v>33</v>
      </c>
      <c r="F162" s="6" t="s">
        <v>59</v>
      </c>
      <c r="G162" s="6">
        <v>2016</v>
      </c>
      <c r="H162" s="6" t="str">
        <f>CONCATENATE("64210365306")</f>
        <v>64210365306</v>
      </c>
      <c r="I162" s="6" t="s">
        <v>28</v>
      </c>
      <c r="J162" s="6" t="s">
        <v>29</v>
      </c>
      <c r="K162" s="6" t="str">
        <f>CONCATENATE("")</f>
        <v/>
      </c>
      <c r="L162" s="6" t="str">
        <f>CONCATENATE("13 13.1 4a")</f>
        <v>13 13.1 4a</v>
      </c>
      <c r="M162" s="6" t="str">
        <f>CONCATENATE("GRLPLA70D66F205T")</f>
        <v>GRLPLA70D66F205T</v>
      </c>
      <c r="N162" s="6" t="s">
        <v>244</v>
      </c>
      <c r="O162" s="6"/>
      <c r="P162" s="7">
        <v>42879</v>
      </c>
      <c r="Q162" s="6" t="s">
        <v>30</v>
      </c>
      <c r="R162" s="6" t="s">
        <v>31</v>
      </c>
      <c r="S162" s="6" t="s">
        <v>32</v>
      </c>
      <c r="T162" s="8">
        <v>1326.42</v>
      </c>
      <c r="U162" s="6">
        <v>571.95000000000005</v>
      </c>
      <c r="V162" s="6">
        <v>528.17999999999995</v>
      </c>
      <c r="W162" s="6">
        <v>0</v>
      </c>
      <c r="X162" s="6">
        <v>226.29</v>
      </c>
    </row>
    <row r="163" spans="1:24" ht="24.75" x14ac:dyDescent="0.25">
      <c r="A163" s="6" t="s">
        <v>25</v>
      </c>
      <c r="B163" s="6" t="s">
        <v>26</v>
      </c>
      <c r="C163" s="6" t="s">
        <v>42</v>
      </c>
      <c r="D163" s="6" t="s">
        <v>43</v>
      </c>
      <c r="E163" s="6" t="s">
        <v>27</v>
      </c>
      <c r="F163" s="6" t="s">
        <v>142</v>
      </c>
      <c r="G163" s="6">
        <v>2016</v>
      </c>
      <c r="H163" s="6" t="str">
        <f>CONCATENATE("64240732947")</f>
        <v>64240732947</v>
      </c>
      <c r="I163" s="6" t="s">
        <v>28</v>
      </c>
      <c r="J163" s="6" t="s">
        <v>29</v>
      </c>
      <c r="K163" s="6" t="str">
        <f>CONCATENATE("")</f>
        <v/>
      </c>
      <c r="L163" s="6" t="str">
        <f>CONCATENATE("11 11.2 4b")</f>
        <v>11 11.2 4b</v>
      </c>
      <c r="M163" s="6" t="str">
        <f>CONCATENATE("01677990432")</f>
        <v>01677990432</v>
      </c>
      <c r="N163" s="6" t="s">
        <v>245</v>
      </c>
      <c r="O163" s="6"/>
      <c r="P163" s="7">
        <v>42877</v>
      </c>
      <c r="Q163" s="6" t="s">
        <v>30</v>
      </c>
      <c r="R163" s="6" t="s">
        <v>31</v>
      </c>
      <c r="S163" s="6" t="s">
        <v>32</v>
      </c>
      <c r="T163" s="8">
        <v>20802.7</v>
      </c>
      <c r="U163" s="8">
        <v>8970.1200000000008</v>
      </c>
      <c r="V163" s="8">
        <v>8283.64</v>
      </c>
      <c r="W163" s="6">
        <v>0</v>
      </c>
      <c r="X163" s="6">
        <v>3548.94</v>
      </c>
    </row>
    <row r="164" spans="1:24" ht="24.75" x14ac:dyDescent="0.25">
      <c r="A164" s="6" t="s">
        <v>25</v>
      </c>
      <c r="B164" s="6" t="s">
        <v>26</v>
      </c>
      <c r="C164" s="6" t="s">
        <v>42</v>
      </c>
      <c r="D164" s="6" t="s">
        <v>43</v>
      </c>
      <c r="E164" s="6" t="s">
        <v>27</v>
      </c>
      <c r="F164" s="6" t="s">
        <v>246</v>
      </c>
      <c r="G164" s="6">
        <v>2016</v>
      </c>
      <c r="H164" s="6" t="str">
        <f>CONCATENATE("64240738902")</f>
        <v>64240738902</v>
      </c>
      <c r="I164" s="6" t="s">
        <v>28</v>
      </c>
      <c r="J164" s="6" t="s">
        <v>29</v>
      </c>
      <c r="K164" s="6" t="str">
        <f>CONCATENATE("")</f>
        <v/>
      </c>
      <c r="L164" s="6" t="str">
        <f>CONCATENATE("11 11.2 4b")</f>
        <v>11 11.2 4b</v>
      </c>
      <c r="M164" s="6" t="str">
        <f>CONCATENATE("MRZRRT77T04E783D")</f>
        <v>MRZRRT77T04E783D</v>
      </c>
      <c r="N164" s="6" t="s">
        <v>247</v>
      </c>
      <c r="O164" s="6"/>
      <c r="P164" s="7">
        <v>42879</v>
      </c>
      <c r="Q164" s="6" t="s">
        <v>30</v>
      </c>
      <c r="R164" s="6" t="s">
        <v>31</v>
      </c>
      <c r="S164" s="6" t="s">
        <v>32</v>
      </c>
      <c r="T164" s="8">
        <v>1189.0999999999999</v>
      </c>
      <c r="U164" s="6">
        <v>512.74</v>
      </c>
      <c r="V164" s="6">
        <v>473.5</v>
      </c>
      <c r="W164" s="6">
        <v>0</v>
      </c>
      <c r="X164" s="6">
        <v>202.86</v>
      </c>
    </row>
    <row r="165" spans="1:24" ht="24.75" x14ac:dyDescent="0.25">
      <c r="A165" s="6" t="s">
        <v>25</v>
      </c>
      <c r="B165" s="6" t="s">
        <v>26</v>
      </c>
      <c r="C165" s="6" t="s">
        <v>42</v>
      </c>
      <c r="D165" s="6" t="s">
        <v>49</v>
      </c>
      <c r="E165" s="6" t="s">
        <v>36</v>
      </c>
      <c r="F165" s="6" t="s">
        <v>82</v>
      </c>
      <c r="G165" s="6">
        <v>2016</v>
      </c>
      <c r="H165" s="6" t="str">
        <f>CONCATENATE("64210899486")</f>
        <v>64210899486</v>
      </c>
      <c r="I165" s="6" t="s">
        <v>28</v>
      </c>
      <c r="J165" s="6" t="s">
        <v>29</v>
      </c>
      <c r="K165" s="6" t="str">
        <f>CONCATENATE("")</f>
        <v/>
      </c>
      <c r="L165" s="6" t="str">
        <f>CONCATENATE("13 13.1 4a")</f>
        <v>13 13.1 4a</v>
      </c>
      <c r="M165" s="6" t="str">
        <f>CONCATENATE("BRNNZR64E29F509Y")</f>
        <v>BRNNZR64E29F509Y</v>
      </c>
      <c r="N165" s="6" t="s">
        <v>248</v>
      </c>
      <c r="O165" s="6"/>
      <c r="P165" s="7">
        <v>42877</v>
      </c>
      <c r="Q165" s="6" t="s">
        <v>30</v>
      </c>
      <c r="R165" s="6" t="s">
        <v>31</v>
      </c>
      <c r="S165" s="6" t="s">
        <v>32</v>
      </c>
      <c r="T165" s="6">
        <v>555.04</v>
      </c>
      <c r="U165" s="6">
        <v>239.33</v>
      </c>
      <c r="V165" s="6">
        <v>221.02</v>
      </c>
      <c r="W165" s="6">
        <v>0</v>
      </c>
      <c r="X165" s="6">
        <v>94.69</v>
      </c>
    </row>
    <row r="166" spans="1:24" ht="24.75" x14ac:dyDescent="0.25">
      <c r="A166" s="6" t="s">
        <v>25</v>
      </c>
      <c r="B166" s="6" t="s">
        <v>26</v>
      </c>
      <c r="C166" s="6" t="s">
        <v>42</v>
      </c>
      <c r="D166" s="6" t="s">
        <v>46</v>
      </c>
      <c r="E166" s="6" t="s">
        <v>33</v>
      </c>
      <c r="F166" s="6" t="s">
        <v>111</v>
      </c>
      <c r="G166" s="6">
        <v>2016</v>
      </c>
      <c r="H166" s="6" t="str">
        <f>CONCATENATE("64240921995")</f>
        <v>64240921995</v>
      </c>
      <c r="I166" s="6" t="s">
        <v>28</v>
      </c>
      <c r="J166" s="6" t="s">
        <v>29</v>
      </c>
      <c r="K166" s="6" t="str">
        <f>CONCATENATE("")</f>
        <v/>
      </c>
      <c r="L166" s="6" t="str">
        <f>CONCATENATE("11 11.2 4b")</f>
        <v>11 11.2 4b</v>
      </c>
      <c r="M166" s="6" t="str">
        <f>CONCATENATE("GSPRNN63T55G479X")</f>
        <v>GSPRNN63T55G479X</v>
      </c>
      <c r="N166" s="6" t="s">
        <v>249</v>
      </c>
      <c r="O166" s="6"/>
      <c r="P166" s="7">
        <v>42879</v>
      </c>
      <c r="Q166" s="6" t="s">
        <v>30</v>
      </c>
      <c r="R166" s="6" t="s">
        <v>31</v>
      </c>
      <c r="S166" s="6" t="s">
        <v>32</v>
      </c>
      <c r="T166" s="8">
        <v>1533.18</v>
      </c>
      <c r="U166" s="6">
        <v>661.11</v>
      </c>
      <c r="V166" s="6">
        <v>610.51</v>
      </c>
      <c r="W166" s="6">
        <v>0</v>
      </c>
      <c r="X166" s="6">
        <v>261.56</v>
      </c>
    </row>
    <row r="167" spans="1:24" ht="24.75" x14ac:dyDescent="0.25">
      <c r="A167" s="6" t="s">
        <v>25</v>
      </c>
      <c r="B167" s="6" t="s">
        <v>26</v>
      </c>
      <c r="C167" s="6" t="s">
        <v>42</v>
      </c>
      <c r="D167" s="6" t="s">
        <v>46</v>
      </c>
      <c r="E167" s="6" t="s">
        <v>27</v>
      </c>
      <c r="F167" s="6" t="s">
        <v>150</v>
      </c>
      <c r="G167" s="6">
        <v>2016</v>
      </c>
      <c r="H167" s="6" t="str">
        <f>CONCATENATE("64210931776")</f>
        <v>64210931776</v>
      </c>
      <c r="I167" s="6" t="s">
        <v>28</v>
      </c>
      <c r="J167" s="6" t="s">
        <v>29</v>
      </c>
      <c r="K167" s="6" t="str">
        <f>CONCATENATE("")</f>
        <v/>
      </c>
      <c r="L167" s="6" t="str">
        <f>CONCATENATE("13 13.1 4a")</f>
        <v>13 13.1 4a</v>
      </c>
      <c r="M167" s="6" t="str">
        <f>CONCATENATE("01409470547")</f>
        <v>01409470547</v>
      </c>
      <c r="N167" s="6" t="s">
        <v>250</v>
      </c>
      <c r="O167" s="6"/>
      <c r="P167" s="7">
        <v>42877</v>
      </c>
      <c r="Q167" s="6" t="s">
        <v>30</v>
      </c>
      <c r="R167" s="6" t="s">
        <v>31</v>
      </c>
      <c r="S167" s="6" t="s">
        <v>32</v>
      </c>
      <c r="T167" s="8">
        <v>1979.3</v>
      </c>
      <c r="U167" s="6">
        <v>853.47</v>
      </c>
      <c r="V167" s="6">
        <v>788.16</v>
      </c>
      <c r="W167" s="6">
        <v>0</v>
      </c>
      <c r="X167" s="6">
        <v>337.67</v>
      </c>
    </row>
    <row r="168" spans="1:24" ht="24.75" x14ac:dyDescent="0.25">
      <c r="A168" s="6" t="s">
        <v>25</v>
      </c>
      <c r="B168" s="6" t="s">
        <v>26</v>
      </c>
      <c r="C168" s="6" t="s">
        <v>42</v>
      </c>
      <c r="D168" s="6" t="s">
        <v>43</v>
      </c>
      <c r="E168" s="6" t="s">
        <v>27</v>
      </c>
      <c r="F168" s="6" t="s">
        <v>44</v>
      </c>
      <c r="G168" s="6">
        <v>2016</v>
      </c>
      <c r="H168" s="6" t="str">
        <f>CONCATENATE("64210545931")</f>
        <v>64210545931</v>
      </c>
      <c r="I168" s="6" t="s">
        <v>28</v>
      </c>
      <c r="J168" s="6" t="s">
        <v>29</v>
      </c>
      <c r="K168" s="6" t="str">
        <f>CONCATENATE("")</f>
        <v/>
      </c>
      <c r="L168" s="6" t="str">
        <f>CONCATENATE("13 13.1 4a")</f>
        <v>13 13.1 4a</v>
      </c>
      <c r="M168" s="6" t="str">
        <f>CONCATENATE("01046830434")</f>
        <v>01046830434</v>
      </c>
      <c r="N168" s="6" t="s">
        <v>251</v>
      </c>
      <c r="O168" s="6"/>
      <c r="P168" s="7">
        <v>42877</v>
      </c>
      <c r="Q168" s="6" t="s">
        <v>30</v>
      </c>
      <c r="R168" s="6" t="s">
        <v>31</v>
      </c>
      <c r="S168" s="6" t="s">
        <v>32</v>
      </c>
      <c r="T168" s="8">
        <v>5238</v>
      </c>
      <c r="U168" s="8">
        <v>2258.63</v>
      </c>
      <c r="V168" s="8">
        <v>2085.77</v>
      </c>
      <c r="W168" s="6">
        <v>0</v>
      </c>
      <c r="X168" s="6">
        <v>893.6</v>
      </c>
    </row>
    <row r="169" spans="1:24" ht="24.75" x14ac:dyDescent="0.25">
      <c r="A169" s="6" t="s">
        <v>25</v>
      </c>
      <c r="B169" s="6" t="s">
        <v>26</v>
      </c>
      <c r="C169" s="6" t="s">
        <v>42</v>
      </c>
      <c r="D169" s="6" t="s">
        <v>49</v>
      </c>
      <c r="E169" s="6" t="s">
        <v>27</v>
      </c>
      <c r="F169" s="6" t="s">
        <v>62</v>
      </c>
      <c r="G169" s="6">
        <v>2016</v>
      </c>
      <c r="H169" s="6" t="str">
        <f>CONCATENATE("64240250726")</f>
        <v>64240250726</v>
      </c>
      <c r="I169" s="6" t="s">
        <v>28</v>
      </c>
      <c r="J169" s="6" t="s">
        <v>29</v>
      </c>
      <c r="K169" s="6" t="str">
        <f>CONCATENATE("")</f>
        <v/>
      </c>
      <c r="L169" s="6" t="str">
        <f>CONCATENATE("11 11.2 4b")</f>
        <v>11 11.2 4b</v>
      </c>
      <c r="M169" s="6" t="str">
        <f>CONCATENATE("MSLLGU58H18L992I")</f>
        <v>MSLLGU58H18L992I</v>
      </c>
      <c r="N169" s="6" t="s">
        <v>198</v>
      </c>
      <c r="O169" s="6"/>
      <c r="P169" s="7">
        <v>42879</v>
      </c>
      <c r="Q169" s="6" t="s">
        <v>30</v>
      </c>
      <c r="R169" s="6" t="s">
        <v>31</v>
      </c>
      <c r="S169" s="6" t="s">
        <v>32</v>
      </c>
      <c r="T169" s="8">
        <v>2169.73</v>
      </c>
      <c r="U169" s="6">
        <v>935.59</v>
      </c>
      <c r="V169" s="6">
        <v>863.99</v>
      </c>
      <c r="W169" s="6">
        <v>0</v>
      </c>
      <c r="X169" s="6">
        <v>370.15</v>
      </c>
    </row>
    <row r="170" spans="1:24" ht="24.75" x14ac:dyDescent="0.25">
      <c r="A170" s="6" t="s">
        <v>25</v>
      </c>
      <c r="B170" s="6" t="s">
        <v>26</v>
      </c>
      <c r="C170" s="6" t="s">
        <v>42</v>
      </c>
      <c r="D170" s="6" t="s">
        <v>46</v>
      </c>
      <c r="E170" s="6" t="s">
        <v>252</v>
      </c>
      <c r="F170" s="6" t="s">
        <v>253</v>
      </c>
      <c r="G170" s="6">
        <v>2016</v>
      </c>
      <c r="H170" s="6" t="str">
        <f>CONCATENATE("64240560694")</f>
        <v>64240560694</v>
      </c>
      <c r="I170" s="6" t="s">
        <v>28</v>
      </c>
      <c r="J170" s="6" t="s">
        <v>29</v>
      </c>
      <c r="K170" s="6" t="str">
        <f>CONCATENATE("")</f>
        <v/>
      </c>
      <c r="L170" s="6" t="str">
        <f>CONCATENATE("11 11.1 4b")</f>
        <v>11 11.1 4b</v>
      </c>
      <c r="M170" s="6" t="str">
        <f>CONCATENATE("CPRSLV84A62C357H")</f>
        <v>CPRSLV84A62C357H</v>
      </c>
      <c r="N170" s="6" t="s">
        <v>254</v>
      </c>
      <c r="O170" s="6"/>
      <c r="P170" s="7">
        <v>42879</v>
      </c>
      <c r="Q170" s="6" t="s">
        <v>30</v>
      </c>
      <c r="R170" s="6" t="s">
        <v>31</v>
      </c>
      <c r="S170" s="6" t="s">
        <v>32</v>
      </c>
      <c r="T170" s="8">
        <v>6359.53</v>
      </c>
      <c r="U170" s="8">
        <v>2742.23</v>
      </c>
      <c r="V170" s="8">
        <v>2532.36</v>
      </c>
      <c r="W170" s="6">
        <v>0</v>
      </c>
      <c r="X170" s="6">
        <v>1084.94</v>
      </c>
    </row>
    <row r="171" spans="1:24" ht="24.75" x14ac:dyDescent="0.25">
      <c r="A171" s="6" t="s">
        <v>25</v>
      </c>
      <c r="B171" s="6" t="s">
        <v>26</v>
      </c>
      <c r="C171" s="6" t="s">
        <v>42</v>
      </c>
      <c r="D171" s="6" t="s">
        <v>49</v>
      </c>
      <c r="E171" s="6" t="s">
        <v>27</v>
      </c>
      <c r="F171" s="6" t="s">
        <v>62</v>
      </c>
      <c r="G171" s="6">
        <v>2016</v>
      </c>
      <c r="H171" s="6" t="str">
        <f>CONCATENATE("64210281008")</f>
        <v>64210281008</v>
      </c>
      <c r="I171" s="6" t="s">
        <v>28</v>
      </c>
      <c r="J171" s="6" t="s">
        <v>29</v>
      </c>
      <c r="K171" s="6" t="str">
        <f>CONCATENATE("")</f>
        <v/>
      </c>
      <c r="L171" s="6" t="str">
        <f>CONCATENATE("13 13.1 4a")</f>
        <v>13 13.1 4a</v>
      </c>
      <c r="M171" s="6" t="str">
        <f>CONCATENATE("DMLMSM72L31A252W")</f>
        <v>DMLMSM72L31A252W</v>
      </c>
      <c r="N171" s="6" t="s">
        <v>255</v>
      </c>
      <c r="O171" s="6"/>
      <c r="P171" s="7">
        <v>42877</v>
      </c>
      <c r="Q171" s="6" t="s">
        <v>30</v>
      </c>
      <c r="R171" s="6" t="s">
        <v>31</v>
      </c>
      <c r="S171" s="6" t="s">
        <v>32</v>
      </c>
      <c r="T171" s="8">
        <v>2091.6799999999998</v>
      </c>
      <c r="U171" s="6">
        <v>901.93</v>
      </c>
      <c r="V171" s="6">
        <v>832.91</v>
      </c>
      <c r="W171" s="6">
        <v>0</v>
      </c>
      <c r="X171" s="6">
        <v>356.84</v>
      </c>
    </row>
    <row r="172" spans="1:24" ht="24.75" x14ac:dyDescent="0.25">
      <c r="A172" s="6" t="s">
        <v>25</v>
      </c>
      <c r="B172" s="6" t="s">
        <v>26</v>
      </c>
      <c r="C172" s="6" t="s">
        <v>42</v>
      </c>
      <c r="D172" s="6" t="s">
        <v>43</v>
      </c>
      <c r="E172" s="6" t="s">
        <v>27</v>
      </c>
      <c r="F172" s="6" t="s">
        <v>246</v>
      </c>
      <c r="G172" s="6">
        <v>2016</v>
      </c>
      <c r="H172" s="6" t="str">
        <f>CONCATENATE("64240834974")</f>
        <v>64240834974</v>
      </c>
      <c r="I172" s="6" t="s">
        <v>28</v>
      </c>
      <c r="J172" s="6" t="s">
        <v>29</v>
      </c>
      <c r="K172" s="6" t="str">
        <f>CONCATENATE("")</f>
        <v/>
      </c>
      <c r="L172" s="6" t="str">
        <f>CONCATENATE("11 11.1 4b")</f>
        <v>11 11.1 4b</v>
      </c>
      <c r="M172" s="6" t="str">
        <f>CONCATENATE("01901260438")</f>
        <v>01901260438</v>
      </c>
      <c r="N172" s="6" t="s">
        <v>256</v>
      </c>
      <c r="O172" s="6"/>
      <c r="P172" s="7">
        <v>42879</v>
      </c>
      <c r="Q172" s="6" t="s">
        <v>30</v>
      </c>
      <c r="R172" s="6" t="s">
        <v>31</v>
      </c>
      <c r="S172" s="6" t="s">
        <v>32</v>
      </c>
      <c r="T172" s="8">
        <v>6448.02</v>
      </c>
      <c r="U172" s="8">
        <v>2780.39</v>
      </c>
      <c r="V172" s="8">
        <v>2567.6</v>
      </c>
      <c r="W172" s="6">
        <v>0</v>
      </c>
      <c r="X172" s="6">
        <v>1100.03</v>
      </c>
    </row>
    <row r="173" spans="1:24" ht="24.75" x14ac:dyDescent="0.25">
      <c r="A173" s="6" t="s">
        <v>25</v>
      </c>
      <c r="B173" s="6" t="s">
        <v>26</v>
      </c>
      <c r="C173" s="6" t="s">
        <v>42</v>
      </c>
      <c r="D173" s="6" t="s">
        <v>53</v>
      </c>
      <c r="E173" s="6" t="s">
        <v>27</v>
      </c>
      <c r="F173" s="6" t="s">
        <v>74</v>
      </c>
      <c r="G173" s="6">
        <v>2016</v>
      </c>
      <c r="H173" s="6" t="str">
        <f>CONCATENATE("64210983819")</f>
        <v>64210983819</v>
      </c>
      <c r="I173" s="6" t="s">
        <v>28</v>
      </c>
      <c r="J173" s="6" t="s">
        <v>29</v>
      </c>
      <c r="K173" s="6" t="str">
        <f>CONCATENATE("")</f>
        <v/>
      </c>
      <c r="L173" s="6" t="str">
        <f>CONCATENATE("13 13.1 4a")</f>
        <v>13 13.1 4a</v>
      </c>
      <c r="M173" s="6" t="str">
        <f>CONCATENATE("CSGVTI26C04A366E")</f>
        <v>CSGVTI26C04A366E</v>
      </c>
      <c r="N173" s="6" t="s">
        <v>257</v>
      </c>
      <c r="O173" s="6"/>
      <c r="P173" s="7">
        <v>42879</v>
      </c>
      <c r="Q173" s="6" t="s">
        <v>30</v>
      </c>
      <c r="R173" s="6" t="s">
        <v>31</v>
      </c>
      <c r="S173" s="6" t="s">
        <v>32</v>
      </c>
      <c r="T173" s="6">
        <v>318.14</v>
      </c>
      <c r="U173" s="6">
        <v>137.18</v>
      </c>
      <c r="V173" s="6">
        <v>126.68</v>
      </c>
      <c r="W173" s="6">
        <v>0</v>
      </c>
      <c r="X173" s="6">
        <v>54.28</v>
      </c>
    </row>
    <row r="174" spans="1:24" ht="24.75" x14ac:dyDescent="0.25">
      <c r="A174" s="6" t="s">
        <v>25</v>
      </c>
      <c r="B174" s="6" t="s">
        <v>26</v>
      </c>
      <c r="C174" s="6" t="s">
        <v>42</v>
      </c>
      <c r="D174" s="6" t="s">
        <v>46</v>
      </c>
      <c r="E174" s="6" t="s">
        <v>27</v>
      </c>
      <c r="F174" s="6" t="s">
        <v>221</v>
      </c>
      <c r="G174" s="6">
        <v>2016</v>
      </c>
      <c r="H174" s="6" t="str">
        <f>CONCATENATE("64210913030")</f>
        <v>64210913030</v>
      </c>
      <c r="I174" s="6" t="s">
        <v>28</v>
      </c>
      <c r="J174" s="6" t="s">
        <v>29</v>
      </c>
      <c r="K174" s="6" t="str">
        <f>CONCATENATE("")</f>
        <v/>
      </c>
      <c r="L174" s="6" t="str">
        <f>CONCATENATE("13 13.1 4a")</f>
        <v>13 13.1 4a</v>
      </c>
      <c r="M174" s="6" t="str">
        <f>CONCATENATE("GRTCRL49C07I670I")</f>
        <v>GRTCRL49C07I670I</v>
      </c>
      <c r="N174" s="6" t="s">
        <v>258</v>
      </c>
      <c r="O174" s="6"/>
      <c r="P174" s="7">
        <v>42877</v>
      </c>
      <c r="Q174" s="6" t="s">
        <v>30</v>
      </c>
      <c r="R174" s="6" t="s">
        <v>31</v>
      </c>
      <c r="S174" s="6" t="s">
        <v>32</v>
      </c>
      <c r="T174" s="8">
        <v>1774.04</v>
      </c>
      <c r="U174" s="6">
        <v>764.97</v>
      </c>
      <c r="V174" s="6">
        <v>706.42</v>
      </c>
      <c r="W174" s="6">
        <v>0</v>
      </c>
      <c r="X174" s="6">
        <v>302.64999999999998</v>
      </c>
    </row>
    <row r="175" spans="1:24" ht="24.75" x14ac:dyDescent="0.25">
      <c r="A175" s="6" t="s">
        <v>25</v>
      </c>
      <c r="B175" s="6" t="s">
        <v>26</v>
      </c>
      <c r="C175" s="6" t="s">
        <v>42</v>
      </c>
      <c r="D175" s="6" t="s">
        <v>46</v>
      </c>
      <c r="E175" s="6" t="s">
        <v>33</v>
      </c>
      <c r="F175" s="6" t="s">
        <v>59</v>
      </c>
      <c r="G175" s="6">
        <v>2016</v>
      </c>
      <c r="H175" s="6" t="str">
        <f>CONCATENATE("64240168472")</f>
        <v>64240168472</v>
      </c>
      <c r="I175" s="6" t="s">
        <v>28</v>
      </c>
      <c r="J175" s="6" t="s">
        <v>29</v>
      </c>
      <c r="K175" s="6" t="str">
        <f>CONCATENATE("")</f>
        <v/>
      </c>
      <c r="L175" s="6" t="str">
        <f>CONCATENATE("11 11.1 4b")</f>
        <v>11 11.1 4b</v>
      </c>
      <c r="M175" s="6" t="str">
        <f>CONCATENATE("GRLPLA70D66F205T")</f>
        <v>GRLPLA70D66F205T</v>
      </c>
      <c r="N175" s="6" t="s">
        <v>244</v>
      </c>
      <c r="O175" s="6"/>
      <c r="P175" s="7">
        <v>42879</v>
      </c>
      <c r="Q175" s="6" t="s">
        <v>30</v>
      </c>
      <c r="R175" s="6" t="s">
        <v>31</v>
      </c>
      <c r="S175" s="6" t="s">
        <v>32</v>
      </c>
      <c r="T175" s="8">
        <v>5907.83</v>
      </c>
      <c r="U175" s="8">
        <v>2547.46</v>
      </c>
      <c r="V175" s="8">
        <v>2352.5</v>
      </c>
      <c r="W175" s="6">
        <v>0</v>
      </c>
      <c r="X175" s="6">
        <v>1007.87</v>
      </c>
    </row>
    <row r="176" spans="1:24" ht="24.75" x14ac:dyDescent="0.25">
      <c r="A176" s="6" t="s">
        <v>25</v>
      </c>
      <c r="B176" s="6" t="s">
        <v>26</v>
      </c>
      <c r="C176" s="6" t="s">
        <v>42</v>
      </c>
      <c r="D176" s="6" t="s">
        <v>43</v>
      </c>
      <c r="E176" s="6" t="s">
        <v>27</v>
      </c>
      <c r="F176" s="6" t="s">
        <v>193</v>
      </c>
      <c r="G176" s="6">
        <v>2016</v>
      </c>
      <c r="H176" s="6" t="str">
        <f>CONCATENATE("64240683801")</f>
        <v>64240683801</v>
      </c>
      <c r="I176" s="6" t="s">
        <v>28</v>
      </c>
      <c r="J176" s="6" t="s">
        <v>29</v>
      </c>
      <c r="K176" s="6" t="str">
        <f>CONCATENATE("")</f>
        <v/>
      </c>
      <c r="L176" s="6" t="str">
        <f>CONCATENATE("11 11.2 4b")</f>
        <v>11 11.2 4b</v>
      </c>
      <c r="M176" s="6" t="str">
        <f>CONCATENATE("01702840438")</f>
        <v>01702840438</v>
      </c>
      <c r="N176" s="6" t="s">
        <v>259</v>
      </c>
      <c r="O176" s="6"/>
      <c r="P176" s="7">
        <v>42879</v>
      </c>
      <c r="Q176" s="6" t="s">
        <v>30</v>
      </c>
      <c r="R176" s="6" t="s">
        <v>31</v>
      </c>
      <c r="S176" s="6" t="s">
        <v>32</v>
      </c>
      <c r="T176" s="8">
        <v>1961.87</v>
      </c>
      <c r="U176" s="6">
        <v>845.96</v>
      </c>
      <c r="V176" s="6">
        <v>781.22</v>
      </c>
      <c r="W176" s="6">
        <v>0</v>
      </c>
      <c r="X176" s="6">
        <v>334.69</v>
      </c>
    </row>
    <row r="177" spans="1:24" ht="24.75" x14ac:dyDescent="0.25">
      <c r="A177" s="6" t="s">
        <v>25</v>
      </c>
      <c r="B177" s="6" t="s">
        <v>26</v>
      </c>
      <c r="C177" s="6" t="s">
        <v>42</v>
      </c>
      <c r="D177" s="6" t="s">
        <v>43</v>
      </c>
      <c r="E177" s="6" t="s">
        <v>27</v>
      </c>
      <c r="F177" s="6" t="s">
        <v>246</v>
      </c>
      <c r="G177" s="6">
        <v>2016</v>
      </c>
      <c r="H177" s="6" t="str">
        <f>CONCATENATE("64240745485")</f>
        <v>64240745485</v>
      </c>
      <c r="I177" s="6" t="s">
        <v>28</v>
      </c>
      <c r="J177" s="6" t="s">
        <v>29</v>
      </c>
      <c r="K177" s="6" t="str">
        <f>CONCATENATE("")</f>
        <v/>
      </c>
      <c r="L177" s="6" t="str">
        <f>CONCATENATE("11 11.1 4b")</f>
        <v>11 11.1 4b</v>
      </c>
      <c r="M177" s="6" t="str">
        <f>CONCATENATE("01914030430")</f>
        <v>01914030430</v>
      </c>
      <c r="N177" s="6" t="s">
        <v>260</v>
      </c>
      <c r="O177" s="6"/>
      <c r="P177" s="7">
        <v>42879</v>
      </c>
      <c r="Q177" s="6" t="s">
        <v>30</v>
      </c>
      <c r="R177" s="6" t="s">
        <v>31</v>
      </c>
      <c r="S177" s="6" t="s">
        <v>32</v>
      </c>
      <c r="T177" s="6">
        <v>806.7</v>
      </c>
      <c r="U177" s="6">
        <v>347.85</v>
      </c>
      <c r="V177" s="6">
        <v>321.23</v>
      </c>
      <c r="W177" s="6">
        <v>0</v>
      </c>
      <c r="X177" s="6">
        <v>137.62</v>
      </c>
    </row>
    <row r="178" spans="1:24" ht="24.75" x14ac:dyDescent="0.25">
      <c r="A178" s="6" t="s">
        <v>25</v>
      </c>
      <c r="B178" s="6" t="s">
        <v>26</v>
      </c>
      <c r="C178" s="6" t="s">
        <v>42</v>
      </c>
      <c r="D178" s="6" t="s">
        <v>53</v>
      </c>
      <c r="E178" s="6" t="s">
        <v>33</v>
      </c>
      <c r="F178" s="6" t="s">
        <v>85</v>
      </c>
      <c r="G178" s="6">
        <v>2016</v>
      </c>
      <c r="H178" s="6" t="str">
        <f>CONCATENATE("64210800518")</f>
        <v>64210800518</v>
      </c>
      <c r="I178" s="6" t="s">
        <v>28</v>
      </c>
      <c r="J178" s="6" t="s">
        <v>29</v>
      </c>
      <c r="K178" s="6" t="str">
        <f>CONCATENATE("")</f>
        <v/>
      </c>
      <c r="L178" s="6" t="str">
        <f>CONCATENATE("13 13.1 4a")</f>
        <v>13 13.1 4a</v>
      </c>
      <c r="M178" s="6" t="str">
        <f>CONCATENATE("RSOTTL80D20I461D")</f>
        <v>RSOTTL80D20I461D</v>
      </c>
      <c r="N178" s="6" t="s">
        <v>261</v>
      </c>
      <c r="O178" s="6"/>
      <c r="P178" s="7">
        <v>42877</v>
      </c>
      <c r="Q178" s="6" t="s">
        <v>30</v>
      </c>
      <c r="R178" s="6" t="s">
        <v>31</v>
      </c>
      <c r="S178" s="6" t="s">
        <v>32</v>
      </c>
      <c r="T178" s="8">
        <v>3787.51</v>
      </c>
      <c r="U178" s="8">
        <v>1633.17</v>
      </c>
      <c r="V178" s="8">
        <v>1508.19</v>
      </c>
      <c r="W178" s="6">
        <v>0</v>
      </c>
      <c r="X178" s="6">
        <v>646.15</v>
      </c>
    </row>
    <row r="179" spans="1:24" ht="24.75" x14ac:dyDescent="0.25">
      <c r="A179" s="6" t="s">
        <v>25</v>
      </c>
      <c r="B179" s="6" t="s">
        <v>26</v>
      </c>
      <c r="C179" s="6" t="s">
        <v>42</v>
      </c>
      <c r="D179" s="6" t="s">
        <v>46</v>
      </c>
      <c r="E179" s="6" t="s">
        <v>27</v>
      </c>
      <c r="F179" s="6" t="s">
        <v>168</v>
      </c>
      <c r="G179" s="6">
        <v>2016</v>
      </c>
      <c r="H179" s="6" t="str">
        <f>CONCATENATE("64210122657")</f>
        <v>64210122657</v>
      </c>
      <c r="I179" s="6" t="s">
        <v>28</v>
      </c>
      <c r="J179" s="6" t="s">
        <v>29</v>
      </c>
      <c r="K179" s="6" t="str">
        <f>CONCATENATE("")</f>
        <v/>
      </c>
      <c r="L179" s="6" t="str">
        <f>CONCATENATE("13 13.1 4a")</f>
        <v>13 13.1 4a</v>
      </c>
      <c r="M179" s="6" t="str">
        <f>CONCATENATE("CCCLSN77R24I459E")</f>
        <v>CCCLSN77R24I459E</v>
      </c>
      <c r="N179" s="6" t="s">
        <v>262</v>
      </c>
      <c r="O179" s="6"/>
      <c r="P179" s="7">
        <v>42877</v>
      </c>
      <c r="Q179" s="6" t="s">
        <v>30</v>
      </c>
      <c r="R179" s="6" t="s">
        <v>31</v>
      </c>
      <c r="S179" s="6" t="s">
        <v>32</v>
      </c>
      <c r="T179" s="8">
        <v>3957.37</v>
      </c>
      <c r="U179" s="8">
        <v>1706.42</v>
      </c>
      <c r="V179" s="8">
        <v>1575.82</v>
      </c>
      <c r="W179" s="6">
        <v>0</v>
      </c>
      <c r="X179" s="6">
        <v>675.13</v>
      </c>
    </row>
    <row r="180" spans="1:24" ht="24.75" x14ac:dyDescent="0.25">
      <c r="A180" s="6" t="s">
        <v>25</v>
      </c>
      <c r="B180" s="6" t="s">
        <v>26</v>
      </c>
      <c r="C180" s="6" t="s">
        <v>42</v>
      </c>
      <c r="D180" s="6" t="s">
        <v>43</v>
      </c>
      <c r="E180" s="6" t="s">
        <v>36</v>
      </c>
      <c r="F180" s="6" t="s">
        <v>263</v>
      </c>
      <c r="G180" s="6">
        <v>2016</v>
      </c>
      <c r="H180" s="6" t="str">
        <f>CONCATENATE("64211037474")</f>
        <v>64211037474</v>
      </c>
      <c r="I180" s="6" t="s">
        <v>28</v>
      </c>
      <c r="J180" s="6" t="s">
        <v>29</v>
      </c>
      <c r="K180" s="6" t="str">
        <f>CONCATENATE("")</f>
        <v/>
      </c>
      <c r="L180" s="6" t="str">
        <f>CONCATENATE("13 13.1 4a")</f>
        <v>13 13.1 4a</v>
      </c>
      <c r="M180" s="6" t="str">
        <f>CONCATENATE("CCCFNC38R29C582J")</f>
        <v>CCCFNC38R29C582J</v>
      </c>
      <c r="N180" s="6" t="s">
        <v>264</v>
      </c>
      <c r="O180" s="6"/>
      <c r="P180" s="7">
        <v>42879</v>
      </c>
      <c r="Q180" s="6" t="s">
        <v>30</v>
      </c>
      <c r="R180" s="6" t="s">
        <v>31</v>
      </c>
      <c r="S180" s="6" t="s">
        <v>32</v>
      </c>
      <c r="T180" s="6">
        <v>495.97</v>
      </c>
      <c r="U180" s="6">
        <v>213.86</v>
      </c>
      <c r="V180" s="6">
        <v>197.5</v>
      </c>
      <c r="W180" s="6">
        <v>0</v>
      </c>
      <c r="X180" s="6">
        <v>84.61</v>
      </c>
    </row>
    <row r="181" spans="1:24" ht="24.75" x14ac:dyDescent="0.25">
      <c r="A181" s="6" t="s">
        <v>25</v>
      </c>
      <c r="B181" s="6" t="s">
        <v>26</v>
      </c>
      <c r="C181" s="6" t="s">
        <v>42</v>
      </c>
      <c r="D181" s="6" t="s">
        <v>49</v>
      </c>
      <c r="E181" s="6" t="s">
        <v>27</v>
      </c>
      <c r="F181" s="6" t="s">
        <v>93</v>
      </c>
      <c r="G181" s="6">
        <v>2016</v>
      </c>
      <c r="H181" s="6" t="str">
        <f>CONCATENATE("64240270807")</f>
        <v>64240270807</v>
      </c>
      <c r="I181" s="6" t="s">
        <v>28</v>
      </c>
      <c r="J181" s="6" t="s">
        <v>29</v>
      </c>
      <c r="K181" s="6" t="str">
        <f>CONCATENATE("")</f>
        <v/>
      </c>
      <c r="L181" s="6" t="str">
        <f>CONCATENATE("11 11.1 4b")</f>
        <v>11 11.1 4b</v>
      </c>
      <c r="M181" s="6" t="str">
        <f>CONCATENATE("FRNSFN74A08L219R")</f>
        <v>FRNSFN74A08L219R</v>
      </c>
      <c r="N181" s="6" t="s">
        <v>265</v>
      </c>
      <c r="O181" s="6"/>
      <c r="P181" s="7">
        <v>42879</v>
      </c>
      <c r="Q181" s="6" t="s">
        <v>30</v>
      </c>
      <c r="R181" s="6" t="s">
        <v>31</v>
      </c>
      <c r="S181" s="6" t="s">
        <v>32</v>
      </c>
      <c r="T181" s="8">
        <v>2436</v>
      </c>
      <c r="U181" s="8">
        <v>1050.4000000000001</v>
      </c>
      <c r="V181" s="6">
        <v>970.02</v>
      </c>
      <c r="W181" s="6">
        <v>0</v>
      </c>
      <c r="X181" s="6">
        <v>415.58</v>
      </c>
    </row>
    <row r="182" spans="1:24" ht="24.75" x14ac:dyDescent="0.25">
      <c r="A182" s="6" t="s">
        <v>25</v>
      </c>
      <c r="B182" s="6" t="s">
        <v>26</v>
      </c>
      <c r="C182" s="6" t="s">
        <v>42</v>
      </c>
      <c r="D182" s="6" t="s">
        <v>49</v>
      </c>
      <c r="E182" s="6" t="s">
        <v>34</v>
      </c>
      <c r="F182" s="6" t="s">
        <v>72</v>
      </c>
      <c r="G182" s="6">
        <v>2016</v>
      </c>
      <c r="H182" s="6" t="str">
        <f>CONCATENATE("64240625927")</f>
        <v>64240625927</v>
      </c>
      <c r="I182" s="6" t="s">
        <v>28</v>
      </c>
      <c r="J182" s="6" t="s">
        <v>29</v>
      </c>
      <c r="K182" s="6" t="str">
        <f>CONCATENATE("")</f>
        <v/>
      </c>
      <c r="L182" s="6" t="str">
        <f>CONCATENATE("10 10.1 4b")</f>
        <v>10 10.1 4b</v>
      </c>
      <c r="M182" s="6" t="str">
        <f>CONCATENATE("MRZMRA58H59F549D")</f>
        <v>MRZMRA58H59F549D</v>
      </c>
      <c r="N182" s="6" t="s">
        <v>266</v>
      </c>
      <c r="O182" s="6"/>
      <c r="P182" s="7">
        <v>42877</v>
      </c>
      <c r="Q182" s="6" t="s">
        <v>30</v>
      </c>
      <c r="R182" s="6" t="s">
        <v>31</v>
      </c>
      <c r="S182" s="6" t="s">
        <v>32</v>
      </c>
      <c r="T182" s="8">
        <v>2694.17</v>
      </c>
      <c r="U182" s="8">
        <v>1161.73</v>
      </c>
      <c r="V182" s="8">
        <v>1072.82</v>
      </c>
      <c r="W182" s="6">
        <v>0</v>
      </c>
      <c r="X182" s="6">
        <v>459.62</v>
      </c>
    </row>
    <row r="183" spans="1:24" ht="24.75" x14ac:dyDescent="0.25">
      <c r="A183" s="6" t="s">
        <v>25</v>
      </c>
      <c r="B183" s="6" t="s">
        <v>26</v>
      </c>
      <c r="C183" s="6" t="s">
        <v>42</v>
      </c>
      <c r="D183" s="6" t="s">
        <v>49</v>
      </c>
      <c r="E183" s="6" t="s">
        <v>41</v>
      </c>
      <c r="F183" s="6" t="s">
        <v>41</v>
      </c>
      <c r="G183" s="6">
        <v>2016</v>
      </c>
      <c r="H183" s="6" t="str">
        <f>CONCATENATE("64240061735")</f>
        <v>64240061735</v>
      </c>
      <c r="I183" s="6" t="s">
        <v>28</v>
      </c>
      <c r="J183" s="6" t="s">
        <v>29</v>
      </c>
      <c r="K183" s="6" t="str">
        <f>CONCATENATE("")</f>
        <v/>
      </c>
      <c r="L183" s="6" t="str">
        <f>CONCATENATE("11 11.2 4b")</f>
        <v>11 11.2 4b</v>
      </c>
      <c r="M183" s="6" t="str">
        <f>CONCATENATE("PZZSVN61E47D096K")</f>
        <v>PZZSVN61E47D096K</v>
      </c>
      <c r="N183" s="6" t="s">
        <v>267</v>
      </c>
      <c r="O183" s="6"/>
      <c r="P183" s="7">
        <v>42879</v>
      </c>
      <c r="Q183" s="6" t="s">
        <v>30</v>
      </c>
      <c r="R183" s="6" t="s">
        <v>31</v>
      </c>
      <c r="S183" s="6" t="s">
        <v>32</v>
      </c>
      <c r="T183" s="8">
        <v>3502.12</v>
      </c>
      <c r="U183" s="8">
        <v>1510.11</v>
      </c>
      <c r="V183" s="8">
        <v>1394.54</v>
      </c>
      <c r="W183" s="6">
        <v>0</v>
      </c>
      <c r="X183" s="6">
        <v>597.47</v>
      </c>
    </row>
    <row r="184" spans="1:24" ht="24.75" x14ac:dyDescent="0.25">
      <c r="A184" s="6" t="s">
        <v>25</v>
      </c>
      <c r="B184" s="6" t="s">
        <v>26</v>
      </c>
      <c r="C184" s="6" t="s">
        <v>42</v>
      </c>
      <c r="D184" s="6" t="s">
        <v>46</v>
      </c>
      <c r="E184" s="6" t="s">
        <v>36</v>
      </c>
      <c r="F184" s="6" t="s">
        <v>268</v>
      </c>
      <c r="G184" s="6">
        <v>2016</v>
      </c>
      <c r="H184" s="6" t="str">
        <f>CONCATENATE("64210692402")</f>
        <v>64210692402</v>
      </c>
      <c r="I184" s="6" t="s">
        <v>28</v>
      </c>
      <c r="J184" s="6" t="s">
        <v>29</v>
      </c>
      <c r="K184" s="6" t="str">
        <f>CONCATENATE("")</f>
        <v/>
      </c>
      <c r="L184" s="6" t="str">
        <f>CONCATENATE("13 13.1 4a")</f>
        <v>13 13.1 4a</v>
      </c>
      <c r="M184" s="6" t="str">
        <f>CONCATENATE("MTAGCR46A19I287M")</f>
        <v>MTAGCR46A19I287M</v>
      </c>
      <c r="N184" s="6" t="s">
        <v>269</v>
      </c>
      <c r="O184" s="6"/>
      <c r="P184" s="7">
        <v>42877</v>
      </c>
      <c r="Q184" s="6" t="s">
        <v>30</v>
      </c>
      <c r="R184" s="6" t="s">
        <v>31</v>
      </c>
      <c r="S184" s="6" t="s">
        <v>32</v>
      </c>
      <c r="T184" s="8">
        <v>1993.84</v>
      </c>
      <c r="U184" s="6">
        <v>859.74</v>
      </c>
      <c r="V184" s="6">
        <v>793.95</v>
      </c>
      <c r="W184" s="6">
        <v>0</v>
      </c>
      <c r="X184" s="6">
        <v>340.15</v>
      </c>
    </row>
    <row r="185" spans="1:24" ht="24.75" x14ac:dyDescent="0.25">
      <c r="A185" s="6" t="s">
        <v>25</v>
      </c>
      <c r="B185" s="6" t="s">
        <v>26</v>
      </c>
      <c r="C185" s="6" t="s">
        <v>42</v>
      </c>
      <c r="D185" s="6" t="s">
        <v>49</v>
      </c>
      <c r="E185" s="6" t="s">
        <v>27</v>
      </c>
      <c r="F185" s="6" t="s">
        <v>170</v>
      </c>
      <c r="G185" s="6">
        <v>2016</v>
      </c>
      <c r="H185" s="6" t="str">
        <f>CONCATENATE("64240610606")</f>
        <v>64240610606</v>
      </c>
      <c r="I185" s="6" t="s">
        <v>28</v>
      </c>
      <c r="J185" s="6" t="s">
        <v>29</v>
      </c>
      <c r="K185" s="6" t="str">
        <f>CONCATENATE("")</f>
        <v/>
      </c>
      <c r="L185" s="6" t="str">
        <f>CONCATENATE("11 11.2 4b")</f>
        <v>11 11.2 4b</v>
      </c>
      <c r="M185" s="6" t="str">
        <f>CONCATENATE("MRLGLC73S08A462S")</f>
        <v>MRLGLC73S08A462S</v>
      </c>
      <c r="N185" s="6" t="s">
        <v>270</v>
      </c>
      <c r="O185" s="6"/>
      <c r="P185" s="7">
        <v>42877</v>
      </c>
      <c r="Q185" s="6" t="s">
        <v>30</v>
      </c>
      <c r="R185" s="6" t="s">
        <v>31</v>
      </c>
      <c r="S185" s="6" t="s">
        <v>32</v>
      </c>
      <c r="T185" s="8">
        <v>1454.43</v>
      </c>
      <c r="U185" s="6">
        <v>627.15</v>
      </c>
      <c r="V185" s="6">
        <v>579.15</v>
      </c>
      <c r="W185" s="6">
        <v>0</v>
      </c>
      <c r="X185" s="6">
        <v>248.13</v>
      </c>
    </row>
    <row r="186" spans="1:24" ht="24.75" x14ac:dyDescent="0.25">
      <c r="A186" s="6" t="s">
        <v>25</v>
      </c>
      <c r="B186" s="6" t="s">
        <v>26</v>
      </c>
      <c r="C186" s="6" t="s">
        <v>42</v>
      </c>
      <c r="D186" s="6" t="s">
        <v>49</v>
      </c>
      <c r="E186" s="6" t="s">
        <v>27</v>
      </c>
      <c r="F186" s="6" t="s">
        <v>62</v>
      </c>
      <c r="G186" s="6">
        <v>2016</v>
      </c>
      <c r="H186" s="6" t="str">
        <f>CONCATENATE("64210330862")</f>
        <v>64210330862</v>
      </c>
      <c r="I186" s="6" t="s">
        <v>28</v>
      </c>
      <c r="J186" s="6" t="s">
        <v>29</v>
      </c>
      <c r="K186" s="6" t="str">
        <f>CONCATENATE("")</f>
        <v/>
      </c>
      <c r="L186" s="6" t="str">
        <f>CONCATENATE("13 13.1 4a")</f>
        <v>13 13.1 4a</v>
      </c>
      <c r="M186" s="6" t="str">
        <f>CONCATENATE("01263460444")</f>
        <v>01263460444</v>
      </c>
      <c r="N186" s="6" t="s">
        <v>271</v>
      </c>
      <c r="O186" s="6"/>
      <c r="P186" s="7">
        <v>42877</v>
      </c>
      <c r="Q186" s="6" t="s">
        <v>30</v>
      </c>
      <c r="R186" s="6" t="s">
        <v>31</v>
      </c>
      <c r="S186" s="6" t="s">
        <v>32</v>
      </c>
      <c r="T186" s="8">
        <v>2426.81</v>
      </c>
      <c r="U186" s="8">
        <v>1046.44</v>
      </c>
      <c r="V186" s="6">
        <v>966.36</v>
      </c>
      <c r="W186" s="6">
        <v>0</v>
      </c>
      <c r="X186" s="6">
        <v>414.01</v>
      </c>
    </row>
    <row r="187" spans="1:24" ht="24.75" x14ac:dyDescent="0.25">
      <c r="A187" s="6" t="s">
        <v>25</v>
      </c>
      <c r="B187" s="6" t="s">
        <v>26</v>
      </c>
      <c r="C187" s="6" t="s">
        <v>42</v>
      </c>
      <c r="D187" s="6" t="s">
        <v>46</v>
      </c>
      <c r="E187" s="6" t="s">
        <v>27</v>
      </c>
      <c r="F187" s="6" t="s">
        <v>150</v>
      </c>
      <c r="G187" s="6">
        <v>2016</v>
      </c>
      <c r="H187" s="6" t="str">
        <f>CONCATENATE("64210839334")</f>
        <v>64210839334</v>
      </c>
      <c r="I187" s="6" t="s">
        <v>28</v>
      </c>
      <c r="J187" s="6" t="s">
        <v>29</v>
      </c>
      <c r="K187" s="6" t="str">
        <f>CONCATENATE("")</f>
        <v/>
      </c>
      <c r="L187" s="6" t="str">
        <f>CONCATENATE("13 13.1 4a")</f>
        <v>13 13.1 4a</v>
      </c>
      <c r="M187" s="6" t="str">
        <f>CONCATENATE("02393300419")</f>
        <v>02393300419</v>
      </c>
      <c r="N187" s="6" t="s">
        <v>151</v>
      </c>
      <c r="O187" s="6"/>
      <c r="P187" s="7">
        <v>42879</v>
      </c>
      <c r="Q187" s="6" t="s">
        <v>30</v>
      </c>
      <c r="R187" s="6" t="s">
        <v>31</v>
      </c>
      <c r="S187" s="6" t="s">
        <v>32</v>
      </c>
      <c r="T187" s="8">
        <v>5238</v>
      </c>
      <c r="U187" s="8">
        <v>2258.63</v>
      </c>
      <c r="V187" s="8">
        <v>2085.77</v>
      </c>
      <c r="W187" s="6">
        <v>0</v>
      </c>
      <c r="X187" s="6">
        <v>893.6</v>
      </c>
    </row>
    <row r="188" spans="1:24" ht="24.75" x14ac:dyDescent="0.25">
      <c r="A188" s="6" t="s">
        <v>25</v>
      </c>
      <c r="B188" s="6" t="s">
        <v>26</v>
      </c>
      <c r="C188" s="6" t="s">
        <v>42</v>
      </c>
      <c r="D188" s="6" t="s">
        <v>53</v>
      </c>
      <c r="E188" s="6" t="s">
        <v>27</v>
      </c>
      <c r="F188" s="6" t="s">
        <v>54</v>
      </c>
      <c r="G188" s="6">
        <v>2016</v>
      </c>
      <c r="H188" s="6" t="str">
        <f>CONCATENATE("64210867939")</f>
        <v>64210867939</v>
      </c>
      <c r="I188" s="6" t="s">
        <v>28</v>
      </c>
      <c r="J188" s="6" t="s">
        <v>29</v>
      </c>
      <c r="K188" s="6" t="str">
        <f>CONCATENATE("")</f>
        <v/>
      </c>
      <c r="L188" s="6" t="str">
        <f>CONCATENATE("13 13.1 4a")</f>
        <v>13 13.1 4a</v>
      </c>
      <c r="M188" s="6" t="str">
        <f>CONCATENATE("SCPDGI84P30E388H")</f>
        <v>SCPDGI84P30E388H</v>
      </c>
      <c r="N188" s="6" t="s">
        <v>272</v>
      </c>
      <c r="O188" s="6"/>
      <c r="P188" s="7">
        <v>42879</v>
      </c>
      <c r="Q188" s="6" t="s">
        <v>30</v>
      </c>
      <c r="R188" s="6" t="s">
        <v>31</v>
      </c>
      <c r="S188" s="6" t="s">
        <v>32</v>
      </c>
      <c r="T188" s="8">
        <v>1973.04</v>
      </c>
      <c r="U188" s="6">
        <v>850.77</v>
      </c>
      <c r="V188" s="6">
        <v>785.66</v>
      </c>
      <c r="W188" s="6">
        <v>0</v>
      </c>
      <c r="X188" s="6">
        <v>336.61</v>
      </c>
    </row>
    <row r="189" spans="1:24" ht="24.75" x14ac:dyDescent="0.25">
      <c r="A189" s="6" t="s">
        <v>25</v>
      </c>
      <c r="B189" s="6" t="s">
        <v>26</v>
      </c>
      <c r="C189" s="6" t="s">
        <v>42</v>
      </c>
      <c r="D189" s="6" t="s">
        <v>46</v>
      </c>
      <c r="E189" s="6" t="s">
        <v>27</v>
      </c>
      <c r="F189" s="6" t="s">
        <v>240</v>
      </c>
      <c r="G189" s="6">
        <v>2016</v>
      </c>
      <c r="H189" s="6" t="str">
        <f>CONCATENATE("64210422149")</f>
        <v>64210422149</v>
      </c>
      <c r="I189" s="6" t="s">
        <v>28</v>
      </c>
      <c r="J189" s="6" t="s">
        <v>29</v>
      </c>
      <c r="K189" s="6" t="str">
        <f>CONCATENATE("")</f>
        <v/>
      </c>
      <c r="L189" s="6" t="str">
        <f>CONCATENATE("13 13.1 4a")</f>
        <v>13 13.1 4a</v>
      </c>
      <c r="M189" s="6" t="str">
        <f>CONCATENATE("LNGDRN63S49I287T")</f>
        <v>LNGDRN63S49I287T</v>
      </c>
      <c r="N189" s="6" t="s">
        <v>273</v>
      </c>
      <c r="O189" s="6"/>
      <c r="P189" s="7">
        <v>42877</v>
      </c>
      <c r="Q189" s="6" t="s">
        <v>30</v>
      </c>
      <c r="R189" s="6" t="s">
        <v>31</v>
      </c>
      <c r="S189" s="6" t="s">
        <v>32</v>
      </c>
      <c r="T189" s="6">
        <v>459.06</v>
      </c>
      <c r="U189" s="6">
        <v>197.95</v>
      </c>
      <c r="V189" s="6">
        <v>182.8</v>
      </c>
      <c r="W189" s="6">
        <v>0</v>
      </c>
      <c r="X189" s="6">
        <v>78.31</v>
      </c>
    </row>
    <row r="190" spans="1:24" ht="24.75" x14ac:dyDescent="0.25">
      <c r="A190" s="6" t="s">
        <v>25</v>
      </c>
      <c r="B190" s="6" t="s">
        <v>26</v>
      </c>
      <c r="C190" s="6" t="s">
        <v>42</v>
      </c>
      <c r="D190" s="6" t="s">
        <v>53</v>
      </c>
      <c r="E190" s="6" t="s">
        <v>33</v>
      </c>
      <c r="F190" s="6" t="s">
        <v>85</v>
      </c>
      <c r="G190" s="6">
        <v>2016</v>
      </c>
      <c r="H190" s="6" t="str">
        <f>CONCATENATE("64210326639")</f>
        <v>64210326639</v>
      </c>
      <c r="I190" s="6" t="s">
        <v>28</v>
      </c>
      <c r="J190" s="6" t="s">
        <v>29</v>
      </c>
      <c r="K190" s="6" t="str">
        <f>CONCATENATE("")</f>
        <v/>
      </c>
      <c r="L190" s="6" t="str">
        <f>CONCATENATE("13 13.1 4a")</f>
        <v>13 13.1 4a</v>
      </c>
      <c r="M190" s="6" t="str">
        <f>CONCATENATE("BCNLEI35A12I461O")</f>
        <v>BCNLEI35A12I461O</v>
      </c>
      <c r="N190" s="6" t="s">
        <v>274</v>
      </c>
      <c r="O190" s="6"/>
      <c r="P190" s="7">
        <v>42877</v>
      </c>
      <c r="Q190" s="6" t="s">
        <v>30</v>
      </c>
      <c r="R190" s="6" t="s">
        <v>31</v>
      </c>
      <c r="S190" s="6" t="s">
        <v>32</v>
      </c>
      <c r="T190" s="8">
        <v>4382.29</v>
      </c>
      <c r="U190" s="8">
        <v>1889.64</v>
      </c>
      <c r="V190" s="8">
        <v>1745.03</v>
      </c>
      <c r="W190" s="6">
        <v>0</v>
      </c>
      <c r="X190" s="6">
        <v>747.62</v>
      </c>
    </row>
    <row r="191" spans="1:24" ht="24.75" x14ac:dyDescent="0.25">
      <c r="A191" s="6" t="s">
        <v>25</v>
      </c>
      <c r="B191" s="6" t="s">
        <v>26</v>
      </c>
      <c r="C191" s="6" t="s">
        <v>42</v>
      </c>
      <c r="D191" s="6" t="s">
        <v>53</v>
      </c>
      <c r="E191" s="6" t="s">
        <v>27</v>
      </c>
      <c r="F191" s="6" t="s">
        <v>54</v>
      </c>
      <c r="G191" s="6">
        <v>2016</v>
      </c>
      <c r="H191" s="6" t="str">
        <f>CONCATENATE("64210088999")</f>
        <v>64210088999</v>
      </c>
      <c r="I191" s="6" t="s">
        <v>28</v>
      </c>
      <c r="J191" s="6" t="s">
        <v>29</v>
      </c>
      <c r="K191" s="6" t="str">
        <f>CONCATENATE("")</f>
        <v/>
      </c>
      <c r="L191" s="6" t="str">
        <f>CONCATENATE("13 13.1 4a")</f>
        <v>13 13.1 4a</v>
      </c>
      <c r="M191" s="6" t="str">
        <f>CONCATENATE("ZCCPLA60M16D451L")</f>
        <v>ZCCPLA60M16D451L</v>
      </c>
      <c r="N191" s="6" t="s">
        <v>275</v>
      </c>
      <c r="O191" s="6"/>
      <c r="P191" s="7">
        <v>42879</v>
      </c>
      <c r="Q191" s="6" t="s">
        <v>30</v>
      </c>
      <c r="R191" s="6" t="s">
        <v>31</v>
      </c>
      <c r="S191" s="6" t="s">
        <v>32</v>
      </c>
      <c r="T191" s="8">
        <v>3259.44</v>
      </c>
      <c r="U191" s="8">
        <v>1405.47</v>
      </c>
      <c r="V191" s="8">
        <v>1297.9100000000001</v>
      </c>
      <c r="W191" s="6">
        <v>0</v>
      </c>
      <c r="X191" s="6">
        <v>556.05999999999995</v>
      </c>
    </row>
    <row r="192" spans="1:24" ht="24.75" x14ac:dyDescent="0.25">
      <c r="A192" s="6" t="s">
        <v>25</v>
      </c>
      <c r="B192" s="6" t="s">
        <v>26</v>
      </c>
      <c r="C192" s="6" t="s">
        <v>42</v>
      </c>
      <c r="D192" s="6" t="s">
        <v>53</v>
      </c>
      <c r="E192" s="6" t="s">
        <v>27</v>
      </c>
      <c r="F192" s="6" t="s">
        <v>74</v>
      </c>
      <c r="G192" s="6">
        <v>2016</v>
      </c>
      <c r="H192" s="6" t="str">
        <f>CONCATENATE("64210985491")</f>
        <v>64210985491</v>
      </c>
      <c r="I192" s="6" t="s">
        <v>28</v>
      </c>
      <c r="J192" s="6" t="s">
        <v>29</v>
      </c>
      <c r="K192" s="6" t="str">
        <f>CONCATENATE("")</f>
        <v/>
      </c>
      <c r="L192" s="6" t="str">
        <f>CONCATENATE("13 13.1 4a")</f>
        <v>13 13.1 4a</v>
      </c>
      <c r="M192" s="6" t="str">
        <f>CONCATENATE("VCCTMS58C10H501Q")</f>
        <v>VCCTMS58C10H501Q</v>
      </c>
      <c r="N192" s="6" t="s">
        <v>276</v>
      </c>
      <c r="O192" s="6"/>
      <c r="P192" s="7">
        <v>42879</v>
      </c>
      <c r="Q192" s="6" t="s">
        <v>30</v>
      </c>
      <c r="R192" s="6" t="s">
        <v>31</v>
      </c>
      <c r="S192" s="6" t="s">
        <v>32</v>
      </c>
      <c r="T192" s="6">
        <v>361.41</v>
      </c>
      <c r="U192" s="6">
        <v>155.84</v>
      </c>
      <c r="V192" s="6">
        <v>143.91</v>
      </c>
      <c r="W192" s="6">
        <v>0</v>
      </c>
      <c r="X192" s="6">
        <v>61.66</v>
      </c>
    </row>
    <row r="193" spans="1:24" ht="24.75" x14ac:dyDescent="0.25">
      <c r="A193" s="6" t="s">
        <v>25</v>
      </c>
      <c r="B193" s="6" t="s">
        <v>26</v>
      </c>
      <c r="C193" s="6" t="s">
        <v>42</v>
      </c>
      <c r="D193" s="6" t="s">
        <v>49</v>
      </c>
      <c r="E193" s="6" t="s">
        <v>41</v>
      </c>
      <c r="F193" s="6" t="s">
        <v>41</v>
      </c>
      <c r="G193" s="6">
        <v>2016</v>
      </c>
      <c r="H193" s="6" t="str">
        <f>CONCATENATE("64240571253")</f>
        <v>64240571253</v>
      </c>
      <c r="I193" s="6" t="s">
        <v>28</v>
      </c>
      <c r="J193" s="6" t="s">
        <v>29</v>
      </c>
      <c r="K193" s="6" t="str">
        <f>CONCATENATE("")</f>
        <v/>
      </c>
      <c r="L193" s="6" t="str">
        <f>CONCATENATE("11 11.2 4b")</f>
        <v>11 11.2 4b</v>
      </c>
      <c r="M193" s="6" t="str">
        <f>CONCATENATE("01983810449")</f>
        <v>01983810449</v>
      </c>
      <c r="N193" s="6" t="s">
        <v>277</v>
      </c>
      <c r="O193" s="6"/>
      <c r="P193" s="7">
        <v>42879</v>
      </c>
      <c r="Q193" s="6" t="s">
        <v>30</v>
      </c>
      <c r="R193" s="6" t="s">
        <v>31</v>
      </c>
      <c r="S193" s="6" t="s">
        <v>32</v>
      </c>
      <c r="T193" s="8">
        <v>5548.16</v>
      </c>
      <c r="U193" s="8">
        <v>2392.37</v>
      </c>
      <c r="V193" s="8">
        <v>2209.2800000000002</v>
      </c>
      <c r="W193" s="6">
        <v>0</v>
      </c>
      <c r="X193" s="6">
        <v>946.51</v>
      </c>
    </row>
    <row r="194" spans="1:24" ht="24.75" x14ac:dyDescent="0.25">
      <c r="A194" s="6" t="s">
        <v>25</v>
      </c>
      <c r="B194" s="6" t="s">
        <v>26</v>
      </c>
      <c r="C194" s="6" t="s">
        <v>42</v>
      </c>
      <c r="D194" s="6" t="s">
        <v>49</v>
      </c>
      <c r="E194" s="6" t="s">
        <v>33</v>
      </c>
      <c r="F194" s="6" t="s">
        <v>39</v>
      </c>
      <c r="G194" s="6">
        <v>2016</v>
      </c>
      <c r="H194" s="6" t="str">
        <f>CONCATENATE("64210909301")</f>
        <v>64210909301</v>
      </c>
      <c r="I194" s="6" t="s">
        <v>28</v>
      </c>
      <c r="J194" s="6" t="s">
        <v>29</v>
      </c>
      <c r="K194" s="6" t="str">
        <f>CONCATENATE("")</f>
        <v/>
      </c>
      <c r="L194" s="6" t="str">
        <f>CONCATENATE("13 13.1 4a")</f>
        <v>13 13.1 4a</v>
      </c>
      <c r="M194" s="6" t="str">
        <f>CONCATENATE("DMTSTN48L20L597W")</f>
        <v>DMTSTN48L20L597W</v>
      </c>
      <c r="N194" s="6" t="s">
        <v>278</v>
      </c>
      <c r="O194" s="6"/>
      <c r="P194" s="7">
        <v>42879</v>
      </c>
      <c r="Q194" s="6" t="s">
        <v>30</v>
      </c>
      <c r="R194" s="6" t="s">
        <v>31</v>
      </c>
      <c r="S194" s="6" t="s">
        <v>32</v>
      </c>
      <c r="T194" s="8">
        <v>5185.62</v>
      </c>
      <c r="U194" s="8">
        <v>2236.04</v>
      </c>
      <c r="V194" s="8">
        <v>2064.91</v>
      </c>
      <c r="W194" s="6">
        <v>0</v>
      </c>
      <c r="X194" s="6">
        <v>884.67</v>
      </c>
    </row>
    <row r="195" spans="1:24" ht="24.75" x14ac:dyDescent="0.25">
      <c r="A195" s="6" t="s">
        <v>25</v>
      </c>
      <c r="B195" s="6" t="s">
        <v>26</v>
      </c>
      <c r="C195" s="6" t="s">
        <v>42</v>
      </c>
      <c r="D195" s="6" t="s">
        <v>49</v>
      </c>
      <c r="E195" s="6" t="s">
        <v>41</v>
      </c>
      <c r="F195" s="6" t="s">
        <v>41</v>
      </c>
      <c r="G195" s="6">
        <v>2016</v>
      </c>
      <c r="H195" s="6" t="str">
        <f>CONCATENATE("64240053500")</f>
        <v>64240053500</v>
      </c>
      <c r="I195" s="6" t="s">
        <v>28</v>
      </c>
      <c r="J195" s="6" t="s">
        <v>29</v>
      </c>
      <c r="K195" s="6" t="str">
        <f>CONCATENATE("")</f>
        <v/>
      </c>
      <c r="L195" s="6" t="str">
        <f>CONCATENATE("11 11.2 4b")</f>
        <v>11 11.2 4b</v>
      </c>
      <c r="M195" s="6" t="str">
        <f>CONCATENATE("CCCCST68R01A462S")</f>
        <v>CCCCST68R01A462S</v>
      </c>
      <c r="N195" s="6" t="s">
        <v>183</v>
      </c>
      <c r="O195" s="6"/>
      <c r="P195" s="7">
        <v>42879</v>
      </c>
      <c r="Q195" s="6" t="s">
        <v>30</v>
      </c>
      <c r="R195" s="6" t="s">
        <v>31</v>
      </c>
      <c r="S195" s="6" t="s">
        <v>32</v>
      </c>
      <c r="T195" s="8">
        <v>5466.59</v>
      </c>
      <c r="U195" s="8">
        <v>2357.19</v>
      </c>
      <c r="V195" s="8">
        <v>2176.8000000000002</v>
      </c>
      <c r="W195" s="6">
        <v>0</v>
      </c>
      <c r="X195" s="6">
        <v>932.6</v>
      </c>
    </row>
    <row r="196" spans="1:24" ht="24.75" x14ac:dyDescent="0.25">
      <c r="A196" s="6" t="s">
        <v>25</v>
      </c>
      <c r="B196" s="6" t="s">
        <v>26</v>
      </c>
      <c r="C196" s="6" t="s">
        <v>42</v>
      </c>
      <c r="D196" s="6" t="s">
        <v>53</v>
      </c>
      <c r="E196" s="6" t="s">
        <v>27</v>
      </c>
      <c r="F196" s="6" t="s">
        <v>74</v>
      </c>
      <c r="G196" s="6">
        <v>2016</v>
      </c>
      <c r="H196" s="6" t="str">
        <f>CONCATENATE("64210951824")</f>
        <v>64210951824</v>
      </c>
      <c r="I196" s="6" t="s">
        <v>28</v>
      </c>
      <c r="J196" s="6" t="s">
        <v>29</v>
      </c>
      <c r="K196" s="6" t="str">
        <f>CONCATENATE("")</f>
        <v/>
      </c>
      <c r="L196" s="6" t="str">
        <f>CONCATENATE("13 13.1 4a")</f>
        <v>13 13.1 4a</v>
      </c>
      <c r="M196" s="6" t="str">
        <f>CONCATENATE("SBSGBR57S13A366M")</f>
        <v>SBSGBR57S13A366M</v>
      </c>
      <c r="N196" s="6" t="s">
        <v>279</v>
      </c>
      <c r="O196" s="6"/>
      <c r="P196" s="7">
        <v>42877</v>
      </c>
      <c r="Q196" s="6" t="s">
        <v>30</v>
      </c>
      <c r="R196" s="6" t="s">
        <v>31</v>
      </c>
      <c r="S196" s="6" t="s">
        <v>32</v>
      </c>
      <c r="T196" s="6">
        <v>774.08</v>
      </c>
      <c r="U196" s="6">
        <v>333.78</v>
      </c>
      <c r="V196" s="6">
        <v>308.24</v>
      </c>
      <c r="W196" s="6">
        <v>0</v>
      </c>
      <c r="X196" s="6">
        <v>132.06</v>
      </c>
    </row>
    <row r="197" spans="1:24" ht="24.75" x14ac:dyDescent="0.25">
      <c r="A197" s="6" t="s">
        <v>25</v>
      </c>
      <c r="B197" s="6" t="s">
        <v>26</v>
      </c>
      <c r="C197" s="6" t="s">
        <v>42</v>
      </c>
      <c r="D197" s="6" t="s">
        <v>49</v>
      </c>
      <c r="E197" s="6" t="s">
        <v>34</v>
      </c>
      <c r="F197" s="6" t="s">
        <v>72</v>
      </c>
      <c r="G197" s="6">
        <v>2016</v>
      </c>
      <c r="H197" s="6" t="str">
        <f>CONCATENATE("64240226528")</f>
        <v>64240226528</v>
      </c>
      <c r="I197" s="6" t="s">
        <v>28</v>
      </c>
      <c r="J197" s="6" t="s">
        <v>29</v>
      </c>
      <c r="K197" s="6" t="str">
        <f>CONCATENATE("")</f>
        <v/>
      </c>
      <c r="L197" s="6" t="str">
        <f>CONCATENATE("11 11.2 4b")</f>
        <v>11 11.2 4b</v>
      </c>
      <c r="M197" s="6" t="str">
        <f>CONCATENATE("CLNDRA44C26I912N")</f>
        <v>CLNDRA44C26I912N</v>
      </c>
      <c r="N197" s="6" t="s">
        <v>280</v>
      </c>
      <c r="O197" s="6"/>
      <c r="P197" s="7">
        <v>42879</v>
      </c>
      <c r="Q197" s="6" t="s">
        <v>30</v>
      </c>
      <c r="R197" s="6" t="s">
        <v>31</v>
      </c>
      <c r="S197" s="6" t="s">
        <v>32</v>
      </c>
      <c r="T197" s="8">
        <v>2089.19</v>
      </c>
      <c r="U197" s="6">
        <v>900.86</v>
      </c>
      <c r="V197" s="6">
        <v>831.92</v>
      </c>
      <c r="W197" s="6">
        <v>0</v>
      </c>
      <c r="X197" s="6">
        <v>356.41</v>
      </c>
    </row>
    <row r="198" spans="1:24" ht="24.75" x14ac:dyDescent="0.25">
      <c r="A198" s="6" t="s">
        <v>25</v>
      </c>
      <c r="B198" s="6" t="s">
        <v>26</v>
      </c>
      <c r="C198" s="6" t="s">
        <v>42</v>
      </c>
      <c r="D198" s="6" t="s">
        <v>49</v>
      </c>
      <c r="E198" s="6" t="s">
        <v>27</v>
      </c>
      <c r="F198" s="6" t="s">
        <v>62</v>
      </c>
      <c r="G198" s="6">
        <v>2016</v>
      </c>
      <c r="H198" s="6" t="str">
        <f>CONCATENATE("64240872339")</f>
        <v>64240872339</v>
      </c>
      <c r="I198" s="6" t="s">
        <v>28</v>
      </c>
      <c r="J198" s="6" t="s">
        <v>29</v>
      </c>
      <c r="K198" s="6" t="str">
        <f>CONCATENATE("")</f>
        <v/>
      </c>
      <c r="L198" s="6" t="str">
        <f>CONCATENATE("11 11.1 4b")</f>
        <v>11 11.1 4b</v>
      </c>
      <c r="M198" s="6" t="str">
        <f>CONCATENATE("PLMRRT87A02D542D")</f>
        <v>PLMRRT87A02D542D</v>
      </c>
      <c r="N198" s="6" t="s">
        <v>281</v>
      </c>
      <c r="O198" s="6"/>
      <c r="P198" s="7">
        <v>42879</v>
      </c>
      <c r="Q198" s="6" t="s">
        <v>30</v>
      </c>
      <c r="R198" s="6" t="s">
        <v>31</v>
      </c>
      <c r="S198" s="6" t="s">
        <v>32</v>
      </c>
      <c r="T198" s="8">
        <v>7473.15</v>
      </c>
      <c r="U198" s="8">
        <v>3222.42</v>
      </c>
      <c r="V198" s="8">
        <v>2975.81</v>
      </c>
      <c r="W198" s="6">
        <v>0</v>
      </c>
      <c r="X198" s="6">
        <v>1274.92</v>
      </c>
    </row>
    <row r="199" spans="1:24" ht="24.75" x14ac:dyDescent="0.25">
      <c r="A199" s="6" t="s">
        <v>25</v>
      </c>
      <c r="B199" s="6" t="s">
        <v>26</v>
      </c>
      <c r="C199" s="6" t="s">
        <v>42</v>
      </c>
      <c r="D199" s="6" t="s">
        <v>49</v>
      </c>
      <c r="E199" s="6" t="s">
        <v>27</v>
      </c>
      <c r="F199" s="6" t="s">
        <v>76</v>
      </c>
      <c r="G199" s="6">
        <v>2016</v>
      </c>
      <c r="H199" s="6" t="str">
        <f>CONCATENATE("64211061474")</f>
        <v>64211061474</v>
      </c>
      <c r="I199" s="6" t="s">
        <v>28</v>
      </c>
      <c r="J199" s="6" t="s">
        <v>29</v>
      </c>
      <c r="K199" s="6" t="str">
        <f>CONCATENATE("")</f>
        <v/>
      </c>
      <c r="L199" s="6" t="str">
        <f>CONCATENATE("13 13.1 4a")</f>
        <v>13 13.1 4a</v>
      </c>
      <c r="M199" s="6" t="str">
        <f>CONCATENATE("MNTGPP52E04L597W")</f>
        <v>MNTGPP52E04L597W</v>
      </c>
      <c r="N199" s="6" t="s">
        <v>282</v>
      </c>
      <c r="O199" s="6"/>
      <c r="P199" s="7">
        <v>42879</v>
      </c>
      <c r="Q199" s="6" t="s">
        <v>30</v>
      </c>
      <c r="R199" s="6" t="s">
        <v>31</v>
      </c>
      <c r="S199" s="6" t="s">
        <v>32</v>
      </c>
      <c r="T199" s="8">
        <v>5400</v>
      </c>
      <c r="U199" s="8">
        <v>2328.48</v>
      </c>
      <c r="V199" s="8">
        <v>2150.2800000000002</v>
      </c>
      <c r="W199" s="6">
        <v>0</v>
      </c>
      <c r="X199" s="6">
        <v>921.24</v>
      </c>
    </row>
    <row r="200" spans="1:24" ht="24.75" x14ac:dyDescent="0.25">
      <c r="A200" s="6" t="s">
        <v>25</v>
      </c>
      <c r="B200" s="6" t="s">
        <v>26</v>
      </c>
      <c r="C200" s="6" t="s">
        <v>42</v>
      </c>
      <c r="D200" s="6" t="s">
        <v>46</v>
      </c>
      <c r="E200" s="6" t="s">
        <v>27</v>
      </c>
      <c r="F200" s="6" t="s">
        <v>150</v>
      </c>
      <c r="G200" s="6">
        <v>2016</v>
      </c>
      <c r="H200" s="6" t="str">
        <f>CONCATENATE("64240701751")</f>
        <v>64240701751</v>
      </c>
      <c r="I200" s="6" t="s">
        <v>28</v>
      </c>
      <c r="J200" s="6" t="s">
        <v>29</v>
      </c>
      <c r="K200" s="6" t="str">
        <f>CONCATENATE("")</f>
        <v/>
      </c>
      <c r="L200" s="6" t="str">
        <f>CONCATENATE("11 11.2 4b")</f>
        <v>11 11.2 4b</v>
      </c>
      <c r="M200" s="6" t="str">
        <f>CONCATENATE("MNTLYI95P16Z154Q")</f>
        <v>MNTLYI95P16Z154Q</v>
      </c>
      <c r="N200" s="6" t="s">
        <v>283</v>
      </c>
      <c r="O200" s="6"/>
      <c r="P200" s="7">
        <v>42877</v>
      </c>
      <c r="Q200" s="6" t="s">
        <v>30</v>
      </c>
      <c r="R200" s="6" t="s">
        <v>31</v>
      </c>
      <c r="S200" s="6" t="s">
        <v>32</v>
      </c>
      <c r="T200" s="8">
        <v>10230.41</v>
      </c>
      <c r="U200" s="8">
        <v>4411.3500000000004</v>
      </c>
      <c r="V200" s="8">
        <v>4073.75</v>
      </c>
      <c r="W200" s="6">
        <v>0</v>
      </c>
      <c r="X200" s="6">
        <v>1745.31</v>
      </c>
    </row>
    <row r="201" spans="1:24" ht="24.75" x14ac:dyDescent="0.25">
      <c r="A201" s="6" t="s">
        <v>25</v>
      </c>
      <c r="B201" s="6" t="s">
        <v>26</v>
      </c>
      <c r="C201" s="6" t="s">
        <v>42</v>
      </c>
      <c r="D201" s="6" t="s">
        <v>49</v>
      </c>
      <c r="E201" s="6" t="s">
        <v>36</v>
      </c>
      <c r="F201" s="6" t="s">
        <v>144</v>
      </c>
      <c r="G201" s="6">
        <v>2016</v>
      </c>
      <c r="H201" s="6" t="str">
        <f>CONCATENATE("64240446688")</f>
        <v>64240446688</v>
      </c>
      <c r="I201" s="6" t="s">
        <v>28</v>
      </c>
      <c r="J201" s="6" t="s">
        <v>29</v>
      </c>
      <c r="K201" s="6" t="str">
        <f>CONCATENATE("")</f>
        <v/>
      </c>
      <c r="L201" s="6" t="str">
        <f>CONCATENATE("10 10.1 4b")</f>
        <v>10 10.1 4b</v>
      </c>
      <c r="M201" s="6" t="str">
        <f>CONCATENATE("VGNMSM68E27G516C")</f>
        <v>VGNMSM68E27G516C</v>
      </c>
      <c r="N201" s="6" t="s">
        <v>284</v>
      </c>
      <c r="O201" s="6"/>
      <c r="P201" s="7">
        <v>42877</v>
      </c>
      <c r="Q201" s="6" t="s">
        <v>30</v>
      </c>
      <c r="R201" s="6" t="s">
        <v>31</v>
      </c>
      <c r="S201" s="6" t="s">
        <v>32</v>
      </c>
      <c r="T201" s="8">
        <v>3239.84</v>
      </c>
      <c r="U201" s="8">
        <v>1397.02</v>
      </c>
      <c r="V201" s="8">
        <v>1290.0999999999999</v>
      </c>
      <c r="W201" s="6">
        <v>0</v>
      </c>
      <c r="X201" s="6">
        <v>552.72</v>
      </c>
    </row>
    <row r="202" spans="1:24" ht="24.75" x14ac:dyDescent="0.25">
      <c r="A202" s="6" t="s">
        <v>25</v>
      </c>
      <c r="B202" s="6" t="s">
        <v>26</v>
      </c>
      <c r="C202" s="6" t="s">
        <v>42</v>
      </c>
      <c r="D202" s="6" t="s">
        <v>49</v>
      </c>
      <c r="E202" s="6" t="s">
        <v>33</v>
      </c>
      <c r="F202" s="6" t="s">
        <v>285</v>
      </c>
      <c r="G202" s="6">
        <v>2016</v>
      </c>
      <c r="H202" s="6" t="str">
        <f>CONCATENATE("64240332052")</f>
        <v>64240332052</v>
      </c>
      <c r="I202" s="6" t="s">
        <v>28</v>
      </c>
      <c r="J202" s="6" t="s">
        <v>29</v>
      </c>
      <c r="K202" s="6" t="str">
        <f>CONCATENATE("")</f>
        <v/>
      </c>
      <c r="L202" s="6" t="str">
        <f>CONCATENATE("11 11.2 4b")</f>
        <v>11 11.2 4b</v>
      </c>
      <c r="M202" s="6" t="str">
        <f>CONCATENATE("CLLGPP45D56A462B")</f>
        <v>CLLGPP45D56A462B</v>
      </c>
      <c r="N202" s="6" t="s">
        <v>286</v>
      </c>
      <c r="O202" s="6"/>
      <c r="P202" s="7">
        <v>42879</v>
      </c>
      <c r="Q202" s="6" t="s">
        <v>30</v>
      </c>
      <c r="R202" s="6" t="s">
        <v>31</v>
      </c>
      <c r="S202" s="6" t="s">
        <v>32</v>
      </c>
      <c r="T202" s="8">
        <v>11615.44</v>
      </c>
      <c r="U202" s="8">
        <v>5008.58</v>
      </c>
      <c r="V202" s="8">
        <v>4625.2700000000004</v>
      </c>
      <c r="W202" s="6">
        <v>0</v>
      </c>
      <c r="X202" s="6">
        <v>1981.59</v>
      </c>
    </row>
    <row r="203" spans="1:24" ht="24.75" x14ac:dyDescent="0.25">
      <c r="A203" s="6" t="s">
        <v>25</v>
      </c>
      <c r="B203" s="6" t="s">
        <v>26</v>
      </c>
      <c r="C203" s="6" t="s">
        <v>42</v>
      </c>
      <c r="D203" s="6" t="s">
        <v>49</v>
      </c>
      <c r="E203" s="6" t="s">
        <v>41</v>
      </c>
      <c r="F203" s="6" t="s">
        <v>41</v>
      </c>
      <c r="G203" s="6">
        <v>2016</v>
      </c>
      <c r="H203" s="6" t="str">
        <f>CONCATENATE("64240819264")</f>
        <v>64240819264</v>
      </c>
      <c r="I203" s="6" t="s">
        <v>28</v>
      </c>
      <c r="J203" s="6" t="s">
        <v>29</v>
      </c>
      <c r="K203" s="6" t="str">
        <f>CONCATENATE("")</f>
        <v/>
      </c>
      <c r="L203" s="6" t="str">
        <f>CONCATENATE("10 10.1 4b")</f>
        <v>10 10.1 4b</v>
      </c>
      <c r="M203" s="6" t="str">
        <f>CONCATENATE("01230310441")</f>
        <v>01230310441</v>
      </c>
      <c r="N203" s="6" t="s">
        <v>287</v>
      </c>
      <c r="O203" s="6"/>
      <c r="P203" s="7">
        <v>42879</v>
      </c>
      <c r="Q203" s="6" t="s">
        <v>30</v>
      </c>
      <c r="R203" s="6" t="s">
        <v>31</v>
      </c>
      <c r="S203" s="6" t="s">
        <v>32</v>
      </c>
      <c r="T203" s="8">
        <v>3630.69</v>
      </c>
      <c r="U203" s="8">
        <v>1565.55</v>
      </c>
      <c r="V203" s="8">
        <v>1445.74</v>
      </c>
      <c r="W203" s="6">
        <v>0</v>
      </c>
      <c r="X203" s="6">
        <v>619.4</v>
      </c>
    </row>
    <row r="204" spans="1:24" ht="24.75" x14ac:dyDescent="0.25">
      <c r="A204" s="6" t="s">
        <v>25</v>
      </c>
      <c r="B204" s="6" t="s">
        <v>26</v>
      </c>
      <c r="C204" s="6" t="s">
        <v>42</v>
      </c>
      <c r="D204" s="6" t="s">
        <v>49</v>
      </c>
      <c r="E204" s="6" t="s">
        <v>41</v>
      </c>
      <c r="F204" s="6" t="s">
        <v>41</v>
      </c>
      <c r="G204" s="6">
        <v>2016</v>
      </c>
      <c r="H204" s="6" t="str">
        <f>CONCATENATE("64240184677")</f>
        <v>64240184677</v>
      </c>
      <c r="I204" s="6" t="s">
        <v>28</v>
      </c>
      <c r="J204" s="6" t="s">
        <v>29</v>
      </c>
      <c r="K204" s="6" t="str">
        <f>CONCATENATE("")</f>
        <v/>
      </c>
      <c r="L204" s="6" t="str">
        <f>CONCATENATE("11 11.2 4b")</f>
        <v>11 11.2 4b</v>
      </c>
      <c r="M204" s="6" t="str">
        <f>CONCATENATE("LNCMRC66E26G005H")</f>
        <v>LNCMRC66E26G005H</v>
      </c>
      <c r="N204" s="6" t="s">
        <v>288</v>
      </c>
      <c r="O204" s="6"/>
      <c r="P204" s="7">
        <v>42879</v>
      </c>
      <c r="Q204" s="6" t="s">
        <v>30</v>
      </c>
      <c r="R204" s="6" t="s">
        <v>31</v>
      </c>
      <c r="S204" s="6" t="s">
        <v>32</v>
      </c>
      <c r="T204" s="8">
        <v>2637.25</v>
      </c>
      <c r="U204" s="8">
        <v>1137.18</v>
      </c>
      <c r="V204" s="8">
        <v>1050.1500000000001</v>
      </c>
      <c r="W204" s="6">
        <v>0</v>
      </c>
      <c r="X204" s="6">
        <v>449.92</v>
      </c>
    </row>
    <row r="205" spans="1:24" ht="24.75" x14ac:dyDescent="0.25">
      <c r="A205" s="6" t="s">
        <v>25</v>
      </c>
      <c r="B205" s="6" t="s">
        <v>26</v>
      </c>
      <c r="C205" s="6" t="s">
        <v>42</v>
      </c>
      <c r="D205" s="6" t="s">
        <v>43</v>
      </c>
      <c r="E205" s="6" t="s">
        <v>27</v>
      </c>
      <c r="F205" s="6" t="s">
        <v>44</v>
      </c>
      <c r="G205" s="6">
        <v>2016</v>
      </c>
      <c r="H205" s="6" t="str">
        <f>CONCATENATE("64210538803")</f>
        <v>64210538803</v>
      </c>
      <c r="I205" s="6" t="s">
        <v>28</v>
      </c>
      <c r="J205" s="6" t="s">
        <v>29</v>
      </c>
      <c r="K205" s="6" t="str">
        <f>CONCATENATE("")</f>
        <v/>
      </c>
      <c r="L205" s="6" t="str">
        <f>CONCATENATE("13 13.1 4a")</f>
        <v>13 13.1 4a</v>
      </c>
      <c r="M205" s="6" t="str">
        <f>CONCATENATE("01761610433")</f>
        <v>01761610433</v>
      </c>
      <c r="N205" s="6" t="s">
        <v>289</v>
      </c>
      <c r="O205" s="6"/>
      <c r="P205" s="7">
        <v>42877</v>
      </c>
      <c r="Q205" s="6" t="s">
        <v>30</v>
      </c>
      <c r="R205" s="6" t="s">
        <v>31</v>
      </c>
      <c r="S205" s="6" t="s">
        <v>32</v>
      </c>
      <c r="T205" s="8">
        <v>3051.22</v>
      </c>
      <c r="U205" s="8">
        <v>1315.69</v>
      </c>
      <c r="V205" s="8">
        <v>1215</v>
      </c>
      <c r="W205" s="6">
        <v>0</v>
      </c>
      <c r="X205" s="6">
        <v>520.53</v>
      </c>
    </row>
    <row r="206" spans="1:24" ht="24.75" x14ac:dyDescent="0.25">
      <c r="A206" s="6" t="s">
        <v>25</v>
      </c>
      <c r="B206" s="6" t="s">
        <v>26</v>
      </c>
      <c r="C206" s="6" t="s">
        <v>42</v>
      </c>
      <c r="D206" s="6" t="s">
        <v>49</v>
      </c>
      <c r="E206" s="6" t="s">
        <v>36</v>
      </c>
      <c r="F206" s="6" t="s">
        <v>212</v>
      </c>
      <c r="G206" s="6">
        <v>2016</v>
      </c>
      <c r="H206" s="6" t="str">
        <f>CONCATENATE("64210575664")</f>
        <v>64210575664</v>
      </c>
      <c r="I206" s="6" t="s">
        <v>28</v>
      </c>
      <c r="J206" s="6" t="s">
        <v>29</v>
      </c>
      <c r="K206" s="6" t="str">
        <f>CONCATENATE("")</f>
        <v/>
      </c>
      <c r="L206" s="6" t="str">
        <f>CONCATENATE("13 13.1 4a")</f>
        <v>13 13.1 4a</v>
      </c>
      <c r="M206" s="6" t="str">
        <f>CONCATENATE("01539420446")</f>
        <v>01539420446</v>
      </c>
      <c r="N206" s="6" t="s">
        <v>290</v>
      </c>
      <c r="O206" s="6"/>
      <c r="P206" s="7">
        <v>42879</v>
      </c>
      <c r="Q206" s="6" t="s">
        <v>30</v>
      </c>
      <c r="R206" s="6" t="s">
        <v>31</v>
      </c>
      <c r="S206" s="6" t="s">
        <v>32</v>
      </c>
      <c r="T206" s="8">
        <v>2080.21</v>
      </c>
      <c r="U206" s="6">
        <v>896.99</v>
      </c>
      <c r="V206" s="6">
        <v>828.34</v>
      </c>
      <c r="W206" s="6">
        <v>0</v>
      </c>
      <c r="X206" s="6">
        <v>354.88</v>
      </c>
    </row>
    <row r="207" spans="1:24" ht="24.75" x14ac:dyDescent="0.25">
      <c r="A207" s="6" t="s">
        <v>25</v>
      </c>
      <c r="B207" s="6" t="s">
        <v>26</v>
      </c>
      <c r="C207" s="6" t="s">
        <v>42</v>
      </c>
      <c r="D207" s="6" t="s">
        <v>53</v>
      </c>
      <c r="E207" s="6" t="s">
        <v>38</v>
      </c>
      <c r="F207" s="6" t="s">
        <v>291</v>
      </c>
      <c r="G207" s="6">
        <v>2016</v>
      </c>
      <c r="H207" s="6" t="str">
        <f>CONCATENATE("64240706024")</f>
        <v>64240706024</v>
      </c>
      <c r="I207" s="6" t="s">
        <v>28</v>
      </c>
      <c r="J207" s="6" t="s">
        <v>29</v>
      </c>
      <c r="K207" s="6" t="str">
        <f>CONCATENATE("")</f>
        <v/>
      </c>
      <c r="L207" s="6" t="str">
        <f>CONCATENATE("11 11.2 4b")</f>
        <v>11 11.2 4b</v>
      </c>
      <c r="M207" s="6" t="str">
        <f>CONCATENATE("PLTFNC69A20I461C")</f>
        <v>PLTFNC69A20I461C</v>
      </c>
      <c r="N207" s="6" t="s">
        <v>292</v>
      </c>
      <c r="O207" s="6"/>
      <c r="P207" s="7">
        <v>42877</v>
      </c>
      <c r="Q207" s="6" t="s">
        <v>30</v>
      </c>
      <c r="R207" s="6" t="s">
        <v>31</v>
      </c>
      <c r="S207" s="6" t="s">
        <v>32</v>
      </c>
      <c r="T207" s="8">
        <v>3204.83</v>
      </c>
      <c r="U207" s="8">
        <v>1381.92</v>
      </c>
      <c r="V207" s="8">
        <v>1276.1600000000001</v>
      </c>
      <c r="W207" s="6">
        <v>0</v>
      </c>
      <c r="X207" s="6">
        <v>546.75</v>
      </c>
    </row>
    <row r="208" spans="1:24" ht="24.75" x14ac:dyDescent="0.25">
      <c r="A208" s="6" t="s">
        <v>25</v>
      </c>
      <c r="B208" s="6" t="s">
        <v>26</v>
      </c>
      <c r="C208" s="6" t="s">
        <v>42</v>
      </c>
      <c r="D208" s="6" t="s">
        <v>53</v>
      </c>
      <c r="E208" s="6" t="s">
        <v>38</v>
      </c>
      <c r="F208" s="6" t="s">
        <v>291</v>
      </c>
      <c r="G208" s="6">
        <v>2016</v>
      </c>
      <c r="H208" s="6" t="str">
        <f>CONCATENATE("64210898348")</f>
        <v>64210898348</v>
      </c>
      <c r="I208" s="6" t="s">
        <v>28</v>
      </c>
      <c r="J208" s="6" t="s">
        <v>29</v>
      </c>
      <c r="K208" s="6" t="str">
        <f>CONCATENATE("")</f>
        <v/>
      </c>
      <c r="L208" s="6" t="str">
        <f>CONCATENATE("13 13.1 4a")</f>
        <v>13 13.1 4a</v>
      </c>
      <c r="M208" s="6" t="str">
        <f>CONCATENATE("PLTFNC69A20I461C")</f>
        <v>PLTFNC69A20I461C</v>
      </c>
      <c r="N208" s="6" t="s">
        <v>292</v>
      </c>
      <c r="O208" s="6"/>
      <c r="P208" s="7">
        <v>42877</v>
      </c>
      <c r="Q208" s="6" t="s">
        <v>30</v>
      </c>
      <c r="R208" s="6" t="s">
        <v>31</v>
      </c>
      <c r="S208" s="6" t="s">
        <v>32</v>
      </c>
      <c r="T208" s="8">
        <v>1476.88</v>
      </c>
      <c r="U208" s="6">
        <v>636.83000000000004</v>
      </c>
      <c r="V208" s="6">
        <v>588.09</v>
      </c>
      <c r="W208" s="6">
        <v>0</v>
      </c>
      <c r="X208" s="6">
        <v>251.96</v>
      </c>
    </row>
    <row r="209" spans="1:24" ht="24.75" x14ac:dyDescent="0.25">
      <c r="A209" s="6" t="s">
        <v>25</v>
      </c>
      <c r="B209" s="6" t="s">
        <v>26</v>
      </c>
      <c r="C209" s="6" t="s">
        <v>42</v>
      </c>
      <c r="D209" s="6" t="s">
        <v>49</v>
      </c>
      <c r="E209" s="6" t="s">
        <v>27</v>
      </c>
      <c r="F209" s="6" t="s">
        <v>76</v>
      </c>
      <c r="G209" s="6">
        <v>2016</v>
      </c>
      <c r="H209" s="6" t="str">
        <f>CONCATENATE("64240559480")</f>
        <v>64240559480</v>
      </c>
      <c r="I209" s="6" t="s">
        <v>28</v>
      </c>
      <c r="J209" s="6" t="s">
        <v>29</v>
      </c>
      <c r="K209" s="6" t="str">
        <f>CONCATENATE("")</f>
        <v/>
      </c>
      <c r="L209" s="6" t="str">
        <f>CONCATENATE("10 10.1 4a")</f>
        <v>10 10.1 4a</v>
      </c>
      <c r="M209" s="6" t="str">
        <f>CONCATENATE("02139620443")</f>
        <v>02139620443</v>
      </c>
      <c r="N209" s="6" t="s">
        <v>293</v>
      </c>
      <c r="O209" s="6"/>
      <c r="P209" s="7">
        <v>42879</v>
      </c>
      <c r="Q209" s="6" t="s">
        <v>30</v>
      </c>
      <c r="R209" s="6" t="s">
        <v>31</v>
      </c>
      <c r="S209" s="6" t="s">
        <v>32</v>
      </c>
      <c r="T209" s="8">
        <v>1204.56</v>
      </c>
      <c r="U209" s="6">
        <v>519.41</v>
      </c>
      <c r="V209" s="6">
        <v>479.66</v>
      </c>
      <c r="W209" s="6">
        <v>0</v>
      </c>
      <c r="X209" s="6">
        <v>205.49</v>
      </c>
    </row>
    <row r="210" spans="1:24" ht="24.75" x14ac:dyDescent="0.25">
      <c r="A210" s="6" t="s">
        <v>25</v>
      </c>
      <c r="B210" s="6" t="s">
        <v>26</v>
      </c>
      <c r="C210" s="6" t="s">
        <v>42</v>
      </c>
      <c r="D210" s="6" t="s">
        <v>49</v>
      </c>
      <c r="E210" s="6" t="s">
        <v>27</v>
      </c>
      <c r="F210" s="6" t="s">
        <v>76</v>
      </c>
      <c r="G210" s="6">
        <v>2016</v>
      </c>
      <c r="H210" s="6" t="str">
        <f>CONCATENATE("64240654364")</f>
        <v>64240654364</v>
      </c>
      <c r="I210" s="6" t="s">
        <v>28</v>
      </c>
      <c r="J210" s="6" t="s">
        <v>29</v>
      </c>
      <c r="K210" s="6" t="str">
        <f>CONCATENATE("")</f>
        <v/>
      </c>
      <c r="L210" s="6" t="str">
        <f>CONCATENATE("11 11.2 4b")</f>
        <v>11 11.2 4b</v>
      </c>
      <c r="M210" s="6" t="str">
        <f>CONCATENATE("02139620443")</f>
        <v>02139620443</v>
      </c>
      <c r="N210" s="6" t="s">
        <v>293</v>
      </c>
      <c r="O210" s="6"/>
      <c r="P210" s="7">
        <v>42879</v>
      </c>
      <c r="Q210" s="6" t="s">
        <v>30</v>
      </c>
      <c r="R210" s="6" t="s">
        <v>31</v>
      </c>
      <c r="S210" s="6" t="s">
        <v>32</v>
      </c>
      <c r="T210" s="8">
        <v>13074.53</v>
      </c>
      <c r="U210" s="8">
        <v>5637.74</v>
      </c>
      <c r="V210" s="8">
        <v>5206.28</v>
      </c>
      <c r="W210" s="6">
        <v>0</v>
      </c>
      <c r="X210" s="6">
        <v>2230.5100000000002</v>
      </c>
    </row>
    <row r="211" spans="1:24" ht="24.75" x14ac:dyDescent="0.25">
      <c r="A211" s="6" t="s">
        <v>25</v>
      </c>
      <c r="B211" s="6" t="s">
        <v>26</v>
      </c>
      <c r="C211" s="6" t="s">
        <v>42</v>
      </c>
      <c r="D211" s="6" t="s">
        <v>46</v>
      </c>
      <c r="E211" s="6" t="s">
        <v>33</v>
      </c>
      <c r="F211" s="6" t="s">
        <v>91</v>
      </c>
      <c r="G211" s="6">
        <v>2016</v>
      </c>
      <c r="H211" s="6" t="str">
        <f>CONCATENATE("64210436750")</f>
        <v>64210436750</v>
      </c>
      <c r="I211" s="6" t="s">
        <v>28</v>
      </c>
      <c r="J211" s="6" t="s">
        <v>29</v>
      </c>
      <c r="K211" s="6" t="str">
        <f>CONCATENATE("")</f>
        <v/>
      </c>
      <c r="L211" s="6" t="str">
        <f>CONCATENATE("13 13.1 4a")</f>
        <v>13 13.1 4a</v>
      </c>
      <c r="M211" s="6" t="str">
        <f>CONCATENATE("LCRGNN53S01G453E")</f>
        <v>LCRGNN53S01G453E</v>
      </c>
      <c r="N211" s="6" t="s">
        <v>294</v>
      </c>
      <c r="O211" s="6"/>
      <c r="P211" s="7">
        <v>42879</v>
      </c>
      <c r="Q211" s="6" t="s">
        <v>30</v>
      </c>
      <c r="R211" s="6" t="s">
        <v>31</v>
      </c>
      <c r="S211" s="6" t="s">
        <v>32</v>
      </c>
      <c r="T211" s="8">
        <v>1510.68</v>
      </c>
      <c r="U211" s="6">
        <v>651.41</v>
      </c>
      <c r="V211" s="6">
        <v>601.54999999999995</v>
      </c>
      <c r="W211" s="6">
        <v>0</v>
      </c>
      <c r="X211" s="6">
        <v>257.72000000000003</v>
      </c>
    </row>
  </sheetData>
  <mergeCells count="2">
    <mergeCell ref="A1:X1"/>
    <mergeCell ref="A2:X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2017-05-31T14:16:40Z</dcterms:created>
  <dcterms:modified xsi:type="dcterms:W3CDTF">2017-05-31T14:17:24Z</dcterms:modified>
</cp:coreProperties>
</file>